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000" windowHeight="24855" firstSheet="5" activeTab="9"/>
  </bookViews>
  <sheets>
    <sheet name="秘宝大作战" sheetId="1" r:id="rId1"/>
    <sheet name="幻兽同调计算器" sheetId="28" r:id="rId2"/>
    <sheet name="数据计算表" sheetId="2" r:id="rId3"/>
    <sheet name="副本相关" sheetId="5" r:id="rId4"/>
    <sheet name="泽国星象合约计算器" sheetId="7" r:id="rId5"/>
    <sheet name="龙国星象合约计算器" sheetId="9" r:id="rId6"/>
    <sheet name="羽国星象合约计算器" sheetId="10" r:id="rId7"/>
    <sheet name="哈帕迪星象合约计算器" sheetId="29" r:id="rId8"/>
    <sheet name="羽国原初成本" sheetId="26" r:id="rId9"/>
    <sheet name="星眷档位" sheetId="3" r:id="rId10"/>
    <sheet name="开图相关" sheetId="12" r:id="rId11"/>
    <sheet name="道具价值" sheetId="14" r:id="rId12"/>
    <sheet name="合服相关" sheetId="16" r:id="rId13"/>
    <sheet name="幻兽" sheetId="18" r:id="rId14"/>
    <sheet name="伙伴相关" sheetId="21" r:id="rId15"/>
    <sheet name="每日委托" sheetId="20" r:id="rId16"/>
    <sheet name="幸运转盘" sheetId="22" r:id="rId17"/>
    <sheet name="强袭破甲收益" sheetId="23" r:id="rId18"/>
    <sheet name="伤害公式" sheetId="24" r:id="rId19"/>
    <sheet name="属性晨星性价比" sheetId="27" r:id="rId20"/>
    <sheet name="副本晨星收益计算器" sheetId="30" r:id="rId21"/>
  </sheets>
  <definedNames>
    <definedName name="_xlnm._FilterDatabase" localSheetId="14" hidden="1">伙伴相关!$A$1:$H$51</definedName>
    <definedName name="_xlnm._FilterDatabase" localSheetId="4" hidden="1">泽国星象合约计算器!$H$1:$L$1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<sst xmlns="http://schemas.openxmlformats.org/spreadsheetml/2006/main" count="2760" uniqueCount="976">
  <si>
    <t>合服调整</t>
  </si>
  <si>
    <t>山国</t>
  </si>
  <si>
    <t>泽国</t>
  </si>
  <si>
    <t>龙国</t>
  </si>
  <si>
    <t>羽国</t>
  </si>
  <si>
    <t>哈帕迪</t>
  </si>
  <si>
    <t>默认全勤</t>
  </si>
  <si>
    <t>开服日期</t>
  </si>
  <si>
    <t>累计能量</t>
  </si>
  <si>
    <t>正常五层奖励</t>
  </si>
  <si>
    <t>跳期修正后五层奖励</t>
  </si>
  <si>
    <t>奖励兑换</t>
  </si>
  <si>
    <t>累计需要能量</t>
  </si>
  <si>
    <t>能量情况</t>
  </si>
  <si>
    <t>本期购买能量</t>
  </si>
  <si>
    <t>累计购买能量</t>
  </si>
  <si>
    <t>是否足够</t>
  </si>
  <si>
    <t>推荐0氪兑换</t>
  </si>
  <si>
    <t>零氪剩余能量</t>
  </si>
  <si>
    <t>左侧是作者的记录，黄色格子根据个人情况修改</t>
  </si>
  <si>
    <t>第1期</t>
  </si>
  <si>
    <t>换五层</t>
  </si>
  <si>
    <t>不换</t>
  </si>
  <si>
    <t>第2期</t>
  </si>
  <si>
    <t>换</t>
  </si>
  <si>
    <t>第3期</t>
  </si>
  <si>
    <t>零氪党换的期数换到5级，不换的期数一个都不换</t>
  </si>
  <si>
    <t>第4期</t>
  </si>
  <si>
    <t>第5期</t>
  </si>
  <si>
    <t>换两个五层</t>
  </si>
  <si>
    <t>第6期</t>
  </si>
  <si>
    <t>秘宝跳期</t>
  </si>
  <si>
    <t>是</t>
  </si>
  <si>
    <t>第7期</t>
  </si>
  <si>
    <t>期数</t>
  </si>
  <si>
    <t>五层奖励</t>
  </si>
  <si>
    <t>第8期</t>
  </si>
  <si>
    <t>换三个五层</t>
  </si>
  <si>
    <t>第9期</t>
  </si>
  <si>
    <t>第10期</t>
  </si>
  <si>
    <t>第几期漏做日常</t>
  </si>
  <si>
    <t>第11期</t>
  </si>
  <si>
    <t>累计漏获得能量</t>
  </si>
  <si>
    <t>第12期</t>
  </si>
  <si>
    <t>累计跳期补偿能量</t>
  </si>
  <si>
    <t>第13期</t>
  </si>
  <si>
    <t>第14期</t>
  </si>
  <si>
    <t>第15期</t>
  </si>
  <si>
    <t>第16期</t>
  </si>
  <si>
    <t>第17期</t>
  </si>
  <si>
    <t>第18期</t>
  </si>
  <si>
    <t>第19期</t>
  </si>
  <si>
    <t>第20期</t>
  </si>
  <si>
    <t>第21期</t>
  </si>
  <si>
    <t>第22期</t>
  </si>
  <si>
    <t>第23期</t>
  </si>
  <si>
    <t>第24期</t>
  </si>
  <si>
    <t>第25期</t>
  </si>
  <si>
    <t>第26期</t>
  </si>
  <si>
    <t>第27期</t>
  </si>
  <si>
    <t>第28期</t>
  </si>
  <si>
    <t>第29期</t>
  </si>
  <si>
    <t>第30期</t>
  </si>
  <si>
    <t>第31期</t>
  </si>
  <si>
    <t>第32期</t>
  </si>
  <si>
    <t>第33期</t>
  </si>
  <si>
    <t>第34期</t>
  </si>
  <si>
    <t>第35期</t>
  </si>
  <si>
    <t>第36期</t>
  </si>
  <si>
    <t>第37期</t>
  </si>
  <si>
    <t>第38期</t>
  </si>
  <si>
    <t>第39期</t>
  </si>
  <si>
    <t>第40期</t>
  </si>
  <si>
    <t>第41期</t>
  </si>
  <si>
    <t>第42期</t>
  </si>
  <si>
    <t>第43期</t>
  </si>
  <si>
    <t>第44期</t>
  </si>
  <si>
    <t>第45期</t>
  </si>
  <si>
    <t>第46期</t>
  </si>
  <si>
    <t>第47期</t>
  </si>
  <si>
    <t>第48期</t>
  </si>
  <si>
    <t>当前幻兽品质</t>
  </si>
  <si>
    <t>奇迹</t>
  </si>
  <si>
    <t>对比幻兽品质</t>
  </si>
  <si>
    <t>传说</t>
  </si>
  <si>
    <t>当前幻兽同调率</t>
  </si>
  <si>
    <t>对比幻兽同调率</t>
  </si>
  <si>
    <t>当前重置后幻兽面板</t>
  </si>
  <si>
    <t>攻击力</t>
  </si>
  <si>
    <t>防御力</t>
  </si>
  <si>
    <t>生命值</t>
  </si>
  <si>
    <t>速度</t>
  </si>
  <si>
    <t>战力</t>
  </si>
  <si>
    <t>幻兽点满能力页数量</t>
  </si>
  <si>
    <t>点满能力页后面板</t>
  </si>
  <si>
    <t>一层</t>
  </si>
  <si>
    <t>二层</t>
  </si>
  <si>
    <t>三层</t>
  </si>
  <si>
    <t>四层</t>
  </si>
  <si>
    <t>五层</t>
  </si>
  <si>
    <t>能量</t>
  </si>
  <si>
    <t>天数</t>
  </si>
  <si>
    <t>正常序列</t>
  </si>
  <si>
    <t>跳期修正</t>
  </si>
  <si>
    <t>是否跳期</t>
  </si>
  <si>
    <t>漏做期数</t>
  </si>
  <si>
    <t>星象合约部分</t>
  </si>
  <si>
    <t>递增</t>
  </si>
  <si>
    <t>累计</t>
  </si>
  <si>
    <t>效果</t>
  </si>
  <si>
    <t>百分比</t>
  </si>
  <si>
    <t>累计效果</t>
  </si>
  <si>
    <t>泽国选中原初之星数量</t>
  </si>
  <si>
    <t>泽国原初档位</t>
  </si>
  <si>
    <t>副本掉落装备升华率</t>
  </si>
  <si>
    <t>宝石获取率</t>
  </si>
  <si>
    <t>副本评价奖励翻倍概率</t>
  </si>
  <si>
    <t>经验获取加成</t>
  </si>
  <si>
    <t>经验计算处理区</t>
  </si>
  <si>
    <t>钥匙</t>
  </si>
  <si>
    <t>药水</t>
  </si>
  <si>
    <t>钻头</t>
  </si>
  <si>
    <t>水雷</t>
  </si>
  <si>
    <t>云</t>
  </si>
  <si>
    <t>锤子</t>
  </si>
  <si>
    <t>晨星</t>
  </si>
  <si>
    <t>强化消耗</t>
  </si>
  <si>
    <t>装备</t>
  </si>
  <si>
    <t>粗练石</t>
  </si>
  <si>
    <t>金币</t>
  </si>
  <si>
    <t>晨星价值</t>
  </si>
  <si>
    <t>原初价格</t>
  </si>
  <si>
    <t>原初体力消耗</t>
  </si>
  <si>
    <t>技能</t>
  </si>
  <si>
    <t>历战精华</t>
  </si>
  <si>
    <t>遗物</t>
  </si>
  <si>
    <t>时之沙</t>
  </si>
  <si>
    <t>幻兽</t>
  </si>
  <si>
    <t>经验</t>
  </si>
  <si>
    <t>宝石</t>
  </si>
  <si>
    <t>宝石价格</t>
  </si>
  <si>
    <t>选择幻兽品质</t>
  </si>
  <si>
    <t>占位</t>
  </si>
  <si>
    <t>攻击</t>
  </si>
  <si>
    <t>防御</t>
  </si>
  <si>
    <t>生命</t>
  </si>
  <si>
    <t>伙伴经验需求</t>
  </si>
  <si>
    <t>碎片率</t>
  </si>
  <si>
    <t>整装率</t>
  </si>
  <si>
    <t>蓝色遗物属性类别</t>
  </si>
  <si>
    <t>0星</t>
  </si>
  <si>
    <t>自选奇迹遗物·山</t>
  </si>
  <si>
    <t>跳期期数</t>
  </si>
  <si>
    <t>漏获得能量</t>
  </si>
  <si>
    <t>泽国数据</t>
  </si>
  <si>
    <t>等级</t>
  </si>
  <si>
    <t>当前时间</t>
  </si>
  <si>
    <t>等级列</t>
  </si>
  <si>
    <t>当前等级行</t>
  </si>
  <si>
    <t>当前目标行</t>
  </si>
  <si>
    <t>森国</t>
  </si>
  <si>
    <t>金币价格</t>
  </si>
  <si>
    <t>宝石等级</t>
  </si>
  <si>
    <t>属性</t>
  </si>
  <si>
    <t>升级成功率</t>
  </si>
  <si>
    <t>蓄能值</t>
  </si>
  <si>
    <t>必定成功次数</t>
  </si>
  <si>
    <t>升级需要宝石数量</t>
  </si>
  <si>
    <t>每颗宝石获得属性</t>
  </si>
  <si>
    <t>每10000战力所需晨星</t>
  </si>
  <si>
    <t>幻兽材料价格</t>
  </si>
  <si>
    <t>实际面板</t>
  </si>
  <si>
    <t>常规</t>
  </si>
  <si>
    <t>朵菈</t>
  </si>
  <si>
    <t>蓝色</t>
  </si>
  <si>
    <t>蓝色遗物当前星级</t>
  </si>
  <si>
    <t>1星</t>
  </si>
  <si>
    <t>换一层</t>
  </si>
  <si>
    <t>换二层</t>
  </si>
  <si>
    <t>换三层</t>
  </si>
  <si>
    <t>换四层</t>
  </si>
  <si>
    <t>幸运神像</t>
  </si>
  <si>
    <t>跳期奖励</t>
  </si>
  <si>
    <t>角色等级</t>
  </si>
  <si>
    <t>装备强化等级</t>
  </si>
  <si>
    <t>技能强化等级</t>
  </si>
  <si>
    <t>古遗物强化等级</t>
  </si>
  <si>
    <t>幻兽等级</t>
  </si>
  <si>
    <t>转化系数</t>
  </si>
  <si>
    <t>固定原初</t>
  </si>
  <si>
    <t>当前赛季</t>
  </si>
  <si>
    <t>蓝食材价格</t>
  </si>
  <si>
    <t>攻击百分比</t>
  </si>
  <si>
    <t>攻击节点</t>
  </si>
  <si>
    <t>总攻击</t>
  </si>
  <si>
    <t>总攻击百分比</t>
  </si>
  <si>
    <t>防御百分比</t>
  </si>
  <si>
    <t>防御节点</t>
  </si>
  <si>
    <t>总防御</t>
  </si>
  <si>
    <t>总防御百分比</t>
  </si>
  <si>
    <t>生命百分比</t>
  </si>
  <si>
    <t>生命节点</t>
  </si>
  <si>
    <t>总生命</t>
  </si>
  <si>
    <t>总生命百分比</t>
  </si>
  <si>
    <t>速度百分比</t>
  </si>
  <si>
    <t>速度节点</t>
  </si>
  <si>
    <t>总速度</t>
  </si>
  <si>
    <t>总速度百分比</t>
  </si>
  <si>
    <t>特殊节点</t>
  </si>
  <si>
    <t>总节点数</t>
  </si>
  <si>
    <t>紫色</t>
  </si>
  <si>
    <t>蓝色遗物属性数值</t>
  </si>
  <si>
    <t>2星</t>
  </si>
  <si>
    <t>3阶技能碎片*180</t>
  </si>
  <si>
    <t>补偿能量</t>
  </si>
  <si>
    <t>龙国选中原初之星数量</t>
  </si>
  <si>
    <t>龙国原初档位</t>
  </si>
  <si>
    <t>当前等级</t>
  </si>
  <si>
    <t>经验值求和</t>
  </si>
  <si>
    <t>材料名</t>
  </si>
  <si>
    <t>晨星价格</t>
  </si>
  <si>
    <t>紫食材价格</t>
  </si>
  <si>
    <t>每抽碎片</t>
  </si>
  <si>
    <t>每碎片价格</t>
  </si>
  <si>
    <t>星级倍率</t>
  </si>
  <si>
    <t>3星</t>
  </si>
  <si>
    <t>原初宝石</t>
  </si>
  <si>
    <t>龙国数据</t>
  </si>
  <si>
    <t>目标等级</t>
  </si>
  <si>
    <t>橙食材价格</t>
  </si>
  <si>
    <t>战力倍率</t>
  </si>
  <si>
    <t>4星</t>
  </si>
  <si>
    <t>自选奇迹遗物·泽</t>
  </si>
  <si>
    <t>当前经验</t>
  </si>
  <si>
    <t>蓝肉价格</t>
  </si>
  <si>
    <t>基准战力</t>
  </si>
  <si>
    <t>5星</t>
  </si>
  <si>
    <t>损失天数</t>
  </si>
  <si>
    <t>本应持续天数</t>
  </si>
  <si>
    <t>实际天数</t>
  </si>
  <si>
    <t>羽国选中原初之星数量</t>
  </si>
  <si>
    <t>羽国原初档位</t>
  </si>
  <si>
    <t>每小时经验</t>
  </si>
  <si>
    <t>紫肉价格</t>
  </si>
  <si>
    <t>觉醒</t>
  </si>
  <si>
    <t>4阶技能碎片*180</t>
  </si>
  <si>
    <t>羽国数据</t>
  </si>
  <si>
    <t>总经验缺口</t>
  </si>
  <si>
    <t>幻兽经验</t>
  </si>
  <si>
    <t>橙肉价格</t>
  </si>
  <si>
    <t>加速次数</t>
  </si>
  <si>
    <t>自选奇迹遗物·龙I</t>
  </si>
  <si>
    <t>哈帕迪选中原初之星数量</t>
  </si>
  <si>
    <t>加速石头次数</t>
  </si>
  <si>
    <t>能量盈亏</t>
  </si>
  <si>
    <t>能量缺口</t>
  </si>
  <si>
    <t>6元</t>
  </si>
  <si>
    <t>30元</t>
  </si>
  <si>
    <t>额外缺口</t>
  </si>
  <si>
    <t>哈帕迪数据</t>
  </si>
  <si>
    <t>剩余升级时间</t>
  </si>
  <si>
    <t>橙首饰</t>
  </si>
  <si>
    <t>紫首饰</t>
  </si>
  <si>
    <t>蓝首饰</t>
  </si>
  <si>
    <t>战力差</t>
  </si>
  <si>
    <t>加速后升级时间</t>
  </si>
  <si>
    <t>5体力产出</t>
  </si>
  <si>
    <t>已囤礼物</t>
  </si>
  <si>
    <t>每碎片战力</t>
  </si>
  <si>
    <t>已囤首饰类经验</t>
  </si>
  <si>
    <t>1w战力价格</t>
  </si>
  <si>
    <t>自选奇迹遗物·龙II</t>
  </si>
  <si>
    <t>朵菈当前等级</t>
  </si>
  <si>
    <t>好感度</t>
  </si>
  <si>
    <t>综合每碎片战力</t>
  </si>
  <si>
    <t>泽国计算</t>
  </si>
  <si>
    <t>朵菈当前累计经验</t>
  </si>
  <si>
    <t>总分</t>
  </si>
  <si>
    <t>总固定属性战力</t>
  </si>
  <si>
    <t>总常规属性战力</t>
  </si>
  <si>
    <t>所需蓝材料</t>
  </si>
  <si>
    <t>每1万战力所需晨星</t>
  </si>
  <si>
    <t>职业属性</t>
  </si>
  <si>
    <t>职业加成</t>
  </si>
  <si>
    <t>实际属性</t>
  </si>
  <si>
    <t>朵菈100级已囤积进度</t>
  </si>
  <si>
    <t>第1页</t>
  </si>
  <si>
    <t>对比幻兽同调</t>
  </si>
  <si>
    <t>自选奇迹遗物·羽I</t>
  </si>
  <si>
    <t>已有原初</t>
  </si>
  <si>
    <t>目标档位</t>
  </si>
  <si>
    <t>原初之星</t>
  </si>
  <si>
    <t>还需分数</t>
  </si>
  <si>
    <t>素材秘境</t>
  </si>
  <si>
    <t>每1个道具</t>
  </si>
  <si>
    <t>第2页</t>
  </si>
  <si>
    <t>面板</t>
  </si>
  <si>
    <t>朵菈最终等级</t>
  </si>
  <si>
    <t>幸运神像/黄金圣木</t>
  </si>
  <si>
    <t>晨星售卖计算器</t>
  </si>
  <si>
    <t>第3页</t>
  </si>
  <si>
    <t>5阶技能碎片*180</t>
  </si>
  <si>
    <t>原初</t>
  </si>
  <si>
    <t>女神像</t>
  </si>
  <si>
    <t>翻倍率</t>
  </si>
  <si>
    <t>第4页</t>
  </si>
  <si>
    <t>原初宝石/贤者之石</t>
  </si>
  <si>
    <t>龙国计算</t>
  </si>
  <si>
    <t>0星未放架子</t>
  </si>
  <si>
    <t>第5页</t>
  </si>
  <si>
    <t>每抽收益</t>
  </si>
  <si>
    <t>自选奇迹遗物·羽II</t>
  </si>
  <si>
    <t>1星未放架子</t>
  </si>
  <si>
    <t>第6页</t>
  </si>
  <si>
    <t>合计</t>
  </si>
  <si>
    <t>10000战力价格</t>
  </si>
  <si>
    <t>2星未放架子</t>
  </si>
  <si>
    <t>第7页</t>
  </si>
  <si>
    <t>3星未放架子</t>
  </si>
  <si>
    <t>第8页</t>
  </si>
  <si>
    <t>固定数值</t>
  </si>
  <si>
    <t>4星未放架子</t>
  </si>
  <si>
    <t>当前装备等级</t>
  </si>
  <si>
    <t>当前技能等级</t>
  </si>
  <si>
    <t>当前遗物等级</t>
  </si>
  <si>
    <t>当前幻兽等级</t>
  </si>
  <si>
    <t>加成</t>
  </si>
  <si>
    <t>自选奇迹遗物·羽III</t>
  </si>
  <si>
    <t>5星未放架子</t>
  </si>
  <si>
    <t>羽国计算</t>
  </si>
  <si>
    <t>0星架子上</t>
  </si>
  <si>
    <t>强化等级</t>
  </si>
  <si>
    <t>1星架子上</t>
  </si>
  <si>
    <t>升1级折算的原初晨星价值</t>
  </si>
  <si>
    <t>2星架子上</t>
  </si>
  <si>
    <t>升1级折算的原初体力价值</t>
  </si>
  <si>
    <t>数值</t>
  </si>
  <si>
    <t>200抽</t>
  </si>
  <si>
    <t>共计晨星</t>
  </si>
  <si>
    <t>3星架子上</t>
  </si>
  <si>
    <t>金</t>
  </si>
  <si>
    <t>4星架子上</t>
  </si>
  <si>
    <t>橙</t>
  </si>
  <si>
    <t>6阶技能碎片*180</t>
  </si>
  <si>
    <t>5星架子上</t>
  </si>
  <si>
    <t>原初宝石/贤者之石/秘宝探测仪</t>
  </si>
  <si>
    <t>哈帕迪计算</t>
  </si>
  <si>
    <t>自选奇迹遗物·哈I</t>
  </si>
  <si>
    <t>女神</t>
  </si>
  <si>
    <t>幸运神像/黄金圣木/无尽沙漏</t>
  </si>
  <si>
    <t>自选奇迹遗物·哈II</t>
  </si>
  <si>
    <t>自选奇迹遗物·哈III</t>
  </si>
  <si>
    <t>料理</t>
  </si>
  <si>
    <t>紫色无肉</t>
  </si>
  <si>
    <t>价格</t>
  </si>
  <si>
    <t>1-10</t>
  </si>
  <si>
    <t>11-30</t>
  </si>
  <si>
    <t>31-50</t>
  </si>
  <si>
    <t>51+</t>
  </si>
  <si>
    <t>紫色需肉</t>
  </si>
  <si>
    <t>橙色无肉</t>
  </si>
  <si>
    <t>最低价所需耀星</t>
  </si>
  <si>
    <t>橙色需肉</t>
  </si>
  <si>
    <t>金色3%无肉</t>
  </si>
  <si>
    <t>金色3%需肉</t>
  </si>
  <si>
    <t>金色7%无肉</t>
  </si>
  <si>
    <t>100级合计</t>
  </si>
  <si>
    <t>副本开放时间</t>
  </si>
  <si>
    <t>D</t>
  </si>
  <si>
    <t>C</t>
  </si>
  <si>
    <t>B</t>
  </si>
  <si>
    <t>A</t>
  </si>
  <si>
    <t>S</t>
  </si>
  <si>
    <t>难度</t>
  </si>
  <si>
    <t>开放条件</t>
  </si>
  <si>
    <t>碎片掉落</t>
  </si>
  <si>
    <t>金装</t>
  </si>
  <si>
    <t>红装</t>
  </si>
  <si>
    <t>超稀有</t>
  </si>
  <si>
    <t>世界之树</t>
  </si>
  <si>
    <t>第1天</t>
  </si>
  <si>
    <t>普通</t>
  </si>
  <si>
    <t>无</t>
  </si>
  <si>
    <t>困难</t>
  </si>
  <si>
    <t>3.6万</t>
  </si>
  <si>
    <t>机神山</t>
  </si>
  <si>
    <t>第4天</t>
  </si>
  <si>
    <t>18万</t>
  </si>
  <si>
    <t>海之宫遗迹</t>
  </si>
  <si>
    <t>第12天</t>
  </si>
  <si>
    <t>58万</t>
  </si>
  <si>
    <t>源水大社</t>
  </si>
  <si>
    <t>第24天</t>
  </si>
  <si>
    <t>93万</t>
  </si>
  <si>
    <t>145万</t>
  </si>
  <si>
    <t>噩梦</t>
  </si>
  <si>
    <t>205万</t>
  </si>
  <si>
    <t>黄泉阁</t>
  </si>
  <si>
    <t>第33天</t>
  </si>
  <si>
    <t>225万</t>
  </si>
  <si>
    <t>275万</t>
  </si>
  <si>
    <t>390万</t>
  </si>
  <si>
    <t>炼狱</t>
  </si>
  <si>
    <t>620万</t>
  </si>
  <si>
    <t>封魔峡</t>
  </si>
  <si>
    <t>第47天</t>
  </si>
  <si>
    <t>235万</t>
  </si>
  <si>
    <t>将军岭</t>
  </si>
  <si>
    <t>第60天</t>
  </si>
  <si>
    <t>355万</t>
  </si>
  <si>
    <t>500万</t>
  </si>
  <si>
    <t>600万</t>
  </si>
  <si>
    <t>青云观</t>
  </si>
  <si>
    <t>第73天</t>
  </si>
  <si>
    <t>770万</t>
  </si>
  <si>
    <t>980万</t>
  </si>
  <si>
    <t>古剑城</t>
  </si>
  <si>
    <t>第86天</t>
  </si>
  <si>
    <t>1000万</t>
  </si>
  <si>
    <t>1250万</t>
  </si>
  <si>
    <t>1580万</t>
  </si>
  <si>
    <t>仙海云舟</t>
  </si>
  <si>
    <t>第99天</t>
  </si>
  <si>
    <t>1650万</t>
  </si>
  <si>
    <t>2000万</t>
  </si>
  <si>
    <t>2450万</t>
  </si>
  <si>
    <t>4000万</t>
  </si>
  <si>
    <t>结晶螺旋树</t>
  </si>
  <si>
    <t>第114天</t>
  </si>
  <si>
    <t>900万</t>
  </si>
  <si>
    <t>永恒花庭</t>
  </si>
  <si>
    <t>第127天</t>
  </si>
  <si>
    <t>1500万</t>
  </si>
  <si>
    <t>1800万</t>
  </si>
  <si>
    <t>2850万</t>
  </si>
  <si>
    <t>战渊堡垒</t>
  </si>
  <si>
    <t>第141天</t>
  </si>
  <si>
    <t>2600万</t>
  </si>
  <si>
    <t>3000万</t>
  </si>
  <si>
    <t>4600万</t>
  </si>
  <si>
    <t>净化之庭</t>
  </si>
  <si>
    <t>第155天</t>
  </si>
  <si>
    <t>3250万</t>
  </si>
  <si>
    <t>4300万</t>
  </si>
  <si>
    <t>5050万</t>
  </si>
  <si>
    <t>7500万</t>
  </si>
  <si>
    <t>秩序神殿</t>
  </si>
  <si>
    <t>第169天</t>
  </si>
  <si>
    <t>5500万</t>
  </si>
  <si>
    <t>6500万</t>
  </si>
  <si>
    <t>8200万</t>
  </si>
  <si>
    <t>1.15亿</t>
  </si>
  <si>
    <t>烈阳尖塔</t>
  </si>
  <si>
    <t>第183天</t>
  </si>
  <si>
    <t>8450万</t>
  </si>
  <si>
    <t>1亿</t>
  </si>
  <si>
    <t>1.2亿</t>
  </si>
  <si>
    <t>1.8亿</t>
  </si>
  <si>
    <t>君临之巢</t>
  </si>
  <si>
    <t>第197天</t>
  </si>
  <si>
    <t>1.25亿</t>
  </si>
  <si>
    <t>1.45亿</t>
  </si>
  <si>
    <t>2.5亿</t>
  </si>
  <si>
    <t>第204天</t>
  </si>
  <si>
    <t>深渊</t>
  </si>
  <si>
    <t>3.5亿</t>
  </si>
  <si>
    <t>奇巧钟楼</t>
  </si>
  <si>
    <t>第229天</t>
  </si>
  <si>
    <t>2700万</t>
  </si>
  <si>
    <t>乐园海盗船</t>
  </si>
  <si>
    <t>第242天</t>
  </si>
  <si>
    <t>3500万</t>
  </si>
  <si>
    <t>4800万</t>
  </si>
  <si>
    <t>5700万</t>
  </si>
  <si>
    <t>8400万</t>
  </si>
  <si>
    <t>海皇潜艇</t>
  </si>
  <si>
    <t>第256天</t>
  </si>
  <si>
    <t>6200万</t>
  </si>
  <si>
    <t>7200万</t>
  </si>
  <si>
    <t>8500万</t>
  </si>
  <si>
    <t>1.3亿</t>
  </si>
  <si>
    <t>发条要塞</t>
  </si>
  <si>
    <t>第270天</t>
  </si>
  <si>
    <t>9100万</t>
  </si>
  <si>
    <t>1.1亿</t>
  </si>
  <si>
    <t>1.9亿</t>
  </si>
  <si>
    <t>天气观测站</t>
  </si>
  <si>
    <t>第284天</t>
  </si>
  <si>
    <t>1.4亿</t>
  </si>
  <si>
    <t>1.65亿</t>
  </si>
  <si>
    <t>1.95亿</t>
  </si>
  <si>
    <t>2.9亿</t>
  </si>
  <si>
    <t>泰坦热气球</t>
  </si>
  <si>
    <t>第298天</t>
  </si>
  <si>
    <t>2.1亿</t>
  </si>
  <si>
    <t>4.4亿</t>
  </si>
  <si>
    <t>星空之城</t>
  </si>
  <si>
    <t>第312天</t>
  </si>
  <si>
    <t>3.1亿</t>
  </si>
  <si>
    <t>3.65亿</t>
  </si>
  <si>
    <t>4.5亿</t>
  </si>
  <si>
    <t>7.4亿</t>
  </si>
  <si>
    <t>第319天</t>
  </si>
  <si>
    <t>？</t>
  </si>
  <si>
    <t>泽国养成</t>
  </si>
  <si>
    <t>原初之星档位</t>
  </si>
  <si>
    <t>角色等级
每级100分</t>
  </si>
  <si>
    <t>注：等级精确到经验百分比</t>
  </si>
  <si>
    <t>装备强化等级
每级38分</t>
  </si>
  <si>
    <t>技能强化等级
每级13分</t>
  </si>
  <si>
    <t>古遗物强化等级
每级57分</t>
  </si>
  <si>
    <t>幻兽等级
每级14分</t>
  </si>
  <si>
    <t>保底原初之星</t>
  </si>
  <si>
    <t>赛季总养成分</t>
  </si>
  <si>
    <t>龙国养成</t>
  </si>
  <si>
    <t>累计原初</t>
  </si>
  <si>
    <t>装备强化等级
每级18分</t>
  </si>
  <si>
    <t>技能强化等级
每级7分</t>
  </si>
  <si>
    <t>古遗物强化等级
每级33分</t>
  </si>
  <si>
    <t>幻兽等级
每级8分</t>
  </si>
  <si>
    <t>羽国养成</t>
  </si>
  <si>
    <t>装备强化等级
每级14分</t>
  </si>
  <si>
    <t>技能强化等级
每级5分</t>
  </si>
  <si>
    <t>古遗物强化等级
每级26分</t>
  </si>
  <si>
    <t>幻兽等级
每级6分</t>
  </si>
  <si>
    <t>总原初之星</t>
  </si>
  <si>
    <t>哈帕迪养成</t>
  </si>
  <si>
    <t>装备强化等级
每级17分</t>
  </si>
  <si>
    <t>古遗物强化等级
每级28分</t>
  </si>
  <si>
    <t>幻兽等级
每级11分</t>
  </si>
  <si>
    <t>对怪物伤害增加+4.8%</t>
  </si>
  <si>
    <t>聆闻世间</t>
  </si>
  <si>
    <t>[聆闻世间]主武器幻装</t>
  </si>
  <si>
    <t>受怪物伤害抵抗+4.8%</t>
  </si>
  <si>
    <t>会员徽章</t>
  </si>
  <si>
    <t>[聆闻世间]发型&amp;头饰幻装</t>
  </si>
  <si>
    <t>对玩家伤害增加+4.8%</t>
  </si>
  <si>
    <t>家园经验产出加成+5%</t>
  </si>
  <si>
    <t>英雄指南，+5%(6%)</t>
  </si>
  <si>
    <t>受玩家伤害抵抗+4.8%</t>
  </si>
  <si>
    <t>[聆闻世间]服饰幻装</t>
  </si>
  <si>
    <t>对怪物伤害增加+9.6%</t>
  </si>
  <si>
    <t>英雄指南升星</t>
  </si>
  <si>
    <t>7%(8.4%)经验加成</t>
  </si>
  <si>
    <t>受怪物伤害抵抗+9.6%</t>
  </si>
  <si>
    <t>[聆闻世间]副武器幻装</t>
  </si>
  <si>
    <t>对玩家伤害增加+9.6%</t>
  </si>
  <si>
    <t>永夜真祖（绝版）</t>
  </si>
  <si>
    <t>[聆闻世间]背饰幻装</t>
  </si>
  <si>
    <t>受玩家伤害抵抗+9.6%</t>
  </si>
  <si>
    <t>[电玩勇者]主武器幻装</t>
  </si>
  <si>
    <t>9%(10.8%)经验加成</t>
  </si>
  <si>
    <t>[电玩勇者]发型幻装</t>
  </si>
  <si>
    <t>11%(13.2%)经验加成</t>
  </si>
  <si>
    <t>[电玩勇者]服饰幻装</t>
  </si>
  <si>
    <t>13%(15.6%)经验加成</t>
  </si>
  <si>
    <t>[电玩勇者]副武器幻装</t>
  </si>
  <si>
    <t>15%(18%)经验加成</t>
  </si>
  <si>
    <t>[电玩勇者]背饰幻装</t>
  </si>
  <si>
    <t>[至高神威]主武器幻装</t>
  </si>
  <si>
    <t>[至高神威]发型&amp;头饰幻装</t>
  </si>
  <si>
    <t>20%(24%)经验加成</t>
  </si>
  <si>
    <t>[至高神威]服饰幻装</t>
  </si>
  <si>
    <t>电玩勇者</t>
  </si>
  <si>
    <t>[至高神威]副武器幻装</t>
  </si>
  <si>
    <t>[至高神威]背饰幻装</t>
  </si>
  <si>
    <t>[游星神裔]主武器幻装</t>
  </si>
  <si>
    <t>[游星神裔]发型&amp;头饰幻装</t>
  </si>
  <si>
    <t>[游星神裔]服饰幻装</t>
  </si>
  <si>
    <t>[游星神裔]副武器幻装</t>
  </si>
  <si>
    <t>[游星神裔]背饰幻装</t>
  </si>
  <si>
    <t>[神源核心]主武器幻装</t>
  </si>
  <si>
    <t>[神源核心]发型&amp;头饰幻装</t>
  </si>
  <si>
    <t>[神源核心]服饰幻装</t>
  </si>
  <si>
    <t>[神源核心]副武器幻装</t>
  </si>
  <si>
    <t>[神源核心]背饰幻装</t>
  </si>
  <si>
    <t>至高神威</t>
  </si>
  <si>
    <t>游星神裔</t>
  </si>
  <si>
    <t>神威核心</t>
  </si>
  <si>
    <t>开图道具</t>
  </si>
  <si>
    <t>S1赛季为止共需</t>
  </si>
  <si>
    <t>S2赛季为止共需</t>
  </si>
  <si>
    <t>S3赛季为止共需</t>
  </si>
  <si>
    <t>积木</t>
  </si>
  <si>
    <t>哈国</t>
  </si>
  <si>
    <t>橙礼物</t>
  </si>
  <si>
    <t>二档</t>
  </si>
  <si>
    <t>三档</t>
  </si>
  <si>
    <t>四档</t>
  </si>
  <si>
    <t>五档</t>
  </si>
  <si>
    <t>紫礼物</t>
  </si>
  <si>
    <t>世界树能量</t>
  </si>
  <si>
    <t>蓝礼物</t>
  </si>
  <si>
    <t>幸运奖券</t>
  </si>
  <si>
    <t>紫女神牌</t>
  </si>
  <si>
    <t>橙女神牌</t>
  </si>
  <si>
    <t>金女神牌</t>
  </si>
  <si>
    <t>元素女神牌</t>
  </si>
  <si>
    <t>蓝女神牌</t>
  </si>
  <si>
    <t>粉球</t>
  </si>
  <si>
    <t>蓝球</t>
  </si>
  <si>
    <t>命运果实</t>
  </si>
  <si>
    <t>体力</t>
  </si>
  <si>
    <t>国度币</t>
  </si>
  <si>
    <t>世界树能量(五档)</t>
  </si>
  <si>
    <t>金币（羽国上位）</t>
  </si>
  <si>
    <t>白狗粮</t>
  </si>
  <si>
    <t>技能兑换券</t>
  </si>
  <si>
    <t>秘宝礼包</t>
  </si>
  <si>
    <t>道具价值</t>
  </si>
  <si>
    <t>能量价值（5档等价）</t>
  </si>
  <si>
    <t>标称超值</t>
  </si>
  <si>
    <t>实际超值</t>
  </si>
  <si>
    <t>反推能量价值</t>
  </si>
  <si>
    <t>先知丛林</t>
  </si>
  <si>
    <t>泽国二合一
10/4</t>
  </si>
  <si>
    <t>龙国四合一
11/11</t>
  </si>
  <si>
    <t>羽国八合一
1/18</t>
  </si>
  <si>
    <t>哈帕迪十六合一</t>
  </si>
  <si>
    <t>灵能矿脉</t>
  </si>
  <si>
    <t>幽星树海</t>
  </si>
  <si>
    <t>泽国二合一
10/5</t>
  </si>
  <si>
    <t>浮空宝库</t>
  </si>
  <si>
    <t>失落荒野</t>
  </si>
  <si>
    <t>泽国二合一
10/6</t>
  </si>
  <si>
    <t>龙国四合一
11/12</t>
  </si>
  <si>
    <t>谐乐水晶</t>
  </si>
  <si>
    <t>流沙台地</t>
  </si>
  <si>
    <t>泽国二合一
10/7</t>
  </si>
  <si>
    <t>悲悼之海</t>
  </si>
  <si>
    <t>流萤石板</t>
  </si>
  <si>
    <t>泽国二合一
10/8</t>
  </si>
  <si>
    <t>龙国四合一
11/13</t>
  </si>
  <si>
    <t>羽国八合一
1/19</t>
  </si>
  <si>
    <t>迷途空谷</t>
  </si>
  <si>
    <t>抵抗营地</t>
  </si>
  <si>
    <t>泽国二合一
10/9</t>
  </si>
  <si>
    <t>迷离山地</t>
  </si>
  <si>
    <t>女神殿堂</t>
  </si>
  <si>
    <t>泽国二合一
10/10</t>
  </si>
  <si>
    <t>龙国四合一
11/14</t>
  </si>
  <si>
    <t>祈福石板</t>
  </si>
  <si>
    <t>陨落峡谷</t>
  </si>
  <si>
    <t>泽国二合一
10/11</t>
  </si>
  <si>
    <t>哀歌空岛</t>
  </si>
  <si>
    <t>输出</t>
  </si>
  <si>
    <t>辅助</t>
  </si>
  <si>
    <t>等价蓝材料</t>
  </si>
  <si>
    <t>第一页</t>
  </si>
  <si>
    <t>1%伤害加成</t>
  </si>
  <si>
    <t>1%伤害抵抗</t>
  </si>
  <si>
    <t>第二页</t>
  </si>
  <si>
    <t>2%会心率</t>
  </si>
  <si>
    <t>2%精准</t>
  </si>
  <si>
    <t>2%会心抵抗</t>
  </si>
  <si>
    <t>2%格挡率</t>
  </si>
  <si>
    <t>第三页</t>
  </si>
  <si>
    <t>第四页</t>
  </si>
  <si>
    <t>第五页</t>
  </si>
  <si>
    <t>第六页</t>
  </si>
  <si>
    <t>第七页</t>
  </si>
  <si>
    <t>第八页</t>
  </si>
  <si>
    <t>橙色宠物1.1倍属性，金色宠物1.2倍属性</t>
  </si>
  <si>
    <t>攻击型</t>
  </si>
  <si>
    <t>伙伴</t>
  </si>
  <si>
    <t>国度</t>
  </si>
  <si>
    <t>职业</t>
  </si>
  <si>
    <t>喜好</t>
  </si>
  <si>
    <t>20级属性</t>
  </si>
  <si>
    <t>50级属性</t>
  </si>
  <si>
    <t>70级属性</t>
  </si>
  <si>
    <t>100级属性</t>
  </si>
  <si>
    <t>羁绊冒险</t>
  </si>
  <si>
    <t>礼物经验</t>
  </si>
  <si>
    <t>森森</t>
  </si>
  <si>
    <t>森之国</t>
  </si>
  <si>
    <t>骑士</t>
  </si>
  <si>
    <t>首饰爱好</t>
  </si>
  <si>
    <t>伤害抵抗</t>
  </si>
  <si>
    <t>格挡率</t>
  </si>
  <si>
    <t>基础大成功率</t>
  </si>
  <si>
    <t>蓝</t>
  </si>
  <si>
    <t>神秘商人</t>
  </si>
  <si>
    <t>异界</t>
  </si>
  <si>
    <t>贤者</t>
  </si>
  <si>
    <t>鲜花爱好</t>
  </si>
  <si>
    <t>会心抵抗</t>
  </si>
  <si>
    <t>紫</t>
  </si>
  <si>
    <t>薇兰</t>
  </si>
  <si>
    <t>斗士</t>
  </si>
  <si>
    <t>伤害加成</t>
  </si>
  <si>
    <t>会心率</t>
  </si>
  <si>
    <t>米特</t>
  </si>
  <si>
    <t>山之国</t>
  </si>
  <si>
    <t>术士</t>
  </si>
  <si>
    <t>书籍爱好</t>
  </si>
  <si>
    <t>橙色</t>
  </si>
  <si>
    <t>妮娜</t>
  </si>
  <si>
    <t>金色</t>
  </si>
  <si>
    <t>花山铃</t>
  </si>
  <si>
    <t>泽之国</t>
  </si>
  <si>
    <t>未央</t>
  </si>
  <si>
    <t>满足条件</t>
  </si>
  <si>
    <t>茗</t>
  </si>
  <si>
    <t>龙之国</t>
  </si>
  <si>
    <t>岁末</t>
  </si>
  <si>
    <t>芙蕾雅</t>
  </si>
  <si>
    <t>羽之国</t>
  </si>
  <si>
    <t>家具爱好</t>
  </si>
  <si>
    <t>维迦尔</t>
  </si>
  <si>
    <t>西尔维娅</t>
  </si>
  <si>
    <t>村长</t>
  </si>
  <si>
    <t>绯乐</t>
  </si>
  <si>
    <t>精准</t>
  </si>
  <si>
    <t>赫密斯</t>
  </si>
  <si>
    <t>基利安</t>
  </si>
  <si>
    <t>克萝尔</t>
  </si>
  <si>
    <t>秦</t>
  </si>
  <si>
    <t>卡尔</t>
  </si>
  <si>
    <t>梅克娜</t>
  </si>
  <si>
    <t>帕鲁</t>
  </si>
  <si>
    <t>大泽荣一</t>
  </si>
  <si>
    <t>十兵卫</t>
  </si>
  <si>
    <t>终末</t>
  </si>
  <si>
    <t>惠</t>
  </si>
  <si>
    <t>姜旺</t>
  </si>
  <si>
    <t>无忌</t>
  </si>
  <si>
    <t>阿斯特丽德</t>
  </si>
  <si>
    <t>奥菲莉娅</t>
  </si>
  <si>
    <t>格鲁德</t>
  </si>
  <si>
    <t>伊丝娜</t>
  </si>
  <si>
    <t>阿克娅</t>
  </si>
  <si>
    <t>异界（联动）</t>
  </si>
  <si>
    <t>达克妮斯</t>
  </si>
  <si>
    <t>惠惠</t>
  </si>
  <si>
    <t>和真</t>
  </si>
  <si>
    <t>洛天依</t>
  </si>
  <si>
    <t>言和</t>
  </si>
  <si>
    <t>鹿野</t>
  </si>
  <si>
    <t>哪吒</t>
  </si>
  <si>
    <t>无限</t>
  </si>
  <si>
    <t>小黑</t>
  </si>
  <si>
    <t>星霜老人·村长</t>
  </si>
  <si>
    <t>星霜之愿·森森</t>
  </si>
  <si>
    <t>裁红贺新·茗</t>
  </si>
  <si>
    <t>千灯福愿·姜旺</t>
  </si>
  <si>
    <t>燃灯福使·岁末</t>
  </si>
  <si>
    <t>何大春</t>
  </si>
  <si>
    <t>鸡大保</t>
  </si>
  <si>
    <t>梅花十三</t>
  </si>
  <si>
    <t>伍六七</t>
  </si>
  <si>
    <t>蓝礼物数量</t>
  </si>
  <si>
    <t>白攻击</t>
  </si>
  <si>
    <t>白防御</t>
  </si>
  <si>
    <t>攻击1646</t>
  </si>
  <si>
    <t>生命8234</t>
  </si>
  <si>
    <t>防御1646</t>
  </si>
  <si>
    <t>攻击3%</t>
  </si>
  <si>
    <t>速度1316</t>
  </si>
  <si>
    <t>防御6%</t>
  </si>
  <si>
    <t>生命3%</t>
  </si>
  <si>
    <t>精准1.5%</t>
  </si>
  <si>
    <t>防御3%</t>
  </si>
  <si>
    <t>速度6%</t>
  </si>
  <si>
    <t>速度3%</t>
  </si>
  <si>
    <t>会心抵抗1.5%</t>
  </si>
  <si>
    <t>伤害加成2%</t>
  </si>
  <si>
    <t>攻击6%</t>
  </si>
  <si>
    <t>会心率1.5%</t>
  </si>
  <si>
    <t>生命6%</t>
  </si>
  <si>
    <t>格挡率1.5%</t>
  </si>
  <si>
    <t>伤害抵抗2%</t>
  </si>
  <si>
    <t>个人向委托优先级推荐</t>
  </si>
  <si>
    <t>任务类型</t>
  </si>
  <si>
    <t>重金悬赏最优先</t>
  </si>
  <si>
    <t>国度选择</t>
  </si>
  <si>
    <t>山国币&gt;金伙伴&gt;其他自己缺的国度币</t>
  </si>
  <si>
    <t>总体而言山国的钻头需求量最大，实际建议根据自身国度币需求来</t>
  </si>
  <si>
    <t>任务奖励</t>
  </si>
  <si>
    <t>技能抽&gt;女神牌&gt;委托限定食材&gt;地图拾取食材=资源</t>
  </si>
  <si>
    <t>任务要求</t>
  </si>
  <si>
    <t>开图时产出的溢出无用怪物素材&gt;可从副本完成的怪物击杀&gt;不可从副本完成的怪物击杀&gt;&gt;&gt;&gt;&gt;&gt;猪肉</t>
  </si>
  <si>
    <t>委托收益</t>
  </si>
  <si>
    <t>参考下方数据，一个非重金悬赏收益约为110晨星</t>
  </si>
  <si>
    <t>委托奖励</t>
  </si>
  <si>
    <t>龙国上位</t>
  </si>
  <si>
    <t>石木</t>
  </si>
  <si>
    <t>铁矿</t>
  </si>
  <si>
    <t>沙子</t>
  </si>
  <si>
    <t>狗粮</t>
  </si>
  <si>
    <t>商店金币价值</t>
  </si>
  <si>
    <t>等价金币价值</t>
  </si>
  <si>
    <t>等价晨星</t>
  </si>
  <si>
    <t>食材</t>
  </si>
  <si>
    <t>副本可击杀怪物一览</t>
  </si>
  <si>
    <t>副本从下到上，从左到右的战斗房间，从1开始依次编号</t>
  </si>
  <si>
    <t>世界之树普通/困难</t>
  </si>
  <si>
    <t>野猪</t>
  </si>
  <si>
    <t>1、2、4</t>
  </si>
  <si>
    <t>臭弹花</t>
  </si>
  <si>
    <t>1、4</t>
  </si>
  <si>
    <t>森狼打手</t>
  </si>
  <si>
    <t>森狼投手</t>
  </si>
  <si>
    <t>飞镰螳螂</t>
  </si>
  <si>
    <t>水丝蜘蛛</t>
  </si>
  <si>
    <t>机神山普通/困难</t>
  </si>
  <si>
    <t>挖矿蝎子</t>
  </si>
  <si>
    <t>1、2、3、7、8</t>
  </si>
  <si>
    <t>蒸汽龙虾</t>
  </si>
  <si>
    <t>1、6、10</t>
  </si>
  <si>
    <t>机关鹰</t>
  </si>
  <si>
    <t>3、5</t>
  </si>
  <si>
    <t>机关蛇</t>
  </si>
  <si>
    <t>5、6</t>
  </si>
  <si>
    <t>仙人掌怪</t>
  </si>
  <si>
    <t>山狼投手</t>
  </si>
  <si>
    <t>山狼打手</t>
  </si>
  <si>
    <t>海之宫遗迹普通/困难</t>
  </si>
  <si>
    <t>源水大社普通/困难/噩梦</t>
  </si>
  <si>
    <t>黄泉阁普通/困难</t>
  </si>
  <si>
    <t>黄泉阁噩梦</t>
  </si>
  <si>
    <t>黄泉阁炼狱</t>
  </si>
  <si>
    <t>青蛙怪</t>
  </si>
  <si>
    <t>1、10</t>
  </si>
  <si>
    <t>小狐妖</t>
  </si>
  <si>
    <t>1、9</t>
  </si>
  <si>
    <t>贝壳精</t>
  </si>
  <si>
    <t>2、6、7</t>
  </si>
  <si>
    <t>鱼怪</t>
  </si>
  <si>
    <t>2、3、7</t>
  </si>
  <si>
    <t>独角仙</t>
  </si>
  <si>
    <t>3、8</t>
  </si>
  <si>
    <t>3、6、8</t>
  </si>
  <si>
    <t>藤蔓怪</t>
  </si>
  <si>
    <t>6、10</t>
  </si>
  <si>
    <t>锹甲</t>
  </si>
  <si>
    <t>水灯笼</t>
  </si>
  <si>
    <t>2、7</t>
  </si>
  <si>
    <t>2、7、9</t>
  </si>
  <si>
    <t>潮狼盾兵</t>
  </si>
  <si>
    <t>泥田坊</t>
  </si>
  <si>
    <t>雁木</t>
  </si>
  <si>
    <t>3、9、11</t>
  </si>
  <si>
    <t>河童</t>
  </si>
  <si>
    <t>潮狼哨兵</t>
  </si>
  <si>
    <t>潮狼打手</t>
  </si>
  <si>
    <t>潮狼投手</t>
  </si>
  <si>
    <t>封魔峡普通/困难</t>
  </si>
  <si>
    <t>将军陵普通/困难</t>
  </si>
  <si>
    <t>将军陵噩梦</t>
  </si>
  <si>
    <t>青云观普通/困难</t>
  </si>
  <si>
    <t>青云观噩梦</t>
  </si>
  <si>
    <t>古剑城普通/困难</t>
  </si>
  <si>
    <t>古剑城噩梦</t>
  </si>
  <si>
    <t>仙海云舟普通/困难</t>
  </si>
  <si>
    <t>仙海云舟噩梦</t>
  </si>
  <si>
    <t>仙海云舟炼狱</t>
  </si>
  <si>
    <t>穿云甲</t>
  </si>
  <si>
    <t>1、7、8</t>
  </si>
  <si>
    <t>小青蛇</t>
  </si>
  <si>
    <t>1、8</t>
  </si>
  <si>
    <t>火鼠</t>
  </si>
  <si>
    <t>2、6、9</t>
  </si>
  <si>
    <t>火云獒</t>
  </si>
  <si>
    <t>灵狼盾兵</t>
  </si>
  <si>
    <t>灵狼哨兵</t>
  </si>
  <si>
    <t>青铜面</t>
  </si>
  <si>
    <t>1、5</t>
  </si>
  <si>
    <t>青铜炉</t>
  </si>
  <si>
    <t>1、6</t>
  </si>
  <si>
    <t>儒雅尘士</t>
  </si>
  <si>
    <t>2、5、7</t>
  </si>
  <si>
    <t>1、2、3</t>
  </si>
  <si>
    <t>尘偶</t>
  </si>
  <si>
    <t>2、5</t>
  </si>
  <si>
    <t>狻猊</t>
  </si>
  <si>
    <t>4、7</t>
  </si>
  <si>
    <t>青铜镜</t>
  </si>
  <si>
    <t>4、5、7</t>
  </si>
  <si>
    <t>5、7</t>
  </si>
  <si>
    <t>陶灵</t>
  </si>
  <si>
    <t>1、3、5、7</t>
  </si>
  <si>
    <t>草人</t>
  </si>
  <si>
    <t>白猿</t>
  </si>
  <si>
    <t>1、2、11</t>
  </si>
  <si>
    <t>1、6、11</t>
  </si>
  <si>
    <t>1、5、7、13</t>
  </si>
  <si>
    <t>雷云子</t>
  </si>
  <si>
    <t>1、11</t>
  </si>
  <si>
    <t>1、5、13</t>
  </si>
  <si>
    <t>寒炉龟</t>
  </si>
  <si>
    <t>2、6</t>
  </si>
  <si>
    <t>2、7、14</t>
  </si>
  <si>
    <t>土缕</t>
  </si>
  <si>
    <t>2、8、15</t>
  </si>
  <si>
    <t>荷花鱼</t>
  </si>
  <si>
    <t>6、8、15</t>
  </si>
  <si>
    <t>山4-石林聚落</t>
  </si>
  <si>
    <t>大奖抽到</t>
  </si>
  <si>
    <t>√</t>
  </si>
  <si>
    <t>泽12-紫藤密林</t>
  </si>
  <si>
    <t>龙11-丹霞林</t>
  </si>
  <si>
    <t>大奖、钥匙抽到</t>
  </si>
  <si>
    <t>羽15-灰烬之墟</t>
  </si>
  <si>
    <t>哈11-魔方工厂</t>
  </si>
  <si>
    <t>未抽</t>
  </si>
  <si>
    <t>森3-密林营地</t>
  </si>
  <si>
    <t>差1</t>
  </si>
  <si>
    <t>山12-暴风崖</t>
  </si>
  <si>
    <t>龙3-萧然庭</t>
  </si>
  <si>
    <t>羽2-祖灵之森</t>
  </si>
  <si>
    <t>哈2-梦幻迷境</t>
  </si>
  <si>
    <t>森17-潮湿悬崖</t>
  </si>
  <si>
    <t>泽6-珊瑚聚落</t>
  </si>
  <si>
    <t>龙7-望海原</t>
  </si>
  <si>
    <t>羽7-涤污悬崖</t>
  </si>
  <si>
    <t>哈7-堡垒海湾</t>
  </si>
  <si>
    <t>山5-栗子山脉</t>
  </si>
  <si>
    <t>泽18-潮汐半岛</t>
  </si>
  <si>
    <t>龙16-晶魄湖</t>
  </si>
  <si>
    <t>羽17-救护之墟</t>
  </si>
  <si>
    <t>哈17-美梦浮岛</t>
  </si>
  <si>
    <t>玩家攻击力</t>
  </si>
  <si>
    <t>怪物防御力</t>
  </si>
  <si>
    <t>强袭破甲百分比</t>
  </si>
  <si>
    <t>强袭破甲固定值</t>
  </si>
  <si>
    <t>基础攻防伤害系数</t>
  </si>
  <si>
    <t>0层buff强袭破甲</t>
  </si>
  <si>
    <t>等效增伤</t>
  </si>
  <si>
    <t>3层buff强袭破甲</t>
  </si>
  <si>
    <t>此处输入材料价格</t>
  </si>
  <si>
    <t>此处输入心理预期价格</t>
  </si>
  <si>
    <t>此处输入角色面板</t>
  </si>
  <si>
    <t>手动填写黄色单元格
表格内数值为每提升1w 战力所需晨星</t>
  </si>
  <si>
    <t>幻兽材料</t>
  </si>
  <si>
    <t>蓝色食材</t>
  </si>
  <si>
    <t>紫色食材</t>
  </si>
  <si>
    <t>5级</t>
  </si>
  <si>
    <t>遗物抽</t>
  </si>
  <si>
    <t>橙色食材</t>
  </si>
  <si>
    <t>5升6</t>
  </si>
  <si>
    <t>此处输入职业加成</t>
  </si>
  <si>
    <t>蓝肉</t>
  </si>
  <si>
    <t>6升7</t>
  </si>
  <si>
    <t>紫肉</t>
  </si>
  <si>
    <t>7升8</t>
  </si>
  <si>
    <t>橙肉</t>
  </si>
  <si>
    <t>8升9</t>
  </si>
  <si>
    <t>遗物抽性价比</t>
  </si>
  <si>
    <t>9升10</t>
  </si>
  <si>
    <t>10升11</t>
  </si>
  <si>
    <t>11升12</t>
  </si>
  <si>
    <t>12升13</t>
  </si>
  <si>
    <t>13升14</t>
  </si>
  <si>
    <t>主槽</t>
  </si>
  <si>
    <t>副槽</t>
  </si>
  <si>
    <t>备战</t>
  </si>
  <si>
    <t>史诗</t>
  </si>
  <si>
    <t>橙色耀星</t>
  </si>
  <si>
    <t>金色3%耀星</t>
  </si>
  <si>
    <t>金色7%需肉</t>
  </si>
  <si>
    <t>金色7%耀星</t>
  </si>
  <si>
    <t>一定要先重置所有能力页</t>
  </si>
  <si>
    <t>原初档位</t>
  </si>
  <si>
    <t>原初翻倍率</t>
  </si>
  <si>
    <t>女神像翻倍率</t>
  </si>
  <si>
    <t>工资装</t>
  </si>
  <si>
    <t>碎片期望</t>
  </si>
  <si>
    <t>碎片价格</t>
  </si>
  <si>
    <t>晨星期望</t>
  </si>
  <si>
    <t>新本噩梦</t>
  </si>
  <si>
    <t>新本炼狱</t>
  </si>
  <si>
    <t>神铸石期望</t>
  </si>
  <si>
    <t>神铸石价格价格</t>
  </si>
  <si>
    <t>君临深渊</t>
  </si>
  <si>
    <t>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</si>
</sst>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_ "/>
    <numFmt numFmtId="178" formatCode="m/d;@"/>
    <numFmt numFmtId="179" formatCode="0.00_ "/>
    <numFmt numFmtId="180" formatCode="yyyy/m/d\ h:mm:ss"/>
    <numFmt numFmtId="181" formatCode="0_ "/>
    <numFmt numFmtId="182" formatCode="m/d"/>
  </numFmts>
  <fonts count="31">
    <font>
      <sz val="11"/>
      <name val="宋体"/>
      <charset val="134"/>
    </font>
    <font>
      <sz val="11"/>
      <color theme="1"/>
      <name val="宋体"/>
      <charset val="134"/>
      <scheme val="minor"/>
    </font>
    <font>
      <sz val="28"/>
      <name val="宋体"/>
      <charset val="134"/>
    </font>
    <font>
      <sz val="11"/>
      <color rgb="FF000000"/>
      <name val="宋体"/>
      <charset val="134"/>
    </font>
    <font>
      <sz val="28"/>
      <color rgb="FF000000"/>
      <name val="宋体"/>
      <charset val="134"/>
    </font>
    <font>
      <sz val="14"/>
      <color rgb="FF000000"/>
      <name val="宋体"/>
      <charset val="134"/>
    </font>
    <font>
      <sz val="24"/>
      <name val="宋体"/>
      <charset val="134"/>
    </font>
    <font>
      <sz val="20"/>
      <name val="宋体"/>
      <charset val="134"/>
    </font>
    <font>
      <b/>
      <sz val="11"/>
      <color rgb="FF000000"/>
      <name val="宋体"/>
      <charset val="134"/>
    </font>
    <font>
      <sz val="36"/>
      <color rgb="FF000000"/>
      <name val="宋体"/>
      <charset val="134"/>
    </font>
    <font>
      <b/>
      <sz val="11"/>
      <color rgb="FFFF0000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B9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5" borderId="4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3" applyNumberFormat="0" applyFill="0" applyAlignment="0" applyProtection="0">
      <alignment vertical="center"/>
    </xf>
    <xf numFmtId="0" fontId="18" fillId="0" borderId="43" applyNumberFormat="0" applyFill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5" applyNumberFormat="0" applyAlignment="0" applyProtection="0">
      <alignment vertical="center"/>
    </xf>
    <xf numFmtId="0" fontId="21" fillId="7" borderId="46" applyNumberFormat="0" applyAlignment="0" applyProtection="0">
      <alignment vertical="center"/>
    </xf>
    <xf numFmtId="0" fontId="22" fillId="7" borderId="45" applyNumberFormat="0" applyAlignment="0" applyProtection="0">
      <alignment vertical="center"/>
    </xf>
    <xf numFmtId="0" fontId="23" fillId="8" borderId="47" applyNumberFormat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5" fillId="0" borderId="4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9" fontId="0" fillId="0" borderId="0" xfId="0" applyNumberFormat="1">
      <alignment vertical="center"/>
    </xf>
    <xf numFmtId="9" fontId="3" fillId="0" borderId="0" xfId="0" applyNumberFormat="1" applyFont="1" applyFill="1">
      <alignment vertical="center"/>
    </xf>
    <xf numFmtId="9" fontId="3" fillId="0" borderId="0" xfId="0" applyNumberFormat="1" applyFont="1" applyFill="1" applyBorder="1">
      <alignment vertical="center"/>
    </xf>
    <xf numFmtId="177" fontId="3" fillId="0" borderId="1" xfId="0" applyNumberFormat="1" applyFont="1" applyFill="1" applyBorder="1" applyAlignment="1">
      <alignment horizontal="center" vertical="center"/>
    </xf>
    <xf numFmtId="10" fontId="3" fillId="0" borderId="0" xfId="0" applyNumberFormat="1" applyFont="1" applyFill="1">
      <alignment vertical="center"/>
    </xf>
    <xf numFmtId="177" fontId="3" fillId="0" borderId="1" xfId="0" applyNumberFormat="1" applyFont="1" applyFill="1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left" vertical="center" wrapText="1"/>
    </xf>
    <xf numFmtId="177" fontId="5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7" fontId="3" fillId="0" borderId="0" xfId="0" applyNumberFormat="1" applyFont="1" applyFill="1">
      <alignment vertical="center"/>
    </xf>
    <xf numFmtId="0" fontId="6" fillId="0" borderId="0" xfId="0" applyFont="1" applyAlignment="1">
      <alignment horizontal="center" vertical="center" wrapText="1"/>
    </xf>
    <xf numFmtId="4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176" fontId="7" fillId="3" borderId="1" xfId="0" applyNumberFormat="1" applyFont="1" applyFill="1" applyBorder="1" applyAlignment="1" applyProtection="1">
      <alignment horizontal="center" vertical="center"/>
      <protection locked="0"/>
    </xf>
    <xf numFmtId="10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8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1" xfId="0" applyFont="1" applyFill="1" applyBorder="1">
      <alignment vertical="center"/>
    </xf>
    <xf numFmtId="0" fontId="9" fillId="0" borderId="0" xfId="0" applyFont="1" applyFill="1">
      <alignment vertical="center"/>
    </xf>
    <xf numFmtId="0" fontId="9" fillId="2" borderId="1" xfId="0" applyFont="1" applyFill="1" applyBorder="1">
      <alignment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>
      <alignment vertical="center"/>
    </xf>
    <xf numFmtId="0" fontId="3" fillId="0" borderId="17" xfId="0" applyFont="1" applyBorder="1" applyAlignment="1">
      <alignment horizontal="center" vertical="center" wrapText="1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9" fontId="3" fillId="0" borderId="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2" borderId="22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0" borderId="23" xfId="0" applyFont="1" applyBorder="1" applyAlignment="1">
      <alignment horizontal="center" vertical="center" wrapText="1"/>
    </xf>
    <xf numFmtId="0" fontId="3" fillId="2" borderId="24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9" fontId="3" fillId="0" borderId="1" xfId="0" applyNumberFormat="1" applyFont="1" applyBorder="1">
      <alignment vertical="center"/>
    </xf>
    <xf numFmtId="0" fontId="3" fillId="0" borderId="25" xfId="0" applyFont="1" applyBorder="1" applyAlignment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/>
      <protection locked="0"/>
    </xf>
    <xf numFmtId="0" fontId="3" fillId="2" borderId="27" xfId="0" applyFont="1" applyFill="1" applyBorder="1" applyAlignment="1" applyProtection="1">
      <alignment horizontal="center" vertical="center"/>
      <protection locked="0"/>
    </xf>
    <xf numFmtId="0" fontId="3" fillId="2" borderId="28" xfId="0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 applyProtection="1">
      <alignment horizontal="center" vertical="center"/>
      <protection locked="0"/>
    </xf>
    <xf numFmtId="0" fontId="3" fillId="2" borderId="30" xfId="0" applyFont="1" applyFill="1" applyBorder="1" applyAlignment="1" applyProtection="1">
      <alignment horizontal="center" vertical="center"/>
      <protection locked="0"/>
    </xf>
    <xf numFmtId="0" fontId="3" fillId="2" borderId="3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21" xfId="0" applyFont="1" applyFill="1" applyBorder="1" applyAlignment="1" applyProtection="1">
      <alignment horizontal="center" vertical="center"/>
      <protection locked="0"/>
    </xf>
    <xf numFmtId="0" fontId="3" fillId="2" borderId="33" xfId="0" applyFont="1" applyFill="1" applyBorder="1" applyAlignment="1" applyProtection="1">
      <alignment horizontal="center" vertical="center"/>
      <protection locked="0"/>
    </xf>
    <xf numFmtId="0" fontId="3" fillId="2" borderId="34" xfId="0" applyFont="1" applyFill="1" applyBorder="1" applyAlignment="1" applyProtection="1">
      <alignment horizontal="center" vertical="center"/>
      <protection locked="0"/>
    </xf>
    <xf numFmtId="0" fontId="3" fillId="2" borderId="25" xfId="0" applyFont="1" applyFill="1" applyBorder="1" applyAlignment="1" applyProtection="1">
      <alignment horizontal="center" vertical="center"/>
      <protection locked="0"/>
    </xf>
    <xf numFmtId="0" fontId="3" fillId="2" borderId="35" xfId="0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58" fontId="3" fillId="0" borderId="0" xfId="0" applyNumberFormat="1" applyFont="1">
      <alignment vertical="center"/>
    </xf>
    <xf numFmtId="179" fontId="3" fillId="0" borderId="0" xfId="0" applyNumberFormat="1" applyFont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80" fontId="3" fillId="0" borderId="0" xfId="0" applyNumberFormat="1" applyFo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7" xfId="0" applyBorder="1" applyAlignment="1">
      <alignment horizontal="center" vertical="center"/>
    </xf>
    <xf numFmtId="181" fontId="3" fillId="0" borderId="0" xfId="0" applyNumberFormat="1" applyFont="1" applyFill="1">
      <alignment vertical="center"/>
    </xf>
    <xf numFmtId="176" fontId="1" fillId="0" borderId="0" xfId="0" applyNumberFormat="1" applyFont="1" applyFill="1" applyAlignment="1">
      <alignment vertical="center"/>
    </xf>
    <xf numFmtId="0" fontId="3" fillId="0" borderId="0" xfId="0" applyNumberFormat="1" applyFont="1" applyFill="1" applyBorder="1">
      <alignment vertical="center"/>
    </xf>
    <xf numFmtId="0" fontId="0" fillId="0" borderId="0" xfId="0" applyNumberFormat="1">
      <alignment vertical="center"/>
    </xf>
    <xf numFmtId="0" fontId="0" fillId="0" borderId="14" xfId="0" applyNumberFormat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182" fontId="3" fillId="0" borderId="0" xfId="0" applyNumberFormat="1" applyFont="1">
      <alignment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3" xfId="0" applyNumberFormat="1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Protection="1">
      <alignment vertical="center"/>
      <protection locked="0"/>
    </xf>
    <xf numFmtId="0" fontId="0" fillId="0" borderId="3" xfId="0" applyBorder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0" fillId="0" borderId="38" xfId="0" applyFont="1" applyBorder="1">
      <alignment vertical="center"/>
    </xf>
    <xf numFmtId="0" fontId="10" fillId="0" borderId="39" xfId="0" applyFont="1" applyBorder="1">
      <alignment vertical="center"/>
    </xf>
    <xf numFmtId="182" fontId="10" fillId="0" borderId="39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9" xfId="0" applyFont="1" applyBorder="1" applyAlignment="1" applyProtection="1">
      <alignment horizontal="center" vertical="center"/>
      <protection locked="0"/>
    </xf>
    <xf numFmtId="0" fontId="3" fillId="0" borderId="40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3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82" fontId="3" fillId="0" borderId="3" xfId="0" applyNumberFormat="1" applyFont="1" applyBorder="1" applyAlignment="1">
      <alignment horizontal="center" vertical="center"/>
    </xf>
    <xf numFmtId="0" fontId="3" fillId="2" borderId="3" xfId="0" applyFont="1" applyFill="1" applyBorder="1" applyProtection="1">
      <alignment vertical="center"/>
      <protection locked="0"/>
    </xf>
    <xf numFmtId="0" fontId="3" fillId="0" borderId="41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82" fontId="3" fillId="0" borderId="30" xfId="0" applyNumberFormat="1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2" borderId="30" xfId="0" applyFont="1" applyFill="1" applyBorder="1" applyProtection="1">
      <alignment vertical="center"/>
      <protection locked="0"/>
    </xf>
    <xf numFmtId="0" fontId="3" fillId="0" borderId="7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Protection="1">
      <alignment vertical="center"/>
      <protection locked="0"/>
    </xf>
    <xf numFmtId="0" fontId="3" fillId="0" borderId="11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82" fontId="3" fillId="0" borderId="31" xfId="0" applyNumberFormat="1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3" fillId="2" borderId="31" xfId="0" applyFont="1" applyFill="1" applyBorder="1" applyProtection="1">
      <alignment vertical="center"/>
      <protection locked="0"/>
    </xf>
    <xf numFmtId="0" fontId="3" fillId="0" borderId="1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2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BFBF"/>
        </patternFill>
      </fill>
    </dxf>
    <dxf>
      <font>
        <color rgb="FFFF0000"/>
      </font>
    </dxf>
    <dxf>
      <fill>
        <patternFill patternType="solid">
          <bgColor rgb="FFF4B7BE"/>
        </patternFill>
      </fill>
    </dxf>
    <dxf>
      <fill>
        <patternFill patternType="solid">
          <bgColor rgb="FFFF9F9F"/>
        </patternFill>
      </fill>
    </dxf>
    <dxf>
      <fill>
        <patternFill patternType="solid">
          <bgColor rgb="FFFFFF00"/>
        </patternFill>
      </fill>
    </dxf>
    <dxf>
      <font>
        <strike val="1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958A3C05-540F-4D3E-BA23-00054427F12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 1" table="0" count="10" xr9:uid="{480CDCAC-54CB-4862-A0F5-CE680D29238B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eetMetadata" Target="metadata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11.jpe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416651</xdr:colOff>
      <xdr:row>12</xdr:row>
      <xdr:rowOff>0</xdr:rowOff>
    </xdr:to>
    <xdr:pic>
      <xdr:nvPicPr>
        <xdr:cNvPr id="2" name="图片 1" descr=" "/>
        <xdr:cNvPicPr/>
      </xdr:nvPicPr>
      <xdr:blipFill>
        <a:blip r:embed="rId1"/>
        <a:srcRect/>
        <a:stretch>
          <a:fillRect/>
        </a:stretch>
      </xdr:blipFill>
      <xdr:spPr>
        <a:xfrm>
          <a:off x="5506720" y="171450"/>
          <a:ext cx="4531360" cy="18859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13</xdr:col>
      <xdr:colOff>470434</xdr:colOff>
      <xdr:row>27</xdr:row>
      <xdr:rowOff>0</xdr:rowOff>
    </xdr:to>
    <xdr:pic>
      <xdr:nvPicPr>
        <xdr:cNvPr id="3" name="图片 2" descr=" "/>
        <xdr:cNvPicPr/>
      </xdr:nvPicPr>
      <xdr:blipFill>
        <a:blip r:embed="rId2"/>
        <a:srcRect/>
        <a:stretch>
          <a:fillRect/>
        </a:stretch>
      </xdr:blipFill>
      <xdr:spPr>
        <a:xfrm>
          <a:off x="5506720" y="2400300"/>
          <a:ext cx="5956300" cy="22288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13</xdr:col>
      <xdr:colOff>473157</xdr:colOff>
      <xdr:row>43</xdr:row>
      <xdr:rowOff>0</xdr:rowOff>
    </xdr:to>
    <xdr:pic>
      <xdr:nvPicPr>
        <xdr:cNvPr id="4" name="图片 3" descr=" "/>
        <xdr:cNvPicPr/>
      </xdr:nvPicPr>
      <xdr:blipFill>
        <a:blip r:embed="rId3"/>
        <a:srcRect/>
        <a:stretch>
          <a:fillRect/>
        </a:stretch>
      </xdr:blipFill>
      <xdr:spPr>
        <a:xfrm>
          <a:off x="5506720" y="4972050"/>
          <a:ext cx="5959475" cy="2400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14</xdr:col>
      <xdr:colOff>0</xdr:colOff>
      <xdr:row>62</xdr:row>
      <xdr:rowOff>0</xdr:rowOff>
    </xdr:to>
    <xdr:pic>
      <xdr:nvPicPr>
        <xdr:cNvPr id="5" name="图片 6" descr=" "/>
        <xdr:cNvPicPr/>
      </xdr:nvPicPr>
      <xdr:blipFill>
        <a:blip r:embed="rId4"/>
        <a:srcRect/>
        <a:stretch>
          <a:fillRect/>
        </a:stretch>
      </xdr:blipFill>
      <xdr:spPr>
        <a:xfrm>
          <a:off x="5506720" y="7886700"/>
          <a:ext cx="6172200" cy="2743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9</xdr:col>
      <xdr:colOff>500390</xdr:colOff>
      <xdr:row>80</xdr:row>
      <xdr:rowOff>0</xdr:rowOff>
    </xdr:to>
    <xdr:pic>
      <xdr:nvPicPr>
        <xdr:cNvPr id="6" name="图片 7" descr=" "/>
        <xdr:cNvPicPr/>
      </xdr:nvPicPr>
      <xdr:blipFill>
        <a:blip r:embed="rId5"/>
        <a:srcRect/>
        <a:stretch>
          <a:fillRect/>
        </a:stretch>
      </xdr:blipFill>
      <xdr:spPr>
        <a:xfrm>
          <a:off x="5506720" y="11144250"/>
          <a:ext cx="3243580" cy="25717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10</xdr:col>
      <xdr:colOff>0</xdr:colOff>
      <xdr:row>65</xdr:row>
      <xdr:rowOff>0</xdr:rowOff>
    </xdr:from>
    <xdr:to>
      <xdr:col>14</xdr:col>
      <xdr:colOff>302276</xdr:colOff>
      <xdr:row>79</xdr:row>
      <xdr:rowOff>0</xdr:rowOff>
    </xdr:to>
    <xdr:pic>
      <xdr:nvPicPr>
        <xdr:cNvPr id="7" name="图片 8" descr=" "/>
        <xdr:cNvPicPr/>
      </xdr:nvPicPr>
      <xdr:blipFill>
        <a:blip r:embed="rId6"/>
        <a:srcRect/>
        <a:stretch>
          <a:fillRect/>
        </a:stretch>
      </xdr:blipFill>
      <xdr:spPr>
        <a:xfrm>
          <a:off x="8935720" y="11144250"/>
          <a:ext cx="3045460" cy="2400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10</xdr:col>
      <xdr:colOff>157265</xdr:colOff>
      <xdr:row>98</xdr:row>
      <xdr:rowOff>114300</xdr:rowOff>
    </xdr:to>
    <xdr:pic>
      <xdr:nvPicPr>
        <xdr:cNvPr id="8" name="图片 7" descr=" "/>
        <xdr:cNvPicPr/>
      </xdr:nvPicPr>
      <xdr:blipFill>
        <a:blip r:embed="rId7"/>
        <a:srcRect/>
        <a:stretch>
          <a:fillRect/>
        </a:stretch>
      </xdr:blipFill>
      <xdr:spPr>
        <a:xfrm>
          <a:off x="6192520" y="14573250"/>
          <a:ext cx="2900045" cy="23431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5</xdr:row>
      <xdr:rowOff>0</xdr:rowOff>
    </xdr:from>
    <xdr:to>
      <xdr:col>13</xdr:col>
      <xdr:colOff>223984</xdr:colOff>
      <xdr:row>54</xdr:row>
      <xdr:rowOff>114300</xdr:rowOff>
    </xdr:to>
    <xdr:pic>
      <xdr:nvPicPr>
        <xdr:cNvPr id="2" name="图片 3" descr=" "/>
        <xdr:cNvPicPr/>
      </xdr:nvPicPr>
      <xdr:blipFill>
        <a:blip r:embed="rId1"/>
        <a:srcRect/>
        <a:stretch>
          <a:fillRect/>
        </a:stretch>
      </xdr:blipFill>
      <xdr:spPr>
        <a:xfrm>
          <a:off x="1371600" y="857250"/>
          <a:ext cx="7767320" cy="85153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875665</xdr:colOff>
      <xdr:row>0</xdr:row>
      <xdr:rowOff>9525</xdr:rowOff>
    </xdr:from>
    <xdr:to>
      <xdr:col>14</xdr:col>
      <xdr:colOff>462280</xdr:colOff>
      <xdr:row>9</xdr:row>
      <xdr:rowOff>334645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83670" y="9525"/>
          <a:ext cx="2506980" cy="4468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0</xdr:row>
      <xdr:rowOff>9525</xdr:rowOff>
    </xdr:from>
    <xdr:to>
      <xdr:col>11</xdr:col>
      <xdr:colOff>552450</xdr:colOff>
      <xdr:row>10</xdr:row>
      <xdr:rowOff>45085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61095" y="9525"/>
          <a:ext cx="2499360" cy="4626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217805</xdr:colOff>
      <xdr:row>31</xdr:row>
      <xdr:rowOff>248920</xdr:rowOff>
    </xdr:from>
    <xdr:to>
      <xdr:col>16</xdr:col>
      <xdr:colOff>36830</xdr:colOff>
      <xdr:row>46</xdr:row>
      <xdr:rowOff>142240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13846175" y="9821545"/>
          <a:ext cx="1765935" cy="3293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50"/>
  <sheetViews>
    <sheetView topLeftCell="A13" workbookViewId="0">
      <selection activeCell="M74" sqref="M74"/>
    </sheetView>
  </sheetViews>
  <sheetFormatPr defaultColWidth="9" defaultRowHeight="13.5"/>
  <cols>
    <col min="1" max="1" width="10.1083333333333" style="124" customWidth="1"/>
    <col min="2" max="2" width="10.775" style="124" customWidth="1"/>
    <col min="3" max="3" width="6.10833333333333" style="125" customWidth="1"/>
    <col min="4" max="4" width="8.88333333333333" style="38" customWidth="1"/>
    <col min="5" max="6" width="24.775" style="124" customWidth="1"/>
    <col min="7" max="7" width="12.775" style="126" customWidth="1"/>
    <col min="8" max="8" width="12.8833333333333" style="38" customWidth="1"/>
    <col min="9" max="9" width="11.8833333333333" customWidth="1"/>
    <col min="10" max="10" width="14.1" style="127" customWidth="1"/>
    <col min="11" max="11" width="14.1" style="38" customWidth="1"/>
    <col min="12" max="12" width="9.66666666666667" customWidth="1"/>
    <col min="13" max="13" width="12" customWidth="1"/>
    <col min="14" max="14" width="12.8833333333333" style="43" customWidth="1"/>
    <col min="17" max="17" width="17.1333333333333" customWidth="1"/>
    <col min="18" max="18" width="24.775" customWidth="1"/>
    <col min="19" max="19" width="16.775" customWidth="1"/>
    <col min="20" max="20" width="12.775" customWidth="1"/>
  </cols>
  <sheetData>
    <row r="1" ht="14.25" spans="1:20">
      <c r="A1" s="128"/>
      <c r="B1" s="129"/>
      <c r="C1" s="130"/>
      <c r="D1" s="131" t="s">
        <v>0</v>
      </c>
      <c r="E1" s="129" t="s">
        <v>1</v>
      </c>
      <c r="F1" s="129">
        <v>0</v>
      </c>
      <c r="G1" s="132" t="s">
        <v>2</v>
      </c>
      <c r="H1" s="131">
        <v>-1</v>
      </c>
      <c r="I1" s="133" t="s">
        <v>3</v>
      </c>
      <c r="J1" s="134">
        <v>-1</v>
      </c>
      <c r="K1" s="131" t="s">
        <v>4</v>
      </c>
      <c r="L1" s="133">
        <v>-1</v>
      </c>
      <c r="M1" s="133" t="s">
        <v>5</v>
      </c>
      <c r="N1" s="46">
        <v>-4</v>
      </c>
    </row>
    <row r="2" ht="14.25" spans="1:20">
      <c r="A2" s="135" t="s">
        <v>6</v>
      </c>
      <c r="B2" s="136" t="s">
        <v>7</v>
      </c>
      <c r="C2" s="137">
        <v>45930</v>
      </c>
      <c r="D2" s="138" t="s">
        <v>8</v>
      </c>
      <c r="E2" s="138" t="s">
        <v>9</v>
      </c>
      <c r="F2" s="138" t="s">
        <v>10</v>
      </c>
      <c r="G2" s="139" t="s">
        <v>11</v>
      </c>
      <c r="H2" s="138" t="s">
        <v>12</v>
      </c>
      <c r="I2" s="138" t="s">
        <v>13</v>
      </c>
      <c r="J2" s="139" t="s">
        <v>14</v>
      </c>
      <c r="K2" s="138" t="s">
        <v>15</v>
      </c>
      <c r="L2" s="140" t="s">
        <v>16</v>
      </c>
      <c r="M2" s="141" t="s">
        <v>17</v>
      </c>
      <c r="N2" s="142" t="s">
        <v>18</v>
      </c>
      <c r="O2" s="124"/>
      <c r="P2" s="124"/>
      <c r="Q2" s="143" t="s">
        <v>19</v>
      </c>
      <c r="R2" s="143"/>
      <c r="S2" s="143"/>
      <c r="T2" s="143"/>
    </row>
    <row r="3" ht="14.25" spans="1:20">
      <c r="A3" s="144" t="s">
        <v>1</v>
      </c>
      <c r="B3" s="131" t="s">
        <v>20</v>
      </c>
      <c r="C3" s="145">
        <f t="shared" ref="C3:C50" si="0">C2+7</f>
        <v>45937</v>
      </c>
      <c r="D3" s="131">
        <f>数据计算表!J2</f>
        <v>2250</v>
      </c>
      <c r="E3" s="129" t="str">
        <f>数据计算表!M2</f>
        <v>自选奇迹遗物·山</v>
      </c>
      <c r="F3" s="129" t="str">
        <f>数据计算表!N2</f>
        <v>自选奇迹遗物·山</v>
      </c>
      <c r="G3" s="146" t="s">
        <v>21</v>
      </c>
      <c r="H3" s="131">
        <f>HLOOKUP(G3,数据计算表!$A$3:$H$4,2,FALSE)</f>
        <v>3240</v>
      </c>
      <c r="I3" s="129" t="str">
        <f t="shared" ref="I3:I50" si="1">IF(D3-H3&gt;=0,"剩余"&amp;D3-H3,"需要"&amp;D3-H3)</f>
        <v>需要-990</v>
      </c>
      <c r="J3" s="93">
        <v>2920</v>
      </c>
      <c r="K3" s="131">
        <f>J3</f>
        <v>2920</v>
      </c>
      <c r="L3" s="147" t="str">
        <f t="shared" ref="L3:L50" si="2">IF(K3&gt;(H3-D3),"√","×")</f>
        <v>√</v>
      </c>
      <c r="M3" s="128" t="s">
        <v>22</v>
      </c>
      <c r="N3" s="148">
        <f>D3-IF(M3="换",3240,0)</f>
        <v>2250</v>
      </c>
      <c r="O3" s="124"/>
      <c r="P3" s="124"/>
      <c r="Q3" s="143"/>
      <c r="R3" s="143"/>
      <c r="S3" s="143"/>
      <c r="T3" s="143"/>
    </row>
    <row r="4" spans="1:20">
      <c r="A4" s="149" t="s">
        <v>2</v>
      </c>
      <c r="B4" s="150" t="s">
        <v>23</v>
      </c>
      <c r="C4" s="151">
        <f t="shared" si="0"/>
        <v>45944</v>
      </c>
      <c r="D4" s="150">
        <f>数据计算表!J3</f>
        <v>4500</v>
      </c>
      <c r="E4" s="152" t="str">
        <f>数据计算表!M3</f>
        <v>幸运神像</v>
      </c>
      <c r="F4" s="152" t="str">
        <f>数据计算表!N3</f>
        <v>幸运神像</v>
      </c>
      <c r="G4" s="153" t="s">
        <v>21</v>
      </c>
      <c r="H4" s="150">
        <f>HLOOKUP(G4,数据计算表!$A$3:$H$4,2,FALSE)+H3</f>
        <v>6480</v>
      </c>
      <c r="I4" s="152" t="str">
        <f t="shared" si="1"/>
        <v>需要-1980</v>
      </c>
      <c r="J4" s="90">
        <v>1720</v>
      </c>
      <c r="K4" s="150">
        <f t="shared" ref="K4:K50" si="3">K3+J4</f>
        <v>4640</v>
      </c>
      <c r="L4" s="154" t="str">
        <f t="shared" si="2"/>
        <v>√</v>
      </c>
      <c r="M4" s="155" t="s">
        <v>24</v>
      </c>
      <c r="N4" s="156">
        <f>N3+2250-IF(M4="换",3240,0)</f>
        <v>1260</v>
      </c>
      <c r="O4" s="124"/>
      <c r="P4" s="124"/>
      <c r="Q4" s="143"/>
      <c r="R4" s="143"/>
      <c r="S4" s="143"/>
      <c r="T4" s="143"/>
    </row>
    <row r="5" spans="1:20">
      <c r="A5" s="157"/>
      <c r="B5" s="41" t="s">
        <v>25</v>
      </c>
      <c r="C5" s="158">
        <f t="shared" si="0"/>
        <v>45951</v>
      </c>
      <c r="D5" s="41">
        <f>数据计算表!J4</f>
        <v>6750</v>
      </c>
      <c r="E5" s="40" t="str">
        <f>数据计算表!M4</f>
        <v>3阶技能碎片*180</v>
      </c>
      <c r="F5" s="40" t="str">
        <f>数据计算表!N4</f>
        <v>3阶技能碎片*180</v>
      </c>
      <c r="G5" s="159" t="s">
        <v>21</v>
      </c>
      <c r="H5" s="41">
        <f>HLOOKUP(G5,数据计算表!$A$3:$H$4,2,FALSE)+H4</f>
        <v>9720</v>
      </c>
      <c r="I5" s="40" t="str">
        <f t="shared" si="1"/>
        <v>需要-2970</v>
      </c>
      <c r="J5" s="76">
        <v>720</v>
      </c>
      <c r="K5" s="41">
        <f t="shared" si="3"/>
        <v>5360</v>
      </c>
      <c r="L5" s="160" t="str">
        <f t="shared" si="2"/>
        <v>√</v>
      </c>
      <c r="M5" s="161" t="s">
        <v>24</v>
      </c>
      <c r="N5" s="162">
        <f t="shared" ref="N5:N50" si="4">N4+2250-IF(M5="换",3240,0)</f>
        <v>270</v>
      </c>
      <c r="O5" s="124"/>
      <c r="P5" s="124"/>
      <c r="Q5" s="143" t="s">
        <v>26</v>
      </c>
      <c r="R5" s="143"/>
      <c r="S5" s="143"/>
      <c r="T5" s="143"/>
    </row>
    <row r="6" spans="1:20">
      <c r="A6" s="157"/>
      <c r="B6" s="41" t="s">
        <v>27</v>
      </c>
      <c r="C6" s="158">
        <f t="shared" si="0"/>
        <v>45958</v>
      </c>
      <c r="D6" s="41">
        <f>数据计算表!J5</f>
        <v>9000</v>
      </c>
      <c r="E6" s="40" t="str">
        <f>数据计算表!M5</f>
        <v>原初宝石</v>
      </c>
      <c r="F6" s="40" t="str">
        <f>数据计算表!N5</f>
        <v>原初宝石</v>
      </c>
      <c r="G6" s="159" t="s">
        <v>21</v>
      </c>
      <c r="H6" s="41">
        <f>HLOOKUP(G6,数据计算表!$A$3:$H$4,2,FALSE)+H5</f>
        <v>12960</v>
      </c>
      <c r="I6" s="40" t="str">
        <f t="shared" si="1"/>
        <v>需要-3960</v>
      </c>
      <c r="J6" s="76">
        <v>1720</v>
      </c>
      <c r="K6" s="41">
        <f t="shared" si="3"/>
        <v>7080</v>
      </c>
      <c r="L6" s="160" t="str">
        <f t="shared" si="2"/>
        <v>√</v>
      </c>
      <c r="M6" s="161" t="s">
        <v>22</v>
      </c>
      <c r="N6" s="162">
        <f t="shared" si="4"/>
        <v>2520</v>
      </c>
      <c r="O6" s="124"/>
      <c r="P6" s="124"/>
      <c r="Q6" s="143"/>
      <c r="R6" s="143"/>
      <c r="S6" s="143"/>
      <c r="T6" s="143"/>
    </row>
    <row r="7" spans="1:20">
      <c r="A7" s="157"/>
      <c r="B7" s="41" t="s">
        <v>28</v>
      </c>
      <c r="C7" s="158">
        <f t="shared" si="0"/>
        <v>45965</v>
      </c>
      <c r="D7" s="41">
        <f>数据计算表!J6</f>
        <v>11250</v>
      </c>
      <c r="E7" s="40" t="str">
        <f>数据计算表!M6</f>
        <v>自选奇迹遗物·泽</v>
      </c>
      <c r="F7" s="40" t="str">
        <f>数据计算表!N6</f>
        <v>自选奇迹遗物·泽</v>
      </c>
      <c r="G7" s="159" t="s">
        <v>29</v>
      </c>
      <c r="H7" s="41">
        <f>HLOOKUP(G7,数据计算表!$A$3:$H$4,2,FALSE)+H6</f>
        <v>17400</v>
      </c>
      <c r="I7" s="40" t="str">
        <f t="shared" si="1"/>
        <v>需要-6150</v>
      </c>
      <c r="J7" s="76">
        <v>720</v>
      </c>
      <c r="K7" s="41">
        <f t="shared" si="3"/>
        <v>7800</v>
      </c>
      <c r="L7" s="160" t="str">
        <f t="shared" si="2"/>
        <v>√</v>
      </c>
      <c r="M7" s="161" t="s">
        <v>22</v>
      </c>
      <c r="N7" s="162">
        <f t="shared" si="4"/>
        <v>4770</v>
      </c>
      <c r="O7" s="124"/>
      <c r="P7" s="124"/>
      <c r="Q7" s="143"/>
      <c r="R7" s="143"/>
      <c r="S7" s="143"/>
      <c r="T7" s="143"/>
    </row>
    <row r="8" ht="14.25" spans="1:20">
      <c r="A8" s="163"/>
      <c r="B8" s="164" t="s">
        <v>30</v>
      </c>
      <c r="C8" s="165">
        <f t="shared" si="0"/>
        <v>45972</v>
      </c>
      <c r="D8" s="164">
        <f>数据计算表!J7</f>
        <v>13500</v>
      </c>
      <c r="E8" s="166" t="str">
        <f>数据计算表!M7</f>
        <v>幸运神像</v>
      </c>
      <c r="F8" s="166" t="str">
        <f>数据计算表!N7</f>
        <v>幸运神像</v>
      </c>
      <c r="G8" s="167" t="s">
        <v>21</v>
      </c>
      <c r="H8" s="164">
        <f>HLOOKUP(G8,数据计算表!$A$3:$H$4,2,FALSE)+H7</f>
        <v>20640</v>
      </c>
      <c r="I8" s="166" t="str">
        <f t="shared" si="1"/>
        <v>需要-7140</v>
      </c>
      <c r="J8" s="91">
        <v>720</v>
      </c>
      <c r="K8" s="164">
        <f t="shared" si="3"/>
        <v>8520</v>
      </c>
      <c r="L8" s="168" t="str">
        <f t="shared" si="2"/>
        <v>√</v>
      </c>
      <c r="M8" s="169" t="s">
        <v>24</v>
      </c>
      <c r="N8" s="170">
        <f t="shared" si="4"/>
        <v>3780</v>
      </c>
      <c r="O8" s="124"/>
      <c r="P8" s="124"/>
      <c r="Q8" s="1" t="s">
        <v>31</v>
      </c>
      <c r="R8" s="2" t="s">
        <v>32</v>
      </c>
    </row>
    <row r="9" spans="1:20">
      <c r="A9" s="149" t="s">
        <v>3</v>
      </c>
      <c r="B9" s="150" t="s">
        <v>33</v>
      </c>
      <c r="C9" s="151">
        <f t="shared" si="0"/>
        <v>45979</v>
      </c>
      <c r="D9" s="150">
        <f>数据计算表!J8</f>
        <v>15750</v>
      </c>
      <c r="E9" s="152" t="str">
        <f>数据计算表!M8</f>
        <v>4阶技能碎片*180</v>
      </c>
      <c r="F9" s="152" t="str">
        <f>数据计算表!N8</f>
        <v>4阶技能碎片*180</v>
      </c>
      <c r="G9" s="153" t="s">
        <v>21</v>
      </c>
      <c r="H9" s="150">
        <f>HLOOKUP(G9,数据计算表!$A$3:$H$4,2,FALSE)+H8</f>
        <v>23880</v>
      </c>
      <c r="I9" s="152" t="str">
        <f t="shared" si="1"/>
        <v>需要-8130</v>
      </c>
      <c r="J9" s="90">
        <v>1720</v>
      </c>
      <c r="K9" s="150">
        <f t="shared" si="3"/>
        <v>10240</v>
      </c>
      <c r="L9" s="154" t="str">
        <f t="shared" si="2"/>
        <v>√</v>
      </c>
      <c r="M9" s="155" t="s">
        <v>24</v>
      </c>
      <c r="N9" s="156">
        <f t="shared" si="4"/>
        <v>2790</v>
      </c>
      <c r="O9" s="124"/>
      <c r="P9" s="124"/>
      <c r="Q9" s="9" t="s">
        <v>34</v>
      </c>
      <c r="R9" s="9" t="s">
        <v>35</v>
      </c>
    </row>
    <row r="10" spans="1:20">
      <c r="A10" s="157"/>
      <c r="B10" s="41" t="s">
        <v>36</v>
      </c>
      <c r="C10" s="158">
        <f t="shared" si="0"/>
        <v>45986</v>
      </c>
      <c r="D10" s="41">
        <f>数据计算表!J9</f>
        <v>18000</v>
      </c>
      <c r="E10" s="40" t="str">
        <f>数据计算表!M9</f>
        <v>原初宝石</v>
      </c>
      <c r="F10" s="40" t="str">
        <f>数据计算表!N9</f>
        <v>原初宝石</v>
      </c>
      <c r="G10" s="159" t="s">
        <v>37</v>
      </c>
      <c r="H10" s="41">
        <f>HLOOKUP(G10,数据计算表!$A$3:$H$4,2,FALSE)+H9</f>
        <v>29520</v>
      </c>
      <c r="I10" s="40" t="str">
        <f t="shared" si="1"/>
        <v>需要-11520</v>
      </c>
      <c r="J10" s="76">
        <v>3420</v>
      </c>
      <c r="K10" s="41">
        <f t="shared" si="3"/>
        <v>13660</v>
      </c>
      <c r="L10" s="160" t="str">
        <f t="shared" si="2"/>
        <v>√</v>
      </c>
      <c r="M10" s="161" t="s">
        <v>24</v>
      </c>
      <c r="N10" s="162">
        <f t="shared" si="4"/>
        <v>1800</v>
      </c>
      <c r="O10" s="124"/>
      <c r="P10" s="124"/>
      <c r="Q10" s="2">
        <v>16</v>
      </c>
      <c r="R10" s="1" t="str">
        <f>数据计算表!P3</f>
        <v>原初宝石</v>
      </c>
    </row>
    <row r="11" spans="1:20">
      <c r="A11" s="157"/>
      <c r="B11" s="41" t="s">
        <v>38</v>
      </c>
      <c r="C11" s="158">
        <f t="shared" si="0"/>
        <v>45993</v>
      </c>
      <c r="D11" s="41">
        <f>数据计算表!J10</f>
        <v>20250</v>
      </c>
      <c r="E11" s="40" t="str">
        <f>数据计算表!M10</f>
        <v>自选奇迹遗物·龙I</v>
      </c>
      <c r="F11" s="40" t="str">
        <f>数据计算表!N10</f>
        <v>自选奇迹遗物·龙I</v>
      </c>
      <c r="G11" s="159" t="s">
        <v>37</v>
      </c>
      <c r="H11" s="41">
        <f>HLOOKUP(G11,数据计算表!$A$3:$H$4,2,FALSE)+H10</f>
        <v>35160</v>
      </c>
      <c r="I11" s="40" t="str">
        <f t="shared" si="1"/>
        <v>需要-14910</v>
      </c>
      <c r="J11" s="76">
        <v>3420</v>
      </c>
      <c r="K11" s="41">
        <f t="shared" si="3"/>
        <v>17080</v>
      </c>
      <c r="L11" s="160" t="str">
        <f t="shared" si="2"/>
        <v>√</v>
      </c>
      <c r="M11" s="161" t="s">
        <v>24</v>
      </c>
      <c r="N11" s="162">
        <f t="shared" si="4"/>
        <v>810</v>
      </c>
      <c r="O11" s="124"/>
      <c r="P11" s="124"/>
    </row>
    <row r="12" spans="1:20">
      <c r="A12" s="157"/>
      <c r="B12" s="41" t="s">
        <v>39</v>
      </c>
      <c r="C12" s="158">
        <f t="shared" si="0"/>
        <v>46000</v>
      </c>
      <c r="D12" s="41">
        <f>数据计算表!J11</f>
        <v>22350</v>
      </c>
      <c r="E12" s="40" t="str">
        <f>数据计算表!M11</f>
        <v>幸运神像</v>
      </c>
      <c r="F12" s="40" t="str">
        <f>数据计算表!N11</f>
        <v>幸运神像</v>
      </c>
      <c r="G12" s="159" t="s">
        <v>29</v>
      </c>
      <c r="H12" s="41">
        <f>HLOOKUP(G12,数据计算表!$A$3:$H$4,2,FALSE)+H11</f>
        <v>39600</v>
      </c>
      <c r="I12" s="40" t="str">
        <f t="shared" si="1"/>
        <v>需要-17250</v>
      </c>
      <c r="J12" s="76">
        <v>1720</v>
      </c>
      <c r="K12" s="41">
        <f t="shared" si="3"/>
        <v>18800</v>
      </c>
      <c r="L12" s="160" t="str">
        <f t="shared" si="2"/>
        <v>√</v>
      </c>
      <c r="M12" s="161" t="s">
        <v>22</v>
      </c>
      <c r="N12" s="162">
        <f t="shared" si="4"/>
        <v>3060</v>
      </c>
      <c r="O12" s="124"/>
      <c r="P12" s="124"/>
      <c r="Q12" s="1" t="s">
        <v>40</v>
      </c>
      <c r="R12" s="2">
        <v>10</v>
      </c>
    </row>
    <row r="13" spans="1:20">
      <c r="A13" s="157"/>
      <c r="B13" s="41" t="s">
        <v>41</v>
      </c>
      <c r="C13" s="158">
        <f t="shared" si="0"/>
        <v>46007</v>
      </c>
      <c r="D13" s="41">
        <f>数据计算表!J12</f>
        <v>24600</v>
      </c>
      <c r="E13" s="40" t="str">
        <f>数据计算表!M12</f>
        <v>4阶技能碎片*180</v>
      </c>
      <c r="F13" s="40" t="str">
        <f>数据计算表!N12</f>
        <v>4阶技能碎片*180</v>
      </c>
      <c r="G13" s="159" t="s">
        <v>21</v>
      </c>
      <c r="H13" s="41">
        <f>HLOOKUP(G13,数据计算表!$A$3:$H$4,2,FALSE)+H12</f>
        <v>42840</v>
      </c>
      <c r="I13" s="40" t="str">
        <f t="shared" si="1"/>
        <v>需要-18240</v>
      </c>
      <c r="J13" s="76">
        <v>1720</v>
      </c>
      <c r="K13" s="41">
        <f t="shared" si="3"/>
        <v>20520</v>
      </c>
      <c r="L13" s="160" t="str">
        <f t="shared" si="2"/>
        <v>√</v>
      </c>
      <c r="M13" s="161" t="s">
        <v>24</v>
      </c>
      <c r="N13" s="162">
        <f t="shared" si="4"/>
        <v>2070</v>
      </c>
      <c r="O13" s="124"/>
      <c r="P13" s="124"/>
      <c r="Q13" s="1" t="s">
        <v>42</v>
      </c>
      <c r="R13" s="2">
        <v>150</v>
      </c>
    </row>
    <row r="14" spans="1:20">
      <c r="A14" s="157"/>
      <c r="B14" s="41" t="s">
        <v>43</v>
      </c>
      <c r="C14" s="158">
        <f t="shared" si="0"/>
        <v>46014</v>
      </c>
      <c r="D14" s="41">
        <f>数据计算表!J13</f>
        <v>26850</v>
      </c>
      <c r="E14" s="40" t="str">
        <f>数据计算表!M13</f>
        <v>原初宝石</v>
      </c>
      <c r="F14" s="40" t="str">
        <f>数据计算表!N13</f>
        <v>原初宝石</v>
      </c>
      <c r="G14" s="159" t="s">
        <v>21</v>
      </c>
      <c r="H14" s="41">
        <f>HLOOKUP(G14,数据计算表!$A$3:$H$4,2,FALSE)+H13</f>
        <v>46080</v>
      </c>
      <c r="I14" s="40" t="str">
        <f t="shared" si="1"/>
        <v>需要-19230</v>
      </c>
      <c r="J14" s="76">
        <v>1720</v>
      </c>
      <c r="K14" s="41">
        <f t="shared" si="3"/>
        <v>22240</v>
      </c>
      <c r="L14" s="160" t="str">
        <f t="shared" si="2"/>
        <v>√</v>
      </c>
      <c r="M14" s="161" t="s">
        <v>22</v>
      </c>
      <c r="N14" s="162">
        <f t="shared" si="4"/>
        <v>4320</v>
      </c>
      <c r="O14" s="124"/>
      <c r="P14" s="124"/>
      <c r="Q14" s="1" t="s">
        <v>44</v>
      </c>
      <c r="R14" s="1">
        <f>数据计算表!P4</f>
        <v>1000</v>
      </c>
    </row>
    <row r="15" spans="1:20">
      <c r="A15" s="157"/>
      <c r="B15" s="41" t="s">
        <v>45</v>
      </c>
      <c r="C15" s="158">
        <f t="shared" si="0"/>
        <v>46021</v>
      </c>
      <c r="D15" s="41">
        <f>数据计算表!J14</f>
        <v>29100</v>
      </c>
      <c r="E15" s="40" t="str">
        <f>数据计算表!M14</f>
        <v>自选奇迹遗物·龙II</v>
      </c>
      <c r="F15" s="40" t="str">
        <f>数据计算表!N14</f>
        <v>自选奇迹遗物·龙II</v>
      </c>
      <c r="G15" s="159" t="s">
        <v>29</v>
      </c>
      <c r="H15" s="41">
        <f>HLOOKUP(G15,数据计算表!$A$3:$H$4,2,FALSE)+H14</f>
        <v>50520</v>
      </c>
      <c r="I15" s="40" t="str">
        <f t="shared" si="1"/>
        <v>需要-21420</v>
      </c>
      <c r="J15" s="76">
        <v>1720</v>
      </c>
      <c r="K15" s="41">
        <f t="shared" si="3"/>
        <v>23960</v>
      </c>
      <c r="L15" s="160" t="str">
        <f t="shared" si="2"/>
        <v>√</v>
      </c>
      <c r="M15" s="161" t="s">
        <v>24</v>
      </c>
      <c r="N15" s="162">
        <f t="shared" si="4"/>
        <v>3330</v>
      </c>
      <c r="O15" s="124"/>
      <c r="P15" s="124"/>
    </row>
    <row r="16" spans="1:20">
      <c r="A16" s="157"/>
      <c r="B16" s="41" t="s">
        <v>46</v>
      </c>
      <c r="C16" s="158">
        <f t="shared" si="0"/>
        <v>46028</v>
      </c>
      <c r="D16" s="41">
        <f>数据计算表!J15</f>
        <v>31350</v>
      </c>
      <c r="E16" s="40" t="str">
        <f>数据计算表!M15</f>
        <v>幸运神像</v>
      </c>
      <c r="F16" s="40" t="str">
        <f>数据计算表!N15</f>
        <v>幸运神像</v>
      </c>
      <c r="G16" s="159" t="s">
        <v>29</v>
      </c>
      <c r="H16" s="41">
        <f>HLOOKUP(G16,数据计算表!$A$3:$H$4,2,FALSE)+H15</f>
        <v>54960</v>
      </c>
      <c r="I16" s="40" t="str">
        <f t="shared" si="1"/>
        <v>需要-23610</v>
      </c>
      <c r="J16" s="76">
        <v>1720</v>
      </c>
      <c r="K16" s="41">
        <f t="shared" si="3"/>
        <v>25680</v>
      </c>
      <c r="L16" s="160" t="str">
        <f t="shared" si="2"/>
        <v>√</v>
      </c>
      <c r="M16" s="161" t="s">
        <v>22</v>
      </c>
      <c r="N16" s="162">
        <f t="shared" si="4"/>
        <v>5580</v>
      </c>
      <c r="O16" s="124"/>
      <c r="P16" s="124"/>
    </row>
    <row r="17" spans="1:16">
      <c r="A17" s="157"/>
      <c r="B17" s="41" t="s">
        <v>47</v>
      </c>
      <c r="C17" s="158">
        <f t="shared" si="0"/>
        <v>46035</v>
      </c>
      <c r="D17" s="41">
        <f>数据计算表!J16</f>
        <v>33600</v>
      </c>
      <c r="E17" s="40" t="str">
        <f>数据计算表!M16</f>
        <v>4阶技能碎片*180</v>
      </c>
      <c r="F17" s="40" t="str">
        <f>数据计算表!N16</f>
        <v>4阶技能碎片*180</v>
      </c>
      <c r="G17" s="159" t="s">
        <v>29</v>
      </c>
      <c r="H17" s="41">
        <f>HLOOKUP(G17,数据计算表!$A$3:$H$4,2,FALSE)+H16</f>
        <v>59400</v>
      </c>
      <c r="I17" s="40" t="str">
        <f t="shared" si="1"/>
        <v>需要-25800</v>
      </c>
      <c r="J17" s="76">
        <v>1720</v>
      </c>
      <c r="K17" s="41">
        <f t="shared" si="3"/>
        <v>27400</v>
      </c>
      <c r="L17" s="160" t="str">
        <f t="shared" si="2"/>
        <v>√</v>
      </c>
      <c r="M17" s="161" t="s">
        <v>24</v>
      </c>
      <c r="N17" s="162">
        <f t="shared" si="4"/>
        <v>4590</v>
      </c>
      <c r="O17" s="124"/>
      <c r="P17" s="124"/>
    </row>
    <row r="18" ht="14.25" spans="1:16">
      <c r="A18" s="163"/>
      <c r="B18" s="164" t="s">
        <v>48</v>
      </c>
      <c r="C18" s="165">
        <f t="shared" si="0"/>
        <v>46042</v>
      </c>
      <c r="D18" s="164">
        <f>数据计算表!J17</f>
        <v>36850</v>
      </c>
      <c r="E18" s="166" t="str">
        <f>数据计算表!M17</f>
        <v>原初宝石</v>
      </c>
      <c r="F18" s="166" t="str">
        <f>数据计算表!N17</f>
        <v>自选奇迹遗物·羽I</v>
      </c>
      <c r="G18" s="167" t="s">
        <v>37</v>
      </c>
      <c r="H18" s="164">
        <f>HLOOKUP(G18,数据计算表!$A$3:$H$4,2,FALSE)+H17</f>
        <v>65040</v>
      </c>
      <c r="I18" s="166" t="str">
        <f t="shared" si="1"/>
        <v>需要-28190</v>
      </c>
      <c r="J18" s="91">
        <v>1720</v>
      </c>
      <c r="K18" s="164">
        <f t="shared" si="3"/>
        <v>29120</v>
      </c>
      <c r="L18" s="168" t="str">
        <f t="shared" si="2"/>
        <v>√</v>
      </c>
      <c r="M18" s="169" t="s">
        <v>22</v>
      </c>
      <c r="N18" s="170">
        <f t="shared" si="4"/>
        <v>6840</v>
      </c>
      <c r="O18" s="124"/>
      <c r="P18" s="124"/>
    </row>
    <row r="19" spans="1:16">
      <c r="A19" s="149" t="s">
        <v>4</v>
      </c>
      <c r="B19" s="150" t="s">
        <v>49</v>
      </c>
      <c r="C19" s="151">
        <f t="shared" si="0"/>
        <v>46049</v>
      </c>
      <c r="D19" s="150">
        <f>数据计算表!J18</f>
        <v>39100</v>
      </c>
      <c r="E19" s="152" t="str">
        <f>数据计算表!M18</f>
        <v>自选奇迹遗物·羽I</v>
      </c>
      <c r="F19" s="152" t="str">
        <f>数据计算表!N18</f>
        <v>原初宝石/贤者之石</v>
      </c>
      <c r="G19" s="153" t="s">
        <v>29</v>
      </c>
      <c r="H19" s="150">
        <f>HLOOKUP(G19,数据计算表!$A$3:$H$4,2,FALSE)+H18</f>
        <v>69480</v>
      </c>
      <c r="I19" s="152" t="str">
        <f t="shared" si="1"/>
        <v>需要-30380</v>
      </c>
      <c r="J19" s="90">
        <v>3420</v>
      </c>
      <c r="K19" s="150">
        <f t="shared" si="3"/>
        <v>32540</v>
      </c>
      <c r="L19" s="154" t="str">
        <f t="shared" si="2"/>
        <v>√</v>
      </c>
      <c r="M19" s="155" t="s">
        <v>24</v>
      </c>
      <c r="N19" s="156">
        <f t="shared" si="4"/>
        <v>5850</v>
      </c>
      <c r="O19" s="124"/>
      <c r="P19" s="124"/>
    </row>
    <row r="20" spans="1:16">
      <c r="A20" s="157"/>
      <c r="B20" s="41" t="s">
        <v>50</v>
      </c>
      <c r="C20" s="158">
        <f t="shared" si="0"/>
        <v>46056</v>
      </c>
      <c r="D20" s="41">
        <f>数据计算表!J19</f>
        <v>41350</v>
      </c>
      <c r="E20" s="40" t="str">
        <f>数据计算表!M19</f>
        <v>幸运神像/黄金圣木</v>
      </c>
      <c r="F20" s="40" t="str">
        <f>数据计算表!N19</f>
        <v>幸运神像/黄金圣木</v>
      </c>
      <c r="G20" s="159" t="s">
        <v>29</v>
      </c>
      <c r="H20" s="41">
        <f>HLOOKUP(G20,数据计算表!$A$3:$H$4,2,FALSE)+H19</f>
        <v>73920</v>
      </c>
      <c r="I20" s="40" t="str">
        <f t="shared" si="1"/>
        <v>需要-32570</v>
      </c>
      <c r="J20" s="76">
        <v>3420</v>
      </c>
      <c r="K20" s="41">
        <f t="shared" si="3"/>
        <v>35960</v>
      </c>
      <c r="L20" s="160" t="str">
        <f t="shared" si="2"/>
        <v>√</v>
      </c>
      <c r="M20" s="161" t="s">
        <v>24</v>
      </c>
      <c r="N20" s="162">
        <f t="shared" si="4"/>
        <v>4860</v>
      </c>
      <c r="O20" s="124"/>
      <c r="P20" s="124"/>
    </row>
    <row r="21" spans="1:16">
      <c r="A21" s="157"/>
      <c r="B21" s="41" t="s">
        <v>51</v>
      </c>
      <c r="C21" s="158">
        <f t="shared" si="0"/>
        <v>46063</v>
      </c>
      <c r="D21" s="41">
        <f>数据计算表!J20</f>
        <v>43600</v>
      </c>
      <c r="E21" s="40" t="str">
        <f>数据计算表!M20</f>
        <v>5阶技能碎片*180</v>
      </c>
      <c r="F21" s="40" t="str">
        <f>数据计算表!N20</f>
        <v>5阶技能碎片*180</v>
      </c>
      <c r="G21" s="159" t="s">
        <v>37</v>
      </c>
      <c r="H21" s="41">
        <f>HLOOKUP(G21,数据计算表!$A$3:$H$4,2,FALSE)+H20</f>
        <v>79560</v>
      </c>
      <c r="I21" s="40" t="str">
        <f t="shared" si="1"/>
        <v>需要-35960</v>
      </c>
      <c r="J21" s="76">
        <v>3420</v>
      </c>
      <c r="K21" s="41">
        <f t="shared" si="3"/>
        <v>39380</v>
      </c>
      <c r="L21" s="160" t="str">
        <f t="shared" si="2"/>
        <v>√</v>
      </c>
      <c r="M21" s="161" t="s">
        <v>24</v>
      </c>
      <c r="N21" s="162">
        <f t="shared" si="4"/>
        <v>3870</v>
      </c>
      <c r="O21" s="124"/>
      <c r="P21" s="124"/>
    </row>
    <row r="22" spans="1:16">
      <c r="A22" s="157"/>
      <c r="B22" s="41" t="s">
        <v>52</v>
      </c>
      <c r="C22" s="158">
        <f t="shared" si="0"/>
        <v>46070</v>
      </c>
      <c r="D22" s="41">
        <f>数据计算表!J21</f>
        <v>45850</v>
      </c>
      <c r="E22" s="40" t="str">
        <f>数据计算表!M21</f>
        <v>原初宝石/贤者之石</v>
      </c>
      <c r="F22" s="40" t="str">
        <f>数据计算表!N21</f>
        <v>原初宝石/贤者之石</v>
      </c>
      <c r="G22" s="159" t="s">
        <v>29</v>
      </c>
      <c r="H22" s="41">
        <f>HLOOKUP(G22,数据计算表!$A$3:$H$4,2,FALSE)+H21</f>
        <v>84000</v>
      </c>
      <c r="I22" s="40" t="str">
        <f t="shared" si="1"/>
        <v>需要-38150</v>
      </c>
      <c r="J22" s="76">
        <v>1720</v>
      </c>
      <c r="K22" s="41">
        <f t="shared" si="3"/>
        <v>41100</v>
      </c>
      <c r="L22" s="160" t="str">
        <f t="shared" si="2"/>
        <v>√</v>
      </c>
      <c r="M22" s="161" t="s">
        <v>24</v>
      </c>
      <c r="N22" s="162">
        <f t="shared" si="4"/>
        <v>2880</v>
      </c>
      <c r="O22" s="124"/>
      <c r="P22" s="124"/>
    </row>
    <row r="23" spans="1:16">
      <c r="A23" s="157"/>
      <c r="B23" s="41" t="s">
        <v>53</v>
      </c>
      <c r="C23" s="158">
        <f t="shared" si="0"/>
        <v>46077</v>
      </c>
      <c r="D23" s="41">
        <f>数据计算表!J22</f>
        <v>48100</v>
      </c>
      <c r="E23" s="40" t="str">
        <f>数据计算表!M22</f>
        <v>自选奇迹遗物·羽II</v>
      </c>
      <c r="F23" s="40" t="str">
        <f>数据计算表!N22</f>
        <v>自选奇迹遗物·羽II</v>
      </c>
      <c r="G23" s="159" t="s">
        <v>21</v>
      </c>
      <c r="H23" s="41">
        <f>HLOOKUP(G23,数据计算表!$A$3:$H$4,2,FALSE)+H22</f>
        <v>87240</v>
      </c>
      <c r="I23" s="40" t="str">
        <f t="shared" si="1"/>
        <v>需要-39140</v>
      </c>
      <c r="J23" s="76">
        <v>720</v>
      </c>
      <c r="K23" s="41">
        <f t="shared" si="3"/>
        <v>41820</v>
      </c>
      <c r="L23" s="160" t="str">
        <f t="shared" si="2"/>
        <v>√</v>
      </c>
      <c r="M23" s="161" t="s">
        <v>24</v>
      </c>
      <c r="N23" s="162">
        <f t="shared" si="4"/>
        <v>1890</v>
      </c>
      <c r="O23" s="124"/>
      <c r="P23" s="124"/>
    </row>
    <row r="24" spans="1:16">
      <c r="A24" s="157"/>
      <c r="B24" s="41" t="s">
        <v>54</v>
      </c>
      <c r="C24" s="158">
        <f t="shared" si="0"/>
        <v>46084</v>
      </c>
      <c r="D24" s="41">
        <f>数据计算表!J23</f>
        <v>50350</v>
      </c>
      <c r="E24" s="40" t="str">
        <f>数据计算表!M23</f>
        <v>幸运神像/黄金圣木</v>
      </c>
      <c r="F24" s="40" t="str">
        <f>数据计算表!N23</f>
        <v>幸运神像/黄金圣木</v>
      </c>
      <c r="G24" s="159" t="s">
        <v>22</v>
      </c>
      <c r="H24" s="41">
        <f>HLOOKUP(G24,数据计算表!$A$3:$H$4,2,FALSE)+H23</f>
        <v>87240</v>
      </c>
      <c r="I24" s="40" t="str">
        <f t="shared" si="1"/>
        <v>需要-36890</v>
      </c>
      <c r="J24" s="76">
        <v>720</v>
      </c>
      <c r="K24" s="41">
        <f t="shared" si="3"/>
        <v>42540</v>
      </c>
      <c r="L24" s="160" t="str">
        <f t="shared" si="2"/>
        <v>√</v>
      </c>
      <c r="M24" s="161" t="s">
        <v>22</v>
      </c>
      <c r="N24" s="162">
        <f t="shared" si="4"/>
        <v>4140</v>
      </c>
      <c r="O24" s="124"/>
      <c r="P24" s="124"/>
    </row>
    <row r="25" spans="1:16">
      <c r="A25" s="157"/>
      <c r="B25" s="41" t="s">
        <v>55</v>
      </c>
      <c r="C25" s="158">
        <f t="shared" si="0"/>
        <v>46091</v>
      </c>
      <c r="D25" s="41">
        <f>数据计算表!J24</f>
        <v>52600</v>
      </c>
      <c r="E25" s="40" t="str">
        <f>数据计算表!M24</f>
        <v>5阶技能碎片*180</v>
      </c>
      <c r="F25" s="40" t="str">
        <f>数据计算表!N24</f>
        <v>5阶技能碎片*180</v>
      </c>
      <c r="G25" s="159" t="s">
        <v>37</v>
      </c>
      <c r="H25" s="41">
        <f>HLOOKUP(G25,数据计算表!$A$3:$H$4,2,FALSE)+H24</f>
        <v>92880</v>
      </c>
      <c r="I25" s="40" t="str">
        <f t="shared" si="1"/>
        <v>需要-40280</v>
      </c>
      <c r="J25" s="76">
        <v>720</v>
      </c>
      <c r="K25" s="41">
        <f t="shared" si="3"/>
        <v>43260</v>
      </c>
      <c r="L25" s="160" t="str">
        <f t="shared" si="2"/>
        <v>√</v>
      </c>
      <c r="M25" s="161" t="s">
        <v>24</v>
      </c>
      <c r="N25" s="162">
        <f t="shared" si="4"/>
        <v>3150</v>
      </c>
      <c r="O25" s="124"/>
      <c r="P25" s="124"/>
    </row>
    <row r="26" spans="1:16">
      <c r="A26" s="157"/>
      <c r="B26" s="41" t="s">
        <v>56</v>
      </c>
      <c r="C26" s="158">
        <f t="shared" si="0"/>
        <v>46098</v>
      </c>
      <c r="D26" s="41">
        <f>数据计算表!J25</f>
        <v>54850</v>
      </c>
      <c r="E26" s="40" t="str">
        <f>数据计算表!M25</f>
        <v>原初宝石/贤者之石</v>
      </c>
      <c r="F26" s="40" t="str">
        <f>数据计算表!N25</f>
        <v>原初宝石/贤者之石</v>
      </c>
      <c r="G26" s="159" t="s">
        <v>22</v>
      </c>
      <c r="H26" s="41">
        <f>HLOOKUP(G26,数据计算表!$A$3:$H$4,2,FALSE)+H25</f>
        <v>92880</v>
      </c>
      <c r="I26" s="40" t="str">
        <f t="shared" si="1"/>
        <v>需要-38030</v>
      </c>
      <c r="J26" s="76">
        <v>720</v>
      </c>
      <c r="K26" s="41">
        <f t="shared" si="3"/>
        <v>43980</v>
      </c>
      <c r="L26" s="160" t="str">
        <f t="shared" si="2"/>
        <v>√</v>
      </c>
      <c r="M26" s="161" t="s">
        <v>22</v>
      </c>
      <c r="N26" s="162">
        <f t="shared" si="4"/>
        <v>5400</v>
      </c>
      <c r="O26" s="124"/>
      <c r="P26" s="124"/>
    </row>
    <row r="27" spans="1:16">
      <c r="A27" s="157"/>
      <c r="B27" s="41" t="s">
        <v>57</v>
      </c>
      <c r="C27" s="158">
        <f t="shared" si="0"/>
        <v>46105</v>
      </c>
      <c r="D27" s="41">
        <f>数据计算表!J26</f>
        <v>57100</v>
      </c>
      <c r="E27" s="40" t="str">
        <f>数据计算表!M26</f>
        <v>自选奇迹遗物·羽III</v>
      </c>
      <c r="F27" s="40" t="str">
        <f>数据计算表!N26</f>
        <v>自选奇迹遗物·羽III</v>
      </c>
      <c r="G27" s="159" t="s">
        <v>37</v>
      </c>
      <c r="H27" s="41">
        <f>HLOOKUP(G27,数据计算表!$A$3:$H$4,2,FALSE)+H26</f>
        <v>98520</v>
      </c>
      <c r="I27" s="40" t="str">
        <f t="shared" si="1"/>
        <v>需要-41420</v>
      </c>
      <c r="J27" s="76">
        <v>720</v>
      </c>
      <c r="K27" s="41">
        <f t="shared" si="3"/>
        <v>44700</v>
      </c>
      <c r="L27" s="160" t="str">
        <f t="shared" si="2"/>
        <v>√</v>
      </c>
      <c r="M27" s="161" t="s">
        <v>24</v>
      </c>
      <c r="N27" s="162">
        <f t="shared" si="4"/>
        <v>4410</v>
      </c>
      <c r="O27" s="124"/>
      <c r="P27" s="124"/>
    </row>
    <row r="28" spans="1:16">
      <c r="A28" s="157"/>
      <c r="B28" s="41" t="s">
        <v>58</v>
      </c>
      <c r="C28" s="158">
        <f t="shared" si="0"/>
        <v>46112</v>
      </c>
      <c r="D28" s="41">
        <f>数据计算表!J27</f>
        <v>59350</v>
      </c>
      <c r="E28" s="40" t="str">
        <f>数据计算表!M27</f>
        <v>幸运神像/黄金圣木</v>
      </c>
      <c r="F28" s="40" t="str">
        <f>数据计算表!N27</f>
        <v>幸运神像/黄金圣木</v>
      </c>
      <c r="G28" s="159" t="s">
        <v>22</v>
      </c>
      <c r="H28" s="41">
        <f>HLOOKUP(G28,数据计算表!$A$3:$H$4,2,FALSE)+H27</f>
        <v>98520</v>
      </c>
      <c r="I28" s="40" t="str">
        <f t="shared" si="1"/>
        <v>需要-39170</v>
      </c>
      <c r="J28" s="76">
        <v>3420</v>
      </c>
      <c r="K28" s="41">
        <f t="shared" si="3"/>
        <v>48120</v>
      </c>
      <c r="L28" s="160" t="str">
        <f t="shared" si="2"/>
        <v>√</v>
      </c>
      <c r="M28" s="161" t="s">
        <v>22</v>
      </c>
      <c r="N28" s="162">
        <f t="shared" si="4"/>
        <v>6660</v>
      </c>
      <c r="O28" s="124"/>
      <c r="P28" s="124"/>
    </row>
    <row r="29" spans="1:16">
      <c r="A29" s="157"/>
      <c r="B29" s="41" t="s">
        <v>59</v>
      </c>
      <c r="C29" s="158">
        <f t="shared" si="0"/>
        <v>46119</v>
      </c>
      <c r="D29" s="41">
        <f>数据计算表!J28</f>
        <v>61600</v>
      </c>
      <c r="E29" s="40" t="str">
        <f>数据计算表!M28</f>
        <v>5阶技能碎片*180</v>
      </c>
      <c r="F29" s="40" t="str">
        <f>数据计算表!N28</f>
        <v>5阶技能碎片*180</v>
      </c>
      <c r="G29" s="159" t="s">
        <v>37</v>
      </c>
      <c r="H29" s="41">
        <f>HLOOKUP(G29,数据计算表!$A$3:$H$4,2,FALSE)+H28</f>
        <v>104160</v>
      </c>
      <c r="I29" s="40" t="str">
        <f t="shared" si="1"/>
        <v>需要-42560</v>
      </c>
      <c r="J29" s="76">
        <v>3420</v>
      </c>
      <c r="K29" s="41">
        <f t="shared" si="3"/>
        <v>51540</v>
      </c>
      <c r="L29" s="160" t="str">
        <f t="shared" si="2"/>
        <v>√</v>
      </c>
      <c r="M29" s="161" t="s">
        <v>24</v>
      </c>
      <c r="N29" s="162">
        <f t="shared" si="4"/>
        <v>5670</v>
      </c>
      <c r="O29" s="124"/>
      <c r="P29" s="124"/>
    </row>
    <row r="30" spans="1:16">
      <c r="A30" s="157"/>
      <c r="B30" s="41" t="s">
        <v>60</v>
      </c>
      <c r="C30" s="158">
        <f t="shared" si="0"/>
        <v>46126</v>
      </c>
      <c r="D30" s="41">
        <f>数据计算表!J29</f>
        <v>63850</v>
      </c>
      <c r="E30" s="40" t="str">
        <f>数据计算表!M29</f>
        <v>原初宝石/贤者之石</v>
      </c>
      <c r="F30" s="40" t="str">
        <f>数据计算表!N29</f>
        <v>原初宝石/贤者之石</v>
      </c>
      <c r="G30" s="159" t="s">
        <v>29</v>
      </c>
      <c r="H30" s="41">
        <f>HLOOKUP(G30,数据计算表!$A$3:$H$4,2,FALSE)+H29</f>
        <v>108600</v>
      </c>
      <c r="I30" s="40" t="str">
        <f t="shared" si="1"/>
        <v>需要-44750</v>
      </c>
      <c r="J30" s="76">
        <v>720</v>
      </c>
      <c r="K30" s="41">
        <f t="shared" si="3"/>
        <v>52260</v>
      </c>
      <c r="L30" s="160" t="str">
        <f t="shared" si="2"/>
        <v>√</v>
      </c>
      <c r="M30" s="161" t="s">
        <v>22</v>
      </c>
      <c r="N30" s="162">
        <f t="shared" si="4"/>
        <v>7920</v>
      </c>
      <c r="O30" s="124"/>
      <c r="P30" s="124"/>
    </row>
    <row r="31" spans="1:16">
      <c r="A31" s="157"/>
      <c r="B31" s="41" t="s">
        <v>61</v>
      </c>
      <c r="C31" s="158">
        <f t="shared" si="0"/>
        <v>46133</v>
      </c>
      <c r="D31" s="41">
        <f>数据计算表!J30</f>
        <v>66100</v>
      </c>
      <c r="E31" s="40" t="str">
        <f>数据计算表!M30</f>
        <v>自选奇迹遗物·羽III</v>
      </c>
      <c r="F31" s="40" t="str">
        <f>数据计算表!N30</f>
        <v>自选奇迹遗物·羽III</v>
      </c>
      <c r="G31" s="159" t="s">
        <v>37</v>
      </c>
      <c r="H31" s="41">
        <f>HLOOKUP(G31,数据计算表!$A$3:$H$4,2,FALSE)+H30</f>
        <v>114240</v>
      </c>
      <c r="I31" s="40" t="str">
        <f t="shared" si="1"/>
        <v>需要-48140</v>
      </c>
      <c r="J31" s="76">
        <v>720</v>
      </c>
      <c r="K31" s="41">
        <f t="shared" si="3"/>
        <v>52980</v>
      </c>
      <c r="L31" s="160" t="str">
        <f t="shared" si="2"/>
        <v>√</v>
      </c>
      <c r="M31" s="161" t="s">
        <v>24</v>
      </c>
      <c r="N31" s="162">
        <f t="shared" si="4"/>
        <v>6930</v>
      </c>
      <c r="O31" s="124"/>
      <c r="P31" s="124"/>
    </row>
    <row r="32" ht="14.25" spans="1:16">
      <c r="A32" s="163"/>
      <c r="B32" s="164" t="s">
        <v>62</v>
      </c>
      <c r="C32" s="165">
        <f t="shared" si="0"/>
        <v>46140</v>
      </c>
      <c r="D32" s="164">
        <f>数据计算表!J31</f>
        <v>68350</v>
      </c>
      <c r="E32" s="166" t="str">
        <f>数据计算表!M31</f>
        <v>幸运神像/黄金圣木</v>
      </c>
      <c r="F32" s="166" t="str">
        <f>数据计算表!N31</f>
        <v>幸运神像/黄金圣木</v>
      </c>
      <c r="G32" s="167" t="s">
        <v>21</v>
      </c>
      <c r="H32" s="164">
        <f>HLOOKUP(G32,数据计算表!$A$3:$H$4,2,FALSE)+H31</f>
        <v>117480</v>
      </c>
      <c r="I32" s="166" t="str">
        <f t="shared" si="1"/>
        <v>需要-49130</v>
      </c>
      <c r="J32" s="91">
        <v>720</v>
      </c>
      <c r="K32" s="164">
        <f t="shared" si="3"/>
        <v>53700</v>
      </c>
      <c r="L32" s="168" t="str">
        <f t="shared" si="2"/>
        <v>√</v>
      </c>
      <c r="M32" s="169" t="s">
        <v>22</v>
      </c>
      <c r="N32" s="170">
        <f t="shared" si="4"/>
        <v>9180</v>
      </c>
      <c r="O32" s="124"/>
      <c r="P32" s="124"/>
    </row>
    <row r="33" spans="1:16">
      <c r="A33" s="149" t="s">
        <v>5</v>
      </c>
      <c r="B33" s="150" t="s">
        <v>63</v>
      </c>
      <c r="C33" s="151">
        <f t="shared" si="0"/>
        <v>46147</v>
      </c>
      <c r="D33" s="150">
        <f>数据计算表!J32</f>
        <v>70600</v>
      </c>
      <c r="E33" s="152" t="str">
        <f>数据计算表!M32</f>
        <v>6阶技能碎片*180</v>
      </c>
      <c r="F33" s="152" t="str">
        <f>数据计算表!N32</f>
        <v>6阶技能碎片*180</v>
      </c>
      <c r="G33" s="153" t="s">
        <v>21</v>
      </c>
      <c r="H33" s="150">
        <f>HLOOKUP(G33,数据计算表!$A$3:$H$4,2,FALSE)+H32</f>
        <v>120720</v>
      </c>
      <c r="I33" s="152" t="str">
        <f t="shared" si="1"/>
        <v>需要-50120</v>
      </c>
      <c r="J33" s="90">
        <v>720</v>
      </c>
      <c r="K33" s="150">
        <f t="shared" si="3"/>
        <v>54420</v>
      </c>
      <c r="L33" s="154" t="str">
        <f t="shared" si="2"/>
        <v>√</v>
      </c>
      <c r="M33" s="155" t="s">
        <v>24</v>
      </c>
      <c r="N33" s="156">
        <f t="shared" si="4"/>
        <v>8190</v>
      </c>
      <c r="O33" s="124"/>
      <c r="P33" s="124"/>
    </row>
    <row r="34" spans="1:16">
      <c r="A34" s="157"/>
      <c r="B34" s="41" t="s">
        <v>64</v>
      </c>
      <c r="C34" s="158">
        <f t="shared" si="0"/>
        <v>46154</v>
      </c>
      <c r="D34" s="41">
        <f>数据计算表!J33</f>
        <v>72850</v>
      </c>
      <c r="E34" s="40" t="str">
        <f>数据计算表!M33</f>
        <v>原初宝石/贤者之石/秘宝探测仪</v>
      </c>
      <c r="F34" s="40" t="str">
        <f>数据计算表!N33</f>
        <v>原初宝石/贤者之石/秘宝探测仪</v>
      </c>
      <c r="G34" s="159" t="s">
        <v>21</v>
      </c>
      <c r="H34" s="41">
        <f>HLOOKUP(G34,数据计算表!$A$3:$H$4,2,FALSE)+H33</f>
        <v>123960</v>
      </c>
      <c r="I34" s="40" t="str">
        <f t="shared" si="1"/>
        <v>需要-51110</v>
      </c>
      <c r="J34" s="76">
        <v>720</v>
      </c>
      <c r="K34" s="41">
        <f t="shared" si="3"/>
        <v>55140</v>
      </c>
      <c r="L34" s="160" t="str">
        <f t="shared" si="2"/>
        <v>√</v>
      </c>
      <c r="M34" s="161" t="s">
        <v>24</v>
      </c>
      <c r="N34" s="162">
        <f t="shared" si="4"/>
        <v>7200</v>
      </c>
      <c r="O34" s="124"/>
      <c r="P34" s="124"/>
    </row>
    <row r="35" spans="1:16">
      <c r="A35" s="157"/>
      <c r="B35" s="41" t="s">
        <v>65</v>
      </c>
      <c r="C35" s="158">
        <f t="shared" si="0"/>
        <v>46161</v>
      </c>
      <c r="D35" s="41">
        <f>数据计算表!J34</f>
        <v>75100</v>
      </c>
      <c r="E35" s="40" t="str">
        <f>数据计算表!M34</f>
        <v>自选奇迹遗物·哈I</v>
      </c>
      <c r="F35" s="40" t="str">
        <f>数据计算表!N34</f>
        <v>自选奇迹遗物·哈I</v>
      </c>
      <c r="G35" s="159" t="s">
        <v>21</v>
      </c>
      <c r="H35" s="41">
        <f>HLOOKUP(G35,数据计算表!$A$3:$H$4,2,FALSE)+H34</f>
        <v>127200</v>
      </c>
      <c r="I35" s="40" t="str">
        <f t="shared" si="1"/>
        <v>需要-52100</v>
      </c>
      <c r="J35" s="76">
        <v>720</v>
      </c>
      <c r="K35" s="41">
        <f t="shared" si="3"/>
        <v>55860</v>
      </c>
      <c r="L35" s="160" t="str">
        <f t="shared" si="2"/>
        <v>√</v>
      </c>
      <c r="M35" s="161" t="s">
        <v>24</v>
      </c>
      <c r="N35" s="162">
        <f t="shared" si="4"/>
        <v>6210</v>
      </c>
      <c r="O35" s="124"/>
      <c r="P35" s="124"/>
    </row>
    <row r="36" spans="1:16">
      <c r="A36" s="157"/>
      <c r="B36" s="41" t="s">
        <v>66</v>
      </c>
      <c r="C36" s="158">
        <f t="shared" si="0"/>
        <v>46168</v>
      </c>
      <c r="D36" s="41">
        <f>数据计算表!J35</f>
        <v>77350</v>
      </c>
      <c r="E36" s="40" t="str">
        <f>数据计算表!M35</f>
        <v>幸运神像/黄金圣木/无尽沙漏</v>
      </c>
      <c r="F36" s="40" t="str">
        <f>数据计算表!N35</f>
        <v>幸运神像/黄金圣木/无尽沙漏</v>
      </c>
      <c r="G36" s="159" t="s">
        <v>22</v>
      </c>
      <c r="H36" s="41">
        <f>HLOOKUP(G36,数据计算表!$A$3:$H$4,2,FALSE)+H35</f>
        <v>127200</v>
      </c>
      <c r="I36" s="40" t="str">
        <f t="shared" si="1"/>
        <v>需要-49850</v>
      </c>
      <c r="J36" s="76">
        <v>720</v>
      </c>
      <c r="K36" s="41">
        <f t="shared" si="3"/>
        <v>56580</v>
      </c>
      <c r="L36" s="160" t="str">
        <f t="shared" si="2"/>
        <v>√</v>
      </c>
      <c r="M36" s="161" t="s">
        <v>24</v>
      </c>
      <c r="N36" s="162">
        <f t="shared" si="4"/>
        <v>5220</v>
      </c>
      <c r="O36" s="124"/>
      <c r="P36" s="124"/>
    </row>
    <row r="37" spans="1:16">
      <c r="A37" s="157"/>
      <c r="B37" s="41" t="s">
        <v>67</v>
      </c>
      <c r="C37" s="158">
        <f t="shared" si="0"/>
        <v>46175</v>
      </c>
      <c r="D37" s="41">
        <f>数据计算表!J36</f>
        <v>79600</v>
      </c>
      <c r="E37" s="40" t="str">
        <f>数据计算表!M36</f>
        <v>6阶技能碎片*180</v>
      </c>
      <c r="F37" s="40" t="str">
        <f>数据计算表!N36</f>
        <v>6阶技能碎片*180</v>
      </c>
      <c r="G37" s="159" t="s">
        <v>21</v>
      </c>
      <c r="H37" s="41">
        <f>HLOOKUP(G37,数据计算表!$A$3:$H$4,2,FALSE)+H36</f>
        <v>130440</v>
      </c>
      <c r="I37" s="40" t="str">
        <f t="shared" si="1"/>
        <v>需要-50840</v>
      </c>
      <c r="J37" s="76">
        <v>720</v>
      </c>
      <c r="K37" s="41">
        <f t="shared" si="3"/>
        <v>57300</v>
      </c>
      <c r="L37" s="160" t="str">
        <f t="shared" si="2"/>
        <v>√</v>
      </c>
      <c r="M37" s="161" t="s">
        <v>24</v>
      </c>
      <c r="N37" s="162">
        <f t="shared" si="4"/>
        <v>4230</v>
      </c>
      <c r="O37" s="124"/>
      <c r="P37" s="124"/>
    </row>
    <row r="38" spans="1:16">
      <c r="A38" s="157"/>
      <c r="B38" s="41" t="s">
        <v>68</v>
      </c>
      <c r="C38" s="158">
        <f t="shared" si="0"/>
        <v>46182</v>
      </c>
      <c r="D38" s="41">
        <f>数据计算表!J37</f>
        <v>81850</v>
      </c>
      <c r="E38" s="40" t="str">
        <f>数据计算表!M37</f>
        <v>原初宝石/贤者之石/秘宝探测仪</v>
      </c>
      <c r="F38" s="40" t="str">
        <f>数据计算表!N37</f>
        <v>原初宝石/贤者之石/秘宝探测仪</v>
      </c>
      <c r="G38" s="159" t="s">
        <v>21</v>
      </c>
      <c r="H38" s="41">
        <f>HLOOKUP(G38,数据计算表!$A$3:$H$4,2,FALSE)+H37</f>
        <v>133680</v>
      </c>
      <c r="I38" s="40" t="str">
        <f t="shared" si="1"/>
        <v>需要-51830</v>
      </c>
      <c r="J38" s="76">
        <v>720</v>
      </c>
      <c r="K38" s="41">
        <f t="shared" si="3"/>
        <v>58020</v>
      </c>
      <c r="L38" s="160" t="str">
        <f t="shared" si="2"/>
        <v>√</v>
      </c>
      <c r="M38" s="161" t="s">
        <v>24</v>
      </c>
      <c r="N38" s="162">
        <f t="shared" si="4"/>
        <v>3240</v>
      </c>
      <c r="O38" s="124"/>
      <c r="P38" s="124"/>
    </row>
    <row r="39" spans="1:16">
      <c r="A39" s="157"/>
      <c r="B39" s="41" t="s">
        <v>69</v>
      </c>
      <c r="C39" s="158">
        <f t="shared" si="0"/>
        <v>46189</v>
      </c>
      <c r="D39" s="41">
        <f>数据计算表!J38</f>
        <v>84100</v>
      </c>
      <c r="E39" s="40" t="str">
        <f>数据计算表!M38</f>
        <v>自选奇迹遗物·哈II</v>
      </c>
      <c r="F39" s="40" t="str">
        <f>数据计算表!N38</f>
        <v>自选奇迹遗物·哈II</v>
      </c>
      <c r="G39" s="159" t="s">
        <v>21</v>
      </c>
      <c r="H39" s="41">
        <f>HLOOKUP(G39,数据计算表!$A$3:$H$4,2,FALSE)+H38</f>
        <v>136920</v>
      </c>
      <c r="I39" s="40" t="str">
        <f t="shared" si="1"/>
        <v>需要-52820</v>
      </c>
      <c r="J39" s="76">
        <v>720</v>
      </c>
      <c r="K39" s="41">
        <f t="shared" si="3"/>
        <v>58740</v>
      </c>
      <c r="L39" s="160" t="str">
        <f t="shared" si="2"/>
        <v>√</v>
      </c>
      <c r="M39" s="171" t="s">
        <v>24</v>
      </c>
      <c r="N39" s="162">
        <f t="shared" si="4"/>
        <v>2250</v>
      </c>
      <c r="O39" s="124"/>
    </row>
    <row r="40" spans="1:16">
      <c r="A40" s="157"/>
      <c r="B40" s="41" t="s">
        <v>70</v>
      </c>
      <c r="C40" s="158">
        <f t="shared" si="0"/>
        <v>46196</v>
      </c>
      <c r="D40" s="41">
        <f>数据计算表!J39</f>
        <v>86350</v>
      </c>
      <c r="E40" s="40" t="str">
        <f>数据计算表!M39</f>
        <v>幸运神像/黄金圣木/无尽沙漏</v>
      </c>
      <c r="F40" s="40" t="str">
        <f>数据计算表!N39</f>
        <v>幸运神像/黄金圣木/无尽沙漏</v>
      </c>
      <c r="G40" s="159" t="s">
        <v>22</v>
      </c>
      <c r="H40" s="41">
        <f>HLOOKUP(G40,数据计算表!$A$3:$H$4,2,FALSE)+H39</f>
        <v>136920</v>
      </c>
      <c r="I40" s="40" t="str">
        <f t="shared" si="1"/>
        <v>需要-50570</v>
      </c>
      <c r="J40" s="76">
        <v>720</v>
      </c>
      <c r="K40" s="41">
        <f t="shared" si="3"/>
        <v>59460</v>
      </c>
      <c r="L40" s="160" t="str">
        <f t="shared" si="2"/>
        <v>√</v>
      </c>
      <c r="M40" s="171" t="s">
        <v>22</v>
      </c>
      <c r="N40" s="162">
        <f t="shared" si="4"/>
        <v>4500</v>
      </c>
      <c r="O40" s="124"/>
    </row>
    <row r="41" spans="1:16">
      <c r="A41" s="157"/>
      <c r="B41" s="41" t="s">
        <v>71</v>
      </c>
      <c r="C41" s="158">
        <f t="shared" si="0"/>
        <v>46203</v>
      </c>
      <c r="D41" s="41">
        <f>数据计算表!J40</f>
        <v>88600</v>
      </c>
      <c r="E41" s="40" t="str">
        <f>数据计算表!M40</f>
        <v>6阶技能碎片*180</v>
      </c>
      <c r="F41" s="40" t="str">
        <f>数据计算表!N40</f>
        <v>6阶技能碎片*180</v>
      </c>
      <c r="G41" s="159" t="s">
        <v>21</v>
      </c>
      <c r="H41" s="41">
        <f>HLOOKUP(G41,数据计算表!$A$3:$H$4,2,FALSE)+H40</f>
        <v>140160</v>
      </c>
      <c r="I41" s="40" t="str">
        <f t="shared" si="1"/>
        <v>需要-51560</v>
      </c>
      <c r="J41" s="76">
        <v>720</v>
      </c>
      <c r="K41" s="41">
        <f t="shared" si="3"/>
        <v>60180</v>
      </c>
      <c r="L41" s="160" t="str">
        <f t="shared" si="2"/>
        <v>√</v>
      </c>
      <c r="M41" s="171" t="s">
        <v>24</v>
      </c>
      <c r="N41" s="162">
        <f t="shared" si="4"/>
        <v>3510</v>
      </c>
      <c r="O41" s="124"/>
    </row>
    <row r="42" spans="1:16">
      <c r="A42" s="157"/>
      <c r="B42" s="41" t="s">
        <v>72</v>
      </c>
      <c r="C42" s="158">
        <f t="shared" si="0"/>
        <v>46210</v>
      </c>
      <c r="D42" s="41">
        <f>数据计算表!J41</f>
        <v>90850</v>
      </c>
      <c r="E42" s="40" t="str">
        <f>数据计算表!M41</f>
        <v>原初宝石/贤者之石/秘宝探测仪</v>
      </c>
      <c r="F42" s="40" t="str">
        <f>数据计算表!N41</f>
        <v>原初宝石/贤者之石/秘宝探测仪</v>
      </c>
      <c r="G42" s="159" t="s">
        <v>21</v>
      </c>
      <c r="H42" s="41">
        <f>HLOOKUP(G42,数据计算表!$A$3:$H$4,2,FALSE)+H41</f>
        <v>143400</v>
      </c>
      <c r="I42" s="40" t="str">
        <f t="shared" si="1"/>
        <v>需要-52550</v>
      </c>
      <c r="J42" s="76">
        <v>720</v>
      </c>
      <c r="K42" s="41">
        <f t="shared" si="3"/>
        <v>60900</v>
      </c>
      <c r="L42" s="160" t="str">
        <f t="shared" si="2"/>
        <v>√</v>
      </c>
      <c r="M42" s="171" t="s">
        <v>24</v>
      </c>
      <c r="N42" s="162">
        <f t="shared" si="4"/>
        <v>2520</v>
      </c>
      <c r="O42" s="124"/>
    </row>
    <row r="43" spans="1:16">
      <c r="A43" s="157"/>
      <c r="B43" s="41" t="s">
        <v>73</v>
      </c>
      <c r="C43" s="158">
        <f t="shared" si="0"/>
        <v>46217</v>
      </c>
      <c r="D43" s="41">
        <f>数据计算表!J42</f>
        <v>93100</v>
      </c>
      <c r="E43" s="40" t="str">
        <f>数据计算表!M42</f>
        <v>自选奇迹遗物·哈III</v>
      </c>
      <c r="F43" s="40" t="str">
        <f>数据计算表!N42</f>
        <v>自选奇迹遗物·哈III</v>
      </c>
      <c r="G43" s="159" t="s">
        <v>21</v>
      </c>
      <c r="H43" s="41">
        <f>HLOOKUP(G43,数据计算表!$A$3:$H$4,2,FALSE)+H42</f>
        <v>146640</v>
      </c>
      <c r="I43" s="40" t="str">
        <f t="shared" si="1"/>
        <v>需要-53540</v>
      </c>
      <c r="J43" s="76">
        <v>720</v>
      </c>
      <c r="K43" s="41">
        <f t="shared" si="3"/>
        <v>61620</v>
      </c>
      <c r="L43" s="160" t="str">
        <f t="shared" si="2"/>
        <v>√</v>
      </c>
      <c r="M43" s="171" t="s">
        <v>24</v>
      </c>
      <c r="N43" s="162">
        <f t="shared" si="4"/>
        <v>1530</v>
      </c>
      <c r="O43" s="124"/>
    </row>
    <row r="44" spans="1:16">
      <c r="A44" s="157"/>
      <c r="B44" s="41" t="s">
        <v>74</v>
      </c>
      <c r="C44" s="158">
        <f t="shared" si="0"/>
        <v>46224</v>
      </c>
      <c r="D44" s="41">
        <f>数据计算表!J43</f>
        <v>95350</v>
      </c>
      <c r="E44" s="40" t="str">
        <f>数据计算表!M43</f>
        <v>幸运神像/黄金圣木/无尽沙漏</v>
      </c>
      <c r="F44" s="40" t="str">
        <f>数据计算表!N43</f>
        <v>幸运神像/黄金圣木/无尽沙漏</v>
      </c>
      <c r="G44" s="159" t="s">
        <v>22</v>
      </c>
      <c r="H44" s="41">
        <f>HLOOKUP(G44,数据计算表!$A$3:$H$4,2,FALSE)+H43</f>
        <v>146640</v>
      </c>
      <c r="I44" s="40" t="str">
        <f t="shared" si="1"/>
        <v>需要-51290</v>
      </c>
      <c r="J44" s="76">
        <v>720</v>
      </c>
      <c r="K44" s="41">
        <f t="shared" si="3"/>
        <v>62340</v>
      </c>
      <c r="L44" s="160" t="str">
        <f t="shared" si="2"/>
        <v>√</v>
      </c>
      <c r="M44" s="171" t="s">
        <v>22</v>
      </c>
      <c r="N44" s="162">
        <f t="shared" si="4"/>
        <v>3780</v>
      </c>
      <c r="O44" s="124"/>
    </row>
    <row r="45" spans="1:16">
      <c r="A45" s="157"/>
      <c r="B45" s="41" t="s">
        <v>75</v>
      </c>
      <c r="C45" s="158">
        <f t="shared" si="0"/>
        <v>46231</v>
      </c>
      <c r="D45" s="41">
        <f>数据计算表!J44</f>
        <v>97600</v>
      </c>
      <c r="E45" s="40" t="str">
        <f>数据计算表!M44</f>
        <v>6阶技能碎片*180</v>
      </c>
      <c r="F45" s="40" t="str">
        <f>数据计算表!N44</f>
        <v>6阶技能碎片*180</v>
      </c>
      <c r="G45" s="159" t="s">
        <v>21</v>
      </c>
      <c r="H45" s="41">
        <f>HLOOKUP(G45,数据计算表!$A$3:$H$4,2,FALSE)+H44</f>
        <v>149880</v>
      </c>
      <c r="I45" s="40" t="str">
        <f t="shared" si="1"/>
        <v>需要-52280</v>
      </c>
      <c r="J45" s="76">
        <v>720</v>
      </c>
      <c r="K45" s="41">
        <f t="shared" si="3"/>
        <v>63060</v>
      </c>
      <c r="L45" s="160" t="str">
        <f t="shared" si="2"/>
        <v>√</v>
      </c>
      <c r="M45" s="171" t="s">
        <v>24</v>
      </c>
      <c r="N45" s="162">
        <f t="shared" si="4"/>
        <v>2790</v>
      </c>
      <c r="O45" s="124"/>
    </row>
    <row r="46" spans="1:16">
      <c r="A46" s="157"/>
      <c r="B46" s="41" t="s">
        <v>76</v>
      </c>
      <c r="C46" s="158">
        <f t="shared" si="0"/>
        <v>46238</v>
      </c>
      <c r="D46" s="41">
        <f>数据计算表!J45</f>
        <v>99850</v>
      </c>
      <c r="E46" s="40" t="str">
        <f>数据计算表!M45</f>
        <v>原初宝石/贤者之石/秘宝探测仪</v>
      </c>
      <c r="F46" s="40" t="str">
        <f>数据计算表!N45</f>
        <v>原初宝石/贤者之石/秘宝探测仪</v>
      </c>
      <c r="G46" s="159" t="s">
        <v>21</v>
      </c>
      <c r="H46" s="41">
        <f>HLOOKUP(G46,数据计算表!$A$3:$H$4,2,FALSE)+H45</f>
        <v>153120</v>
      </c>
      <c r="I46" s="40" t="str">
        <f t="shared" si="1"/>
        <v>需要-53270</v>
      </c>
      <c r="J46" s="76">
        <v>720</v>
      </c>
      <c r="K46" s="41">
        <f t="shared" si="3"/>
        <v>63780</v>
      </c>
      <c r="L46" s="160" t="str">
        <f t="shared" si="2"/>
        <v>√</v>
      </c>
      <c r="M46" s="171" t="s">
        <v>24</v>
      </c>
      <c r="N46" s="162">
        <f t="shared" si="4"/>
        <v>1800</v>
      </c>
      <c r="O46" s="124"/>
    </row>
    <row r="47" spans="1:16">
      <c r="A47" s="157"/>
      <c r="B47" s="41" t="s">
        <v>77</v>
      </c>
      <c r="C47" s="158">
        <f t="shared" si="0"/>
        <v>46245</v>
      </c>
      <c r="D47" s="41">
        <f>数据计算表!J46</f>
        <v>102100</v>
      </c>
      <c r="E47" s="40" t="str">
        <f>数据计算表!M46</f>
        <v>自选奇迹遗物·哈III</v>
      </c>
      <c r="F47" s="40" t="str">
        <f>数据计算表!N46</f>
        <v>自选奇迹遗物·哈III</v>
      </c>
      <c r="G47" s="159" t="s">
        <v>21</v>
      </c>
      <c r="H47" s="41">
        <f>HLOOKUP(G47,数据计算表!$A$3:$H$4,2,FALSE)+H46</f>
        <v>156360</v>
      </c>
      <c r="I47" s="40" t="str">
        <f t="shared" si="1"/>
        <v>需要-54260</v>
      </c>
      <c r="J47" s="76">
        <v>720</v>
      </c>
      <c r="K47" s="41">
        <f t="shared" si="3"/>
        <v>64500</v>
      </c>
      <c r="L47" s="160" t="str">
        <f t="shared" si="2"/>
        <v>√</v>
      </c>
      <c r="M47" s="171" t="s">
        <v>24</v>
      </c>
      <c r="N47" s="162">
        <f t="shared" si="4"/>
        <v>810</v>
      </c>
      <c r="O47" s="124"/>
    </row>
    <row r="48" spans="1:16">
      <c r="A48" s="157"/>
      <c r="B48" s="41" t="s">
        <v>78</v>
      </c>
      <c r="C48" s="158">
        <f t="shared" si="0"/>
        <v>46252</v>
      </c>
      <c r="D48" s="41">
        <f>数据计算表!J47</f>
        <v>104350</v>
      </c>
      <c r="E48" s="40" t="str">
        <f>数据计算表!M47</f>
        <v>幸运神像/黄金圣木/无尽沙漏</v>
      </c>
      <c r="F48" s="40" t="str">
        <f>数据计算表!N47</f>
        <v>幸运神像/黄金圣木/无尽沙漏</v>
      </c>
      <c r="G48" s="159" t="s">
        <v>21</v>
      </c>
      <c r="H48" s="41">
        <f>HLOOKUP(G48,数据计算表!$A$3:$H$4,2,FALSE)+H47</f>
        <v>159600</v>
      </c>
      <c r="I48" s="40" t="str">
        <f t="shared" si="1"/>
        <v>需要-55250</v>
      </c>
      <c r="J48" s="76">
        <v>720</v>
      </c>
      <c r="K48" s="41">
        <f t="shared" si="3"/>
        <v>65220</v>
      </c>
      <c r="L48" s="160" t="str">
        <f t="shared" si="2"/>
        <v>√</v>
      </c>
      <c r="M48" s="171" t="s">
        <v>22</v>
      </c>
      <c r="N48" s="162">
        <f t="shared" si="4"/>
        <v>3060</v>
      </c>
      <c r="O48" s="124"/>
    </row>
    <row r="49" spans="1:15">
      <c r="A49" s="157"/>
      <c r="B49" s="41" t="s">
        <v>79</v>
      </c>
      <c r="C49" s="158">
        <f t="shared" si="0"/>
        <v>46259</v>
      </c>
      <c r="D49" s="41">
        <f>数据计算表!J48</f>
        <v>106600</v>
      </c>
      <c r="E49" s="40" t="str">
        <f>数据计算表!M48</f>
        <v>6阶技能碎片*180</v>
      </c>
      <c r="F49" s="40" t="str">
        <f>数据计算表!N48</f>
        <v>6阶技能碎片*180</v>
      </c>
      <c r="G49" s="159" t="s">
        <v>21</v>
      </c>
      <c r="H49" s="41">
        <f>HLOOKUP(G49,数据计算表!$A$3:$H$4,2,FALSE)+H48</f>
        <v>162840</v>
      </c>
      <c r="I49" s="40" t="str">
        <f t="shared" si="1"/>
        <v>需要-56240</v>
      </c>
      <c r="J49" s="76">
        <v>720</v>
      </c>
      <c r="K49" s="41">
        <f t="shared" si="3"/>
        <v>65940</v>
      </c>
      <c r="L49" s="160" t="str">
        <f t="shared" si="2"/>
        <v>√</v>
      </c>
      <c r="M49" s="171" t="s">
        <v>24</v>
      </c>
      <c r="N49" s="162">
        <f t="shared" si="4"/>
        <v>2070</v>
      </c>
      <c r="O49" s="124"/>
    </row>
    <row r="50" ht="14.25" spans="1:15">
      <c r="A50" s="163"/>
      <c r="B50" s="164" t="s">
        <v>80</v>
      </c>
      <c r="C50" s="165">
        <f t="shared" si="0"/>
        <v>46266</v>
      </c>
      <c r="D50" s="164">
        <f>数据计算表!J49</f>
        <v>108850</v>
      </c>
      <c r="E50" s="166" t="str">
        <f>数据计算表!M49</f>
        <v>原初宝石/贤者之石/秘宝探测仪</v>
      </c>
      <c r="F50" s="166" t="str">
        <f>数据计算表!N49</f>
        <v>原初宝石/贤者之石/秘宝探测仪</v>
      </c>
      <c r="G50" s="167" t="s">
        <v>21</v>
      </c>
      <c r="H50" s="164">
        <f>HLOOKUP(G50,数据计算表!$A$3:$H$4,2,FALSE)+H49</f>
        <v>166080</v>
      </c>
      <c r="I50" s="166" t="str">
        <f t="shared" si="1"/>
        <v>需要-57230</v>
      </c>
      <c r="J50" s="91">
        <v>720</v>
      </c>
      <c r="K50" s="164">
        <f t="shared" si="3"/>
        <v>66660</v>
      </c>
      <c r="L50" s="168" t="str">
        <f t="shared" si="2"/>
        <v>√</v>
      </c>
      <c r="M50" s="172" t="s">
        <v>24</v>
      </c>
      <c r="N50" s="170">
        <f t="shared" si="4"/>
        <v>1080</v>
      </c>
      <c r="O50" s="124"/>
    </row>
  </sheetData>
  <mergeCells count="6">
    <mergeCell ref="A4:A8"/>
    <mergeCell ref="A9:A18"/>
    <mergeCell ref="A19:A32"/>
    <mergeCell ref="A33:A50"/>
    <mergeCell ref="Q2:T4"/>
    <mergeCell ref="Q5:T7"/>
  </mergeCells>
  <conditionalFormatting sqref="E3:E50">
    <cfRule type="expression" dxfId="0" priority="3">
      <formula>AND(OR(ROW(E3)-2=$Q$10,ROW(E3)-3=$Q$10),$R$8="是")</formula>
    </cfRule>
  </conditionalFormatting>
  <conditionalFormatting sqref="F3:F50">
    <cfRule type="expression" dxfId="1" priority="1">
      <formula>F2=E3</formula>
    </cfRule>
    <cfRule type="expression" dxfId="2" priority="5">
      <formula>F3=E3</formula>
    </cfRule>
    <cfRule type="expression" dxfId="3" priority="9">
      <formula>$L3="×"</formula>
    </cfRule>
    <cfRule type="expression" dxfId="1" priority="4">
      <formula>F3=E4</formula>
    </cfRule>
  </conditionalFormatting>
  <conditionalFormatting sqref="G31:G48">
    <cfRule type="expression" dxfId="3" priority="10">
      <formula>$L31="×"</formula>
    </cfRule>
  </conditionalFormatting>
  <conditionalFormatting sqref="I3:I38">
    <cfRule type="expression" dxfId="4" priority="22">
      <formula>$D3-$H3&lt;0</formula>
    </cfRule>
  </conditionalFormatting>
  <conditionalFormatting sqref="I39:I42">
    <cfRule type="expression" dxfId="4" priority="20">
      <formula>$D39-$H39&lt;0</formula>
    </cfRule>
  </conditionalFormatting>
  <conditionalFormatting sqref="I43:I46">
    <cfRule type="expression" dxfId="4" priority="18">
      <formula>$D43-$H43&lt;0</formula>
    </cfRule>
  </conditionalFormatting>
  <conditionalFormatting sqref="I47:I50">
    <cfRule type="expression" dxfId="4" priority="16">
      <formula>$D47-$H47&lt;0</formula>
    </cfRule>
  </conditionalFormatting>
  <conditionalFormatting sqref="J3:J38">
    <cfRule type="expression" dxfId="3" priority="14">
      <formula>$L3="×"</formula>
    </cfRule>
  </conditionalFormatting>
  <conditionalFormatting sqref="J39:J42">
    <cfRule type="expression" dxfId="3" priority="13">
      <formula>$L39="×"</formula>
    </cfRule>
  </conditionalFormatting>
  <conditionalFormatting sqref="J43:J46">
    <cfRule type="expression" dxfId="3" priority="12">
      <formula>$L43="×"</formula>
    </cfRule>
  </conditionalFormatting>
  <conditionalFormatting sqref="J47:J50">
    <cfRule type="expression" dxfId="3" priority="11">
      <formula>$L47="×"</formula>
    </cfRule>
  </conditionalFormatting>
  <conditionalFormatting sqref="B3:E3 G3:I3 K3:L3 B4:E5 G4:I5 K4:L5 B6:E6 G6:I6 K6:L6 B7:E7 G7:I7 K7:L7 B8:E9 G8:I9 K8:L9 B10:E10 G10:I10 K10:L10 B11:E11 G11:I11 K11:L11 B12:E12 G12:I12 K12:L12 B13:E13 G13:I13 K13:L13 B14:E14 G14:I14 K14:L14 B15:E30 G15:I30 K15:L30 B31:E38 H31:I38 K31:L38 B39:E50">
    <cfRule type="expression" dxfId="5" priority="21">
      <formula>$L3="×"</formula>
    </cfRule>
  </conditionalFormatting>
  <conditionalFormatting sqref="H39:I42 K39:L42">
    <cfRule type="expression" dxfId="3" priority="19">
      <formula>$L39="×"</formula>
    </cfRule>
  </conditionalFormatting>
  <conditionalFormatting sqref="H43:I46 K43:L46">
    <cfRule type="expression" dxfId="3" priority="17">
      <formula>$L43="×"</formula>
    </cfRule>
  </conditionalFormatting>
  <conditionalFormatting sqref="H47:I48 K47:L48 G49:I50 K49:L50">
    <cfRule type="expression" dxfId="3" priority="15">
      <formula>$L47="×"</formula>
    </cfRule>
  </conditionalFormatting>
  <dataValidations count="2">
    <dataValidation type="list" allowBlank="1" showInputMessage="1" showErrorMessage="1" sqref="R8">
      <formula1>"是,否"</formula1>
    </dataValidation>
    <dataValidation type="list" allowBlank="1" showInputMessage="1" showErrorMessage="1" sqref="G3:G50">
      <formula1>"不换,换一层,换二层,换三层,换四层,换五层,换两个五层,换三个五层"</formula1>
    </dataValidation>
  </dataValidations>
  <pageMargins left="0.75" right="0.75" top="1" bottom="1" header="0.5" footer="0.5"/>
  <headerFooter/>
  <ignoredErrors>
    <ignoredError sqref="D2 G2 B3:B16" formula="1" unlockedFormula="1"/>
    <ignoredError sqref="K3:L38 I3:I38 A2:A16 B19:B32 A17:B18 H2:L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M13"/>
  <sheetViews>
    <sheetView workbookViewId="0">
      <selection activeCell="I12" sqref="I12"/>
    </sheetView>
  </sheetViews>
  <sheetFormatPr defaultColWidth="10" defaultRowHeight="13.5"/>
  <cols>
    <col min="1" max="1" width="19.1333333333333" customWidth="1"/>
    <col min="2" max="2" width="7" customWidth="1"/>
    <col min="3" max="3" width="11.5" customWidth="1"/>
    <col min="4" max="4" width="5.13333333333333" customWidth="1"/>
    <col min="5" max="5" width="8.38333333333333" customWidth="1"/>
    <col min="6" max="6" width="19.1333333333333" customWidth="1"/>
    <col min="7" max="7" width="15" customWidth="1"/>
    <col min="8" max="8" width="8.38333333333333" customWidth="1"/>
    <col min="9" max="9" width="12.6333333333333" customWidth="1"/>
    <col min="10" max="10" width="5.13333333333333" customWidth="1"/>
    <col min="11" max="11" width="12.6333333333333" customWidth="1"/>
  </cols>
  <sheetData>
    <row r="1" spans="1:13">
      <c r="A1" s="9" t="s">
        <v>81</v>
      </c>
      <c r="B1" s="9"/>
      <c r="C1" s="13" t="s">
        <v>82</v>
      </c>
      <c r="F1" s="9" t="s">
        <v>83</v>
      </c>
      <c r="G1" s="9"/>
      <c r="H1" s="13" t="s">
        <v>84</v>
      </c>
    </row>
    <row r="2" spans="1:13">
      <c r="A2" s="9" t="s">
        <v>85</v>
      </c>
      <c r="B2" s="9"/>
      <c r="C2" s="120">
        <v>1.36</v>
      </c>
      <c r="F2" s="9" t="s">
        <v>86</v>
      </c>
      <c r="G2" s="9"/>
      <c r="H2" s="120">
        <v>1.49</v>
      </c>
    </row>
    <row r="3" spans="1:13">
      <c r="A3" s="9" t="s">
        <v>87</v>
      </c>
      <c r="B3" s="9" t="s">
        <v>88</v>
      </c>
      <c r="C3" s="13">
        <v>5.18</v>
      </c>
      <c r="F3" s="9" t="s">
        <v>87</v>
      </c>
      <c r="G3" s="9" t="s">
        <v>88</v>
      </c>
      <c r="H3" s="121">
        <f>数据计算表!EJ18</f>
        <v>4.25636029411765</v>
      </c>
    </row>
    <row r="4" spans="1:13">
      <c r="A4" s="9"/>
      <c r="B4" s="9" t="s">
        <v>89</v>
      </c>
      <c r="C4" s="13">
        <v>5.18</v>
      </c>
      <c r="F4" s="9"/>
      <c r="G4" s="9" t="s">
        <v>89</v>
      </c>
      <c r="H4" s="121">
        <f>数据计算表!EJ19</f>
        <v>4.25636029411765</v>
      </c>
    </row>
    <row r="5" spans="1:13">
      <c r="A5" s="9"/>
      <c r="B5" s="9" t="s">
        <v>90</v>
      </c>
      <c r="C5" s="13">
        <v>25.9</v>
      </c>
      <c r="F5" s="9"/>
      <c r="G5" s="9" t="s">
        <v>90</v>
      </c>
      <c r="H5" s="121">
        <f>数据计算表!EJ20</f>
        <v>21.2818014705882</v>
      </c>
    </row>
    <row r="6" spans="1:13">
      <c r="A6" s="9"/>
      <c r="B6" s="9" t="s">
        <v>91</v>
      </c>
      <c r="C6" s="13">
        <v>4.14</v>
      </c>
      <c r="F6" s="9"/>
      <c r="G6" s="9" t="s">
        <v>91</v>
      </c>
      <c r="H6" s="121">
        <f>数据计算表!EJ21</f>
        <v>3.40180147058823</v>
      </c>
    </row>
    <row r="7" spans="1:13">
      <c r="A7" s="9"/>
      <c r="B7" s="9" t="s">
        <v>92</v>
      </c>
      <c r="C7" s="9">
        <f>数据计算表!EF22</f>
        <v>51.7875</v>
      </c>
      <c r="F7" s="9"/>
      <c r="G7" s="9" t="s">
        <v>92</v>
      </c>
      <c r="H7" s="122">
        <f>数据计算表!EK22</f>
        <v>42.5533318014706</v>
      </c>
    </row>
    <row r="8" spans="1:13">
      <c r="A8" s="43" t="s">
        <v>93</v>
      </c>
      <c r="B8" s="43"/>
      <c r="C8" s="123">
        <v>1</v>
      </c>
      <c r="F8" s="43" t="s">
        <v>93</v>
      </c>
      <c r="G8" s="43"/>
      <c r="H8" s="123">
        <v>1</v>
      </c>
    </row>
    <row r="9" spans="1:13">
      <c r="A9" s="43" t="s">
        <v>94</v>
      </c>
      <c r="B9" s="9" t="s">
        <v>88</v>
      </c>
    </row>
    <row r="10" spans="1:13">
      <c r="A10" s="43"/>
      <c r="B10" s="9" t="s">
        <v>89</v>
      </c>
    </row>
    <row r="11" spans="1:13">
      <c r="A11" s="43"/>
      <c r="B11" s="9" t="s">
        <v>90</v>
      </c>
      <c r="L11" s="32"/>
      <c r="M11" s="16"/>
    </row>
    <row r="12" spans="1:13">
      <c r="A12" s="43"/>
      <c r="B12" s="9" t="s">
        <v>91</v>
      </c>
    </row>
    <row r="13" spans="1:13">
      <c r="A13" s="43"/>
      <c r="B13" s="9" t="s">
        <v>92</v>
      </c>
    </row>
  </sheetData>
  <mergeCells count="9">
    <mergeCell ref="A1:B1"/>
    <mergeCell ref="F1:G1"/>
    <mergeCell ref="A2:B2"/>
    <mergeCell ref="F2:G2"/>
    <mergeCell ref="A8:B8"/>
    <mergeCell ref="F8:G8"/>
    <mergeCell ref="A3:A7"/>
    <mergeCell ref="A9:A13"/>
    <mergeCell ref="F3:F7"/>
  </mergeCells>
  <dataValidations count="1">
    <dataValidation type="list" allowBlank="1" showInputMessage="1" showErrorMessage="1" sqref="C1 H1">
      <formula1>"奇迹,传说"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X302"/>
  <sheetViews>
    <sheetView zoomScale="175" zoomScaleNormal="175" topLeftCell="FI1" workbookViewId="0">
      <selection activeCell="FN24" sqref="FN24"/>
    </sheetView>
  </sheetViews>
  <sheetFormatPr defaultColWidth="9" defaultRowHeight="13.5"/>
  <cols>
    <col min="1" max="1" width="7" customWidth="1"/>
    <col min="2" max="3" width="8.88333333333333" customWidth="1"/>
    <col min="4" max="5" width="7" customWidth="1"/>
    <col min="6" max="6" width="8.88333333333333" customWidth="1"/>
    <col min="7" max="7" width="13.1333333333333" customWidth="1"/>
    <col min="8" max="8" width="11.8833333333333" customWidth="1"/>
    <col min="9" max="9" width="5.38333333333333" customWidth="1"/>
    <col min="10" max="10" width="7.38333333333333" customWidth="1"/>
    <col min="12" max="14" width="24.775" customWidth="1"/>
    <col min="17" max="17" width="24.775" customWidth="1"/>
    <col min="23" max="23" width="12.6333333333333"/>
    <col min="27" max="27" width="12.6333333333333"/>
    <col min="33" max="33" width="23.1" customWidth="1"/>
    <col min="34" max="35" width="9" style="70"/>
    <col min="37" max="38" width="18.6666666666667" customWidth="1"/>
    <col min="39" max="39" width="20.8833333333333" style="70" customWidth="1"/>
    <col min="40" max="40" width="11.8833333333333" style="70" customWidth="1"/>
    <col min="41" max="41" width="23.1" style="70" customWidth="1"/>
    <col min="42" max="42" width="14.1" style="70" customWidth="1"/>
    <col min="50" max="50" width="9.38333333333333"/>
    <col min="52" max="52" width="10.3833333333333"/>
    <col min="54" max="54" width="15" customWidth="1"/>
    <col min="55" max="55" width="22" style="104"/>
    <col min="56" max="56" width="11.8833333333333" customWidth="1"/>
    <col min="57" max="57" width="8.66666666666667" customWidth="1"/>
    <col min="58" max="59" width="11.8833333333333" customWidth="1"/>
    <col min="110" max="110" width="13.3666666666667" customWidth="1"/>
    <col min="111" max="111" width="13.5583333333333" customWidth="1"/>
    <col min="112" max="112" width="15.3833333333333" customWidth="1"/>
    <col min="113" max="113" width="12.8916666666667"/>
    <col min="115" max="115" width="12.8833333333333"/>
    <col min="116" max="116" width="9.66666666666667"/>
    <col min="117" max="117" width="14.1083333333333"/>
    <col min="118" max="118" width="12.8916666666667"/>
    <col min="120" max="120" width="9.38333333333333"/>
    <col min="123" max="123" width="14.1083333333333"/>
    <col min="124" max="124" width="12.8916666666667"/>
    <col min="130" max="130" width="12.8916666666667"/>
    <col min="133" max="133" width="13.75" customWidth="1"/>
    <col min="135" max="136" width="12.8916666666667"/>
    <col min="140" max="141" width="12.8916666666667"/>
    <col min="148" max="148" width="12.8916666666667"/>
    <col min="154" max="154" width="12.8916666666667"/>
    <col min="162" max="162" width="12.8833333333333" customWidth="1"/>
    <col min="170" max="174" width="12.8916666666667"/>
    <col min="176" max="177" width="12.8916666666667"/>
  </cols>
  <sheetData>
    <row r="1" ht="14.25" spans="1:180">
      <c r="A1" t="s">
        <v>95</v>
      </c>
      <c r="B1" t="s">
        <v>96</v>
      </c>
      <c r="C1" t="s">
        <v>97</v>
      </c>
      <c r="D1" t="s">
        <v>98</v>
      </c>
      <c r="E1" t="s">
        <v>99</v>
      </c>
      <c r="J1" t="s">
        <v>100</v>
      </c>
      <c r="K1" t="s">
        <v>34</v>
      </c>
      <c r="L1" t="s">
        <v>101</v>
      </c>
      <c r="M1" t="s">
        <v>102</v>
      </c>
      <c r="N1" t="s">
        <v>103</v>
      </c>
      <c r="O1" t="s">
        <v>104</v>
      </c>
      <c r="P1" t="str">
        <f>秘宝大作战!R8</f>
        <v>是</v>
      </c>
      <c r="Q1" t="s">
        <v>105</v>
      </c>
      <c r="R1">
        <f>秘宝大作战!R12</f>
        <v>10</v>
      </c>
      <c r="V1" t="s">
        <v>106</v>
      </c>
      <c r="AE1" t="s">
        <v>107</v>
      </c>
      <c r="AF1" t="s">
        <v>108</v>
      </c>
      <c r="AG1" t="s">
        <v>109</v>
      </c>
      <c r="AH1" s="70" t="s">
        <v>110</v>
      </c>
      <c r="AI1" s="70" t="s">
        <v>111</v>
      </c>
      <c r="AK1" t="s">
        <v>112</v>
      </c>
      <c r="AL1" t="s">
        <v>113</v>
      </c>
      <c r="AM1" s="70" t="s">
        <v>114</v>
      </c>
      <c r="AN1" s="70" t="s">
        <v>115</v>
      </c>
      <c r="AO1" s="70" t="s">
        <v>116</v>
      </c>
      <c r="AP1" s="70" t="s">
        <v>117</v>
      </c>
      <c r="AU1" t="s">
        <v>2</v>
      </c>
      <c r="AW1" t="s">
        <v>3</v>
      </c>
      <c r="AY1" t="s">
        <v>4</v>
      </c>
      <c r="BB1" t="s">
        <v>118</v>
      </c>
      <c r="BC1" s="106"/>
      <c r="BJ1" t="s">
        <v>119</v>
      </c>
      <c r="BK1" t="s">
        <v>120</v>
      </c>
      <c r="BL1" t="s">
        <v>121</v>
      </c>
      <c r="BM1" t="s">
        <v>122</v>
      </c>
      <c r="BN1" t="s">
        <v>123</v>
      </c>
      <c r="BO1" t="s">
        <v>124</v>
      </c>
      <c r="BR1" s="10"/>
      <c r="BS1" s="10" t="s">
        <v>125</v>
      </c>
      <c r="BT1" s="10"/>
      <c r="BU1" s="10"/>
      <c r="BV1" s="10"/>
      <c r="BW1" s="10"/>
      <c r="BX1" s="10" t="s">
        <v>126</v>
      </c>
      <c r="BY1" s="10"/>
      <c r="BZ1" s="10" t="s">
        <v>127</v>
      </c>
      <c r="CA1" s="10" t="s">
        <v>128</v>
      </c>
      <c r="CB1" s="10" t="s">
        <v>129</v>
      </c>
      <c r="CC1" s="10" t="s">
        <v>130</v>
      </c>
      <c r="CD1" s="10" t="s">
        <v>131</v>
      </c>
      <c r="CE1" s="10" t="s">
        <v>132</v>
      </c>
      <c r="CF1" s="10"/>
      <c r="CG1" s="10" t="s">
        <v>133</v>
      </c>
      <c r="CH1" s="10" t="s">
        <v>134</v>
      </c>
      <c r="CI1" s="10" t="s">
        <v>129</v>
      </c>
      <c r="CJ1" s="10" t="s">
        <v>130</v>
      </c>
      <c r="CK1" s="10" t="s">
        <v>131</v>
      </c>
      <c r="CL1" s="10" t="s">
        <v>132</v>
      </c>
      <c r="CM1" s="10"/>
      <c r="CN1" s="10" t="s">
        <v>135</v>
      </c>
      <c r="CO1" s="10" t="s">
        <v>136</v>
      </c>
      <c r="CP1" s="10" t="s">
        <v>129</v>
      </c>
      <c r="CQ1" s="10" t="s">
        <v>130</v>
      </c>
      <c r="CR1" s="10" t="s">
        <v>131</v>
      </c>
      <c r="CS1" s="10" t="s">
        <v>132</v>
      </c>
      <c r="CT1" s="10"/>
      <c r="CU1" s="10" t="s">
        <v>137</v>
      </c>
      <c r="CV1" s="10" t="s">
        <v>138</v>
      </c>
      <c r="CW1" s="10" t="s">
        <v>129</v>
      </c>
      <c r="CX1" s="10" t="s">
        <v>130</v>
      </c>
      <c r="CY1" s="10" t="s">
        <v>131</v>
      </c>
      <c r="CZ1" s="10"/>
      <c r="DA1" s="10"/>
      <c r="DB1" s="10"/>
      <c r="DC1" s="10"/>
      <c r="DD1" t="s">
        <v>139</v>
      </c>
      <c r="DN1" s="10" t="s">
        <v>140</v>
      </c>
      <c r="DO1" s="10">
        <f>属性晨星性价比!B2</f>
        <v>720</v>
      </c>
      <c r="DQ1" t="s">
        <v>141</v>
      </c>
      <c r="DR1" t="str">
        <f>属性晨星性价比!C17</f>
        <v>奇迹</v>
      </c>
      <c r="DS1" t="s">
        <v>142</v>
      </c>
      <c r="DT1">
        <f>IF(DR1="奇迹",1.2,IF(DR1="传说",1.1,1))</f>
        <v>1.2</v>
      </c>
      <c r="ED1" t="s">
        <v>143</v>
      </c>
      <c r="EE1" t="s">
        <v>144</v>
      </c>
      <c r="EF1" t="s">
        <v>145</v>
      </c>
      <c r="EG1" t="s">
        <v>91</v>
      </c>
      <c r="FB1" s="107" t="s">
        <v>146</v>
      </c>
      <c r="FC1" s="108"/>
      <c r="FD1" s="109"/>
      <c r="FN1" t="s">
        <v>147</v>
      </c>
      <c r="FO1" t="s">
        <v>148</v>
      </c>
      <c r="FQ1" t="s">
        <v>149</v>
      </c>
      <c r="FR1" t="str">
        <f>属性晨星性价比!R6</f>
        <v>攻击</v>
      </c>
      <c r="FT1" t="s">
        <v>150</v>
      </c>
      <c r="FU1">
        <v>1</v>
      </c>
      <c r="FW1" t="s">
        <v>143</v>
      </c>
      <c r="FX1">
        <v>2.5</v>
      </c>
    </row>
    <row r="2" spans="1:180">
      <c r="A2">
        <v>240</v>
      </c>
      <c r="B2">
        <v>400</v>
      </c>
      <c r="C2">
        <v>600</v>
      </c>
      <c r="D2">
        <v>800</v>
      </c>
      <c r="E2">
        <v>1200</v>
      </c>
      <c r="J2">
        <f>K2*2250-IF(K2&lt;$R$1,0,$R$2)+IF($P$1="是",IF(K2&lt;$P$2,0,1000),0)</f>
        <v>2250</v>
      </c>
      <c r="K2">
        <v>1</v>
      </c>
      <c r="L2">
        <f>K2*7+1</f>
        <v>8</v>
      </c>
      <c r="M2" t="s">
        <v>151</v>
      </c>
      <c r="N2" t="str">
        <f t="shared" ref="N2:N13" si="0">IF($P$1="是",IF(K2&lt;$P$2,M2,IF(K2=$P$2,M3,IF(K2=$P$2+1,M5,M2))))</f>
        <v>自选奇迹遗物·山</v>
      </c>
      <c r="O2" t="s">
        <v>152</v>
      </c>
      <c r="P2">
        <f>秘宝大作战!Q10</f>
        <v>16</v>
      </c>
      <c r="Q2" t="s">
        <v>153</v>
      </c>
      <c r="R2">
        <f>秘宝大作战!R13</f>
        <v>150</v>
      </c>
      <c r="V2" t="s">
        <v>154</v>
      </c>
      <c r="AD2">
        <v>1</v>
      </c>
      <c r="AE2">
        <v>10</v>
      </c>
      <c r="AF2">
        <v>10</v>
      </c>
      <c r="AG2" t="s">
        <v>114</v>
      </c>
      <c r="AH2" s="70">
        <v>0.03</v>
      </c>
      <c r="AI2" s="70">
        <f>COUNTIF(AG$1:AG2,AG2)*AH2</f>
        <v>0.03</v>
      </c>
      <c r="AK2">
        <f>泽国星象合约计算器!H2</f>
        <v>200</v>
      </c>
      <c r="AL2">
        <f>MATCH(AK2,$AF$2:$AF$65,1)</f>
        <v>12</v>
      </c>
      <c r="AM2" s="70">
        <f>VLOOKUP(IF(MOD(AL2,4)&lt;1,AL2-MOD(AL2,4)-3,AL2-MOD(AL2,4)+1),$AD$2:$AI$65,6,FALSE)</f>
        <v>0.09</v>
      </c>
      <c r="AN2" s="70">
        <f>VLOOKUP(IF(MOD(AL2,4)&lt;2,AL2-MOD(AL2,4)-2,AL2-MOD(AL2,4)+2),$AD$2:$AI$65,6,FALSE)</f>
        <v>0.15</v>
      </c>
      <c r="AO2" s="70">
        <f>VLOOKUP(IF(MOD(AL2,4)&lt;3,AL2-MOD(AL2,4)-1,AL2-MOD(AL2,4)+3),$AD$2:$AI$65,6,FALSE)</f>
        <v>0.06</v>
      </c>
      <c r="AP2" s="70">
        <f>VLOOKUP(IF(MOD(AL2,4)&lt;4,AL2-MOD(AL2,4),AL2-MOD(AL2,4)+4),$AD$2:$AI$65,6,FALSE)</f>
        <v>0.06</v>
      </c>
      <c r="AU2" t="s">
        <v>155</v>
      </c>
      <c r="AV2" t="s">
        <v>138</v>
      </c>
      <c r="AW2" t="s">
        <v>155</v>
      </c>
      <c r="AX2" t="s">
        <v>138</v>
      </c>
      <c r="AY2" t="s">
        <v>155</v>
      </c>
      <c r="AZ2" t="s">
        <v>138</v>
      </c>
      <c r="BB2" t="s">
        <v>156</v>
      </c>
      <c r="BC2" s="110">
        <f>NOW()</f>
        <v>46180.4380787037</v>
      </c>
      <c r="BE2" t="s">
        <v>157</v>
      </c>
      <c r="BF2" t="s">
        <v>158</v>
      </c>
      <c r="BG2" t="s">
        <v>159</v>
      </c>
      <c r="BI2" t="s">
        <v>160</v>
      </c>
      <c r="BJ2">
        <v>3</v>
      </c>
      <c r="BK2">
        <v>5</v>
      </c>
      <c r="BL2">
        <v>3</v>
      </c>
      <c r="BM2">
        <v>0</v>
      </c>
      <c r="BN2">
        <v>0</v>
      </c>
      <c r="BO2">
        <v>0</v>
      </c>
      <c r="BR2" s="10" t="s">
        <v>161</v>
      </c>
      <c r="BS2" s="10">
        <f>30/30000</f>
        <v>0.001</v>
      </c>
      <c r="BT2" s="10"/>
      <c r="BU2" s="10"/>
      <c r="BV2" s="10"/>
      <c r="BW2" s="10"/>
      <c r="BX2" s="10"/>
      <c r="BY2" s="10"/>
      <c r="BZ2" s="10">
        <v>161</v>
      </c>
      <c r="CA2" s="10">
        <v>26000</v>
      </c>
      <c r="CB2" s="10">
        <f t="shared" ref="CB2:CB65" si="1">CA2*2</f>
        <v>52000</v>
      </c>
      <c r="CC2" s="10">
        <f t="shared" ref="CC2:CC65" si="2">CA2*$BT$5+CB2*$BS$2</f>
        <v>312</v>
      </c>
      <c r="CD2" s="10">
        <f t="shared" ref="CD2:CD65" si="3">CC2/14*13</f>
        <v>289.714285714286</v>
      </c>
      <c r="CE2" s="10">
        <f t="shared" ref="CE2:CE65" si="4">(CA2/$BS$14*5+CB2/$BS$13*5)/14*13</f>
        <v>55.2114369348178</v>
      </c>
      <c r="CF2" s="10"/>
      <c r="CG2" s="10">
        <v>161</v>
      </c>
      <c r="CH2" s="10">
        <v>19225</v>
      </c>
      <c r="CI2" s="10">
        <v>0</v>
      </c>
      <c r="CJ2" s="10">
        <f t="shared" ref="CJ2:CJ65" si="5">CH2*$BT$6+CI2*$BS$2</f>
        <v>153.8</v>
      </c>
      <c r="CK2" s="10">
        <f t="shared" ref="CK2:CK65" si="6">CJ2/5*13</f>
        <v>399.88</v>
      </c>
      <c r="CL2" s="10">
        <f t="shared" ref="CL2:CL65" si="7">(CH2/$BS$15*5+CI2/$BS$13*5)/5*13</f>
        <v>83.3083333333333</v>
      </c>
      <c r="CM2" s="10"/>
      <c r="CN2" s="10">
        <v>17</v>
      </c>
      <c r="CO2" s="10">
        <v>57500</v>
      </c>
      <c r="CP2" s="10">
        <v>103500</v>
      </c>
      <c r="CQ2" s="10">
        <f t="shared" ref="CQ2:CQ17" si="8">CO2*$BT$7+CP2*$BS$2</f>
        <v>793.5</v>
      </c>
      <c r="CR2" s="10">
        <f t="shared" ref="CR2:CR17" si="9">CQ2/26*13</f>
        <v>396.75</v>
      </c>
      <c r="CS2" s="10">
        <f t="shared" ref="CS2:CS17" si="10">(CO2/$BS$16*5+CP2/$BS$13*5)/26*13</f>
        <v>75.6094493230882</v>
      </c>
      <c r="CT2" s="10"/>
      <c r="CU2" s="10">
        <v>161</v>
      </c>
      <c r="CV2" s="10">
        <v>177350</v>
      </c>
      <c r="CW2" s="10">
        <v>0</v>
      </c>
      <c r="CX2" s="10">
        <f t="shared" ref="CX2:CX65" si="11">CV2*$BT$8+CW2*$BS$2</f>
        <v>354.7</v>
      </c>
      <c r="CY2" s="10">
        <f t="shared" ref="CY2:CY65" si="12">CX2/6*13</f>
        <v>768.516666666667</v>
      </c>
      <c r="CZ2" s="10"/>
      <c r="DA2" s="10"/>
      <c r="DB2" s="10"/>
      <c r="DC2" s="10"/>
      <c r="DD2" s="10" t="s">
        <v>162</v>
      </c>
      <c r="DE2" s="10" t="s">
        <v>163</v>
      </c>
      <c r="DF2" s="10" t="s">
        <v>164</v>
      </c>
      <c r="DG2" s="10" t="s">
        <v>165</v>
      </c>
      <c r="DH2" s="10" t="s">
        <v>166</v>
      </c>
      <c r="DI2" s="10" t="s">
        <v>167</v>
      </c>
      <c r="DJ2" s="111" t="s">
        <v>168</v>
      </c>
      <c r="DK2" s="111"/>
      <c r="DL2" s="10" t="s">
        <v>169</v>
      </c>
      <c r="DM2" s="10"/>
      <c r="DN2" t="s">
        <v>170</v>
      </c>
      <c r="DO2" s="10">
        <f>属性晨星性价比!B3</f>
        <v>80</v>
      </c>
      <c r="DQ2" t="s">
        <v>85</v>
      </c>
      <c r="DR2">
        <f>属性晨星性价比!C18</f>
        <v>1.24</v>
      </c>
      <c r="DT2" t="s">
        <v>171</v>
      </c>
      <c r="EC2" t="s">
        <v>92</v>
      </c>
      <c r="ED2">
        <v>2.5</v>
      </c>
      <c r="EE2">
        <v>2.5</v>
      </c>
      <c r="EF2">
        <v>0.5</v>
      </c>
      <c r="EG2">
        <v>3.125</v>
      </c>
      <c r="FB2" s="48" t="s">
        <v>155</v>
      </c>
      <c r="FC2" s="49" t="s">
        <v>172</v>
      </c>
      <c r="FD2" s="51" t="s">
        <v>173</v>
      </c>
      <c r="FM2" t="s">
        <v>174</v>
      </c>
      <c r="FN2" s="32">
        <v>0.7355</v>
      </c>
      <c r="FO2" s="32">
        <v>0.1246</v>
      </c>
      <c r="FQ2" t="s">
        <v>175</v>
      </c>
      <c r="FR2" t="str">
        <f>属性晨星性价比!R7</f>
        <v>0星</v>
      </c>
      <c r="FT2" t="s">
        <v>176</v>
      </c>
      <c r="FU2">
        <v>1.2</v>
      </c>
      <c r="FW2" t="s">
        <v>144</v>
      </c>
      <c r="FX2">
        <v>2.5</v>
      </c>
    </row>
    <row r="3" spans="1:180">
      <c r="A3" t="s">
        <v>177</v>
      </c>
      <c r="B3" t="s">
        <v>178</v>
      </c>
      <c r="C3" t="s">
        <v>179</v>
      </c>
      <c r="D3" t="s">
        <v>180</v>
      </c>
      <c r="E3" t="s">
        <v>21</v>
      </c>
      <c r="F3" t="s">
        <v>22</v>
      </c>
      <c r="G3" t="s">
        <v>29</v>
      </c>
      <c r="H3" t="s">
        <v>37</v>
      </c>
      <c r="J3">
        <f t="shared" ref="J3:J49" si="13">K3*2250-IF(K3&lt;$R$1,0,$R$2)+IF($P$1="是",IF(K3&lt;$P$2,0,1000),0)</f>
        <v>4500</v>
      </c>
      <c r="K3">
        <v>2</v>
      </c>
      <c r="L3">
        <f t="shared" ref="L3:L49" si="14">K3*7+1</f>
        <v>15</v>
      </c>
      <c r="M3" t="s">
        <v>181</v>
      </c>
      <c r="N3" t="str">
        <f t="shared" si="0"/>
        <v>幸运神像</v>
      </c>
      <c r="O3" t="s">
        <v>182</v>
      </c>
      <c r="P3" t="str">
        <f>IF(P1="是",VLOOKUP(P2,K:M,3,0),IF(P1="否","未跳期","错误"))</f>
        <v>原初宝石</v>
      </c>
      <c r="V3" t="s">
        <v>183</v>
      </c>
      <c r="W3" t="s">
        <v>184</v>
      </c>
      <c r="X3" t="s">
        <v>185</v>
      </c>
      <c r="Y3" t="s">
        <v>186</v>
      </c>
      <c r="Z3" t="s">
        <v>187</v>
      </c>
      <c r="AA3" t="s">
        <v>188</v>
      </c>
      <c r="AB3" t="s">
        <v>189</v>
      </c>
      <c r="AD3">
        <v>2</v>
      </c>
      <c r="AE3">
        <v>10</v>
      </c>
      <c r="AF3">
        <f t="shared" ref="AF2:AF37" si="15">AF2+AE3</f>
        <v>20</v>
      </c>
      <c r="AG3" t="s">
        <v>115</v>
      </c>
      <c r="AH3" s="70">
        <v>0.05</v>
      </c>
      <c r="AI3" s="70">
        <f>COUNTIF(AG$1:AG3,AG3)*AH3</f>
        <v>0.05</v>
      </c>
      <c r="AU3">
        <v>1</v>
      </c>
      <c r="AV3">
        <v>80</v>
      </c>
      <c r="AW3">
        <v>1</v>
      </c>
      <c r="AX3">
        <v>80</v>
      </c>
      <c r="AY3">
        <v>1</v>
      </c>
      <c r="AZ3">
        <v>80</v>
      </c>
      <c r="BB3" t="s">
        <v>190</v>
      </c>
      <c r="BC3" s="106" t="e">
        <f>#REF!</f>
        <v>#REF!</v>
      </c>
      <c r="BD3" t="s">
        <v>3</v>
      </c>
      <c r="BE3">
        <f t="array" ref="BE3">COLUMN(INDEX(1:1,MATCH(BD3,1:1,0)))-32</f>
        <v>17</v>
      </c>
      <c r="BF3" t="e">
        <f>BC4+2</f>
        <v>#REF!</v>
      </c>
      <c r="BG3" t="e">
        <f>BC5+2</f>
        <v>#REF!</v>
      </c>
      <c r="BI3" t="s">
        <v>1</v>
      </c>
      <c r="BJ3">
        <v>4</v>
      </c>
      <c r="BK3">
        <v>3</v>
      </c>
      <c r="BL3">
        <v>5</v>
      </c>
      <c r="BM3">
        <v>3</v>
      </c>
      <c r="BN3">
        <v>0</v>
      </c>
      <c r="BO3">
        <v>0</v>
      </c>
      <c r="BR3" s="10"/>
      <c r="BS3" s="10"/>
      <c r="BT3" s="10"/>
      <c r="BU3" s="10"/>
      <c r="BV3" s="10"/>
      <c r="BW3" s="10"/>
      <c r="BX3" s="10"/>
      <c r="BY3" s="10"/>
      <c r="BZ3" s="10">
        <v>162</v>
      </c>
      <c r="CA3" s="10">
        <f t="shared" ref="CA3:CA66" si="16">CA2+260</f>
        <v>26260</v>
      </c>
      <c r="CB3" s="10">
        <f t="shared" si="1"/>
        <v>52520</v>
      </c>
      <c r="CC3" s="10">
        <f t="shared" si="2"/>
        <v>315.12</v>
      </c>
      <c r="CD3" s="10">
        <f t="shared" si="3"/>
        <v>292.611428571429</v>
      </c>
      <c r="CE3" s="10">
        <f t="shared" si="4"/>
        <v>55.763551304166</v>
      </c>
      <c r="CF3" s="10"/>
      <c r="CG3" s="10">
        <v>162</v>
      </c>
      <c r="CH3" s="10">
        <f t="shared" ref="CH3:CH7" si="17">CH2+190</f>
        <v>19415</v>
      </c>
      <c r="CI3" s="10">
        <v>0</v>
      </c>
      <c r="CJ3" s="10">
        <f t="shared" si="5"/>
        <v>155.32</v>
      </c>
      <c r="CK3" s="10">
        <f t="shared" si="6"/>
        <v>403.832</v>
      </c>
      <c r="CL3" s="10">
        <f t="shared" si="7"/>
        <v>84.1316666666667</v>
      </c>
      <c r="CM3" s="10"/>
      <c r="CN3" s="10">
        <v>18</v>
      </c>
      <c r="CO3" s="10">
        <v>63250</v>
      </c>
      <c r="CP3" s="10">
        <f t="shared" ref="CP3:CP17" si="18">CP2+10350</f>
        <v>113850</v>
      </c>
      <c r="CQ3" s="10">
        <f t="shared" si="8"/>
        <v>872.85</v>
      </c>
      <c r="CR3" s="10">
        <f t="shared" si="9"/>
        <v>436.425</v>
      </c>
      <c r="CS3" s="10">
        <f t="shared" si="10"/>
        <v>83.170394255397</v>
      </c>
      <c r="CT3" s="10"/>
      <c r="CU3" s="10">
        <v>162</v>
      </c>
      <c r="CV3" s="10">
        <v>180900</v>
      </c>
      <c r="CW3" s="10">
        <v>0</v>
      </c>
      <c r="CX3" s="10">
        <f t="shared" si="11"/>
        <v>361.8</v>
      </c>
      <c r="CY3" s="10">
        <f t="shared" si="12"/>
        <v>783.9</v>
      </c>
      <c r="CZ3" s="10"/>
      <c r="DA3" s="10"/>
      <c r="DB3" s="10"/>
      <c r="DC3" s="10"/>
      <c r="DD3" s="10">
        <v>5</v>
      </c>
      <c r="DE3" s="17">
        <v>0.18</v>
      </c>
      <c r="DI3">
        <v>1</v>
      </c>
      <c r="DJ3" s="16">
        <v>0.18</v>
      </c>
      <c r="DK3">
        <f t="shared" ref="DK3:DK12" si="19">FLOOR(10000*DJ3*MAX(DP$17*2.5,DP$18*2.5,DP$19*0.5,DP$20*3.125),1)</f>
        <v>85428</v>
      </c>
      <c r="DL3" s="29">
        <f t="shared" ref="DL3:DL12" si="20">DO$1/(DK3/10000)</f>
        <v>84.2815002107038</v>
      </c>
      <c r="DM3" s="10"/>
      <c r="DN3" t="s">
        <v>191</v>
      </c>
      <c r="DO3" s="10">
        <f>属性晨星性价比!B4</f>
        <v>15</v>
      </c>
      <c r="DQ3" t="s">
        <v>87</v>
      </c>
      <c r="DR3" t="s">
        <v>88</v>
      </c>
      <c r="DS3">
        <f>属性晨星性价比!C19</f>
        <v>15</v>
      </c>
      <c r="DT3">
        <f t="shared" ref="DT3:DT6" si="21">DS3/DR$2</f>
        <v>12.0967741935484</v>
      </c>
      <c r="ED3" t="s">
        <v>143</v>
      </c>
      <c r="EE3" t="s">
        <v>192</v>
      </c>
      <c r="EF3" t="s">
        <v>193</v>
      </c>
      <c r="EG3" t="s">
        <v>194</v>
      </c>
      <c r="EH3" t="s">
        <v>195</v>
      </c>
      <c r="EI3" t="s">
        <v>144</v>
      </c>
      <c r="EJ3" t="s">
        <v>196</v>
      </c>
      <c r="EK3" t="s">
        <v>197</v>
      </c>
      <c r="EL3" t="s">
        <v>198</v>
      </c>
      <c r="EM3" t="s">
        <v>199</v>
      </c>
      <c r="EN3" t="s">
        <v>145</v>
      </c>
      <c r="EO3" t="s">
        <v>200</v>
      </c>
      <c r="EP3" t="s">
        <v>201</v>
      </c>
      <c r="EQ3" t="s">
        <v>202</v>
      </c>
      <c r="ER3" t="s">
        <v>203</v>
      </c>
      <c r="ES3" t="s">
        <v>91</v>
      </c>
      <c r="ET3" t="s">
        <v>204</v>
      </c>
      <c r="EU3" t="s">
        <v>205</v>
      </c>
      <c r="EV3" t="s">
        <v>206</v>
      </c>
      <c r="EW3" t="s">
        <v>207</v>
      </c>
      <c r="EX3" t="s">
        <v>208</v>
      </c>
      <c r="EY3" t="s">
        <v>209</v>
      </c>
      <c r="FB3" s="52">
        <v>1</v>
      </c>
      <c r="FC3" s="112">
        <v>900</v>
      </c>
      <c r="FD3" s="55">
        <f>SUM($FC$3:FC3)</f>
        <v>900</v>
      </c>
      <c r="FM3" t="s">
        <v>210</v>
      </c>
      <c r="FN3" s="16">
        <v>0.1103</v>
      </c>
      <c r="FO3" s="16">
        <v>0.01</v>
      </c>
      <c r="FQ3" t="s">
        <v>211</v>
      </c>
      <c r="FR3">
        <f>属性晨星性价比!R8</f>
        <v>1.57</v>
      </c>
      <c r="FT3" t="s">
        <v>212</v>
      </c>
      <c r="FU3">
        <v>1.4</v>
      </c>
      <c r="FW3" t="s">
        <v>145</v>
      </c>
      <c r="FX3">
        <v>0.5</v>
      </c>
    </row>
    <row r="4" spans="1:180">
      <c r="A4">
        <f>A2</f>
        <v>240</v>
      </c>
      <c r="B4">
        <f>A4+B2</f>
        <v>640</v>
      </c>
      <c r="C4">
        <f>B4+C2</f>
        <v>1240</v>
      </c>
      <c r="D4">
        <f>C4+D2</f>
        <v>2040</v>
      </c>
      <c r="E4">
        <f>D4+E2</f>
        <v>3240</v>
      </c>
      <c r="F4">
        <v>0</v>
      </c>
      <c r="G4">
        <f>E4+E2</f>
        <v>4440</v>
      </c>
      <c r="H4">
        <f>G4+E2</f>
        <v>5640</v>
      </c>
      <c r="J4">
        <f t="shared" si="13"/>
        <v>6750</v>
      </c>
      <c r="K4">
        <v>3</v>
      </c>
      <c r="L4">
        <f t="shared" si="14"/>
        <v>22</v>
      </c>
      <c r="M4" t="s">
        <v>213</v>
      </c>
      <c r="N4" t="str">
        <f t="shared" si="0"/>
        <v>3阶技能碎片*180</v>
      </c>
      <c r="O4" t="s">
        <v>214</v>
      </c>
      <c r="P4">
        <f>IF(P1="是",1000,IF(P1="否",0,"错误"))</f>
        <v>1000</v>
      </c>
      <c r="V4">
        <v>100</v>
      </c>
      <c r="W4">
        <v>38</v>
      </c>
      <c r="X4">
        <v>13</v>
      </c>
      <c r="Y4">
        <v>57</v>
      </c>
      <c r="Z4">
        <v>14</v>
      </c>
      <c r="AA4">
        <v>100</v>
      </c>
      <c r="AB4">
        <v>10</v>
      </c>
      <c r="AD4">
        <v>3</v>
      </c>
      <c r="AE4">
        <v>10</v>
      </c>
      <c r="AF4">
        <f t="shared" si="15"/>
        <v>30</v>
      </c>
      <c r="AG4" t="s">
        <v>116</v>
      </c>
      <c r="AH4" s="70">
        <v>0.02</v>
      </c>
      <c r="AI4" s="70">
        <f>COUNTIF(AG$1:AG4,AG4)*AH4</f>
        <v>0.02</v>
      </c>
      <c r="AK4" t="s">
        <v>215</v>
      </c>
      <c r="AL4" t="s">
        <v>216</v>
      </c>
      <c r="AM4" s="70" t="s">
        <v>114</v>
      </c>
      <c r="AN4" s="70" t="s">
        <v>115</v>
      </c>
      <c r="AO4" s="70" t="s">
        <v>116</v>
      </c>
      <c r="AP4" s="70" t="s">
        <v>117</v>
      </c>
      <c r="AU4">
        <v>2</v>
      </c>
      <c r="AV4">
        <v>90</v>
      </c>
      <c r="AW4">
        <v>2</v>
      </c>
      <c r="AX4">
        <v>90</v>
      </c>
      <c r="AY4">
        <v>2</v>
      </c>
      <c r="AZ4">
        <v>90</v>
      </c>
      <c r="BB4" t="s">
        <v>217</v>
      </c>
      <c r="BC4" s="104" t="e">
        <f>#REF!</f>
        <v>#REF!</v>
      </c>
      <c r="BD4" t="s">
        <v>218</v>
      </c>
      <c r="BE4" t="e">
        <f>SUM(INDEX(AU:AZ,BF3,BE3+1):INDEX(AU:AZ,BG3-1,BE3+1))</f>
        <v>#REF!</v>
      </c>
      <c r="BI4" t="s">
        <v>2</v>
      </c>
      <c r="BJ4">
        <v>5</v>
      </c>
      <c r="BK4">
        <v>2</v>
      </c>
      <c r="BL4">
        <v>3</v>
      </c>
      <c r="BM4">
        <v>6</v>
      </c>
      <c r="BN4">
        <v>0</v>
      </c>
      <c r="BO4">
        <v>0</v>
      </c>
      <c r="BR4" s="10" t="s">
        <v>219</v>
      </c>
      <c r="BS4" s="10" t="s">
        <v>161</v>
      </c>
      <c r="BT4" s="10" t="s">
        <v>220</v>
      </c>
      <c r="BU4" s="10"/>
      <c r="BV4" s="10"/>
      <c r="BW4" s="10"/>
      <c r="BX4" s="10"/>
      <c r="BY4" s="10"/>
      <c r="BZ4" s="10">
        <v>163</v>
      </c>
      <c r="CA4" s="10">
        <f t="shared" si="16"/>
        <v>26520</v>
      </c>
      <c r="CB4" s="10">
        <f t="shared" si="1"/>
        <v>53040</v>
      </c>
      <c r="CC4" s="10">
        <f t="shared" si="2"/>
        <v>318.24</v>
      </c>
      <c r="CD4" s="10">
        <f t="shared" si="3"/>
        <v>295.508571428571</v>
      </c>
      <c r="CE4" s="10">
        <f t="shared" si="4"/>
        <v>56.3156656735142</v>
      </c>
      <c r="CF4" s="10"/>
      <c r="CG4" s="10">
        <v>163</v>
      </c>
      <c r="CH4" s="10">
        <f t="shared" ref="CH4:CH8" si="22">CH3+195</f>
        <v>19610</v>
      </c>
      <c r="CI4" s="10">
        <v>0</v>
      </c>
      <c r="CJ4" s="10">
        <f t="shared" si="5"/>
        <v>156.88</v>
      </c>
      <c r="CK4" s="10">
        <f t="shared" si="6"/>
        <v>407.888</v>
      </c>
      <c r="CL4" s="10">
        <f t="shared" si="7"/>
        <v>84.9766666666667</v>
      </c>
      <c r="CM4" s="10"/>
      <c r="CN4" s="10">
        <v>19</v>
      </c>
      <c r="CO4" s="10">
        <v>69000</v>
      </c>
      <c r="CP4" s="10">
        <f t="shared" si="18"/>
        <v>124200</v>
      </c>
      <c r="CQ4" s="10">
        <f t="shared" si="8"/>
        <v>952.2</v>
      </c>
      <c r="CR4" s="10">
        <f t="shared" si="9"/>
        <v>476.1</v>
      </c>
      <c r="CS4" s="10">
        <f t="shared" si="10"/>
        <v>90.7313391877058</v>
      </c>
      <c r="CT4" s="10"/>
      <c r="CU4" s="10">
        <v>163</v>
      </c>
      <c r="CV4" s="10">
        <v>184450</v>
      </c>
      <c r="CW4" s="10">
        <v>0</v>
      </c>
      <c r="CX4" s="10">
        <f t="shared" si="11"/>
        <v>368.9</v>
      </c>
      <c r="CY4" s="10">
        <f t="shared" si="12"/>
        <v>799.283333333333</v>
      </c>
      <c r="CZ4" s="10"/>
      <c r="DA4" s="10"/>
      <c r="DB4" s="10"/>
      <c r="DC4" s="10"/>
      <c r="DD4" s="10">
        <v>6</v>
      </c>
      <c r="DE4" s="17">
        <f t="shared" ref="DE4:DE12" si="23">1.5*DE3</f>
        <v>0.27</v>
      </c>
      <c r="DF4" s="17">
        <v>1</v>
      </c>
      <c r="DG4" s="18">
        <v>1</v>
      </c>
      <c r="DH4" s="10">
        <v>1</v>
      </c>
      <c r="DI4" s="10">
        <f t="array" ref="DI4">IF(DH4=1,1,SUM(_xlfn.SEQUENCE(DH4-1)*(1-DF4)^(_xlfn.SEQUENCE(DH4-1)-1)*DF4)+(1-DF4)^(DH4-1)*DH4)</f>
        <v>1</v>
      </c>
      <c r="DJ4" s="20">
        <f t="shared" ref="DJ4:DJ12" si="24">DE3/2/DI4</f>
        <v>0.09</v>
      </c>
      <c r="DK4">
        <f t="shared" si="19"/>
        <v>42714</v>
      </c>
      <c r="DL4" s="29">
        <f t="shared" si="20"/>
        <v>168.563000421408</v>
      </c>
      <c r="DM4" s="10"/>
      <c r="DN4" t="s">
        <v>221</v>
      </c>
      <c r="DO4" s="10">
        <f>属性晨星性价比!B5</f>
        <v>15</v>
      </c>
      <c r="DR4" t="s">
        <v>89</v>
      </c>
      <c r="DS4">
        <f>属性晨星性价比!C20</f>
        <v>15</v>
      </c>
      <c r="DT4">
        <f t="shared" si="21"/>
        <v>12.0967741935484</v>
      </c>
      <c r="EC4">
        <v>1</v>
      </c>
      <c r="ED4">
        <v>26</v>
      </c>
      <c r="EE4" s="16">
        <v>0.05</v>
      </c>
      <c r="EF4">
        <v>5</v>
      </c>
      <c r="EG4">
        <f>(4*EF4+2*($EY4-EF4))*ED4</f>
        <v>1248</v>
      </c>
      <c r="EH4" s="16">
        <f t="shared" ref="EH4:EH11" si="25">EF4*EE4</f>
        <v>0.25</v>
      </c>
      <c r="EI4">
        <v>26</v>
      </c>
      <c r="EJ4" s="16">
        <v>0.05</v>
      </c>
      <c r="EK4">
        <v>5</v>
      </c>
      <c r="EL4">
        <f>(4*EK4+2*($EY4-EK4))*EI4</f>
        <v>1248</v>
      </c>
      <c r="EM4" s="16">
        <f t="shared" ref="EM4:EM11" si="26">EK4*EJ4</f>
        <v>0.25</v>
      </c>
      <c r="EN4">
        <v>130</v>
      </c>
      <c r="EO4" s="16">
        <v>0.05</v>
      </c>
      <c r="EP4">
        <v>4</v>
      </c>
      <c r="EQ4">
        <f>(4*EP4+2*($EY4-EP4))*EN4</f>
        <v>5980</v>
      </c>
      <c r="ER4" s="16">
        <f t="shared" ref="ER4:ER11" si="27">EP4*EO4</f>
        <v>0.2</v>
      </c>
      <c r="ES4">
        <v>20</v>
      </c>
      <c r="ET4" s="16">
        <v>0.05</v>
      </c>
      <c r="EU4">
        <v>4</v>
      </c>
      <c r="EV4">
        <f>(4*EU4+2*($EY4-EU4))*ES4</f>
        <v>920</v>
      </c>
      <c r="EW4" s="16">
        <f t="shared" ref="EW4:EW11" si="28">EU4*ET4</f>
        <v>0.2</v>
      </c>
      <c r="EX4">
        <v>1</v>
      </c>
      <c r="EY4">
        <f t="shared" ref="EY4:EY11" si="29">EF4+EK4+EP4+EU4+EX4</f>
        <v>19</v>
      </c>
      <c r="FB4" s="52">
        <v>2</v>
      </c>
      <c r="FC4" s="112">
        <v>1050</v>
      </c>
      <c r="FD4" s="55">
        <f>SUM($FC$3:FC4)</f>
        <v>1950</v>
      </c>
      <c r="FL4" t="s">
        <v>174</v>
      </c>
      <c r="FM4" t="s">
        <v>222</v>
      </c>
      <c r="FN4">
        <f>FN2*3+FO2*20</f>
        <v>4.6985</v>
      </c>
      <c r="FO4" t="s">
        <v>223</v>
      </c>
      <c r="FP4">
        <f>80/FN4</f>
        <v>17.0267106523359</v>
      </c>
      <c r="FQ4" t="s">
        <v>224</v>
      </c>
      <c r="FR4">
        <f>VLOOKUP(FR2,FT1:FU7,2,0)</f>
        <v>1</v>
      </c>
      <c r="FT4" t="s">
        <v>225</v>
      </c>
      <c r="FU4">
        <v>1.6</v>
      </c>
      <c r="FW4" t="s">
        <v>91</v>
      </c>
      <c r="FX4">
        <v>3.125</v>
      </c>
    </row>
    <row r="5" spans="1:180">
      <c r="A5">
        <v>1</v>
      </c>
      <c r="B5">
        <v>2</v>
      </c>
      <c r="C5">
        <v>3</v>
      </c>
      <c r="D5">
        <v>4</v>
      </c>
      <c r="E5">
        <v>5</v>
      </c>
      <c r="F5">
        <v>0</v>
      </c>
      <c r="J5">
        <f t="shared" si="13"/>
        <v>9000</v>
      </c>
      <c r="K5">
        <v>4</v>
      </c>
      <c r="L5">
        <f t="shared" si="14"/>
        <v>29</v>
      </c>
      <c r="M5" t="s">
        <v>226</v>
      </c>
      <c r="N5" t="str">
        <f t="shared" si="0"/>
        <v>原初宝石</v>
      </c>
      <c r="V5" t="s">
        <v>227</v>
      </c>
      <c r="AD5">
        <v>4</v>
      </c>
      <c r="AE5">
        <v>10</v>
      </c>
      <c r="AF5">
        <f t="shared" si="15"/>
        <v>40</v>
      </c>
      <c r="AG5" t="s">
        <v>117</v>
      </c>
      <c r="AH5" s="70">
        <v>0.02</v>
      </c>
      <c r="AI5" s="70">
        <f>COUNTIF(AG$1:AG5,AG5)*AH5</f>
        <v>0.02</v>
      </c>
      <c r="AK5">
        <f>龙国星象合约计算器!H2</f>
        <v>1130</v>
      </c>
      <c r="AL5">
        <f>MATCH(AK5,$AF$2:$AF$65,1)</f>
        <v>31</v>
      </c>
      <c r="AM5" s="70">
        <f>VLOOKUP(IF(MOD(AL5,4)&lt;1,AL5-MOD(AL5,4)-3,AL5-MOD(AL5,4)+1),$AD$2:$AI$65,6,FALSE)</f>
        <v>0.24</v>
      </c>
      <c r="AN5" s="70">
        <f>VLOOKUP(IF(MOD(AL5,4)&lt;2,AL5-MOD(AL5,4)-2,AL5-MOD(AL5,4)+2),$AD$2:$AI$65,6,FALSE)</f>
        <v>0.4</v>
      </c>
      <c r="AO5" s="70">
        <f>VLOOKUP(IF(MOD(AL5,4)&lt;3,AL5-MOD(AL5,4)-1,AL5-MOD(AL5,4)+3),$AD$2:$AI$65,6,FALSE)</f>
        <v>0.16</v>
      </c>
      <c r="AP5" s="70">
        <f>VLOOKUP(IF(MOD(AL5,4)&lt;4,AL5-MOD(AL5,4),AL5-MOD(AL5,4)+4),$AD$2:$AI$65,6,FALSE)</f>
        <v>0.14</v>
      </c>
      <c r="AU5">
        <v>3</v>
      </c>
      <c r="AV5">
        <v>90</v>
      </c>
      <c r="AW5">
        <v>3</v>
      </c>
      <c r="AX5">
        <v>90</v>
      </c>
      <c r="AY5">
        <v>3</v>
      </c>
      <c r="AZ5">
        <v>90</v>
      </c>
      <c r="BB5" t="s">
        <v>228</v>
      </c>
      <c r="BC5" s="104" t="e">
        <f>#REF!</f>
        <v>#REF!</v>
      </c>
      <c r="BI5" t="s">
        <v>3</v>
      </c>
      <c r="BJ5">
        <v>5</v>
      </c>
      <c r="BK5">
        <v>1</v>
      </c>
      <c r="BL5">
        <v>1</v>
      </c>
      <c r="BM5">
        <v>2</v>
      </c>
      <c r="BN5">
        <v>7</v>
      </c>
      <c r="BO5">
        <v>0</v>
      </c>
      <c r="BR5" s="10" t="s">
        <v>128</v>
      </c>
      <c r="BS5" s="10">
        <v>10</v>
      </c>
      <c r="BT5" s="10">
        <f t="shared" ref="BT5:BT8" si="30">$BS$2*BS5</f>
        <v>0.01</v>
      </c>
      <c r="BU5" s="10"/>
      <c r="BV5" s="10"/>
      <c r="BW5" s="10"/>
      <c r="BX5" s="10"/>
      <c r="BY5" s="10"/>
      <c r="BZ5" s="10">
        <v>164</v>
      </c>
      <c r="CA5" s="10">
        <f t="shared" si="16"/>
        <v>26780</v>
      </c>
      <c r="CB5" s="10">
        <f t="shared" si="1"/>
        <v>53560</v>
      </c>
      <c r="CC5" s="10">
        <f t="shared" si="2"/>
        <v>321.36</v>
      </c>
      <c r="CD5" s="10">
        <f t="shared" si="3"/>
        <v>298.405714285714</v>
      </c>
      <c r="CE5" s="10">
        <f t="shared" si="4"/>
        <v>56.8677800428624</v>
      </c>
      <c r="CF5" s="10"/>
      <c r="CG5" s="10">
        <v>164</v>
      </c>
      <c r="CH5" s="10">
        <f t="shared" si="17"/>
        <v>19800</v>
      </c>
      <c r="CI5" s="10">
        <v>0</v>
      </c>
      <c r="CJ5" s="10">
        <f t="shared" si="5"/>
        <v>158.4</v>
      </c>
      <c r="CK5" s="10">
        <f t="shared" si="6"/>
        <v>411.84</v>
      </c>
      <c r="CL5" s="10">
        <f t="shared" si="7"/>
        <v>85.8</v>
      </c>
      <c r="CM5" s="10"/>
      <c r="CN5" s="10">
        <v>20</v>
      </c>
      <c r="CO5" s="10">
        <v>74750</v>
      </c>
      <c r="CP5" s="10">
        <f t="shared" si="18"/>
        <v>134550</v>
      </c>
      <c r="CQ5" s="10">
        <f t="shared" si="8"/>
        <v>1031.55</v>
      </c>
      <c r="CR5" s="10">
        <f t="shared" si="9"/>
        <v>515.775</v>
      </c>
      <c r="CS5" s="10">
        <f t="shared" si="10"/>
        <v>98.2922841200146</v>
      </c>
      <c r="CT5" s="10"/>
      <c r="CU5" s="10">
        <v>164</v>
      </c>
      <c r="CV5" s="10">
        <v>188000</v>
      </c>
      <c r="CW5" s="10">
        <v>0</v>
      </c>
      <c r="CX5" s="10">
        <f t="shared" si="11"/>
        <v>376</v>
      </c>
      <c r="CY5" s="10">
        <f t="shared" si="12"/>
        <v>814.666666666667</v>
      </c>
      <c r="CZ5" s="10"/>
      <c r="DA5" s="10"/>
      <c r="DB5" s="10"/>
      <c r="DC5" s="10"/>
      <c r="DD5" s="10">
        <v>7</v>
      </c>
      <c r="DE5" s="17">
        <f t="shared" si="23"/>
        <v>0.405</v>
      </c>
      <c r="DF5" s="17">
        <v>0.36</v>
      </c>
      <c r="DG5" s="17">
        <v>0.5</v>
      </c>
      <c r="DH5" s="10">
        <v>3</v>
      </c>
      <c r="DI5" s="10">
        <f t="array" ref="DI5">IF(DH5=1,1,SUM(_xlfn.SEQUENCE(DH5-1)*(1-DF5)^(_xlfn.SEQUENCE(DH5-1)-1)*DF5)+(1-DF5)^(DH5-1)*DH5)</f>
        <v>2.0496</v>
      </c>
      <c r="DJ5" s="20">
        <f t="shared" si="24"/>
        <v>0.0658665105386417</v>
      </c>
      <c r="DK5">
        <f t="shared" si="19"/>
        <v>31260</v>
      </c>
      <c r="DL5" s="29">
        <f t="shared" si="20"/>
        <v>230.326295585413</v>
      </c>
      <c r="DM5" s="10"/>
      <c r="DN5" t="s">
        <v>229</v>
      </c>
      <c r="DO5" s="10">
        <f>属性晨星性价比!B6</f>
        <v>45</v>
      </c>
      <c r="DR5" t="s">
        <v>90</v>
      </c>
      <c r="DS5">
        <f>属性晨星性价比!C21</f>
        <v>75.3</v>
      </c>
      <c r="DT5">
        <f t="shared" si="21"/>
        <v>60.7258064516129</v>
      </c>
      <c r="EC5">
        <v>2</v>
      </c>
      <c r="ED5">
        <v>30</v>
      </c>
      <c r="EE5" s="16">
        <v>0.05</v>
      </c>
      <c r="EF5">
        <v>9</v>
      </c>
      <c r="EG5">
        <f t="shared" ref="EG5:EG11" si="31">(4*EF5+2*($EY5-EF5))*ED5</f>
        <v>2580</v>
      </c>
      <c r="EH5" s="16">
        <f t="shared" si="25"/>
        <v>0.45</v>
      </c>
      <c r="EI5">
        <v>30</v>
      </c>
      <c r="EJ5" s="16">
        <v>0.05</v>
      </c>
      <c r="EK5">
        <v>8</v>
      </c>
      <c r="EL5">
        <f t="shared" ref="EL5:EL11" si="32">(4*EK5+2*($EY5-EK5))*EI5</f>
        <v>2520</v>
      </c>
      <c r="EM5" s="16">
        <f t="shared" si="26"/>
        <v>0.4</v>
      </c>
      <c r="EN5">
        <v>150</v>
      </c>
      <c r="EO5" s="16">
        <v>0.05</v>
      </c>
      <c r="EP5">
        <v>7</v>
      </c>
      <c r="EQ5">
        <f t="shared" ref="EQ5:EQ11" si="33">(4*EP5+2*($EY5-EP5))*EN5</f>
        <v>12300</v>
      </c>
      <c r="ER5" s="16">
        <f t="shared" si="27"/>
        <v>0.35</v>
      </c>
      <c r="ES5">
        <v>24</v>
      </c>
      <c r="ET5" s="16">
        <v>0.05</v>
      </c>
      <c r="EU5">
        <v>8</v>
      </c>
      <c r="EV5">
        <f t="shared" ref="EV5:EV11" si="34">(4*EU5+2*($EY5-EU5))*ES5</f>
        <v>2016</v>
      </c>
      <c r="EW5" s="16">
        <f t="shared" si="28"/>
        <v>0.4</v>
      </c>
      <c r="EX5">
        <v>2</v>
      </c>
      <c r="EY5">
        <f t="shared" si="29"/>
        <v>34</v>
      </c>
      <c r="FB5" s="52">
        <v>3</v>
      </c>
      <c r="FC5" s="112">
        <v>1200</v>
      </c>
      <c r="FD5" s="55">
        <f>SUM($FC$3:FC5)</f>
        <v>3150</v>
      </c>
      <c r="FL5" t="s">
        <v>210</v>
      </c>
      <c r="FM5" t="s">
        <v>222</v>
      </c>
      <c r="FN5">
        <f>FN3*3+FO3*30</f>
        <v>0.6309</v>
      </c>
      <c r="FO5" t="s">
        <v>223</v>
      </c>
      <c r="FP5">
        <f>80/FN5</f>
        <v>126.802979870027</v>
      </c>
      <c r="FQ5" t="s">
        <v>230</v>
      </c>
      <c r="FR5">
        <f>VLOOKUP(FR1,FW1:FX4,2,0)</f>
        <v>2.5</v>
      </c>
      <c r="FT5" t="s">
        <v>231</v>
      </c>
      <c r="FU5">
        <v>1.8</v>
      </c>
    </row>
    <row r="6" spans="1:180">
      <c r="J6">
        <f t="shared" si="13"/>
        <v>11250</v>
      </c>
      <c r="K6">
        <v>5</v>
      </c>
      <c r="L6">
        <f t="shared" si="14"/>
        <v>36</v>
      </c>
      <c r="M6" t="s">
        <v>232</v>
      </c>
      <c r="N6" t="str">
        <f t="shared" si="0"/>
        <v>自选奇迹遗物·泽</v>
      </c>
      <c r="V6" t="s">
        <v>183</v>
      </c>
      <c r="W6" t="s">
        <v>184</v>
      </c>
      <c r="X6" t="s">
        <v>185</v>
      </c>
      <c r="Y6" t="s">
        <v>186</v>
      </c>
      <c r="Z6" t="s">
        <v>187</v>
      </c>
      <c r="AA6" t="s">
        <v>188</v>
      </c>
      <c r="AB6" t="s">
        <v>189</v>
      </c>
      <c r="AD6">
        <v>5</v>
      </c>
      <c r="AE6">
        <v>16</v>
      </c>
      <c r="AF6">
        <f t="shared" si="15"/>
        <v>56</v>
      </c>
      <c r="AG6" t="s">
        <v>114</v>
      </c>
      <c r="AH6" s="70">
        <v>0.03</v>
      </c>
      <c r="AI6" s="70">
        <f>COUNTIF(AG$1:AG6,AG6)*AH6</f>
        <v>0.06</v>
      </c>
      <c r="AU6">
        <v>4</v>
      </c>
      <c r="AV6">
        <v>90</v>
      </c>
      <c r="AW6">
        <v>4</v>
      </c>
      <c r="AX6">
        <v>90</v>
      </c>
      <c r="AY6">
        <v>4</v>
      </c>
      <c r="AZ6">
        <v>90</v>
      </c>
      <c r="BB6" t="s">
        <v>233</v>
      </c>
      <c r="BC6" s="104" t="e">
        <f>#REF!</f>
        <v>#REF!</v>
      </c>
      <c r="BI6" t="s">
        <v>4</v>
      </c>
      <c r="BJ6">
        <v>5</v>
      </c>
      <c r="BK6">
        <v>0</v>
      </c>
      <c r="BL6">
        <v>2</v>
      </c>
      <c r="BM6">
        <v>2</v>
      </c>
      <c r="BN6">
        <v>2</v>
      </c>
      <c r="BO6">
        <v>5</v>
      </c>
      <c r="BR6" s="10" t="s">
        <v>134</v>
      </c>
      <c r="BS6" s="10">
        <v>8</v>
      </c>
      <c r="BT6" s="10">
        <f t="shared" si="30"/>
        <v>0.008</v>
      </c>
      <c r="BU6" s="10"/>
      <c r="BV6" s="10"/>
      <c r="BW6" s="10"/>
      <c r="BX6" s="10"/>
      <c r="BY6" s="10"/>
      <c r="BZ6" s="10">
        <v>165</v>
      </c>
      <c r="CA6" s="10">
        <f t="shared" si="16"/>
        <v>27040</v>
      </c>
      <c r="CB6" s="10">
        <f t="shared" si="1"/>
        <v>54080</v>
      </c>
      <c r="CC6" s="10">
        <f t="shared" si="2"/>
        <v>324.48</v>
      </c>
      <c r="CD6" s="10">
        <f t="shared" si="3"/>
        <v>301.302857142857</v>
      </c>
      <c r="CE6" s="10">
        <f t="shared" si="4"/>
        <v>57.4198944122106</v>
      </c>
      <c r="CF6" s="10"/>
      <c r="CG6" s="10">
        <v>165</v>
      </c>
      <c r="CH6" s="10">
        <f t="shared" si="22"/>
        <v>19995</v>
      </c>
      <c r="CI6" s="10">
        <v>0</v>
      </c>
      <c r="CJ6" s="10">
        <f t="shared" si="5"/>
        <v>159.96</v>
      </c>
      <c r="CK6" s="10">
        <f t="shared" si="6"/>
        <v>415.896</v>
      </c>
      <c r="CL6" s="10">
        <f t="shared" si="7"/>
        <v>86.645</v>
      </c>
      <c r="CM6" s="10"/>
      <c r="CN6" s="10">
        <v>21</v>
      </c>
      <c r="CO6" s="10">
        <v>80500</v>
      </c>
      <c r="CP6" s="10">
        <f t="shared" si="18"/>
        <v>144900</v>
      </c>
      <c r="CQ6" s="10">
        <f t="shared" si="8"/>
        <v>1110.9</v>
      </c>
      <c r="CR6" s="10">
        <f t="shared" si="9"/>
        <v>555.45</v>
      </c>
      <c r="CS6" s="10">
        <f t="shared" si="10"/>
        <v>105.853229052323</v>
      </c>
      <c r="CT6" s="10"/>
      <c r="CU6" s="10">
        <v>165</v>
      </c>
      <c r="CV6" s="10">
        <v>191550</v>
      </c>
      <c r="CW6" s="10">
        <v>0</v>
      </c>
      <c r="CX6" s="10">
        <f t="shared" si="11"/>
        <v>383.1</v>
      </c>
      <c r="CY6" s="10">
        <f t="shared" si="12"/>
        <v>830.05</v>
      </c>
      <c r="CZ6" s="10"/>
      <c r="DA6" s="10"/>
      <c r="DB6" s="10"/>
      <c r="DC6" s="10"/>
      <c r="DD6" s="10">
        <v>8</v>
      </c>
      <c r="DE6" s="17">
        <f t="shared" si="23"/>
        <v>0.6075</v>
      </c>
      <c r="DF6" s="17">
        <v>0.18</v>
      </c>
      <c r="DG6" s="17">
        <v>0.2</v>
      </c>
      <c r="DH6" s="10">
        <v>6</v>
      </c>
      <c r="DI6" s="10">
        <f t="array" ref="DI6">IF(DH6=1,1,SUM(_xlfn.SEQUENCE(DH6-1)*(1-DF6)^(_xlfn.SEQUENCE(DH6-1)-1)*DF6)+(1-DF6)^(DH6-1)*DH6)</f>
        <v>3.8666296032</v>
      </c>
      <c r="DJ6" s="20">
        <f t="shared" si="24"/>
        <v>0.0523711916529093</v>
      </c>
      <c r="DK6">
        <f t="shared" si="19"/>
        <v>24855</v>
      </c>
      <c r="DL6" s="29">
        <f t="shared" si="20"/>
        <v>289.680144840072</v>
      </c>
      <c r="DM6" s="10"/>
      <c r="DN6" t="s">
        <v>234</v>
      </c>
      <c r="DO6" s="10">
        <f>属性晨星性价比!B7</f>
        <v>40</v>
      </c>
      <c r="DR6" t="s">
        <v>91</v>
      </c>
      <c r="DS6">
        <f>属性晨星性价比!C22</f>
        <v>12</v>
      </c>
      <c r="DT6">
        <f t="shared" si="21"/>
        <v>9.67741935483871</v>
      </c>
      <c r="EC6">
        <v>3</v>
      </c>
      <c r="ED6">
        <v>36</v>
      </c>
      <c r="EE6" s="16">
        <v>0.05</v>
      </c>
      <c r="EF6">
        <v>6</v>
      </c>
      <c r="EG6">
        <f t="shared" si="31"/>
        <v>2880</v>
      </c>
      <c r="EH6" s="16">
        <f t="shared" si="25"/>
        <v>0.3</v>
      </c>
      <c r="EI6">
        <v>36</v>
      </c>
      <c r="EJ6" s="16">
        <v>0.05</v>
      </c>
      <c r="EK6">
        <v>9</v>
      </c>
      <c r="EL6">
        <f t="shared" si="32"/>
        <v>3096</v>
      </c>
      <c r="EM6" s="16">
        <f t="shared" si="26"/>
        <v>0.45</v>
      </c>
      <c r="EN6">
        <v>180</v>
      </c>
      <c r="EO6" s="16">
        <v>0.05</v>
      </c>
      <c r="EP6">
        <v>9</v>
      </c>
      <c r="EQ6">
        <f t="shared" si="33"/>
        <v>15480</v>
      </c>
      <c r="ER6" s="16">
        <f t="shared" si="27"/>
        <v>0.45</v>
      </c>
      <c r="ES6">
        <v>28</v>
      </c>
      <c r="ET6" s="16">
        <v>0.05</v>
      </c>
      <c r="EU6">
        <v>8</v>
      </c>
      <c r="EV6">
        <f t="shared" si="34"/>
        <v>2352</v>
      </c>
      <c r="EW6" s="16">
        <f t="shared" si="28"/>
        <v>0.4</v>
      </c>
      <c r="EX6">
        <v>2</v>
      </c>
      <c r="EY6">
        <f t="shared" si="29"/>
        <v>34</v>
      </c>
      <c r="FB6" s="52">
        <v>4</v>
      </c>
      <c r="FC6" s="112">
        <v>1350</v>
      </c>
      <c r="FD6" s="55">
        <f>SUM($FC$3:FC6)</f>
        <v>4500</v>
      </c>
      <c r="FQ6" t="s">
        <v>235</v>
      </c>
      <c r="FR6">
        <f>FR3/FR4*FR5*10000</f>
        <v>39250</v>
      </c>
      <c r="FT6" t="s">
        <v>236</v>
      </c>
      <c r="FU6">
        <v>2</v>
      </c>
    </row>
    <row r="7" spans="1:180">
      <c r="J7">
        <f t="shared" si="13"/>
        <v>13500</v>
      </c>
      <c r="K7">
        <v>6</v>
      </c>
      <c r="L7">
        <f t="shared" si="14"/>
        <v>43</v>
      </c>
      <c r="M7" t="s">
        <v>181</v>
      </c>
      <c r="N7" t="str">
        <f t="shared" si="0"/>
        <v>幸运神像</v>
      </c>
      <c r="O7" t="s">
        <v>0</v>
      </c>
      <c r="P7" t="s">
        <v>237</v>
      </c>
      <c r="Q7" t="s">
        <v>238</v>
      </c>
      <c r="R7" t="s">
        <v>239</v>
      </c>
      <c r="V7">
        <v>100</v>
      </c>
      <c r="W7">
        <v>18</v>
      </c>
      <c r="X7">
        <v>7</v>
      </c>
      <c r="Y7">
        <v>33</v>
      </c>
      <c r="Z7">
        <v>8</v>
      </c>
      <c r="AA7">
        <v>27</v>
      </c>
      <c r="AB7">
        <v>45</v>
      </c>
      <c r="AD7">
        <v>6</v>
      </c>
      <c r="AE7">
        <v>16</v>
      </c>
      <c r="AF7">
        <f t="shared" si="15"/>
        <v>72</v>
      </c>
      <c r="AG7" t="s">
        <v>115</v>
      </c>
      <c r="AH7" s="70">
        <v>0.05</v>
      </c>
      <c r="AI7" s="70">
        <f>COUNTIF(AG$1:AG7,AG7)*AH7</f>
        <v>0.1</v>
      </c>
      <c r="AK7" t="s">
        <v>240</v>
      </c>
      <c r="AL7" t="s">
        <v>241</v>
      </c>
      <c r="AM7" s="70" t="s">
        <v>114</v>
      </c>
      <c r="AN7" s="70" t="s">
        <v>115</v>
      </c>
      <c r="AO7" s="70" t="s">
        <v>116</v>
      </c>
      <c r="AP7" s="70" t="s">
        <v>117</v>
      </c>
      <c r="AU7">
        <v>5</v>
      </c>
      <c r="AV7">
        <v>90</v>
      </c>
      <c r="AW7">
        <v>5</v>
      </c>
      <c r="AX7">
        <v>90</v>
      </c>
      <c r="AY7">
        <v>5</v>
      </c>
      <c r="AZ7">
        <v>90</v>
      </c>
      <c r="BB7" t="s">
        <v>242</v>
      </c>
      <c r="BC7" s="104" t="e">
        <f>#REF!</f>
        <v>#REF!</v>
      </c>
      <c r="BR7" s="10" t="s">
        <v>136</v>
      </c>
      <c r="BS7" s="10">
        <v>12</v>
      </c>
      <c r="BT7" s="10">
        <f t="shared" si="30"/>
        <v>0.012</v>
      </c>
      <c r="BU7" s="10"/>
      <c r="BV7" s="10"/>
      <c r="BW7" s="10"/>
      <c r="BX7" s="10"/>
      <c r="BY7" s="10"/>
      <c r="BZ7" s="10">
        <v>166</v>
      </c>
      <c r="CA7" s="10">
        <f t="shared" si="16"/>
        <v>27300</v>
      </c>
      <c r="CB7" s="10">
        <f t="shared" si="1"/>
        <v>54600</v>
      </c>
      <c r="CC7" s="10">
        <f t="shared" si="2"/>
        <v>327.6</v>
      </c>
      <c r="CD7" s="10">
        <f t="shared" si="3"/>
        <v>304.2</v>
      </c>
      <c r="CE7" s="10">
        <f t="shared" si="4"/>
        <v>57.9720087815587</v>
      </c>
      <c r="CF7" s="10"/>
      <c r="CG7" s="10">
        <v>166</v>
      </c>
      <c r="CH7" s="10">
        <f t="shared" si="17"/>
        <v>20185</v>
      </c>
      <c r="CI7" s="10">
        <v>0</v>
      </c>
      <c r="CJ7" s="10">
        <f t="shared" si="5"/>
        <v>161.48</v>
      </c>
      <c r="CK7" s="10">
        <f t="shared" si="6"/>
        <v>419.848</v>
      </c>
      <c r="CL7" s="10">
        <f t="shared" si="7"/>
        <v>87.4683333333333</v>
      </c>
      <c r="CM7" s="10"/>
      <c r="CN7" s="10">
        <v>22</v>
      </c>
      <c r="CO7" s="10">
        <v>86250</v>
      </c>
      <c r="CP7" s="10">
        <f t="shared" si="18"/>
        <v>155250</v>
      </c>
      <c r="CQ7" s="10">
        <f t="shared" si="8"/>
        <v>1190.25</v>
      </c>
      <c r="CR7" s="10">
        <f t="shared" si="9"/>
        <v>595.125</v>
      </c>
      <c r="CS7" s="10">
        <f t="shared" si="10"/>
        <v>113.414173984632</v>
      </c>
      <c r="CT7" s="10"/>
      <c r="CU7" s="10">
        <v>166</v>
      </c>
      <c r="CV7" s="10">
        <v>195100</v>
      </c>
      <c r="CW7" s="10">
        <v>0</v>
      </c>
      <c r="CX7" s="10">
        <f t="shared" si="11"/>
        <v>390.2</v>
      </c>
      <c r="CY7" s="10">
        <f t="shared" si="12"/>
        <v>845.433333333333</v>
      </c>
      <c r="CZ7" s="10"/>
      <c r="DA7" s="10"/>
      <c r="DB7" s="10"/>
      <c r="DC7" s="10"/>
      <c r="DD7" s="10">
        <v>9</v>
      </c>
      <c r="DE7" s="17">
        <f t="shared" si="23"/>
        <v>0.91125</v>
      </c>
      <c r="DF7" s="17">
        <v>0.08</v>
      </c>
      <c r="DG7" s="17">
        <v>0.0909</v>
      </c>
      <c r="DH7" s="10">
        <v>12</v>
      </c>
      <c r="DI7" s="10">
        <f t="array" ref="DI7">IF(DH7=1,1,SUM(_xlfn.SEQUENCE(DH7-1)*(1-DF7)^(_xlfn.SEQUENCE(DH7-1)-1)*DF7)+(1-DF7)^(DH7-1)*DH7)</f>
        <v>7.90417015431397</v>
      </c>
      <c r="DJ7" s="20">
        <f t="shared" si="24"/>
        <v>0.0384290816201898</v>
      </c>
      <c r="DK7">
        <f t="shared" si="19"/>
        <v>18238</v>
      </c>
      <c r="DL7" s="29">
        <f t="shared" si="20"/>
        <v>394.780129400153</v>
      </c>
      <c r="DM7" s="10"/>
      <c r="DN7" t="s">
        <v>243</v>
      </c>
      <c r="DO7" s="10">
        <f>属性晨星性价比!B8</f>
        <v>40</v>
      </c>
      <c r="EC7">
        <v>4</v>
      </c>
      <c r="ED7">
        <v>42</v>
      </c>
      <c r="EE7" s="16">
        <v>0.05</v>
      </c>
      <c r="EF7">
        <v>9</v>
      </c>
      <c r="EG7">
        <f t="shared" si="31"/>
        <v>3612</v>
      </c>
      <c r="EH7" s="16">
        <f t="shared" si="25"/>
        <v>0.45</v>
      </c>
      <c r="EI7">
        <v>42</v>
      </c>
      <c r="EJ7" s="16">
        <v>0.05</v>
      </c>
      <c r="EK7">
        <v>8</v>
      </c>
      <c r="EL7">
        <f t="shared" si="32"/>
        <v>3528</v>
      </c>
      <c r="EM7" s="16">
        <f t="shared" si="26"/>
        <v>0.4</v>
      </c>
      <c r="EN7">
        <v>210</v>
      </c>
      <c r="EO7" s="16">
        <v>0.05</v>
      </c>
      <c r="EP7">
        <v>8</v>
      </c>
      <c r="EQ7">
        <f t="shared" si="33"/>
        <v>17640</v>
      </c>
      <c r="ER7" s="16">
        <f t="shared" si="27"/>
        <v>0.4</v>
      </c>
      <c r="ES7">
        <v>33</v>
      </c>
      <c r="ET7" s="16">
        <v>0.05</v>
      </c>
      <c r="EU7">
        <v>7</v>
      </c>
      <c r="EV7">
        <f t="shared" si="34"/>
        <v>2706</v>
      </c>
      <c r="EW7" s="16">
        <f t="shared" si="28"/>
        <v>0.35</v>
      </c>
      <c r="EX7">
        <v>2</v>
      </c>
      <c r="EY7">
        <f t="shared" si="29"/>
        <v>34</v>
      </c>
      <c r="FB7" s="52">
        <v>5</v>
      </c>
      <c r="FC7" s="112">
        <v>1500</v>
      </c>
      <c r="FD7" s="55">
        <f>SUM($FC$3:FC7)</f>
        <v>6000</v>
      </c>
      <c r="FT7" t="s">
        <v>244</v>
      </c>
      <c r="FU7">
        <v>4</v>
      </c>
    </row>
    <row r="8" spans="1:180">
      <c r="J8">
        <f t="shared" si="13"/>
        <v>15750</v>
      </c>
      <c r="K8">
        <v>7</v>
      </c>
      <c r="L8">
        <f t="shared" si="14"/>
        <v>50</v>
      </c>
      <c r="M8" t="s">
        <v>245</v>
      </c>
      <c r="N8" t="str">
        <f t="shared" si="0"/>
        <v>4阶技能碎片*180</v>
      </c>
      <c r="O8" t="s">
        <v>1</v>
      </c>
      <c r="P8">
        <f>秘宝大作战!F1</f>
        <v>0</v>
      </c>
      <c r="Q8">
        <v>11</v>
      </c>
      <c r="V8" t="s">
        <v>246</v>
      </c>
      <c r="AD8">
        <v>7</v>
      </c>
      <c r="AE8">
        <v>16</v>
      </c>
      <c r="AF8">
        <f t="shared" si="15"/>
        <v>88</v>
      </c>
      <c r="AG8" t="s">
        <v>116</v>
      </c>
      <c r="AH8" s="70">
        <v>0.02</v>
      </c>
      <c r="AI8" s="70">
        <f>COUNTIF(AG$1:AG8,AG8)*AH8</f>
        <v>0.04</v>
      </c>
      <c r="AK8">
        <f>羽国星象合约计算器!H2</f>
        <v>3440</v>
      </c>
      <c r="AL8">
        <f>MATCH(AK8,$AF$2:$AF$65,1)</f>
        <v>52</v>
      </c>
      <c r="AM8" s="70">
        <f>VLOOKUP(IF(MOD(AL8,4)&lt;1,AL8-MOD(AL8,4)-3,AL8-MOD(AL8,4)+1),$AD$2:$AI$65,6,FALSE)</f>
        <v>0.39</v>
      </c>
      <c r="AN8" s="70">
        <f>VLOOKUP(IF(MOD(AL8,4)&lt;2,AL8-MOD(AL8,4)-2,AL8-MOD(AL8,4)+2),$AD$2:$AI$65,6,FALSE)</f>
        <v>0.65</v>
      </c>
      <c r="AO8" s="70">
        <f>VLOOKUP(IF(MOD(AL8,4)&lt;3,AL8-MOD(AL8,4)-1,AL8-MOD(AL8,4)+3),$AD$2:$AI$65,6,FALSE)</f>
        <v>0.26</v>
      </c>
      <c r="AP8" s="70">
        <f>VLOOKUP(IF(MOD(AL8,4)&lt;4,AL8-MOD(AL8,4),AL8-MOD(AL8,4)+4),$AD$2:$AI$65,6,FALSE)</f>
        <v>0.26</v>
      </c>
      <c r="AU8">
        <v>6</v>
      </c>
      <c r="AV8">
        <v>90</v>
      </c>
      <c r="AW8">
        <v>6</v>
      </c>
      <c r="AX8">
        <v>90</v>
      </c>
      <c r="AY8">
        <v>6</v>
      </c>
      <c r="AZ8">
        <v>90</v>
      </c>
      <c r="BB8" t="s">
        <v>247</v>
      </c>
      <c r="BC8" s="104" t="e">
        <f>BE4-BC6</f>
        <v>#REF!</v>
      </c>
      <c r="BR8" s="10" t="s">
        <v>248</v>
      </c>
      <c r="BS8" s="10">
        <v>2</v>
      </c>
      <c r="BT8" s="10">
        <f t="shared" si="30"/>
        <v>0.002</v>
      </c>
      <c r="BU8" s="10"/>
      <c r="BV8" s="10"/>
      <c r="BW8" s="10"/>
      <c r="BX8" s="10"/>
      <c r="BY8" s="10"/>
      <c r="BZ8" s="10">
        <v>167</v>
      </c>
      <c r="CA8" s="10">
        <f t="shared" si="16"/>
        <v>27560</v>
      </c>
      <c r="CB8" s="10">
        <f t="shared" si="1"/>
        <v>55120</v>
      </c>
      <c r="CC8" s="10">
        <f t="shared" si="2"/>
        <v>330.72</v>
      </c>
      <c r="CD8" s="10">
        <f t="shared" si="3"/>
        <v>307.097142857143</v>
      </c>
      <c r="CE8" s="10">
        <f t="shared" si="4"/>
        <v>58.5241231509069</v>
      </c>
      <c r="CF8" s="10"/>
      <c r="CG8" s="10">
        <v>167</v>
      </c>
      <c r="CH8" s="10">
        <f t="shared" si="22"/>
        <v>20380</v>
      </c>
      <c r="CI8" s="10">
        <v>0</v>
      </c>
      <c r="CJ8" s="10">
        <f t="shared" si="5"/>
        <v>163.04</v>
      </c>
      <c r="CK8" s="10">
        <f t="shared" si="6"/>
        <v>423.904</v>
      </c>
      <c r="CL8" s="10">
        <f t="shared" si="7"/>
        <v>88.3133333333333</v>
      </c>
      <c r="CM8" s="10"/>
      <c r="CN8" s="10">
        <v>23</v>
      </c>
      <c r="CO8" s="10">
        <v>92000</v>
      </c>
      <c r="CP8" s="10">
        <f t="shared" si="18"/>
        <v>165600</v>
      </c>
      <c r="CQ8" s="10">
        <f t="shared" si="8"/>
        <v>1269.6</v>
      </c>
      <c r="CR8" s="10">
        <f t="shared" si="9"/>
        <v>634.8</v>
      </c>
      <c r="CS8" s="10">
        <f t="shared" si="10"/>
        <v>120.975118916941</v>
      </c>
      <c r="CT8" s="10"/>
      <c r="CU8" s="10">
        <v>167</v>
      </c>
      <c r="CV8" s="10">
        <v>198650</v>
      </c>
      <c r="CW8" s="10">
        <v>0</v>
      </c>
      <c r="CX8" s="10">
        <f t="shared" si="11"/>
        <v>397.3</v>
      </c>
      <c r="CY8" s="10">
        <f t="shared" si="12"/>
        <v>860.816666666667</v>
      </c>
      <c r="CZ8" s="10"/>
      <c r="DA8" s="10"/>
      <c r="DB8" s="10"/>
      <c r="DC8" s="10"/>
      <c r="DD8">
        <v>10</v>
      </c>
      <c r="DE8" s="17">
        <f t="shared" si="23"/>
        <v>1.366875</v>
      </c>
      <c r="DF8" s="32">
        <v>0.04</v>
      </c>
      <c r="DG8" s="32">
        <v>0.0435</v>
      </c>
      <c r="DH8">
        <v>24</v>
      </c>
      <c r="DI8" s="10">
        <f t="array" ref="DI8">IF(DH8=1,1,SUM(_xlfn.SEQUENCE(DH8-1)*(1-DF8)^(_xlfn.SEQUENCE(DH8-1)-1)*DF8)+(1-DF8)^(DH8-1)*DH8)</f>
        <v>15.6146688318224</v>
      </c>
      <c r="DJ8" s="20">
        <f t="shared" si="24"/>
        <v>0.0291792931958598</v>
      </c>
      <c r="DK8">
        <f t="shared" si="19"/>
        <v>13848</v>
      </c>
      <c r="DL8" s="29">
        <f t="shared" si="20"/>
        <v>519.930675909879</v>
      </c>
      <c r="DN8" t="s">
        <v>249</v>
      </c>
      <c r="DO8" s="10">
        <f>属性晨星性价比!B9</f>
        <v>45</v>
      </c>
      <c r="EC8">
        <v>5</v>
      </c>
      <c r="ED8">
        <v>42</v>
      </c>
      <c r="EE8" s="16">
        <v>0.05</v>
      </c>
      <c r="EF8">
        <v>9</v>
      </c>
      <c r="EG8">
        <f t="shared" si="31"/>
        <v>3612</v>
      </c>
      <c r="EH8" s="16">
        <f t="shared" si="25"/>
        <v>0.45</v>
      </c>
      <c r="EI8">
        <v>42</v>
      </c>
      <c r="EJ8" s="16">
        <v>0.05</v>
      </c>
      <c r="EK8">
        <v>8</v>
      </c>
      <c r="EL8">
        <f t="shared" si="32"/>
        <v>3528</v>
      </c>
      <c r="EM8" s="16">
        <f t="shared" si="26"/>
        <v>0.4</v>
      </c>
      <c r="EN8">
        <v>210</v>
      </c>
      <c r="EO8" s="16">
        <v>0.05</v>
      </c>
      <c r="EP8">
        <v>8</v>
      </c>
      <c r="EQ8">
        <f t="shared" si="33"/>
        <v>17640</v>
      </c>
      <c r="ER8" s="16">
        <f t="shared" si="27"/>
        <v>0.4</v>
      </c>
      <c r="ES8">
        <v>33</v>
      </c>
      <c r="ET8" s="16">
        <v>0.05</v>
      </c>
      <c r="EU8">
        <v>7</v>
      </c>
      <c r="EV8">
        <f t="shared" si="34"/>
        <v>2706</v>
      </c>
      <c r="EW8" s="16">
        <f t="shared" si="28"/>
        <v>0.35</v>
      </c>
      <c r="EX8">
        <v>2</v>
      </c>
      <c r="EY8">
        <f t="shared" si="29"/>
        <v>34</v>
      </c>
      <c r="FB8" s="52">
        <v>6</v>
      </c>
      <c r="FC8" s="112">
        <v>1530</v>
      </c>
      <c r="FD8" s="55">
        <f>SUM($FC$3:FC8)</f>
        <v>7530</v>
      </c>
    </row>
    <row r="9" spans="1:180">
      <c r="J9">
        <f t="shared" si="13"/>
        <v>18000</v>
      </c>
      <c r="K9">
        <v>8</v>
      </c>
      <c r="L9">
        <f t="shared" si="14"/>
        <v>57</v>
      </c>
      <c r="M9" t="s">
        <v>226</v>
      </c>
      <c r="N9" t="str">
        <f t="shared" si="0"/>
        <v>原初宝石</v>
      </c>
      <c r="O9" t="s">
        <v>2</v>
      </c>
      <c r="P9">
        <f>秘宝大作战!H1</f>
        <v>-1</v>
      </c>
      <c r="Q9">
        <v>35</v>
      </c>
      <c r="R9">
        <f>Q8+1+P8</f>
        <v>12</v>
      </c>
      <c r="V9" t="s">
        <v>183</v>
      </c>
      <c r="W9" t="s">
        <v>184</v>
      </c>
      <c r="X9" t="s">
        <v>185</v>
      </c>
      <c r="Y9" t="s">
        <v>186</v>
      </c>
      <c r="Z9" t="s">
        <v>187</v>
      </c>
      <c r="AA9" t="s">
        <v>188</v>
      </c>
      <c r="AB9" t="s">
        <v>189</v>
      </c>
      <c r="AD9">
        <v>8</v>
      </c>
      <c r="AE9">
        <v>16</v>
      </c>
      <c r="AF9">
        <f t="shared" si="15"/>
        <v>104</v>
      </c>
      <c r="AG9" t="s">
        <v>117</v>
      </c>
      <c r="AH9" s="70">
        <v>0.02</v>
      </c>
      <c r="AI9" s="70">
        <f>COUNTIF(AG$1:AG9,AG9)*AH9</f>
        <v>0.04</v>
      </c>
      <c r="AU9">
        <v>7</v>
      </c>
      <c r="AV9">
        <v>90</v>
      </c>
      <c r="AW9">
        <v>7</v>
      </c>
      <c r="AX9">
        <v>90</v>
      </c>
      <c r="AY9">
        <v>7</v>
      </c>
      <c r="AZ9">
        <v>90</v>
      </c>
      <c r="BB9" t="s">
        <v>250</v>
      </c>
      <c r="BC9" s="104" t="e">
        <f>#REF!</f>
        <v>#REF!</v>
      </c>
      <c r="BR9" s="10"/>
      <c r="BS9" s="10"/>
      <c r="BT9" s="10"/>
      <c r="BU9" s="10"/>
      <c r="BV9" s="10"/>
      <c r="BW9" s="10"/>
      <c r="BX9" s="10"/>
      <c r="BY9" s="10"/>
      <c r="BZ9" s="10">
        <v>168</v>
      </c>
      <c r="CA9" s="10">
        <f t="shared" si="16"/>
        <v>27820</v>
      </c>
      <c r="CB9" s="10">
        <f t="shared" si="1"/>
        <v>55640</v>
      </c>
      <c r="CC9" s="10">
        <f t="shared" si="2"/>
        <v>333.84</v>
      </c>
      <c r="CD9" s="10">
        <f t="shared" si="3"/>
        <v>309.994285714286</v>
      </c>
      <c r="CE9" s="10">
        <f t="shared" si="4"/>
        <v>59.0762375202551</v>
      </c>
      <c r="CF9" s="10"/>
      <c r="CG9" s="10">
        <v>168</v>
      </c>
      <c r="CH9" s="10">
        <f t="shared" ref="CH9:CH13" si="35">CH8+190</f>
        <v>20570</v>
      </c>
      <c r="CI9" s="10">
        <v>0</v>
      </c>
      <c r="CJ9" s="10">
        <f t="shared" si="5"/>
        <v>164.56</v>
      </c>
      <c r="CK9" s="10">
        <f t="shared" si="6"/>
        <v>427.856</v>
      </c>
      <c r="CL9" s="10">
        <f t="shared" si="7"/>
        <v>89.1366666666667</v>
      </c>
      <c r="CM9" s="10"/>
      <c r="CN9" s="10">
        <v>24</v>
      </c>
      <c r="CO9" s="10">
        <v>97750</v>
      </c>
      <c r="CP9" s="10">
        <f t="shared" si="18"/>
        <v>175950</v>
      </c>
      <c r="CQ9" s="10">
        <f t="shared" si="8"/>
        <v>1348.95</v>
      </c>
      <c r="CR9" s="10">
        <f t="shared" si="9"/>
        <v>674.475</v>
      </c>
      <c r="CS9" s="10">
        <f t="shared" si="10"/>
        <v>128.53606384925</v>
      </c>
      <c r="CT9" s="10"/>
      <c r="CU9" s="10">
        <v>168</v>
      </c>
      <c r="CV9" s="10">
        <v>202200</v>
      </c>
      <c r="CW9" s="10">
        <v>0</v>
      </c>
      <c r="CX9" s="10">
        <f t="shared" si="11"/>
        <v>404.4</v>
      </c>
      <c r="CY9" s="10">
        <f t="shared" si="12"/>
        <v>876.2</v>
      </c>
      <c r="CZ9" s="10"/>
      <c r="DA9" s="10"/>
      <c r="DB9" s="10"/>
      <c r="DC9" s="10"/>
      <c r="DD9">
        <v>11</v>
      </c>
      <c r="DE9" s="17">
        <f t="shared" si="23"/>
        <v>2.0503125</v>
      </c>
      <c r="DF9" s="17">
        <v>1</v>
      </c>
      <c r="DG9" s="18">
        <v>1</v>
      </c>
      <c r="DH9" s="10">
        <v>1</v>
      </c>
      <c r="DI9" s="10">
        <f>SUM(DI3:DI8)</f>
        <v>31.4350685893364</v>
      </c>
      <c r="DJ9" s="20">
        <f t="shared" si="24"/>
        <v>0.0217412441158738</v>
      </c>
      <c r="DK9">
        <f t="shared" si="19"/>
        <v>10318</v>
      </c>
      <c r="DL9" s="29">
        <f t="shared" si="20"/>
        <v>697.809653033534</v>
      </c>
      <c r="EC9">
        <v>6</v>
      </c>
      <c r="ED9">
        <v>48</v>
      </c>
      <c r="EE9" s="16">
        <v>0.05</v>
      </c>
      <c r="EF9">
        <v>8</v>
      </c>
      <c r="EG9">
        <f t="shared" si="31"/>
        <v>4032</v>
      </c>
      <c r="EH9" s="16">
        <f t="shared" si="25"/>
        <v>0.4</v>
      </c>
      <c r="EI9">
        <v>48</v>
      </c>
      <c r="EJ9" s="16">
        <v>0.05</v>
      </c>
      <c r="EK9">
        <v>8</v>
      </c>
      <c r="EL9">
        <f t="shared" si="32"/>
        <v>4032</v>
      </c>
      <c r="EM9" s="16">
        <f t="shared" si="26"/>
        <v>0.4</v>
      </c>
      <c r="EN9">
        <v>240</v>
      </c>
      <c r="EO9" s="16">
        <v>0.05</v>
      </c>
      <c r="EP9">
        <v>9</v>
      </c>
      <c r="EQ9">
        <f t="shared" si="33"/>
        <v>20640</v>
      </c>
      <c r="ER9" s="16">
        <f t="shared" si="27"/>
        <v>0.45</v>
      </c>
      <c r="ES9">
        <v>38</v>
      </c>
      <c r="ET9" s="16">
        <v>0.05</v>
      </c>
      <c r="EU9">
        <v>7</v>
      </c>
      <c r="EV9">
        <f t="shared" si="34"/>
        <v>3116</v>
      </c>
      <c r="EW9" s="16">
        <f t="shared" si="28"/>
        <v>0.35</v>
      </c>
      <c r="EX9">
        <v>2</v>
      </c>
      <c r="EY9">
        <f t="shared" si="29"/>
        <v>34</v>
      </c>
      <c r="FB9" s="52">
        <v>7</v>
      </c>
      <c r="FC9" s="112">
        <v>1560</v>
      </c>
      <c r="FD9" s="55">
        <f>SUM($FC$3:FC9)</f>
        <v>9090</v>
      </c>
    </row>
    <row r="10" spans="1:180">
      <c r="J10">
        <f t="shared" si="13"/>
        <v>20250</v>
      </c>
      <c r="K10">
        <v>9</v>
      </c>
      <c r="L10">
        <f t="shared" si="14"/>
        <v>64</v>
      </c>
      <c r="M10" t="s">
        <v>251</v>
      </c>
      <c r="N10" t="str">
        <f t="shared" si="0"/>
        <v>自选奇迹遗物·龙I</v>
      </c>
      <c r="O10" t="s">
        <v>3</v>
      </c>
      <c r="P10">
        <f>秘宝大作战!J1</f>
        <v>-1</v>
      </c>
      <c r="Q10">
        <v>67</v>
      </c>
      <c r="R10">
        <f>Q9+P9+R9</f>
        <v>46</v>
      </c>
      <c r="V10">
        <v>100</v>
      </c>
      <c r="W10">
        <v>14</v>
      </c>
      <c r="X10">
        <v>5</v>
      </c>
      <c r="Y10">
        <v>26</v>
      </c>
      <c r="Z10">
        <v>6</v>
      </c>
      <c r="AA10">
        <v>13</v>
      </c>
      <c r="AB10">
        <v>65</v>
      </c>
      <c r="AD10">
        <v>9</v>
      </c>
      <c r="AE10">
        <v>24</v>
      </c>
      <c r="AF10">
        <f t="shared" si="15"/>
        <v>128</v>
      </c>
      <c r="AG10" t="s">
        <v>114</v>
      </c>
      <c r="AH10" s="70">
        <v>0.03</v>
      </c>
      <c r="AI10" s="70">
        <f>COUNTIF(AG$1:AG10,AG10)*AH10</f>
        <v>0.09</v>
      </c>
      <c r="AK10" t="s">
        <v>252</v>
      </c>
      <c r="AL10" t="s">
        <v>241</v>
      </c>
      <c r="AM10" s="70" t="s">
        <v>114</v>
      </c>
      <c r="AN10" s="70" t="s">
        <v>115</v>
      </c>
      <c r="AO10" s="70" t="s">
        <v>116</v>
      </c>
      <c r="AP10" s="70" t="s">
        <v>117</v>
      </c>
      <c r="AU10">
        <v>8</v>
      </c>
      <c r="AV10">
        <v>90</v>
      </c>
      <c r="AW10">
        <v>8</v>
      </c>
      <c r="AX10">
        <v>90</v>
      </c>
      <c r="AY10">
        <v>8</v>
      </c>
      <c r="AZ10">
        <v>90</v>
      </c>
      <c r="BB10" t="s">
        <v>253</v>
      </c>
      <c r="BC10" s="104" t="e">
        <f>#REF!</f>
        <v>#REF!</v>
      </c>
      <c r="BR10" s="10"/>
      <c r="BS10" s="10"/>
      <c r="BT10" s="10"/>
      <c r="BU10" s="10"/>
      <c r="BV10" s="10"/>
      <c r="BW10" s="10"/>
      <c r="BX10" s="10"/>
      <c r="BY10" s="10"/>
      <c r="BZ10" s="10">
        <v>169</v>
      </c>
      <c r="CA10" s="10">
        <f t="shared" si="16"/>
        <v>28080</v>
      </c>
      <c r="CB10" s="10">
        <f t="shared" si="1"/>
        <v>56160</v>
      </c>
      <c r="CC10" s="10">
        <f t="shared" si="2"/>
        <v>336.96</v>
      </c>
      <c r="CD10" s="10">
        <f t="shared" si="3"/>
        <v>312.891428571429</v>
      </c>
      <c r="CE10" s="10">
        <f t="shared" si="4"/>
        <v>59.6283518896033</v>
      </c>
      <c r="CF10" s="10"/>
      <c r="CG10" s="10">
        <v>169</v>
      </c>
      <c r="CH10" s="10">
        <f t="shared" ref="CH10:CH14" si="36">CH9+195</f>
        <v>20765</v>
      </c>
      <c r="CI10" s="10">
        <v>0</v>
      </c>
      <c r="CJ10" s="10">
        <f t="shared" si="5"/>
        <v>166.12</v>
      </c>
      <c r="CK10" s="10">
        <f t="shared" si="6"/>
        <v>431.912</v>
      </c>
      <c r="CL10" s="10">
        <f t="shared" si="7"/>
        <v>89.9816666666667</v>
      </c>
      <c r="CM10" s="10"/>
      <c r="CN10" s="10">
        <v>25</v>
      </c>
      <c r="CO10" s="10">
        <v>103500</v>
      </c>
      <c r="CP10" s="10">
        <f t="shared" si="18"/>
        <v>186300</v>
      </c>
      <c r="CQ10" s="10">
        <f t="shared" si="8"/>
        <v>1428.3</v>
      </c>
      <c r="CR10" s="10">
        <f t="shared" si="9"/>
        <v>714.15</v>
      </c>
      <c r="CS10" s="10">
        <f t="shared" si="10"/>
        <v>136.097008781559</v>
      </c>
      <c r="CT10" s="10"/>
      <c r="CU10" s="10">
        <v>169</v>
      </c>
      <c r="CV10" s="10">
        <v>205750</v>
      </c>
      <c r="CW10" s="10">
        <v>0</v>
      </c>
      <c r="CX10" s="10">
        <f t="shared" si="11"/>
        <v>411.5</v>
      </c>
      <c r="CY10" s="10">
        <f t="shared" si="12"/>
        <v>891.583333333333</v>
      </c>
      <c r="CZ10" s="10"/>
      <c r="DA10" s="10"/>
      <c r="DB10" s="10"/>
      <c r="DC10" s="10"/>
      <c r="DD10">
        <v>12</v>
      </c>
      <c r="DE10" s="17">
        <f t="shared" si="23"/>
        <v>3.07546875</v>
      </c>
      <c r="DF10" s="17">
        <v>0.36</v>
      </c>
      <c r="DG10" s="17">
        <v>0.5</v>
      </c>
      <c r="DH10" s="10">
        <v>3</v>
      </c>
      <c r="DI10" s="10" cm="1">
        <f t="array" ref="DI10">IF(DH10=1,$DI$9,$DI$9*(SUM(_xlfn.SEQUENCE(DH10-1)*(1-DF10)^(_xlfn.SEQUENCE(DH10-1)-1)*DF10)+(1-DF10)^(DH10-1)*DH10))</f>
        <v>64.4293165807038</v>
      </c>
      <c r="DJ10" s="20">
        <f t="shared" si="24"/>
        <v>0.0159113320520154</v>
      </c>
      <c r="DK10">
        <f t="shared" si="19"/>
        <v>7551</v>
      </c>
      <c r="DL10" s="29">
        <f t="shared" si="20"/>
        <v>953.516090584029</v>
      </c>
      <c r="EC10">
        <v>7</v>
      </c>
      <c r="ED10">
        <v>48</v>
      </c>
      <c r="EE10" s="16">
        <v>0.05</v>
      </c>
      <c r="EF10">
        <v>9</v>
      </c>
      <c r="EG10">
        <f t="shared" si="31"/>
        <v>4128</v>
      </c>
      <c r="EH10" s="16">
        <f t="shared" si="25"/>
        <v>0.45</v>
      </c>
      <c r="EI10">
        <v>48</v>
      </c>
      <c r="EJ10" s="16">
        <v>0.05</v>
      </c>
      <c r="EK10">
        <v>6</v>
      </c>
      <c r="EL10">
        <f t="shared" si="32"/>
        <v>3840</v>
      </c>
      <c r="EM10" s="16">
        <f t="shared" si="26"/>
        <v>0.3</v>
      </c>
      <c r="EN10">
        <v>240</v>
      </c>
      <c r="EO10" s="16">
        <v>0.05</v>
      </c>
      <c r="EP10">
        <v>9</v>
      </c>
      <c r="EQ10">
        <f t="shared" si="33"/>
        <v>20640</v>
      </c>
      <c r="ER10" s="16">
        <f t="shared" si="27"/>
        <v>0.45</v>
      </c>
      <c r="ES10">
        <v>38</v>
      </c>
      <c r="ET10" s="16">
        <v>0.05</v>
      </c>
      <c r="EU10">
        <v>8</v>
      </c>
      <c r="EV10">
        <f t="shared" si="34"/>
        <v>3192</v>
      </c>
      <c r="EW10" s="16">
        <f t="shared" si="28"/>
        <v>0.4</v>
      </c>
      <c r="EX10">
        <v>2</v>
      </c>
      <c r="EY10">
        <f t="shared" si="29"/>
        <v>34</v>
      </c>
      <c r="FB10" s="52">
        <v>8</v>
      </c>
      <c r="FC10" s="112">
        <v>1590</v>
      </c>
      <c r="FD10" s="55">
        <f>SUM($FC$3:FC10)</f>
        <v>10680</v>
      </c>
      <c r="FM10" t="s">
        <v>174</v>
      </c>
      <c r="FO10">
        <v>20</v>
      </c>
      <c r="FP10">
        <v>20</v>
      </c>
      <c r="FQ10">
        <v>40</v>
      </c>
      <c r="FR10">
        <v>60</v>
      </c>
      <c r="FS10">
        <v>80</v>
      </c>
      <c r="FT10">
        <v>100</v>
      </c>
      <c r="FU10">
        <v>120</v>
      </c>
    </row>
    <row r="11" spans="1:180">
      <c r="A11" t="s">
        <v>34</v>
      </c>
      <c r="B11" t="s">
        <v>254</v>
      </c>
      <c r="C11" t="s">
        <v>255</v>
      </c>
      <c r="D11" t="s">
        <v>256</v>
      </c>
      <c r="E11" t="s">
        <v>257</v>
      </c>
      <c r="F11" t="s">
        <v>258</v>
      </c>
      <c r="J11">
        <f t="shared" si="13"/>
        <v>22350</v>
      </c>
      <c r="K11">
        <v>10</v>
      </c>
      <c r="L11">
        <f t="shared" si="14"/>
        <v>71</v>
      </c>
      <c r="M11" t="s">
        <v>181</v>
      </c>
      <c r="N11" t="str">
        <f t="shared" si="0"/>
        <v>幸运神像</v>
      </c>
      <c r="O11" t="s">
        <v>4</v>
      </c>
      <c r="P11">
        <f>秘宝大作战!L1</f>
        <v>-1</v>
      </c>
      <c r="Q11">
        <v>101</v>
      </c>
      <c r="R11">
        <f>Q10+P10+R10</f>
        <v>112</v>
      </c>
      <c r="V11" t="s">
        <v>259</v>
      </c>
      <c r="AD11">
        <v>10</v>
      </c>
      <c r="AE11">
        <v>24</v>
      </c>
      <c r="AF11">
        <f t="shared" si="15"/>
        <v>152</v>
      </c>
      <c r="AG11" t="s">
        <v>115</v>
      </c>
      <c r="AH11" s="70">
        <v>0.05</v>
      </c>
      <c r="AI11" s="70">
        <f>COUNTIF(AG$1:AG11,AG11)*AH11</f>
        <v>0.15</v>
      </c>
      <c r="AK11">
        <f>哈帕迪星象合约计算器!H2</f>
        <v>9080</v>
      </c>
      <c r="AL11">
        <f>MATCH(AK11,$AF$2:$AF$89,1)</f>
        <v>80</v>
      </c>
      <c r="AM11" s="70">
        <f>VLOOKUP(IF(MOD(AL11,4)&lt;1,AL11-MOD(AL11,4)-3,AL11-MOD(AL11,4)+1),$AD$2:$AI$89,6,FALSE)</f>
        <v>0.6</v>
      </c>
      <c r="AN11" s="70">
        <f>VLOOKUP(IF(MOD(AL11,4)&lt;2,AL11-MOD(AL11,4)-2,AL11-MOD(AL11,4)+2),$AD$2:$AI$89,6,FALSE)</f>
        <v>1</v>
      </c>
      <c r="AO11" s="70">
        <f>VLOOKUP(IF(MOD(AL11,4)&lt;3,AL11-MOD(AL11,4)-1,AL11-MOD(AL11,4)+3),$AD$2:$AI$89,6,FALSE)</f>
        <v>0.4</v>
      </c>
      <c r="AP11" s="70">
        <f>VLOOKUP(IF(MOD(AL11,4)&lt;4,AL11-MOD(AL11,4),AL11-MOD(AL11,4)+4),$AD$2:$AI$89,6,FALSE)</f>
        <v>0.4</v>
      </c>
      <c r="AU11">
        <v>9</v>
      </c>
      <c r="AV11">
        <v>100</v>
      </c>
      <c r="AW11">
        <v>9</v>
      </c>
      <c r="AX11">
        <v>100</v>
      </c>
      <c r="AY11">
        <v>9</v>
      </c>
      <c r="AZ11">
        <v>100</v>
      </c>
      <c r="BB11" t="s">
        <v>260</v>
      </c>
      <c r="BC11" s="110" t="e">
        <f>BC8/BC7/24+BC2</f>
        <v>#REF!</v>
      </c>
      <c r="BR11" s="10"/>
      <c r="BS11" s="10"/>
      <c r="BT11" s="10"/>
      <c r="BU11" s="10"/>
      <c r="BV11" s="10"/>
      <c r="BW11" s="10"/>
      <c r="BX11" s="10"/>
      <c r="BY11" s="10"/>
      <c r="BZ11" s="10">
        <v>170</v>
      </c>
      <c r="CA11" s="10">
        <f t="shared" si="16"/>
        <v>28340</v>
      </c>
      <c r="CB11" s="10">
        <f t="shared" si="1"/>
        <v>56680</v>
      </c>
      <c r="CC11" s="10">
        <f t="shared" si="2"/>
        <v>340.08</v>
      </c>
      <c r="CD11" s="10">
        <f t="shared" si="3"/>
        <v>315.788571428571</v>
      </c>
      <c r="CE11" s="10">
        <f t="shared" si="4"/>
        <v>60.1804662589514</v>
      </c>
      <c r="CF11" s="10"/>
      <c r="CG11" s="10">
        <v>170</v>
      </c>
      <c r="CH11" s="10">
        <f t="shared" si="35"/>
        <v>20955</v>
      </c>
      <c r="CI11" s="10">
        <v>0</v>
      </c>
      <c r="CJ11" s="10">
        <f t="shared" si="5"/>
        <v>167.64</v>
      </c>
      <c r="CK11" s="10">
        <f t="shared" si="6"/>
        <v>435.864</v>
      </c>
      <c r="CL11" s="10">
        <f t="shared" si="7"/>
        <v>90.805</v>
      </c>
      <c r="CM11" s="10"/>
      <c r="CN11" s="10">
        <v>26</v>
      </c>
      <c r="CO11" s="10">
        <v>109250</v>
      </c>
      <c r="CP11" s="10">
        <f t="shared" si="18"/>
        <v>196650</v>
      </c>
      <c r="CQ11" s="10">
        <f t="shared" si="8"/>
        <v>1507.65</v>
      </c>
      <c r="CR11" s="10">
        <f t="shared" si="9"/>
        <v>753.825</v>
      </c>
      <c r="CS11" s="10">
        <f t="shared" si="10"/>
        <v>143.657953713868</v>
      </c>
      <c r="CT11" s="10"/>
      <c r="CU11" s="10">
        <v>170</v>
      </c>
      <c r="CV11" s="10">
        <v>209300</v>
      </c>
      <c r="CW11" s="10">
        <v>0</v>
      </c>
      <c r="CX11" s="10">
        <f t="shared" si="11"/>
        <v>418.6</v>
      </c>
      <c r="CY11" s="10">
        <f t="shared" si="12"/>
        <v>906.966666666667</v>
      </c>
      <c r="CZ11" s="10"/>
      <c r="DA11" s="10"/>
      <c r="DB11" s="10"/>
      <c r="DC11" s="10"/>
      <c r="DD11">
        <v>13</v>
      </c>
      <c r="DE11" s="17">
        <f t="shared" si="23"/>
        <v>4.613203125</v>
      </c>
      <c r="DF11" s="17">
        <v>0.18</v>
      </c>
      <c r="DG11" s="17">
        <v>0.2</v>
      </c>
      <c r="DH11" s="10">
        <v>6</v>
      </c>
      <c r="DI11" s="10" cm="1">
        <f t="array" ref="DI11">IF(DH11=1,$DI$9,$DI$9*(SUM(_xlfn.SEQUENCE(DH11-1)*(1-DF11)^(_xlfn.SEQUENCE(DH11-1)-1)*DF11)+(1-DF11)^(DH11-1)*DH11))</f>
        <v>121.54776678615</v>
      </c>
      <c r="DJ11" s="20">
        <f t="shared" si="24"/>
        <v>0.0126512762485013</v>
      </c>
      <c r="DK11">
        <f t="shared" si="19"/>
        <v>6004</v>
      </c>
      <c r="DL11" s="29">
        <f t="shared" si="20"/>
        <v>1199.20053297801</v>
      </c>
      <c r="EC11">
        <v>8</v>
      </c>
      <c r="ED11">
        <v>48</v>
      </c>
      <c r="EE11" s="16">
        <v>0.05</v>
      </c>
      <c r="EF11">
        <v>8</v>
      </c>
      <c r="EG11">
        <f t="shared" si="31"/>
        <v>4032</v>
      </c>
      <c r="EH11" s="16">
        <f t="shared" si="25"/>
        <v>0.4</v>
      </c>
      <c r="EI11">
        <v>48</v>
      </c>
      <c r="EJ11" s="16">
        <v>0.05</v>
      </c>
      <c r="EK11">
        <v>9</v>
      </c>
      <c r="EL11">
        <f t="shared" si="32"/>
        <v>4128</v>
      </c>
      <c r="EM11" s="16">
        <f t="shared" si="26"/>
        <v>0.45</v>
      </c>
      <c r="EN11">
        <v>240</v>
      </c>
      <c r="EO11" s="16">
        <v>0.05</v>
      </c>
      <c r="EP11">
        <v>7</v>
      </c>
      <c r="EQ11">
        <f t="shared" si="33"/>
        <v>19680</v>
      </c>
      <c r="ER11" s="16">
        <f t="shared" si="27"/>
        <v>0.35</v>
      </c>
      <c r="ES11">
        <v>38</v>
      </c>
      <c r="ET11" s="16">
        <v>0.05</v>
      </c>
      <c r="EU11">
        <v>8</v>
      </c>
      <c r="EV11">
        <f t="shared" si="34"/>
        <v>3192</v>
      </c>
      <c r="EW11" s="16">
        <f t="shared" si="28"/>
        <v>0.4</v>
      </c>
      <c r="EX11">
        <v>2</v>
      </c>
      <c r="EY11">
        <f t="shared" si="29"/>
        <v>34</v>
      </c>
      <c r="FB11" s="52">
        <v>9</v>
      </c>
      <c r="FC11" s="112">
        <v>1620</v>
      </c>
      <c r="FD11" s="55">
        <f>SUM($FC$3:FC11)</f>
        <v>12300</v>
      </c>
      <c r="FF11" s="1"/>
      <c r="FG11" s="1" t="s">
        <v>261</v>
      </c>
      <c r="FH11" s="1" t="s">
        <v>262</v>
      </c>
      <c r="FI11" s="1" t="s">
        <v>263</v>
      </c>
      <c r="FN11" t="s">
        <v>264</v>
      </c>
      <c r="FO11">
        <f>$FR$6</f>
        <v>39250</v>
      </c>
      <c r="FP11">
        <f t="shared" ref="FP11:FU11" si="37">0.2*$FR$6</f>
        <v>7850</v>
      </c>
      <c r="FQ11">
        <f t="shared" si="37"/>
        <v>7850</v>
      </c>
      <c r="FR11">
        <f t="shared" si="37"/>
        <v>7850</v>
      </c>
      <c r="FS11">
        <f t="shared" si="37"/>
        <v>7850</v>
      </c>
      <c r="FT11">
        <f t="shared" si="37"/>
        <v>7850</v>
      </c>
      <c r="FU11">
        <f>2*$FR$6</f>
        <v>78500</v>
      </c>
    </row>
    <row r="12" spans="1:180">
      <c r="A12">
        <v>1</v>
      </c>
      <c r="B12">
        <f>秘宝大作战!D3-秘宝大作战!H3</f>
        <v>-990</v>
      </c>
      <c r="C12">
        <f>IF(B12&lt;0,-B12,0)</f>
        <v>990</v>
      </c>
      <c r="D12">
        <f>IF(C12&gt;0,A12*2*60,0)</f>
        <v>120</v>
      </c>
      <c r="E12">
        <f>IF(C12&gt;0,A12*2*300,0)</f>
        <v>600</v>
      </c>
      <c r="F12">
        <f>IF(C12-D12-E12&gt;0,C12-D12-E12,0)</f>
        <v>270</v>
      </c>
      <c r="J12">
        <f t="shared" si="13"/>
        <v>24600</v>
      </c>
      <c r="K12">
        <v>11</v>
      </c>
      <c r="L12">
        <f t="shared" si="14"/>
        <v>78</v>
      </c>
      <c r="M12" t="s">
        <v>245</v>
      </c>
      <c r="N12" t="str">
        <f t="shared" si="0"/>
        <v>4阶技能碎片*180</v>
      </c>
      <c r="O12" t="s">
        <v>5</v>
      </c>
      <c r="P12">
        <f>秘宝大作战!N1</f>
        <v>-4</v>
      </c>
      <c r="R12">
        <f>Q11+P11+R11</f>
        <v>212</v>
      </c>
      <c r="V12" t="s">
        <v>183</v>
      </c>
      <c r="W12" t="s">
        <v>184</v>
      </c>
      <c r="X12" t="s">
        <v>185</v>
      </c>
      <c r="Y12" t="s">
        <v>186</v>
      </c>
      <c r="Z12" t="s">
        <v>187</v>
      </c>
      <c r="AA12" t="s">
        <v>188</v>
      </c>
      <c r="AB12" t="s">
        <v>189</v>
      </c>
      <c r="AD12">
        <v>11</v>
      </c>
      <c r="AE12">
        <v>24</v>
      </c>
      <c r="AF12">
        <f t="shared" si="15"/>
        <v>176</v>
      </c>
      <c r="AG12" t="s">
        <v>116</v>
      </c>
      <c r="AH12" s="70">
        <v>0.02</v>
      </c>
      <c r="AI12" s="70">
        <f>COUNTIF(AG$1:AG12,AG12)*AH12</f>
        <v>0.06</v>
      </c>
      <c r="AU12">
        <v>10</v>
      </c>
      <c r="AV12">
        <v>350</v>
      </c>
      <c r="AW12">
        <v>10</v>
      </c>
      <c r="AX12">
        <v>350</v>
      </c>
      <c r="AY12">
        <v>10</v>
      </c>
      <c r="AZ12">
        <v>350</v>
      </c>
      <c r="BB12" t="s">
        <v>265</v>
      </c>
      <c r="BC12" s="110" t="e">
        <f>(BC8/BC7-(BC9+BC10)*2)/24+BC2</f>
        <v>#REF!</v>
      </c>
      <c r="BR12" s="10"/>
      <c r="BS12" s="10" t="s">
        <v>266</v>
      </c>
      <c r="BT12" s="10"/>
      <c r="BU12" s="10"/>
      <c r="BV12" s="10"/>
      <c r="BW12" s="10"/>
      <c r="BX12" s="10"/>
      <c r="BY12" s="10"/>
      <c r="BZ12" s="10">
        <v>171</v>
      </c>
      <c r="CA12" s="10">
        <f t="shared" si="16"/>
        <v>28600</v>
      </c>
      <c r="CB12" s="10">
        <f t="shared" si="1"/>
        <v>57200</v>
      </c>
      <c r="CC12" s="10">
        <f t="shared" si="2"/>
        <v>343.2</v>
      </c>
      <c r="CD12" s="10">
        <f t="shared" si="3"/>
        <v>318.685714285714</v>
      </c>
      <c r="CE12" s="10">
        <f t="shared" si="4"/>
        <v>60.7325806282996</v>
      </c>
      <c r="CF12" s="10"/>
      <c r="CG12" s="10">
        <v>171</v>
      </c>
      <c r="CH12" s="10">
        <f t="shared" si="36"/>
        <v>21150</v>
      </c>
      <c r="CI12" s="10">
        <v>0</v>
      </c>
      <c r="CJ12" s="10">
        <f t="shared" si="5"/>
        <v>169.2</v>
      </c>
      <c r="CK12" s="10">
        <f t="shared" si="6"/>
        <v>439.92</v>
      </c>
      <c r="CL12" s="10">
        <f t="shared" si="7"/>
        <v>91.65</v>
      </c>
      <c r="CM12" s="10"/>
      <c r="CN12" s="10">
        <v>27</v>
      </c>
      <c r="CO12" s="10">
        <v>115000</v>
      </c>
      <c r="CP12" s="10">
        <f t="shared" si="18"/>
        <v>207000</v>
      </c>
      <c r="CQ12" s="10">
        <f t="shared" si="8"/>
        <v>1587</v>
      </c>
      <c r="CR12" s="10">
        <f t="shared" si="9"/>
        <v>793.5</v>
      </c>
      <c r="CS12" s="10">
        <f t="shared" si="10"/>
        <v>151.218898646176</v>
      </c>
      <c r="CT12" s="10"/>
      <c r="CU12" s="10">
        <v>171</v>
      </c>
      <c r="CV12" s="10">
        <v>212850</v>
      </c>
      <c r="CW12" s="10">
        <v>0</v>
      </c>
      <c r="CX12" s="10">
        <f t="shared" si="11"/>
        <v>425.7</v>
      </c>
      <c r="CY12" s="10">
        <f t="shared" si="12"/>
        <v>922.35</v>
      </c>
      <c r="CZ12" s="10"/>
      <c r="DA12" s="10"/>
      <c r="DB12" s="10"/>
      <c r="DC12" s="10"/>
      <c r="DD12">
        <v>14</v>
      </c>
      <c r="DE12" s="17">
        <f t="shared" si="23"/>
        <v>6.9198046875</v>
      </c>
      <c r="DF12" s="17">
        <v>0.08</v>
      </c>
      <c r="DG12" s="17">
        <v>0.0909</v>
      </c>
      <c r="DH12" s="10">
        <v>12</v>
      </c>
      <c r="DI12" s="10" cm="1">
        <f t="array" ref="DI12">IF(DH12=1,$DI$9,$DI$9*(SUM(_xlfn.SEQUENCE(DH12-1)*(1-DF12)^(_xlfn.SEQUENCE(DH12-1)-1)*DF12)+(1-DF12)^(DH12-1)*DH12))</f>
        <v>248.468130942645</v>
      </c>
      <c r="DJ12" s="20">
        <f t="shared" si="24"/>
        <v>0.00928328938503764</v>
      </c>
      <c r="DK12">
        <f t="shared" si="19"/>
        <v>4405</v>
      </c>
      <c r="DL12" s="29">
        <f t="shared" si="20"/>
        <v>1634.50624290579</v>
      </c>
      <c r="FB12" s="52">
        <v>10</v>
      </c>
      <c r="FC12" s="112">
        <v>1680</v>
      </c>
      <c r="FD12" s="55">
        <f>SUM($FC$3:FC12)</f>
        <v>13980</v>
      </c>
      <c r="FF12" s="57" t="s">
        <v>267</v>
      </c>
      <c r="FG12" s="2">
        <v>0</v>
      </c>
      <c r="FH12" s="2">
        <v>0</v>
      </c>
      <c r="FI12" s="2">
        <v>0</v>
      </c>
      <c r="FN12" t="s">
        <v>268</v>
      </c>
      <c r="FO12">
        <f t="shared" ref="FO12:FU12" si="38">FO11/FO10</f>
        <v>1962.5</v>
      </c>
      <c r="FP12">
        <f t="shared" si="38"/>
        <v>392.5</v>
      </c>
      <c r="FQ12">
        <f t="shared" si="38"/>
        <v>196.25</v>
      </c>
      <c r="FR12">
        <f t="shared" si="38"/>
        <v>130.833333333333</v>
      </c>
      <c r="FS12">
        <f t="shared" si="38"/>
        <v>98.125</v>
      </c>
      <c r="FT12">
        <f t="shared" si="38"/>
        <v>78.5</v>
      </c>
      <c r="FU12">
        <f t="shared" si="38"/>
        <v>654.166666666667</v>
      </c>
    </row>
    <row r="13" spans="1:180">
      <c r="A13">
        <v>2</v>
      </c>
      <c r="B13">
        <f>秘宝大作战!D4-秘宝大作战!H4</f>
        <v>-1980</v>
      </c>
      <c r="C13">
        <f t="shared" ref="C13:C25" si="39">IF(B13&lt;0,-B13,0)</f>
        <v>1980</v>
      </c>
      <c r="D13">
        <f t="shared" ref="D13:D25" si="40">IF(C13&gt;0,A13*2*60,0)</f>
        <v>240</v>
      </c>
      <c r="E13">
        <f t="shared" ref="E13:E25" si="41">IF(C13&gt;0,A13*2*300,0)</f>
        <v>1200</v>
      </c>
      <c r="F13">
        <f>IF(C13-D13-E13&gt;0,C13-D13-E13,0)</f>
        <v>540</v>
      </c>
      <c r="J13">
        <f t="shared" si="13"/>
        <v>26850</v>
      </c>
      <c r="K13">
        <v>12</v>
      </c>
      <c r="L13">
        <f t="shared" si="14"/>
        <v>85</v>
      </c>
      <c r="M13" t="s">
        <v>226</v>
      </c>
      <c r="N13" t="str">
        <f t="shared" si="0"/>
        <v>原初宝石</v>
      </c>
      <c r="V13">
        <v>100</v>
      </c>
      <c r="W13">
        <v>17</v>
      </c>
      <c r="X13">
        <v>5</v>
      </c>
      <c r="Y13">
        <v>28</v>
      </c>
      <c r="Z13">
        <v>11</v>
      </c>
      <c r="AA13">
        <v>7</v>
      </c>
      <c r="AB13">
        <v>120</v>
      </c>
      <c r="AD13">
        <v>12</v>
      </c>
      <c r="AE13">
        <v>24</v>
      </c>
      <c r="AF13">
        <f t="shared" si="15"/>
        <v>200</v>
      </c>
      <c r="AG13" t="s">
        <v>117</v>
      </c>
      <c r="AH13" s="70">
        <v>0.02</v>
      </c>
      <c r="AI13" s="70">
        <f>COUNTIF(AG$1:AG13,AG13)*AH13</f>
        <v>0.06</v>
      </c>
      <c r="AU13">
        <v>11</v>
      </c>
      <c r="AV13">
        <v>355</v>
      </c>
      <c r="AW13">
        <v>11</v>
      </c>
      <c r="AX13">
        <v>355</v>
      </c>
      <c r="AY13">
        <v>11</v>
      </c>
      <c r="AZ13">
        <v>355</v>
      </c>
      <c r="BR13" s="10" t="s">
        <v>129</v>
      </c>
      <c r="BS13" s="10">
        <f>24000*(1+0.0932)</f>
        <v>26236.8</v>
      </c>
      <c r="BT13" s="10"/>
      <c r="BU13" s="10"/>
      <c r="BV13" s="10"/>
      <c r="BW13" s="10"/>
      <c r="BX13" s="10"/>
      <c r="BY13" s="10"/>
      <c r="BZ13" s="10">
        <v>172</v>
      </c>
      <c r="CA13" s="10">
        <f t="shared" si="16"/>
        <v>28860</v>
      </c>
      <c r="CB13" s="10">
        <f t="shared" si="1"/>
        <v>57720</v>
      </c>
      <c r="CC13" s="10">
        <f t="shared" si="2"/>
        <v>346.32</v>
      </c>
      <c r="CD13" s="10">
        <f t="shared" si="3"/>
        <v>321.582857142857</v>
      </c>
      <c r="CE13" s="10">
        <f t="shared" si="4"/>
        <v>61.2846949976478</v>
      </c>
      <c r="CF13" s="10"/>
      <c r="CG13" s="10">
        <v>172</v>
      </c>
      <c r="CH13" s="10">
        <f t="shared" si="35"/>
        <v>21340</v>
      </c>
      <c r="CI13" s="10">
        <v>0</v>
      </c>
      <c r="CJ13" s="10">
        <f t="shared" si="5"/>
        <v>170.72</v>
      </c>
      <c r="CK13" s="10">
        <f t="shared" si="6"/>
        <v>443.872</v>
      </c>
      <c r="CL13" s="10">
        <f t="shared" si="7"/>
        <v>92.4733333333333</v>
      </c>
      <c r="CM13" s="10"/>
      <c r="CN13" s="10">
        <v>28</v>
      </c>
      <c r="CO13" s="10">
        <v>120750</v>
      </c>
      <c r="CP13" s="10">
        <f t="shared" si="18"/>
        <v>217350</v>
      </c>
      <c r="CQ13" s="10">
        <f t="shared" si="8"/>
        <v>1666.35</v>
      </c>
      <c r="CR13" s="10">
        <f t="shared" si="9"/>
        <v>833.175</v>
      </c>
      <c r="CS13" s="10">
        <f t="shared" si="10"/>
        <v>158.779843578485</v>
      </c>
      <c r="CT13" s="10"/>
      <c r="CU13" s="10">
        <v>172</v>
      </c>
      <c r="CV13" s="10">
        <v>216400</v>
      </c>
      <c r="CW13" s="10">
        <v>0</v>
      </c>
      <c r="CX13" s="10">
        <f t="shared" si="11"/>
        <v>432.8</v>
      </c>
      <c r="CY13" s="10">
        <f t="shared" si="12"/>
        <v>937.733333333333</v>
      </c>
      <c r="CZ13" s="10"/>
      <c r="DA13" s="10"/>
      <c r="DB13" s="10"/>
      <c r="DC13" s="10"/>
      <c r="FB13" s="52">
        <v>11</v>
      </c>
      <c r="FC13" s="112">
        <v>1740</v>
      </c>
      <c r="FD13" s="55">
        <f>SUM($FC$3:FC13)</f>
        <v>15720</v>
      </c>
      <c r="FF13" s="57" t="s">
        <v>269</v>
      </c>
      <c r="FG13" s="57"/>
      <c r="FH13" s="57"/>
      <c r="FI13" s="1">
        <f>FG12*3000+FH12*1000+FI12*200</f>
        <v>0</v>
      </c>
      <c r="FN13" t="s">
        <v>270</v>
      </c>
      <c r="FO13">
        <f t="shared" ref="FO13:FU13" si="42">10000/FO12*$FP$4</f>
        <v>86.7603090564884</v>
      </c>
      <c r="FP13">
        <f t="shared" si="42"/>
        <v>433.801545282442</v>
      </c>
      <c r="FQ13">
        <f t="shared" si="42"/>
        <v>867.603090564884</v>
      </c>
      <c r="FR13">
        <f t="shared" si="42"/>
        <v>1301.40463584733</v>
      </c>
      <c r="FS13">
        <f t="shared" si="42"/>
        <v>1735.20618112977</v>
      </c>
      <c r="FT13">
        <f t="shared" si="42"/>
        <v>2169.00772641221</v>
      </c>
      <c r="FU13">
        <f t="shared" si="42"/>
        <v>260.280927169465</v>
      </c>
    </row>
    <row r="14" spans="1:180">
      <c r="A14">
        <v>3</v>
      </c>
      <c r="B14">
        <f>秘宝大作战!D5-秘宝大作战!H5</f>
        <v>-2970</v>
      </c>
      <c r="C14">
        <f t="shared" si="39"/>
        <v>2970</v>
      </c>
      <c r="D14">
        <f t="shared" si="40"/>
        <v>360</v>
      </c>
      <c r="E14">
        <f t="shared" si="41"/>
        <v>1800</v>
      </c>
      <c r="F14">
        <f>IF(C14-D14-E14&gt;0,C14-D14-E14,0)</f>
        <v>810</v>
      </c>
      <c r="J14">
        <f t="shared" si="13"/>
        <v>29100</v>
      </c>
      <c r="K14">
        <v>13</v>
      </c>
      <c r="L14">
        <f t="shared" si="14"/>
        <v>92</v>
      </c>
      <c r="M14" t="s">
        <v>271</v>
      </c>
      <c r="N14" t="str">
        <f t="shared" ref="N14:N49" si="43">IF($P$1="是",IF(K14&lt;$P$2,M14,IF(K14=$P$2,M15,IF(K14=$P$2+1,M17,M14))))</f>
        <v>自选奇迹遗物·龙II</v>
      </c>
      <c r="AD14">
        <v>13</v>
      </c>
      <c r="AE14">
        <v>30</v>
      </c>
      <c r="AF14">
        <f t="shared" si="15"/>
        <v>230</v>
      </c>
      <c r="AG14" t="s">
        <v>114</v>
      </c>
      <c r="AH14" s="70">
        <v>0.03</v>
      </c>
      <c r="AI14" s="70">
        <f>COUNTIF(AG$1:AG14,AG14)*AH14</f>
        <v>0.12</v>
      </c>
      <c r="AU14">
        <v>12</v>
      </c>
      <c r="AV14">
        <v>360</v>
      </c>
      <c r="AW14">
        <v>12</v>
      </c>
      <c r="AX14">
        <v>360</v>
      </c>
      <c r="AY14">
        <v>12</v>
      </c>
      <c r="AZ14">
        <v>360</v>
      </c>
      <c r="BR14" s="10" t="s">
        <v>128</v>
      </c>
      <c r="BS14" s="10">
        <f>2400*(1+0.0932)</f>
        <v>2623.68</v>
      </c>
      <c r="BT14" s="10"/>
      <c r="BU14" s="10"/>
      <c r="BV14" s="10"/>
      <c r="BW14" s="10"/>
      <c r="BX14" s="10"/>
      <c r="BY14" s="10"/>
      <c r="BZ14" s="10">
        <v>173</v>
      </c>
      <c r="CA14" s="10">
        <f t="shared" si="16"/>
        <v>29120</v>
      </c>
      <c r="CB14" s="10">
        <f t="shared" si="1"/>
        <v>58240</v>
      </c>
      <c r="CC14" s="10">
        <f t="shared" si="2"/>
        <v>349.44</v>
      </c>
      <c r="CD14" s="10">
        <f t="shared" si="3"/>
        <v>324.48</v>
      </c>
      <c r="CE14" s="10">
        <f t="shared" si="4"/>
        <v>61.836809366996</v>
      </c>
      <c r="CF14" s="10"/>
      <c r="CG14" s="10">
        <v>173</v>
      </c>
      <c r="CH14" s="10">
        <f t="shared" si="36"/>
        <v>21535</v>
      </c>
      <c r="CI14" s="10">
        <v>0</v>
      </c>
      <c r="CJ14" s="10">
        <f t="shared" si="5"/>
        <v>172.28</v>
      </c>
      <c r="CK14" s="10">
        <f t="shared" si="6"/>
        <v>447.928</v>
      </c>
      <c r="CL14" s="10">
        <f t="shared" si="7"/>
        <v>93.3183333333333</v>
      </c>
      <c r="CM14" s="10"/>
      <c r="CN14" s="10">
        <v>29</v>
      </c>
      <c r="CO14" s="10">
        <v>126500</v>
      </c>
      <c r="CP14" s="10">
        <f t="shared" si="18"/>
        <v>227700</v>
      </c>
      <c r="CQ14" s="10">
        <f t="shared" si="8"/>
        <v>1745.7</v>
      </c>
      <c r="CR14" s="10">
        <f t="shared" si="9"/>
        <v>872.85</v>
      </c>
      <c r="CS14" s="10">
        <f t="shared" si="10"/>
        <v>166.340788510794</v>
      </c>
      <c r="CT14" s="10"/>
      <c r="CU14" s="10">
        <v>173</v>
      </c>
      <c r="CV14" s="10">
        <v>219950</v>
      </c>
      <c r="CW14" s="10">
        <v>0</v>
      </c>
      <c r="CX14" s="10">
        <f t="shared" si="11"/>
        <v>439.9</v>
      </c>
      <c r="CY14" s="10">
        <f t="shared" si="12"/>
        <v>953.116666666667</v>
      </c>
      <c r="CZ14" s="10"/>
      <c r="DA14" s="10"/>
      <c r="DB14" s="10"/>
      <c r="DC14" s="10"/>
      <c r="DD14" t="s">
        <v>137</v>
      </c>
      <c r="FB14" s="52">
        <v>12</v>
      </c>
      <c r="FC14" s="112">
        <v>1800</v>
      </c>
      <c r="FD14" s="55">
        <f>SUM($FC$3:FC14)</f>
        <v>17520</v>
      </c>
      <c r="FF14" s="113" t="s">
        <v>272</v>
      </c>
      <c r="FG14" s="113">
        <v>81</v>
      </c>
      <c r="FH14" s="113" t="s">
        <v>273</v>
      </c>
      <c r="FI14" s="1">
        <v>3980</v>
      </c>
      <c r="FN14" t="s">
        <v>274</v>
      </c>
      <c r="FO14">
        <f>(SUM(FO11:FU11)/SUM(FO10:FU10))</f>
        <v>356.818181818182</v>
      </c>
    </row>
    <row r="15" spans="1:180">
      <c r="A15">
        <v>4</v>
      </c>
      <c r="B15">
        <f>秘宝大作战!D6-秘宝大作战!H6</f>
        <v>-3960</v>
      </c>
      <c r="C15">
        <f t="shared" si="39"/>
        <v>3960</v>
      </c>
      <c r="D15">
        <f t="shared" si="40"/>
        <v>480</v>
      </c>
      <c r="E15">
        <f t="shared" si="41"/>
        <v>2400</v>
      </c>
      <c r="F15">
        <f>IF(C15-D15-E15&gt;0,C15-D15-E15,0)</f>
        <v>1080</v>
      </c>
      <c r="J15">
        <f t="shared" si="13"/>
        <v>31350</v>
      </c>
      <c r="K15">
        <v>14</v>
      </c>
      <c r="L15">
        <f t="shared" si="14"/>
        <v>99</v>
      </c>
      <c r="M15" t="s">
        <v>181</v>
      </c>
      <c r="N15" t="str">
        <f t="shared" si="43"/>
        <v>幸运神像</v>
      </c>
      <c r="V15" t="s">
        <v>275</v>
      </c>
      <c r="AD15">
        <v>14</v>
      </c>
      <c r="AE15">
        <v>30</v>
      </c>
      <c r="AF15">
        <f t="shared" si="15"/>
        <v>260</v>
      </c>
      <c r="AG15" t="s">
        <v>115</v>
      </c>
      <c r="AH15" s="70">
        <v>0.05</v>
      </c>
      <c r="AI15" s="70">
        <f>COUNTIF(AG$1:AG15,AG15)*AH15</f>
        <v>0.2</v>
      </c>
      <c r="AU15">
        <v>13</v>
      </c>
      <c r="AV15">
        <v>370</v>
      </c>
      <c r="AW15">
        <v>13</v>
      </c>
      <c r="AX15">
        <v>370</v>
      </c>
      <c r="AY15">
        <v>13</v>
      </c>
      <c r="AZ15">
        <v>370</v>
      </c>
      <c r="BR15" s="10" t="s">
        <v>134</v>
      </c>
      <c r="BS15" s="10">
        <v>3000</v>
      </c>
      <c r="BT15" s="10"/>
      <c r="BU15" s="10"/>
      <c r="BV15" s="10"/>
      <c r="BW15" s="10"/>
      <c r="BX15" s="10"/>
      <c r="BY15" s="10"/>
      <c r="BZ15" s="10">
        <v>174</v>
      </c>
      <c r="CA15" s="10">
        <f t="shared" si="16"/>
        <v>29380</v>
      </c>
      <c r="CB15" s="10">
        <f t="shared" si="1"/>
        <v>58760</v>
      </c>
      <c r="CC15" s="10">
        <f t="shared" si="2"/>
        <v>352.56</v>
      </c>
      <c r="CD15" s="10">
        <f t="shared" si="3"/>
        <v>327.377142857143</v>
      </c>
      <c r="CE15" s="10">
        <f t="shared" si="4"/>
        <v>62.3889237363442</v>
      </c>
      <c r="CF15" s="10"/>
      <c r="CG15" s="10">
        <v>174</v>
      </c>
      <c r="CH15" s="10">
        <f t="shared" ref="CH15:CH19" si="44">CH14+190</f>
        <v>21725</v>
      </c>
      <c r="CI15" s="10">
        <v>0</v>
      </c>
      <c r="CJ15" s="10">
        <f t="shared" si="5"/>
        <v>173.8</v>
      </c>
      <c r="CK15" s="10">
        <f t="shared" si="6"/>
        <v>451.88</v>
      </c>
      <c r="CL15" s="10">
        <f t="shared" si="7"/>
        <v>94.1416666666667</v>
      </c>
      <c r="CM15" s="10"/>
      <c r="CN15" s="10">
        <v>30</v>
      </c>
      <c r="CO15" s="10">
        <v>132250</v>
      </c>
      <c r="CP15" s="10">
        <f t="shared" si="18"/>
        <v>238050</v>
      </c>
      <c r="CQ15" s="10">
        <f t="shared" si="8"/>
        <v>1825.05</v>
      </c>
      <c r="CR15" s="10">
        <f t="shared" si="9"/>
        <v>912.525</v>
      </c>
      <c r="CS15" s="10">
        <f t="shared" si="10"/>
        <v>173.901733443103</v>
      </c>
      <c r="CT15" s="10"/>
      <c r="CU15" s="10">
        <v>174</v>
      </c>
      <c r="CV15" s="10">
        <v>223500</v>
      </c>
      <c r="CW15" s="10">
        <v>0</v>
      </c>
      <c r="CX15" s="10">
        <f t="shared" si="11"/>
        <v>447</v>
      </c>
      <c r="CY15" s="10">
        <f t="shared" si="12"/>
        <v>968.5</v>
      </c>
      <c r="CZ15" s="10"/>
      <c r="DA15" s="10"/>
      <c r="DB15" s="10"/>
      <c r="DC15" s="10"/>
      <c r="DD15" t="s">
        <v>174</v>
      </c>
      <c r="DF15" s="16"/>
      <c r="DM15" s="16"/>
      <c r="FB15" s="52">
        <v>13</v>
      </c>
      <c r="FC15" s="112">
        <v>1860</v>
      </c>
      <c r="FD15" s="55">
        <f>SUM($FC$3:FC15)</f>
        <v>19380</v>
      </c>
      <c r="FF15" s="9" t="s">
        <v>276</v>
      </c>
      <c r="FG15" s="9"/>
      <c r="FH15" s="1"/>
      <c r="FI15" s="1">
        <f>VLOOKUP(FG14-1,FB3:FD101,3,0)+FI14</f>
        <v>398480</v>
      </c>
      <c r="FM15" t="s">
        <v>210</v>
      </c>
      <c r="FO15">
        <v>30</v>
      </c>
      <c r="FP15">
        <v>30</v>
      </c>
      <c r="FQ15">
        <v>60</v>
      </c>
      <c r="FR15">
        <v>90</v>
      </c>
      <c r="FS15">
        <v>120</v>
      </c>
      <c r="FT15">
        <v>150</v>
      </c>
      <c r="FU15">
        <v>180</v>
      </c>
    </row>
    <row r="16" spans="1:180">
      <c r="A16">
        <v>5</v>
      </c>
      <c r="B16">
        <f>秘宝大作战!D7-秘宝大作战!H7</f>
        <v>-6150</v>
      </c>
      <c r="C16">
        <f t="shared" si="39"/>
        <v>6150</v>
      </c>
      <c r="D16">
        <f t="shared" si="40"/>
        <v>600</v>
      </c>
      <c r="E16">
        <f t="shared" si="41"/>
        <v>3000</v>
      </c>
      <c r="F16">
        <f t="shared" ref="F16:F25" si="45">IF(C16-D16-E16&gt;0,C16-D16-E16,0)</f>
        <v>2550</v>
      </c>
      <c r="J16">
        <f t="shared" si="13"/>
        <v>33600</v>
      </c>
      <c r="K16">
        <v>15</v>
      </c>
      <c r="L16">
        <f t="shared" si="14"/>
        <v>106</v>
      </c>
      <c r="M16" t="s">
        <v>245</v>
      </c>
      <c r="N16" t="str">
        <f t="shared" si="43"/>
        <v>4阶技能碎片*180</v>
      </c>
      <c r="V16" t="s">
        <v>183</v>
      </c>
      <c r="W16" t="s">
        <v>184</v>
      </c>
      <c r="X16" t="s">
        <v>185</v>
      </c>
      <c r="Y16" t="s">
        <v>186</v>
      </c>
      <c r="Z16" t="s">
        <v>187</v>
      </c>
      <c r="AA16" t="s">
        <v>277</v>
      </c>
      <c r="AD16">
        <v>15</v>
      </c>
      <c r="AE16">
        <v>30</v>
      </c>
      <c r="AF16">
        <f t="shared" si="15"/>
        <v>290</v>
      </c>
      <c r="AG16" t="s">
        <v>116</v>
      </c>
      <c r="AH16" s="70">
        <v>0.02</v>
      </c>
      <c r="AI16" s="70">
        <f>COUNTIF(AG$1:AG16,AG16)*AH16</f>
        <v>0.08</v>
      </c>
      <c r="AU16">
        <v>14</v>
      </c>
      <c r="AV16">
        <v>375</v>
      </c>
      <c r="AW16">
        <v>14</v>
      </c>
      <c r="AX16">
        <v>375</v>
      </c>
      <c r="AY16">
        <v>14</v>
      </c>
      <c r="AZ16">
        <v>375</v>
      </c>
      <c r="BR16" s="10" t="s">
        <v>136</v>
      </c>
      <c r="BS16" s="10">
        <f>2000*(1+0.0932)</f>
        <v>2186.4</v>
      </c>
      <c r="BT16" s="10"/>
      <c r="BU16" s="10"/>
      <c r="BV16" s="10"/>
      <c r="BW16" s="10"/>
      <c r="BX16" s="10"/>
      <c r="BY16" s="10"/>
      <c r="BZ16" s="10">
        <v>175</v>
      </c>
      <c r="CA16" s="10">
        <f t="shared" si="16"/>
        <v>29640</v>
      </c>
      <c r="CB16" s="10">
        <f t="shared" si="1"/>
        <v>59280</v>
      </c>
      <c r="CC16" s="10">
        <f t="shared" si="2"/>
        <v>355.68</v>
      </c>
      <c r="CD16" s="10">
        <f t="shared" si="3"/>
        <v>330.274285714286</v>
      </c>
      <c r="CE16" s="10">
        <f t="shared" si="4"/>
        <v>62.9410381056923</v>
      </c>
      <c r="CF16" s="10"/>
      <c r="CG16" s="10">
        <v>175</v>
      </c>
      <c r="CH16" s="10">
        <f t="shared" ref="CH16:CH20" si="46">CH15+195</f>
        <v>21920</v>
      </c>
      <c r="CI16" s="10">
        <v>0</v>
      </c>
      <c r="CJ16" s="10">
        <f t="shared" si="5"/>
        <v>175.36</v>
      </c>
      <c r="CK16" s="10">
        <f t="shared" si="6"/>
        <v>455.936</v>
      </c>
      <c r="CL16" s="10">
        <f t="shared" si="7"/>
        <v>94.9866666666667</v>
      </c>
      <c r="CM16" s="10"/>
      <c r="CN16" s="10">
        <v>31</v>
      </c>
      <c r="CO16" s="10">
        <v>138000</v>
      </c>
      <c r="CP16" s="10">
        <f t="shared" si="18"/>
        <v>248400</v>
      </c>
      <c r="CQ16" s="10">
        <f t="shared" si="8"/>
        <v>1904.4</v>
      </c>
      <c r="CR16" s="10">
        <f t="shared" si="9"/>
        <v>952.2</v>
      </c>
      <c r="CS16" s="10">
        <f t="shared" si="10"/>
        <v>181.462678375412</v>
      </c>
      <c r="CT16" s="10"/>
      <c r="CU16" s="10">
        <v>175</v>
      </c>
      <c r="CV16" s="10">
        <v>227050</v>
      </c>
      <c r="CW16" s="10">
        <v>0</v>
      </c>
      <c r="CX16" s="10">
        <f t="shared" si="11"/>
        <v>454.1</v>
      </c>
      <c r="CY16" s="10">
        <f t="shared" si="12"/>
        <v>983.883333333333</v>
      </c>
      <c r="CZ16" s="10"/>
      <c r="DA16" s="10"/>
      <c r="DB16" s="10"/>
      <c r="DC16" s="10"/>
      <c r="DE16" t="s">
        <v>278</v>
      </c>
      <c r="DF16" t="s">
        <v>279</v>
      </c>
      <c r="DG16" t="s">
        <v>280</v>
      </c>
      <c r="DK16" t="s">
        <v>281</v>
      </c>
      <c r="DL16" s="17"/>
      <c r="DM16" s="17"/>
      <c r="DN16" s="17" t="s">
        <v>282</v>
      </c>
      <c r="DO16" s="17" t="s">
        <v>283</v>
      </c>
      <c r="DP16" s="17" t="s">
        <v>284</v>
      </c>
      <c r="DQ16" s="17"/>
      <c r="DR16" s="17"/>
      <c r="DS16" s="17"/>
      <c r="DT16" s="17"/>
      <c r="DU16" s="17"/>
      <c r="DV16" s="17"/>
      <c r="DW16" s="17"/>
      <c r="DX16" s="17"/>
      <c r="EC16" t="s">
        <v>141</v>
      </c>
      <c r="ED16" t="str">
        <f>幻兽同调计算器!C1</f>
        <v>奇迹</v>
      </c>
      <c r="EE16">
        <f>IF(ED16="奇迹",4/3,1)</f>
        <v>1.33333333333333</v>
      </c>
      <c r="EF16">
        <f>IF(ED16="奇迹",1.2,1.1)</f>
        <v>1.2</v>
      </c>
      <c r="EH16" t="s">
        <v>83</v>
      </c>
      <c r="EI16" t="str">
        <f>幻兽同调计算器!H1</f>
        <v>传说</v>
      </c>
      <c r="EJ16">
        <f>IF(EI16="奇迹",4/3,1)</f>
        <v>1</v>
      </c>
      <c r="EK16">
        <f>IF(EI16="奇迹",1.2,1.1)</f>
        <v>1.1</v>
      </c>
      <c r="ER16" s="16"/>
      <c r="ET16" s="16"/>
      <c r="EW16" s="16"/>
      <c r="FB16" s="52">
        <v>14</v>
      </c>
      <c r="FC16" s="112">
        <v>1920</v>
      </c>
      <c r="FD16" s="55">
        <f>SUM($FC$3:FC16)</f>
        <v>21300</v>
      </c>
      <c r="FF16" s="114" t="s">
        <v>285</v>
      </c>
      <c r="FG16" s="114"/>
      <c r="FH16" s="114"/>
      <c r="FI16" s="9"/>
      <c r="FN16" t="s">
        <v>264</v>
      </c>
      <c r="FO16">
        <f>2*$FR$6</f>
        <v>78500</v>
      </c>
      <c r="FP16">
        <f t="shared" ref="FP16:FT16" si="47">2*0.2*$FR$6</f>
        <v>15700</v>
      </c>
      <c r="FQ16">
        <f t="shared" si="47"/>
        <v>15700</v>
      </c>
      <c r="FR16">
        <f t="shared" si="47"/>
        <v>15700</v>
      </c>
      <c r="FS16">
        <f t="shared" si="47"/>
        <v>15700</v>
      </c>
      <c r="FT16">
        <f t="shared" si="47"/>
        <v>15700</v>
      </c>
      <c r="FU16">
        <f>2*2*$FR$6</f>
        <v>157000</v>
      </c>
    </row>
    <row r="17" spans="1:177">
      <c r="A17">
        <v>6</v>
      </c>
      <c r="B17">
        <f>秘宝大作战!D8-秘宝大作战!H8</f>
        <v>-7140</v>
      </c>
      <c r="C17">
        <f t="shared" si="39"/>
        <v>7140</v>
      </c>
      <c r="D17">
        <f t="shared" si="40"/>
        <v>720</v>
      </c>
      <c r="E17">
        <f t="shared" si="41"/>
        <v>3600</v>
      </c>
      <c r="F17">
        <f t="shared" si="45"/>
        <v>2820</v>
      </c>
      <c r="J17">
        <f t="shared" si="13"/>
        <v>36850</v>
      </c>
      <c r="K17">
        <v>16</v>
      </c>
      <c r="L17">
        <f t="shared" si="14"/>
        <v>113</v>
      </c>
      <c r="M17" t="s">
        <v>226</v>
      </c>
      <c r="N17" t="str">
        <f t="shared" si="43"/>
        <v>自选奇迹遗物·羽I</v>
      </c>
      <c r="V17">
        <f>(泽国星象合约计算器!B2-100)*V4</f>
        <v>2304</v>
      </c>
      <c r="W17">
        <f>(SUM(泽国星象合约计算器!B4:C6)-5*100)*W4</f>
        <v>4560</v>
      </c>
      <c r="X17">
        <f>(SUM(泽国星象合约计算器!B8:C11)-8*100)*X4</f>
        <v>1872</v>
      </c>
      <c r="Y17">
        <f>(SUM(泽国星象合约计算器!B13:E17)-20*10)*Y4</f>
        <v>2451</v>
      </c>
      <c r="Z17">
        <f>(SUM(泽国星象合约计算器!B19:E19)-4*100)*Z4</f>
        <v>616</v>
      </c>
      <c r="AA17">
        <f>SUM(V17:Z17)</f>
        <v>11803</v>
      </c>
      <c r="AD17">
        <v>16</v>
      </c>
      <c r="AE17">
        <v>30</v>
      </c>
      <c r="AF17">
        <f t="shared" si="15"/>
        <v>320</v>
      </c>
      <c r="AG17" t="s">
        <v>117</v>
      </c>
      <c r="AH17" s="70">
        <v>0.02</v>
      </c>
      <c r="AI17" s="70">
        <f>COUNTIF(AG$1:AG17,AG17)*AH17</f>
        <v>0.08</v>
      </c>
      <c r="AU17">
        <v>15</v>
      </c>
      <c r="AV17">
        <v>390</v>
      </c>
      <c r="AW17">
        <v>15</v>
      </c>
      <c r="AX17">
        <v>390</v>
      </c>
      <c r="AY17">
        <v>15</v>
      </c>
      <c r="AZ17">
        <v>390</v>
      </c>
      <c r="BR17" s="10"/>
      <c r="BS17" s="10"/>
      <c r="BT17" s="10"/>
      <c r="BU17" s="10"/>
      <c r="BV17" s="10"/>
      <c r="BW17" s="10"/>
      <c r="BX17" s="10"/>
      <c r="BY17" s="10"/>
      <c r="BZ17" s="10">
        <v>176</v>
      </c>
      <c r="CA17" s="10">
        <f t="shared" si="16"/>
        <v>29900</v>
      </c>
      <c r="CB17" s="10">
        <f t="shared" si="1"/>
        <v>59800</v>
      </c>
      <c r="CC17" s="10">
        <f t="shared" si="2"/>
        <v>358.8</v>
      </c>
      <c r="CD17" s="10">
        <f t="shared" si="3"/>
        <v>333.171428571429</v>
      </c>
      <c r="CE17" s="10">
        <f t="shared" si="4"/>
        <v>63.4931524750405</v>
      </c>
      <c r="CF17" s="10"/>
      <c r="CG17" s="10">
        <v>176</v>
      </c>
      <c r="CH17" s="10">
        <f t="shared" si="44"/>
        <v>22110</v>
      </c>
      <c r="CI17" s="10">
        <v>0</v>
      </c>
      <c r="CJ17" s="10">
        <f t="shared" si="5"/>
        <v>176.88</v>
      </c>
      <c r="CK17" s="10">
        <f t="shared" si="6"/>
        <v>459.888</v>
      </c>
      <c r="CL17" s="10">
        <f t="shared" si="7"/>
        <v>95.81</v>
      </c>
      <c r="CM17" s="10"/>
      <c r="CN17" s="10">
        <v>32</v>
      </c>
      <c r="CO17" s="10">
        <v>143750</v>
      </c>
      <c r="CP17" s="10">
        <f t="shared" si="18"/>
        <v>258750</v>
      </c>
      <c r="CQ17" s="10">
        <f t="shared" si="8"/>
        <v>1983.75</v>
      </c>
      <c r="CR17" s="10">
        <f t="shared" si="9"/>
        <v>991.875</v>
      </c>
      <c r="CS17" s="10">
        <f t="shared" si="10"/>
        <v>189.02362330772</v>
      </c>
      <c r="CT17" s="10"/>
      <c r="CU17" s="10">
        <v>176</v>
      </c>
      <c r="CV17" s="10">
        <v>230600</v>
      </c>
      <c r="CW17" s="10">
        <v>0</v>
      </c>
      <c r="CX17" s="10">
        <f t="shared" si="11"/>
        <v>461.2</v>
      </c>
      <c r="CY17" s="10">
        <f t="shared" si="12"/>
        <v>999.266666666667</v>
      </c>
      <c r="CZ17" s="10"/>
      <c r="DA17" s="10"/>
      <c r="DB17" s="10"/>
      <c r="DC17" s="10"/>
      <c r="DD17" t="s">
        <v>286</v>
      </c>
      <c r="DE17">
        <f>SUM($DH$29*2.5,$DM$29*2.5,$DR$29*0.5,$DW$29*3.125)</f>
        <v>5155</v>
      </c>
      <c r="DF17" s="115">
        <f>10000*($DI$29*DT$3*2.5+$DN$29*DT$4*2.5+$DS$29*DT$5*0.5+$DX$29*DT$6*3.125)</f>
        <v>272419.35483871</v>
      </c>
      <c r="DG17">
        <v>570</v>
      </c>
      <c r="DJ17" t="s">
        <v>286</v>
      </c>
      <c r="DK17" s="29">
        <f>DG17/16*DO$2/((DE17*DT$1+DF17*DT$1)*DR$2/10000)</f>
        <v>69.0021447319259</v>
      </c>
      <c r="DM17" t="s">
        <v>143</v>
      </c>
      <c r="DN17">
        <f>属性晨星性价比!I2</f>
        <v>11.3</v>
      </c>
      <c r="DO17">
        <f>属性晨星性价比!I7</f>
        <v>0.68</v>
      </c>
      <c r="DP17">
        <f>DN17*(1+DO17)</f>
        <v>18.984</v>
      </c>
      <c r="EC17" t="s">
        <v>85</v>
      </c>
      <c r="ED17">
        <f>幻兽同调计算器!C2</f>
        <v>1.36</v>
      </c>
      <c r="EF17" t="s">
        <v>92</v>
      </c>
      <c r="EH17" t="s">
        <v>287</v>
      </c>
      <c r="EI17">
        <f>幻兽同调计算器!H2</f>
        <v>1.49</v>
      </c>
      <c r="EK17" t="s">
        <v>92</v>
      </c>
      <c r="ER17" s="16"/>
      <c r="ET17" s="16"/>
      <c r="EW17" s="16"/>
      <c r="FB17" s="52">
        <v>15</v>
      </c>
      <c r="FC17" s="112">
        <v>1980</v>
      </c>
      <c r="FD17" s="55">
        <f>SUM($FC$3:FC17)</f>
        <v>23280</v>
      </c>
      <c r="FF17" s="58" t="str">
        <f>"已囤总经验需求的"&amp;TEXT(ROUND((FI13+FI15)/FC102,4),"0.00%")</f>
        <v>已囤总经验需求的60.91%</v>
      </c>
      <c r="FG17" s="58"/>
      <c r="FH17" s="58"/>
      <c r="FI17" s="58"/>
      <c r="FN17" t="s">
        <v>268</v>
      </c>
      <c r="FO17">
        <f t="shared" ref="FO17:FU17" si="48">FO16/FO15</f>
        <v>2616.66666666667</v>
      </c>
      <c r="FP17">
        <f t="shared" si="48"/>
        <v>523.333333333333</v>
      </c>
      <c r="FQ17">
        <f t="shared" si="48"/>
        <v>261.666666666667</v>
      </c>
      <c r="FR17">
        <f t="shared" si="48"/>
        <v>174.444444444444</v>
      </c>
      <c r="FS17">
        <f t="shared" si="48"/>
        <v>130.833333333333</v>
      </c>
      <c r="FT17">
        <f t="shared" si="48"/>
        <v>104.666666666667</v>
      </c>
      <c r="FU17">
        <f t="shared" si="48"/>
        <v>872.222222222222</v>
      </c>
    </row>
    <row r="18" spans="1:177">
      <c r="A18">
        <v>7</v>
      </c>
      <c r="B18">
        <f>秘宝大作战!D9-秘宝大作战!H9</f>
        <v>-8130</v>
      </c>
      <c r="C18">
        <f t="shared" si="39"/>
        <v>8130</v>
      </c>
      <c r="D18">
        <f t="shared" si="40"/>
        <v>840</v>
      </c>
      <c r="E18">
        <f t="shared" si="41"/>
        <v>4200</v>
      </c>
      <c r="F18">
        <f t="shared" si="45"/>
        <v>3090</v>
      </c>
      <c r="J18">
        <f t="shared" si="13"/>
        <v>39100</v>
      </c>
      <c r="K18">
        <v>17</v>
      </c>
      <c r="L18">
        <f t="shared" si="14"/>
        <v>120</v>
      </c>
      <c r="M18" t="s">
        <v>288</v>
      </c>
      <c r="N18" t="str">
        <f t="shared" si="43"/>
        <v>原初宝石/贤者之石</v>
      </c>
      <c r="X18" t="s">
        <v>289</v>
      </c>
      <c r="Y18" t="s">
        <v>290</v>
      </c>
      <c r="Z18" t="s">
        <v>291</v>
      </c>
      <c r="AA18" t="s">
        <v>292</v>
      </c>
      <c r="AD18">
        <v>17</v>
      </c>
      <c r="AE18">
        <v>40</v>
      </c>
      <c r="AF18">
        <f t="shared" si="15"/>
        <v>360</v>
      </c>
      <c r="AG18" t="s">
        <v>114</v>
      </c>
      <c r="AH18" s="70">
        <v>0.03</v>
      </c>
      <c r="AI18" s="70">
        <f>COUNTIF(AG$1:AG18,AG18)*AH18</f>
        <v>0.15</v>
      </c>
      <c r="AU18">
        <v>16</v>
      </c>
      <c r="AV18">
        <v>400</v>
      </c>
      <c r="AW18">
        <v>16</v>
      </c>
      <c r="AX18">
        <v>400</v>
      </c>
      <c r="AY18">
        <v>16</v>
      </c>
      <c r="AZ18">
        <v>400</v>
      </c>
      <c r="BR18" s="10" t="s">
        <v>293</v>
      </c>
      <c r="BS18" s="10" t="s">
        <v>294</v>
      </c>
      <c r="BT18" s="10"/>
      <c r="BU18" s="10"/>
      <c r="BV18" s="10"/>
      <c r="BW18" s="10"/>
      <c r="BX18" s="10"/>
      <c r="BY18" s="10"/>
      <c r="BZ18" s="10">
        <v>177</v>
      </c>
      <c r="CA18" s="10">
        <f t="shared" si="16"/>
        <v>30160</v>
      </c>
      <c r="CB18" s="10">
        <f t="shared" si="1"/>
        <v>60320</v>
      </c>
      <c r="CC18" s="10">
        <f t="shared" si="2"/>
        <v>361.92</v>
      </c>
      <c r="CD18" s="10">
        <f t="shared" si="3"/>
        <v>336.068571428571</v>
      </c>
      <c r="CE18" s="10">
        <f t="shared" si="4"/>
        <v>64.0452668443887</v>
      </c>
      <c r="CF18" s="10"/>
      <c r="CG18" s="10">
        <v>177</v>
      </c>
      <c r="CH18" s="10">
        <f t="shared" si="46"/>
        <v>22305</v>
      </c>
      <c r="CI18" s="10">
        <v>0</v>
      </c>
      <c r="CJ18" s="10">
        <f t="shared" si="5"/>
        <v>178.44</v>
      </c>
      <c r="CK18" s="10">
        <f t="shared" si="6"/>
        <v>463.944</v>
      </c>
      <c r="CL18" s="10">
        <f t="shared" si="7"/>
        <v>96.655</v>
      </c>
      <c r="CM18" s="10"/>
      <c r="CN18" s="10"/>
      <c r="CO18" s="10"/>
      <c r="CP18" s="10"/>
      <c r="CQ18" s="10"/>
      <c r="CR18" s="10"/>
      <c r="CS18" s="10"/>
      <c r="CT18" s="10"/>
      <c r="CU18" s="10">
        <v>177</v>
      </c>
      <c r="CV18" s="10">
        <v>234150</v>
      </c>
      <c r="CW18" s="10">
        <v>0</v>
      </c>
      <c r="CX18" s="10">
        <f t="shared" si="11"/>
        <v>468.3</v>
      </c>
      <c r="CY18" s="10">
        <f t="shared" si="12"/>
        <v>1014.65</v>
      </c>
      <c r="CZ18" s="10"/>
      <c r="DA18" s="10"/>
      <c r="DB18" s="10"/>
      <c r="DC18" s="10"/>
      <c r="DD18" t="s">
        <v>295</v>
      </c>
      <c r="DE18">
        <f>SUM($DH$30*2.5,$DM$30*2.5,$DR$30*0.5,$DW$30*3.125)</f>
        <v>10800</v>
      </c>
      <c r="DF18" s="115">
        <f>10000*($DI$30*DT$3*2.5+$DN$30*DT$4*2.5+$DS$30*DT$5*0.5+$DX$30*DT$6*3.125)</f>
        <v>484294.35483871</v>
      </c>
      <c r="DG18">
        <v>2448</v>
      </c>
      <c r="DJ18" t="s">
        <v>295</v>
      </c>
      <c r="DK18" s="29">
        <f t="shared" ref="DK18:DK24" si="49">DG18/16*DO$2/((DE18*DT$1+DF18*DT$1)*DR$2/10000)</f>
        <v>166.146238009373</v>
      </c>
      <c r="DM18" t="s">
        <v>144</v>
      </c>
      <c r="DN18">
        <f>属性晨星性价比!I3</f>
        <v>11.3</v>
      </c>
      <c r="DO18">
        <f>属性晨星性价比!I8</f>
        <v>0.49</v>
      </c>
      <c r="DP18">
        <f>DN18*(1+DO18)</f>
        <v>16.837</v>
      </c>
      <c r="EC18" t="s">
        <v>87</v>
      </c>
      <c r="ED18" t="s">
        <v>88</v>
      </c>
      <c r="EE18">
        <f>幻兽同调计算器!C3</f>
        <v>5.18</v>
      </c>
      <c r="EF18">
        <f>EE18*2.5</f>
        <v>12.95</v>
      </c>
      <c r="EH18" t="s">
        <v>296</v>
      </c>
      <c r="EI18" t="s">
        <v>88</v>
      </c>
      <c r="EJ18">
        <f>EE18/$EE$16*$EJ$16/$ED$17*$EI$17</f>
        <v>4.25636029411765</v>
      </c>
      <c r="EK18">
        <f>EJ18*2.5</f>
        <v>10.6409007352941</v>
      </c>
      <c r="ER18" s="16"/>
      <c r="ET18" s="16"/>
      <c r="EW18" s="16"/>
      <c r="FB18" s="52">
        <v>16</v>
      </c>
      <c r="FC18" s="112">
        <v>2040</v>
      </c>
      <c r="FD18" s="55">
        <f>SUM($FC$3:FC18)</f>
        <v>25320</v>
      </c>
      <c r="FF18" s="9" t="s">
        <v>297</v>
      </c>
      <c r="FG18" s="9"/>
      <c r="FH18" s="9" t="e" cm="1">
        <f t="array" ref="FH18">INDEX(FB3:FB101,MATCH(_xlfn.MAXIFS(FD3:FD101,FB3:FB101,FI15),FD17:FD18,0))</f>
        <v>#N/A</v>
      </c>
      <c r="FI18" s="9"/>
      <c r="FN18" t="s">
        <v>270</v>
      </c>
      <c r="FO18">
        <f t="shared" ref="FO18:FU18" si="50">10000/FO17*$FP$4</f>
        <v>65.0702317923663</v>
      </c>
      <c r="FP18">
        <f t="shared" si="50"/>
        <v>325.351158961832</v>
      </c>
      <c r="FQ18">
        <f t="shared" si="50"/>
        <v>650.702317923663</v>
      </c>
      <c r="FR18">
        <f t="shared" si="50"/>
        <v>976.053476885495</v>
      </c>
      <c r="FS18">
        <f t="shared" si="50"/>
        <v>1301.40463584733</v>
      </c>
      <c r="FT18">
        <f t="shared" si="50"/>
        <v>1626.75579480916</v>
      </c>
      <c r="FU18">
        <f t="shared" si="50"/>
        <v>195.210695377099</v>
      </c>
    </row>
    <row r="19" spans="1:177">
      <c r="A19">
        <v>8</v>
      </c>
      <c r="B19">
        <f>秘宝大作战!D10-秘宝大作战!H10</f>
        <v>-11520</v>
      </c>
      <c r="C19">
        <f t="shared" si="39"/>
        <v>11520</v>
      </c>
      <c r="D19">
        <f t="shared" si="40"/>
        <v>960</v>
      </c>
      <c r="E19">
        <f t="shared" si="41"/>
        <v>4800</v>
      </c>
      <c r="F19">
        <f t="shared" si="45"/>
        <v>5760</v>
      </c>
      <c r="J19">
        <f t="shared" si="13"/>
        <v>41350</v>
      </c>
      <c r="K19">
        <v>18</v>
      </c>
      <c r="L19">
        <f t="shared" si="14"/>
        <v>127</v>
      </c>
      <c r="M19" t="s">
        <v>298</v>
      </c>
      <c r="N19" t="str">
        <f t="shared" si="43"/>
        <v>幸运神像/黄金圣木</v>
      </c>
      <c r="X19">
        <v>0</v>
      </c>
      <c r="Y19">
        <f>泽国星象合约计算器!H2</f>
        <v>200</v>
      </c>
      <c r="Z19">
        <f>FLOOR(AA17/AA4,1)+AB4</f>
        <v>128</v>
      </c>
      <c r="AA19">
        <f>(Y19-AB4-X19)*AA4-AA17</f>
        <v>7197</v>
      </c>
      <c r="AD19">
        <v>18</v>
      </c>
      <c r="AE19">
        <v>40</v>
      </c>
      <c r="AF19">
        <f t="shared" si="15"/>
        <v>400</v>
      </c>
      <c r="AG19" t="s">
        <v>115</v>
      </c>
      <c r="AH19" s="70">
        <v>0.05</v>
      </c>
      <c r="AI19" s="70">
        <f>COUNTIF(AG$1:AG19,AG19)*AH19</f>
        <v>0.25</v>
      </c>
      <c r="AK19" t="s">
        <v>299</v>
      </c>
      <c r="AU19">
        <v>17</v>
      </c>
      <c r="AV19">
        <v>450</v>
      </c>
      <c r="AW19">
        <v>17</v>
      </c>
      <c r="AX19">
        <v>450</v>
      </c>
      <c r="AY19">
        <v>17</v>
      </c>
      <c r="AZ19">
        <v>450</v>
      </c>
      <c r="BR19" s="10" t="s">
        <v>129</v>
      </c>
      <c r="BS19" s="10">
        <f>1920000000/100000</f>
        <v>19200</v>
      </c>
      <c r="BT19" s="10"/>
      <c r="BU19" s="10"/>
      <c r="BV19" s="10"/>
      <c r="BW19" s="10"/>
      <c r="BX19" s="10"/>
      <c r="BY19" s="10"/>
      <c r="BZ19" s="10">
        <v>178</v>
      </c>
      <c r="CA19" s="10">
        <f t="shared" si="16"/>
        <v>30420</v>
      </c>
      <c r="CB19" s="10">
        <f t="shared" si="1"/>
        <v>60840</v>
      </c>
      <c r="CC19" s="10">
        <f t="shared" si="2"/>
        <v>365.04</v>
      </c>
      <c r="CD19" s="10">
        <f t="shared" si="3"/>
        <v>338.965714285714</v>
      </c>
      <c r="CE19" s="10">
        <f t="shared" si="4"/>
        <v>64.5973812137369</v>
      </c>
      <c r="CF19" s="10"/>
      <c r="CG19" s="10">
        <v>178</v>
      </c>
      <c r="CH19" s="10">
        <f t="shared" si="44"/>
        <v>22495</v>
      </c>
      <c r="CI19" s="10">
        <v>0</v>
      </c>
      <c r="CJ19" s="10">
        <f t="shared" si="5"/>
        <v>179.96</v>
      </c>
      <c r="CK19" s="10">
        <f t="shared" si="6"/>
        <v>467.896</v>
      </c>
      <c r="CL19" s="10">
        <f t="shared" si="7"/>
        <v>97.4783333333333</v>
      </c>
      <c r="CM19" s="10"/>
      <c r="CN19" s="10"/>
      <c r="CO19" s="10"/>
      <c r="CP19" s="10"/>
      <c r="CQ19" s="10"/>
      <c r="CR19" s="10"/>
      <c r="CS19" s="10"/>
      <c r="CT19" s="10"/>
      <c r="CU19" s="10">
        <v>178</v>
      </c>
      <c r="CV19" s="10">
        <v>237700</v>
      </c>
      <c r="CW19" s="10">
        <v>0</v>
      </c>
      <c r="CX19" s="10">
        <f t="shared" si="11"/>
        <v>475.4</v>
      </c>
      <c r="CY19" s="10">
        <f t="shared" si="12"/>
        <v>1030.03333333333</v>
      </c>
      <c r="CZ19" s="10"/>
      <c r="DA19" s="10"/>
      <c r="DB19" s="10"/>
      <c r="DC19" s="10"/>
      <c r="DD19" t="s">
        <v>300</v>
      </c>
      <c r="DE19">
        <f>SUM($DH$31*2.5,$DM$31*2.5,$DR$31*0.5,$DW$31*3.125)</f>
        <v>12870</v>
      </c>
      <c r="DF19" s="115">
        <f>10000*($DI$31*DT$3*2.5+$DN$31*DT$4*2.5+$DS$31*DT$5*0.5+$DX$31*DT$6*3.125)</f>
        <v>484415.322580645</v>
      </c>
      <c r="DG19">
        <v>3536</v>
      </c>
      <c r="DJ19" t="s">
        <v>300</v>
      </c>
      <c r="DK19" s="29">
        <f t="shared" si="49"/>
        <v>238.93165333028</v>
      </c>
      <c r="DM19" t="s">
        <v>145</v>
      </c>
      <c r="DN19">
        <f>属性晨星性价比!I4</f>
        <v>56.7</v>
      </c>
      <c r="DO19">
        <f>属性晨星性价比!I9</f>
        <v>0.48</v>
      </c>
      <c r="DP19">
        <f>DN19*(1+DO19)</f>
        <v>83.916</v>
      </c>
      <c r="ED19" t="s">
        <v>89</v>
      </c>
      <c r="EE19">
        <f>幻兽同调计算器!C4</f>
        <v>5.18</v>
      </c>
      <c r="EF19">
        <f>EE19*2.5</f>
        <v>12.95</v>
      </c>
      <c r="EI19" t="s">
        <v>89</v>
      </c>
      <c r="EJ19">
        <f>EE19/$EE$16*$EJ$16/$ED$17*$EI$17</f>
        <v>4.25636029411765</v>
      </c>
      <c r="EK19">
        <f>EJ19*2.5</f>
        <v>10.6409007352941</v>
      </c>
      <c r="ER19" s="16"/>
      <c r="ET19" s="16"/>
      <c r="EW19" s="16"/>
      <c r="FB19" s="52">
        <v>17</v>
      </c>
      <c r="FC19" s="112">
        <v>2100</v>
      </c>
      <c r="FD19" s="55">
        <f>SUM($FC$3:FC19)</f>
        <v>27420</v>
      </c>
      <c r="FN19" t="s">
        <v>274</v>
      </c>
      <c r="FO19">
        <f>(SUM(FO16:FU16)/SUM(FO15:FU15))</f>
        <v>475.757575757576</v>
      </c>
    </row>
    <row r="20" spans="1:177">
      <c r="A20">
        <v>9</v>
      </c>
      <c r="B20">
        <f>秘宝大作战!D11-秘宝大作战!H11</f>
        <v>-14910</v>
      </c>
      <c r="C20">
        <f t="shared" si="39"/>
        <v>14910</v>
      </c>
      <c r="D20">
        <f t="shared" si="40"/>
        <v>1080</v>
      </c>
      <c r="E20">
        <f t="shared" si="41"/>
        <v>5400</v>
      </c>
      <c r="F20">
        <f t="shared" si="45"/>
        <v>8430</v>
      </c>
      <c r="J20">
        <f t="shared" si="13"/>
        <v>43600</v>
      </c>
      <c r="K20">
        <v>19</v>
      </c>
      <c r="L20">
        <f t="shared" si="14"/>
        <v>134</v>
      </c>
      <c r="M20" t="s">
        <v>301</v>
      </c>
      <c r="N20" t="str">
        <f t="shared" si="43"/>
        <v>5阶技能碎片*180</v>
      </c>
      <c r="AD20">
        <v>19</v>
      </c>
      <c r="AE20">
        <v>40</v>
      </c>
      <c r="AF20">
        <f t="shared" si="15"/>
        <v>440</v>
      </c>
      <c r="AG20" t="s">
        <v>116</v>
      </c>
      <c r="AH20" s="70">
        <v>0.02</v>
      </c>
      <c r="AI20" s="70">
        <f>COUNTIF(AG$1:AG20,AG20)*AH20</f>
        <v>0.1</v>
      </c>
      <c r="AL20" t="s">
        <v>302</v>
      </c>
      <c r="AM20" s="70" t="s">
        <v>303</v>
      </c>
      <c r="AO20" s="3" t="s">
        <v>302</v>
      </c>
      <c r="AP20" s="3" t="s">
        <v>304</v>
      </c>
      <c r="AQ20" s="3" t="s">
        <v>303</v>
      </c>
      <c r="AR20" s="3" t="s">
        <v>304</v>
      </c>
      <c r="AS20" s="3"/>
      <c r="AU20">
        <v>18</v>
      </c>
      <c r="AV20">
        <v>500</v>
      </c>
      <c r="AW20">
        <v>18</v>
      </c>
      <c r="AX20">
        <v>500</v>
      </c>
      <c r="AY20">
        <v>18</v>
      </c>
      <c r="AZ20">
        <v>500</v>
      </c>
      <c r="BR20" s="10" t="s">
        <v>128</v>
      </c>
      <c r="BS20" s="10">
        <f>180000000/100000</f>
        <v>1800</v>
      </c>
      <c r="BT20" s="10"/>
      <c r="BU20" s="10"/>
      <c r="BV20" s="10"/>
      <c r="BW20" s="10"/>
      <c r="BX20" s="10"/>
      <c r="BY20" s="10"/>
      <c r="BZ20" s="10">
        <v>179</v>
      </c>
      <c r="CA20" s="10">
        <f t="shared" si="16"/>
        <v>30680</v>
      </c>
      <c r="CB20" s="10">
        <f t="shared" si="1"/>
        <v>61360</v>
      </c>
      <c r="CC20" s="10">
        <f t="shared" si="2"/>
        <v>368.16</v>
      </c>
      <c r="CD20" s="10">
        <f t="shared" si="3"/>
        <v>341.862857142857</v>
      </c>
      <c r="CE20" s="10">
        <f t="shared" si="4"/>
        <v>65.1494955830851</v>
      </c>
      <c r="CF20" s="10"/>
      <c r="CG20" s="10">
        <v>179</v>
      </c>
      <c r="CH20" s="10">
        <f t="shared" si="46"/>
        <v>22690</v>
      </c>
      <c r="CI20" s="10">
        <v>0</v>
      </c>
      <c r="CJ20" s="10">
        <f t="shared" si="5"/>
        <v>181.52</v>
      </c>
      <c r="CK20" s="10">
        <f t="shared" si="6"/>
        <v>471.952</v>
      </c>
      <c r="CL20" s="10">
        <f t="shared" si="7"/>
        <v>98.3233333333334</v>
      </c>
      <c r="CM20" s="10"/>
      <c r="CN20" s="10"/>
      <c r="CO20" s="10"/>
      <c r="CP20" s="10"/>
      <c r="CQ20" s="10"/>
      <c r="CR20" s="10"/>
      <c r="CS20" s="10"/>
      <c r="CT20" s="10"/>
      <c r="CU20" s="10">
        <v>179</v>
      </c>
      <c r="CV20" s="10">
        <v>241250</v>
      </c>
      <c r="CW20" s="10">
        <v>0</v>
      </c>
      <c r="CX20" s="10">
        <f t="shared" si="11"/>
        <v>482.5</v>
      </c>
      <c r="CY20" s="10">
        <f t="shared" si="12"/>
        <v>1045.41666666667</v>
      </c>
      <c r="CZ20" s="10"/>
      <c r="DA20" s="10"/>
      <c r="DB20" s="10"/>
      <c r="DC20" s="10"/>
      <c r="DD20" t="s">
        <v>305</v>
      </c>
      <c r="DE20">
        <f>SUM($DH$32*2.5,$DM$32*2.5,$DR$32*0.5,$DW$32*3.125)</f>
        <v>15060</v>
      </c>
      <c r="DF20" s="115">
        <f>10000*($DI$32*DT$3*2.5+$DN$32*DT$4*2.5+$DS$32*DT$5*0.5+$DX$32*DT$6*3.125)</f>
        <v>484354.838709678</v>
      </c>
      <c r="DG20">
        <v>4080</v>
      </c>
      <c r="DJ20" t="s">
        <v>305</v>
      </c>
      <c r="DK20" s="29">
        <f t="shared" si="49"/>
        <v>274.51481927882</v>
      </c>
      <c r="DM20" t="s">
        <v>91</v>
      </c>
      <c r="DN20">
        <f>属性晨星性价比!I5</f>
        <v>9.08</v>
      </c>
      <c r="DO20">
        <f>属性晨星性价比!I10</f>
        <v>0.52</v>
      </c>
      <c r="DP20">
        <f>DN20*(1+DO20)</f>
        <v>13.8016</v>
      </c>
      <c r="ED20" t="s">
        <v>90</v>
      </c>
      <c r="EE20">
        <f>幻兽同调计算器!C5</f>
        <v>25.9</v>
      </c>
      <c r="EF20">
        <f>EE20*0.5</f>
        <v>12.95</v>
      </c>
      <c r="EI20" t="s">
        <v>90</v>
      </c>
      <c r="EJ20">
        <f>EE20/$EE$16*$EJ$16/$ED$17*$EI$17</f>
        <v>21.2818014705882</v>
      </c>
      <c r="EK20">
        <f>EJ20*0.5</f>
        <v>10.6409007352941</v>
      </c>
      <c r="ER20" s="16"/>
      <c r="ET20" s="16"/>
      <c r="EW20" s="16"/>
      <c r="FB20" s="52">
        <v>18</v>
      </c>
      <c r="FC20" s="112">
        <v>2160</v>
      </c>
      <c r="FD20" s="55">
        <f>SUM($FC$3:FC20)</f>
        <v>29580</v>
      </c>
    </row>
    <row r="21" spans="1:177">
      <c r="A21">
        <v>10</v>
      </c>
      <c r="B21">
        <f>秘宝大作战!D12-秘宝大作战!H12</f>
        <v>-17250</v>
      </c>
      <c r="C21">
        <f t="shared" si="39"/>
        <v>17250</v>
      </c>
      <c r="D21">
        <f t="shared" si="40"/>
        <v>1200</v>
      </c>
      <c r="E21">
        <f t="shared" si="41"/>
        <v>6000</v>
      </c>
      <c r="F21">
        <f t="shared" si="45"/>
        <v>10050</v>
      </c>
      <c r="J21">
        <f t="shared" si="13"/>
        <v>45850</v>
      </c>
      <c r="K21">
        <v>20</v>
      </c>
      <c r="L21">
        <f t="shared" si="14"/>
        <v>141</v>
      </c>
      <c r="M21" t="s">
        <v>306</v>
      </c>
      <c r="N21" t="str">
        <f t="shared" si="43"/>
        <v>原初宝石/贤者之石</v>
      </c>
      <c r="V21" t="s">
        <v>307</v>
      </c>
      <c r="AD21">
        <v>20</v>
      </c>
      <c r="AE21">
        <v>40</v>
      </c>
      <c r="AF21">
        <f t="shared" si="15"/>
        <v>480</v>
      </c>
      <c r="AG21" t="s">
        <v>117</v>
      </c>
      <c r="AH21" s="70">
        <v>0.02</v>
      </c>
      <c r="AI21" s="70">
        <f>COUNTIF(AG$1:AG21,AG21)*AH21</f>
        <v>0.1</v>
      </c>
      <c r="AL21">
        <f>副本晨星收益计算器!C1</f>
        <v>3300</v>
      </c>
      <c r="AM21" s="70" t="str">
        <f>副本晨星收益计算器!F1</f>
        <v>2星架子上</v>
      </c>
      <c r="AO21" s="3">
        <f>AF4</f>
        <v>30</v>
      </c>
      <c r="AP21" s="116">
        <f>AI4</f>
        <v>0.02</v>
      </c>
      <c r="AQ21" s="3" t="s">
        <v>308</v>
      </c>
      <c r="AR21" s="116">
        <v>0.1</v>
      </c>
      <c r="AU21">
        <v>19</v>
      </c>
      <c r="AV21">
        <v>500</v>
      </c>
      <c r="AW21">
        <v>19</v>
      </c>
      <c r="AX21">
        <v>500</v>
      </c>
      <c r="AY21">
        <v>19</v>
      </c>
      <c r="AZ21">
        <v>500</v>
      </c>
      <c r="BR21" s="10" t="s">
        <v>134</v>
      </c>
      <c r="BS21" s="10">
        <f>268000000/100000</f>
        <v>2680</v>
      </c>
      <c r="BT21" s="10"/>
      <c r="BU21" s="10"/>
      <c r="BV21" s="10"/>
      <c r="BW21" s="10"/>
      <c r="BX21" s="10"/>
      <c r="BY21" s="10"/>
      <c r="BZ21" s="10">
        <v>180</v>
      </c>
      <c r="CA21" s="10">
        <f t="shared" si="16"/>
        <v>30940</v>
      </c>
      <c r="CB21" s="10">
        <f t="shared" si="1"/>
        <v>61880</v>
      </c>
      <c r="CC21" s="10">
        <f t="shared" si="2"/>
        <v>371.28</v>
      </c>
      <c r="CD21" s="10">
        <f t="shared" si="3"/>
        <v>344.76</v>
      </c>
      <c r="CE21" s="10">
        <f t="shared" si="4"/>
        <v>65.7016099524332</v>
      </c>
      <c r="CF21" s="10"/>
      <c r="CG21" s="10">
        <v>180</v>
      </c>
      <c r="CH21" s="10">
        <f t="shared" ref="CH21:CH25" si="51">CH20+190</f>
        <v>22880</v>
      </c>
      <c r="CI21" s="10">
        <v>0</v>
      </c>
      <c r="CJ21" s="10">
        <f t="shared" si="5"/>
        <v>183.04</v>
      </c>
      <c r="CK21" s="10">
        <f t="shared" si="6"/>
        <v>475.904</v>
      </c>
      <c r="CL21" s="10">
        <f t="shared" si="7"/>
        <v>99.1466666666667</v>
      </c>
      <c r="CM21" s="10"/>
      <c r="CN21" s="10"/>
      <c r="CO21" s="10"/>
      <c r="CP21" s="10"/>
      <c r="CQ21" s="10"/>
      <c r="CR21" s="10"/>
      <c r="CS21" s="10"/>
      <c r="CT21" s="10"/>
      <c r="CU21" s="10">
        <v>180</v>
      </c>
      <c r="CV21" s="10">
        <v>244800</v>
      </c>
      <c r="CW21" s="10">
        <v>0</v>
      </c>
      <c r="CX21" s="10">
        <f t="shared" si="11"/>
        <v>489.6</v>
      </c>
      <c r="CY21" s="10">
        <f t="shared" si="12"/>
        <v>1060.8</v>
      </c>
      <c r="CZ21" s="10"/>
      <c r="DA21" s="10"/>
      <c r="DB21" s="10"/>
      <c r="DC21" s="10"/>
      <c r="DD21" t="s">
        <v>309</v>
      </c>
      <c r="DE21">
        <f>SUM($DH$33*2.5,$DM$33*2.5,$DR$33*0.5,$DW$33*3.125)</f>
        <v>15060</v>
      </c>
      <c r="DF21" s="115">
        <f>10000*($DI$33*DT$3*2.5+$DN$33*DT$4*2.5+$DS$33*DT$5*0.5+$DX$33*DT$6*3.125)</f>
        <v>484354.838709678</v>
      </c>
      <c r="DG21">
        <v>4692</v>
      </c>
      <c r="DJ21" t="s">
        <v>309</v>
      </c>
      <c r="DK21" s="29">
        <f t="shared" si="49"/>
        <v>315.692042170644</v>
      </c>
      <c r="ED21" t="s">
        <v>91</v>
      </c>
      <c r="EE21">
        <f>幻兽同调计算器!C6</f>
        <v>4.14</v>
      </c>
      <c r="EF21">
        <f>EE21*3.125</f>
        <v>12.9375</v>
      </c>
      <c r="EI21" t="s">
        <v>91</v>
      </c>
      <c r="EJ21">
        <f>EE21/$EE$16*$EJ$16/$ED$17*$EI$17</f>
        <v>3.40180147058823</v>
      </c>
      <c r="EK21">
        <f>EJ21*3.125</f>
        <v>10.6306295955882</v>
      </c>
      <c r="ER21" s="16"/>
      <c r="ET21" s="16"/>
      <c r="EW21" s="16"/>
      <c r="FB21" s="52">
        <v>19</v>
      </c>
      <c r="FC21" s="112">
        <v>2220</v>
      </c>
      <c r="FD21" s="55">
        <f>SUM($FC$3:FC21)</f>
        <v>31800</v>
      </c>
      <c r="FM21" t="s">
        <v>310</v>
      </c>
      <c r="FN21">
        <f>(FN2+FO2)*FN4*FO14+(FN3+FO3)*FN5*FO19</f>
        <v>1478.07514765909</v>
      </c>
    </row>
    <row r="22" spans="1:177">
      <c r="A22">
        <v>11</v>
      </c>
      <c r="B22">
        <f>秘宝大作战!D13-秘宝大作战!H13</f>
        <v>-18240</v>
      </c>
      <c r="C22">
        <f t="shared" si="39"/>
        <v>18240</v>
      </c>
      <c r="D22">
        <f t="shared" si="40"/>
        <v>1320</v>
      </c>
      <c r="E22">
        <f t="shared" si="41"/>
        <v>6600</v>
      </c>
      <c r="F22">
        <f t="shared" si="45"/>
        <v>10320</v>
      </c>
      <c r="J22">
        <f t="shared" si="13"/>
        <v>48100</v>
      </c>
      <c r="K22">
        <v>21</v>
      </c>
      <c r="L22">
        <f t="shared" si="14"/>
        <v>148</v>
      </c>
      <c r="M22" t="s">
        <v>311</v>
      </c>
      <c r="N22" t="str">
        <f t="shared" si="43"/>
        <v>自选奇迹遗物·羽II</v>
      </c>
      <c r="V22" t="s">
        <v>183</v>
      </c>
      <c r="W22" t="s">
        <v>184</v>
      </c>
      <c r="X22" t="s">
        <v>185</v>
      </c>
      <c r="Y22" t="s">
        <v>186</v>
      </c>
      <c r="Z22" t="s">
        <v>187</v>
      </c>
      <c r="AA22" t="s">
        <v>277</v>
      </c>
      <c r="AD22">
        <v>21</v>
      </c>
      <c r="AE22">
        <v>50</v>
      </c>
      <c r="AF22">
        <f t="shared" si="15"/>
        <v>530</v>
      </c>
      <c r="AG22" t="s">
        <v>114</v>
      </c>
      <c r="AH22" s="70">
        <v>0.03</v>
      </c>
      <c r="AI22" s="70">
        <f>COUNTIF(AG$1:AG22,AG22)*AH22</f>
        <v>0.18</v>
      </c>
      <c r="AK22" t="s">
        <v>304</v>
      </c>
      <c r="AL22" s="116">
        <f>VLOOKUP(AL21,AO21:AP42,2,0)</f>
        <v>0.26</v>
      </c>
      <c r="AM22" s="70">
        <f>VLOOKUP(AM21,AQ21:AR32,2,0)</f>
        <v>0.216</v>
      </c>
      <c r="AO22" s="3">
        <f>AF8</f>
        <v>88</v>
      </c>
      <c r="AP22" s="116">
        <f>AI8</f>
        <v>0.04</v>
      </c>
      <c r="AQ22" s="3" t="s">
        <v>312</v>
      </c>
      <c r="AR22" s="116">
        <v>0.14</v>
      </c>
      <c r="AU22">
        <v>20</v>
      </c>
      <c r="AV22">
        <v>1483</v>
      </c>
      <c r="AW22">
        <v>20</v>
      </c>
      <c r="AX22">
        <v>1483</v>
      </c>
      <c r="AY22">
        <v>20</v>
      </c>
      <c r="AZ22">
        <v>1483</v>
      </c>
      <c r="BR22" s="10" t="s">
        <v>136</v>
      </c>
      <c r="BS22" s="10">
        <f>1460+76*5</f>
        <v>1840</v>
      </c>
      <c r="BT22" s="10"/>
      <c r="BU22" s="10"/>
      <c r="BV22" s="10"/>
      <c r="BW22" s="10"/>
      <c r="BX22" s="10"/>
      <c r="BY22" s="10"/>
      <c r="BZ22" s="10">
        <v>181</v>
      </c>
      <c r="CA22" s="10">
        <f t="shared" si="16"/>
        <v>31200</v>
      </c>
      <c r="CB22" s="10">
        <f t="shared" si="1"/>
        <v>62400</v>
      </c>
      <c r="CC22" s="10">
        <f t="shared" si="2"/>
        <v>374.4</v>
      </c>
      <c r="CD22" s="10">
        <f t="shared" si="3"/>
        <v>347.657142857143</v>
      </c>
      <c r="CE22" s="10">
        <f t="shared" si="4"/>
        <v>66.2537243217814</v>
      </c>
      <c r="CF22" s="10"/>
      <c r="CG22" s="10">
        <v>181</v>
      </c>
      <c r="CH22" s="10">
        <f>CH21+195-5</f>
        <v>23070</v>
      </c>
      <c r="CI22" s="10">
        <v>0</v>
      </c>
      <c r="CJ22" s="10">
        <f t="shared" si="5"/>
        <v>184.56</v>
      </c>
      <c r="CK22" s="10">
        <f t="shared" si="6"/>
        <v>479.856</v>
      </c>
      <c r="CL22" s="10">
        <f t="shared" si="7"/>
        <v>99.97</v>
      </c>
      <c r="CM22" s="10"/>
      <c r="CN22" s="10"/>
      <c r="CO22" s="10"/>
      <c r="CP22" s="10"/>
      <c r="CQ22" s="10"/>
      <c r="CR22" s="10"/>
      <c r="CS22" s="10"/>
      <c r="CT22" s="10"/>
      <c r="CU22" s="10">
        <v>181</v>
      </c>
      <c r="CV22" s="10">
        <v>248350</v>
      </c>
      <c r="CW22" s="10">
        <v>0</v>
      </c>
      <c r="CX22" s="10">
        <f t="shared" si="11"/>
        <v>496.7</v>
      </c>
      <c r="CY22" s="10">
        <f t="shared" si="12"/>
        <v>1076.18333333333</v>
      </c>
      <c r="CZ22" s="10"/>
      <c r="DA22" s="10"/>
      <c r="DB22" s="10"/>
      <c r="DC22" s="10"/>
      <c r="DD22" t="s">
        <v>313</v>
      </c>
      <c r="DE22">
        <f>SUM($DH$34*2.5,$DM$34*2.5,$DR$34*0.5,$DW$34*3.125)</f>
        <v>17240</v>
      </c>
      <c r="DF22" s="115">
        <f>10000*($DI$34*DT$3*2.5+$DN$34*DT$4*2.5+$DS$34*DT$5*0.5+$DX$34*DT$6*3.125)</f>
        <v>484415.322580645</v>
      </c>
      <c r="DG22">
        <v>5440</v>
      </c>
      <c r="DJ22" t="s">
        <v>313</v>
      </c>
      <c r="DK22" s="29">
        <f t="shared" si="49"/>
        <v>364.385048252618</v>
      </c>
      <c r="EE22" t="s">
        <v>314</v>
      </c>
      <c r="EF22">
        <f>SUM(EF18:EF21)</f>
        <v>51.7875</v>
      </c>
      <c r="EJ22" t="s">
        <v>314</v>
      </c>
      <c r="EK22">
        <f>SUM(EK18:EK21)</f>
        <v>42.5533318014706</v>
      </c>
      <c r="ER22" s="16"/>
      <c r="ET22" s="16"/>
      <c r="EW22" s="16"/>
      <c r="FB22" s="52">
        <v>20</v>
      </c>
      <c r="FC22" s="112">
        <v>2310</v>
      </c>
      <c r="FD22" s="55">
        <f>SUM($FC$3:FC22)</f>
        <v>34110</v>
      </c>
      <c r="FM22" t="s">
        <v>315</v>
      </c>
      <c r="FN22">
        <f>10000/FN21*(80-4775/200)</f>
        <v>379.71682352476</v>
      </c>
    </row>
    <row r="23" spans="1:177">
      <c r="A23">
        <v>12</v>
      </c>
      <c r="B23">
        <f>秘宝大作战!D14-秘宝大作战!H14</f>
        <v>-19230</v>
      </c>
      <c r="C23">
        <f t="shared" si="39"/>
        <v>19230</v>
      </c>
      <c r="D23">
        <f t="shared" si="40"/>
        <v>1440</v>
      </c>
      <c r="E23">
        <f t="shared" si="41"/>
        <v>7200</v>
      </c>
      <c r="F23">
        <f t="shared" si="45"/>
        <v>10590</v>
      </c>
      <c r="J23">
        <f t="shared" si="13"/>
        <v>50350</v>
      </c>
      <c r="K23">
        <v>22</v>
      </c>
      <c r="L23">
        <f t="shared" si="14"/>
        <v>155</v>
      </c>
      <c r="M23" t="s">
        <v>298</v>
      </c>
      <c r="N23" t="str">
        <f t="shared" si="43"/>
        <v>幸运神像/黄金圣木</v>
      </c>
      <c r="V23">
        <f>(龙国星象合约计算器!B2-130)*V7</f>
        <v>6995</v>
      </c>
      <c r="W23">
        <f>(SUM(龙国星象合约计算器!B4:C6)-5*130)*W7</f>
        <v>6606</v>
      </c>
      <c r="X23">
        <f>(SUM(龙国星象合约计算器!B8:C11)-8*130)*X7</f>
        <v>3087</v>
      </c>
      <c r="Y23">
        <f>(SUM(龙国星象合约计算器!B13:E17)-20*13)*Y7</f>
        <v>5280</v>
      </c>
      <c r="Z23">
        <f>(SUM(龙国星象合约计算器!B19:E19)-4*130)*Z7</f>
        <v>1384</v>
      </c>
      <c r="AA23">
        <f>SUM(V23:Z23)</f>
        <v>23352</v>
      </c>
      <c r="AD23">
        <v>22</v>
      </c>
      <c r="AE23">
        <v>50</v>
      </c>
      <c r="AF23">
        <f t="shared" si="15"/>
        <v>580</v>
      </c>
      <c r="AG23" t="s">
        <v>115</v>
      </c>
      <c r="AH23" s="70">
        <v>0.05</v>
      </c>
      <c r="AI23" s="70">
        <f>COUNTIF(AG$1:AG23,AG23)*AH23</f>
        <v>0.3</v>
      </c>
      <c r="AM23" s="117"/>
      <c r="AO23" s="3">
        <f>AF12</f>
        <v>176</v>
      </c>
      <c r="AP23" s="116">
        <f>AI12</f>
        <v>0.06</v>
      </c>
      <c r="AQ23" s="3" t="s">
        <v>316</v>
      </c>
      <c r="AR23" s="116">
        <v>0.18</v>
      </c>
      <c r="AU23">
        <v>21</v>
      </c>
      <c r="AV23">
        <v>1844</v>
      </c>
      <c r="AW23">
        <v>21</v>
      </c>
      <c r="AX23">
        <v>1844</v>
      </c>
      <c r="AY23">
        <v>21</v>
      </c>
      <c r="AZ23">
        <v>1844</v>
      </c>
      <c r="BR23" s="10"/>
      <c r="BS23" s="10"/>
      <c r="BT23" s="10"/>
      <c r="BU23" s="10"/>
      <c r="BV23" s="10"/>
      <c r="BW23" s="10"/>
      <c r="BX23" s="10"/>
      <c r="BY23" s="10"/>
      <c r="BZ23" s="10">
        <v>182</v>
      </c>
      <c r="CA23" s="10">
        <f t="shared" si="16"/>
        <v>31460</v>
      </c>
      <c r="CB23" s="10">
        <f t="shared" si="1"/>
        <v>62920</v>
      </c>
      <c r="CC23" s="10">
        <f t="shared" si="2"/>
        <v>377.52</v>
      </c>
      <c r="CD23" s="10">
        <f t="shared" si="3"/>
        <v>350.554285714286</v>
      </c>
      <c r="CE23" s="10">
        <f t="shared" si="4"/>
        <v>66.8058386911296</v>
      </c>
      <c r="CF23" s="10"/>
      <c r="CG23" s="10">
        <v>182</v>
      </c>
      <c r="CH23" s="10">
        <f t="shared" si="51"/>
        <v>23260</v>
      </c>
      <c r="CI23" s="10">
        <v>0</v>
      </c>
      <c r="CJ23" s="10">
        <f t="shared" si="5"/>
        <v>186.08</v>
      </c>
      <c r="CK23" s="10">
        <f t="shared" si="6"/>
        <v>483.808</v>
      </c>
      <c r="CL23" s="10">
        <f t="shared" si="7"/>
        <v>100.793333333333</v>
      </c>
      <c r="CM23" s="10"/>
      <c r="CN23" s="10"/>
      <c r="CO23" s="10"/>
      <c r="CP23" s="10"/>
      <c r="CQ23" s="10"/>
      <c r="CR23" s="10"/>
      <c r="CS23" s="10"/>
      <c r="CT23" s="10"/>
      <c r="CU23" s="10">
        <v>182</v>
      </c>
      <c r="CV23" s="10">
        <v>251900</v>
      </c>
      <c r="CW23" s="10">
        <v>0</v>
      </c>
      <c r="CX23" s="10">
        <f t="shared" si="11"/>
        <v>503.8</v>
      </c>
      <c r="CY23" s="10">
        <f t="shared" si="12"/>
        <v>1091.56666666667</v>
      </c>
      <c r="CZ23" s="10"/>
      <c r="DA23" s="10"/>
      <c r="DB23" s="10"/>
      <c r="DC23" s="10"/>
      <c r="DD23" t="s">
        <v>317</v>
      </c>
      <c r="DE23">
        <f>SUM($DH$35*2.5,$DM$35*2.5,$DR$35*0.5,$DW$35*3.125)</f>
        <v>17235</v>
      </c>
      <c r="DF23" s="115">
        <f>10000*($DI$35*DT$3*2.5+$DN$35*DT$4*2.5+$DS$35*DT$5*0.5+$DX$35*DT$6*3.125)</f>
        <v>484415.322580645</v>
      </c>
      <c r="DG23">
        <v>6256</v>
      </c>
      <c r="DJ23" t="s">
        <v>317</v>
      </c>
      <c r="DK23" s="29">
        <f t="shared" si="49"/>
        <v>419.046982132951</v>
      </c>
      <c r="ED23" t="s">
        <v>93</v>
      </c>
      <c r="EF23">
        <v>2</v>
      </c>
      <c r="EI23" t="s">
        <v>93</v>
      </c>
      <c r="EK23">
        <f>幻兽同调计算器!H8</f>
        <v>1</v>
      </c>
      <c r="ER23" s="16"/>
      <c r="ET23" s="16"/>
      <c r="EW23" s="16"/>
      <c r="FB23" s="52">
        <v>21</v>
      </c>
      <c r="FC23" s="112">
        <v>2400</v>
      </c>
      <c r="FD23" s="55">
        <f>SUM($FC$3:FC23)</f>
        <v>36510</v>
      </c>
    </row>
    <row r="24" spans="1:177">
      <c r="A24">
        <v>13</v>
      </c>
      <c r="B24">
        <f>秘宝大作战!D15-秘宝大作战!H15</f>
        <v>-21420</v>
      </c>
      <c r="C24">
        <f t="shared" si="39"/>
        <v>21420</v>
      </c>
      <c r="D24">
        <f t="shared" si="40"/>
        <v>1560</v>
      </c>
      <c r="E24">
        <f t="shared" si="41"/>
        <v>7800</v>
      </c>
      <c r="F24">
        <f t="shared" si="45"/>
        <v>12060</v>
      </c>
      <c r="J24">
        <f t="shared" si="13"/>
        <v>52600</v>
      </c>
      <c r="K24">
        <v>23</v>
      </c>
      <c r="L24">
        <f t="shared" si="14"/>
        <v>162</v>
      </c>
      <c r="M24" t="s">
        <v>301</v>
      </c>
      <c r="N24" t="str">
        <f t="shared" si="43"/>
        <v>5阶技能碎片*180</v>
      </c>
      <c r="X24" t="s">
        <v>289</v>
      </c>
      <c r="Y24" t="s">
        <v>290</v>
      </c>
      <c r="Z24" t="s">
        <v>291</v>
      </c>
      <c r="AA24" t="s">
        <v>292</v>
      </c>
      <c r="AD24">
        <v>23</v>
      </c>
      <c r="AE24">
        <v>50</v>
      </c>
      <c r="AF24">
        <f t="shared" si="15"/>
        <v>630</v>
      </c>
      <c r="AG24" t="s">
        <v>116</v>
      </c>
      <c r="AH24" s="70">
        <v>0.02</v>
      </c>
      <c r="AI24" s="70">
        <f>COUNTIF(AG$1:AG24,AG24)*AH24</f>
        <v>0.12</v>
      </c>
      <c r="AO24" s="3">
        <f>AF16</f>
        <v>290</v>
      </c>
      <c r="AP24" s="116">
        <f>AI16</f>
        <v>0.08</v>
      </c>
      <c r="AQ24" t="s">
        <v>318</v>
      </c>
      <c r="AR24" s="116">
        <v>0.22</v>
      </c>
      <c r="AU24">
        <v>22</v>
      </c>
      <c r="AV24">
        <v>1865</v>
      </c>
      <c r="AW24">
        <v>22</v>
      </c>
      <c r="AX24">
        <v>1865</v>
      </c>
      <c r="AY24">
        <v>22</v>
      </c>
      <c r="AZ24">
        <v>1865</v>
      </c>
      <c r="BR24" s="10"/>
      <c r="BS24" s="10"/>
      <c r="BT24" s="10"/>
      <c r="BU24" s="10"/>
      <c r="BV24" s="10"/>
      <c r="BW24" s="10"/>
      <c r="BX24" s="10"/>
      <c r="BY24" s="10"/>
      <c r="BZ24" s="10">
        <v>183</v>
      </c>
      <c r="CA24" s="10">
        <f t="shared" si="16"/>
        <v>31720</v>
      </c>
      <c r="CB24" s="10">
        <f t="shared" si="1"/>
        <v>63440</v>
      </c>
      <c r="CC24" s="10">
        <f t="shared" si="2"/>
        <v>380.64</v>
      </c>
      <c r="CD24" s="10">
        <f t="shared" si="3"/>
        <v>353.451428571429</v>
      </c>
      <c r="CE24" s="10">
        <f t="shared" si="4"/>
        <v>67.3579530604778</v>
      </c>
      <c r="CF24" s="10"/>
      <c r="CG24" s="10">
        <v>183</v>
      </c>
      <c r="CH24" s="10">
        <f t="shared" ref="CH24:CH28" si="52">CH23+195</f>
        <v>23455</v>
      </c>
      <c r="CI24" s="10">
        <v>0</v>
      </c>
      <c r="CJ24" s="10">
        <f t="shared" si="5"/>
        <v>187.64</v>
      </c>
      <c r="CK24" s="10">
        <f t="shared" si="6"/>
        <v>487.864</v>
      </c>
      <c r="CL24" s="10">
        <f t="shared" si="7"/>
        <v>101.638333333333</v>
      </c>
      <c r="CM24" s="10"/>
      <c r="CN24" s="10"/>
      <c r="CO24" s="10"/>
      <c r="CP24" s="10"/>
      <c r="CQ24" s="10"/>
      <c r="CR24" s="10"/>
      <c r="CS24" s="10"/>
      <c r="CT24" s="10"/>
      <c r="CU24" s="10">
        <v>183</v>
      </c>
      <c r="CV24" s="10">
        <v>255450</v>
      </c>
      <c r="CW24" s="10">
        <v>0</v>
      </c>
      <c r="CX24" s="10">
        <f t="shared" si="11"/>
        <v>510.9</v>
      </c>
      <c r="CY24" s="10">
        <f t="shared" si="12"/>
        <v>1106.95</v>
      </c>
      <c r="CZ24" s="10"/>
      <c r="DA24" s="10"/>
      <c r="DB24" s="10"/>
      <c r="DC24" s="10"/>
      <c r="DD24" t="s">
        <v>319</v>
      </c>
      <c r="DE24">
        <f>SUM($DH$36*2.5,$DM$36*2.5,$DR$36*0.5,$DW$36*3.125)</f>
        <v>17235</v>
      </c>
      <c r="DF24" s="115">
        <f>10000*($DI$36*DT$3*2.5+$DN$36*DT$4*2.5+$DS$36*DT$5*0.5+$DX$36*DT$6*3.125)</f>
        <v>484294.35483871</v>
      </c>
      <c r="DG24">
        <v>6800</v>
      </c>
      <c r="DJ24" t="s">
        <v>319</v>
      </c>
      <c r="DK24" s="29">
        <f t="shared" si="49"/>
        <v>455.595712297632</v>
      </c>
      <c r="EE24" t="s">
        <v>320</v>
      </c>
      <c r="EF24" t="s">
        <v>110</v>
      </c>
      <c r="FB24" s="52">
        <v>22</v>
      </c>
      <c r="FC24" s="112">
        <v>2490</v>
      </c>
      <c r="FD24" s="55">
        <f>SUM($FC$3:FC24)</f>
        <v>39000</v>
      </c>
    </row>
    <row r="25" spans="1:177">
      <c r="A25">
        <v>14</v>
      </c>
      <c r="B25">
        <f>秘宝大作战!D16-秘宝大作战!H16</f>
        <v>-23610</v>
      </c>
      <c r="C25">
        <f t="shared" si="39"/>
        <v>23610</v>
      </c>
      <c r="D25">
        <f t="shared" si="40"/>
        <v>1680</v>
      </c>
      <c r="E25">
        <f t="shared" si="41"/>
        <v>8400</v>
      </c>
      <c r="F25">
        <f t="shared" si="45"/>
        <v>13530</v>
      </c>
      <c r="J25">
        <f t="shared" si="13"/>
        <v>54850</v>
      </c>
      <c r="K25">
        <v>24</v>
      </c>
      <c r="L25">
        <f t="shared" si="14"/>
        <v>169</v>
      </c>
      <c r="M25" t="s">
        <v>306</v>
      </c>
      <c r="N25" t="str">
        <f t="shared" si="43"/>
        <v>原初宝石/贤者之石</v>
      </c>
      <c r="X25">
        <f>龙国星象合约计算器!G2</f>
        <v>220</v>
      </c>
      <c r="Y25">
        <f>龙国星象合约计算器!H2</f>
        <v>1130</v>
      </c>
      <c r="Z25">
        <f>FLOOR(AA23/AA7,1)+AB7</f>
        <v>909</v>
      </c>
      <c r="AA25">
        <f>(Y25-AB7-X25)*AA7-AA23</f>
        <v>3</v>
      </c>
      <c r="AD25">
        <v>24</v>
      </c>
      <c r="AE25">
        <v>50</v>
      </c>
      <c r="AF25">
        <f t="shared" si="15"/>
        <v>680</v>
      </c>
      <c r="AG25" t="s">
        <v>117</v>
      </c>
      <c r="AH25" s="70">
        <v>0.02</v>
      </c>
      <c r="AI25" s="70">
        <f>COUNTIF(AG$1:AG25,AG25)*AH25</f>
        <v>0.12</v>
      </c>
      <c r="AO25" s="3">
        <f>AF20</f>
        <v>440</v>
      </c>
      <c r="AP25" s="116">
        <f>AI20</f>
        <v>0.1</v>
      </c>
      <c r="AQ25" t="s">
        <v>321</v>
      </c>
      <c r="AR25" s="116">
        <v>0.26</v>
      </c>
      <c r="AU25">
        <v>23</v>
      </c>
      <c r="AV25">
        <v>1916</v>
      </c>
      <c r="AW25">
        <v>23</v>
      </c>
      <c r="AX25">
        <v>1916</v>
      </c>
      <c r="AY25">
        <v>23</v>
      </c>
      <c r="AZ25">
        <v>1916</v>
      </c>
      <c r="BR25" s="10"/>
      <c r="BS25" s="10" t="s">
        <v>322</v>
      </c>
      <c r="BT25" s="10" t="s">
        <v>323</v>
      </c>
      <c r="BU25" s="10" t="s">
        <v>324</v>
      </c>
      <c r="BV25" s="10" t="s">
        <v>325</v>
      </c>
      <c r="BW25" s="10"/>
      <c r="BX25" s="10"/>
      <c r="BY25" s="10"/>
      <c r="BZ25" s="10">
        <v>184</v>
      </c>
      <c r="CA25" s="10">
        <f t="shared" si="16"/>
        <v>31980</v>
      </c>
      <c r="CB25" s="10">
        <f t="shared" si="1"/>
        <v>63960</v>
      </c>
      <c r="CC25" s="10">
        <f t="shared" si="2"/>
        <v>383.76</v>
      </c>
      <c r="CD25" s="10">
        <f t="shared" si="3"/>
        <v>356.348571428571</v>
      </c>
      <c r="CE25" s="10">
        <f t="shared" si="4"/>
        <v>67.9100674298259</v>
      </c>
      <c r="CF25" s="10"/>
      <c r="CG25" s="10">
        <v>184</v>
      </c>
      <c r="CH25" s="10">
        <f t="shared" si="51"/>
        <v>23645</v>
      </c>
      <c r="CI25" s="10">
        <v>0</v>
      </c>
      <c r="CJ25" s="10">
        <f t="shared" si="5"/>
        <v>189.16</v>
      </c>
      <c r="CK25" s="10">
        <f t="shared" si="6"/>
        <v>491.816</v>
      </c>
      <c r="CL25" s="10">
        <f t="shared" si="7"/>
        <v>102.461666666667</v>
      </c>
      <c r="CM25" s="10"/>
      <c r="CN25" s="10"/>
      <c r="CO25" s="10"/>
      <c r="CP25" s="10"/>
      <c r="CQ25" s="10"/>
      <c r="CR25" s="10"/>
      <c r="CS25" s="10"/>
      <c r="CT25" s="10"/>
      <c r="CU25" s="10">
        <v>184</v>
      </c>
      <c r="CV25" s="10">
        <v>259000</v>
      </c>
      <c r="CW25" s="10">
        <v>0</v>
      </c>
      <c r="CX25" s="10">
        <f t="shared" si="11"/>
        <v>518</v>
      </c>
      <c r="CY25" s="10">
        <f t="shared" si="12"/>
        <v>1122.33333333333</v>
      </c>
      <c r="CZ25" s="10"/>
      <c r="DA25" s="10"/>
      <c r="DB25" s="10"/>
      <c r="DC25" s="10"/>
      <c r="DF25" s="16"/>
      <c r="EC25" s="43" t="s">
        <v>326</v>
      </c>
      <c r="ED25" t="s">
        <v>88</v>
      </c>
      <c r="EE25">
        <f>SUM(EG4:INDEX(EG4:EG11,$EF$23))*$ED$17*$EF$16/10000</f>
        <v>0.6247296</v>
      </c>
      <c r="EF25" s="118">
        <f>SUM(EH4:INDEX(EH4:EH11,$EF$23))*$EF$16*EE18</f>
        <v>4.3512</v>
      </c>
      <c r="FB25" s="52">
        <v>23</v>
      </c>
      <c r="FC25" s="112">
        <v>2580</v>
      </c>
      <c r="FD25" s="55">
        <f>SUM($FC$3:FC25)</f>
        <v>41580</v>
      </c>
    </row>
    <row r="26" spans="1:177">
      <c r="A26">
        <v>15</v>
      </c>
      <c r="B26">
        <f>秘宝大作战!D17-秘宝大作战!H17</f>
        <v>-25800</v>
      </c>
      <c r="C26">
        <f t="shared" ref="C26:C32" si="53">IF(B26&lt;0,-B26,0)</f>
        <v>25800</v>
      </c>
      <c r="D26">
        <f t="shared" ref="D26:D32" si="54">IF(C26&gt;0,A26*2*60,0)</f>
        <v>1800</v>
      </c>
      <c r="E26">
        <f t="shared" ref="E26:E32" si="55">IF(C26&gt;0,A26*2*300,0)</f>
        <v>9000</v>
      </c>
      <c r="F26">
        <f t="shared" ref="F26:F32" si="56">IF(C26-D26-E26&gt;0,C26-D26-E26,0)</f>
        <v>15000</v>
      </c>
      <c r="J26">
        <f t="shared" si="13"/>
        <v>57100</v>
      </c>
      <c r="K26">
        <v>25</v>
      </c>
      <c r="L26">
        <f t="shared" si="14"/>
        <v>176</v>
      </c>
      <c r="M26" t="s">
        <v>327</v>
      </c>
      <c r="N26" t="str">
        <f t="shared" si="43"/>
        <v>自选奇迹遗物·羽III</v>
      </c>
      <c r="AD26">
        <v>25</v>
      </c>
      <c r="AE26">
        <v>60</v>
      </c>
      <c r="AF26">
        <f t="shared" si="15"/>
        <v>740</v>
      </c>
      <c r="AG26" t="s">
        <v>114</v>
      </c>
      <c r="AH26" s="70">
        <v>0.03</v>
      </c>
      <c r="AI26" s="70">
        <f>COUNTIF(AG$1:AG26,AG26)*AH26</f>
        <v>0.21</v>
      </c>
      <c r="AO26" s="3">
        <f>AF24</f>
        <v>630</v>
      </c>
      <c r="AP26" s="116">
        <f>AI24</f>
        <v>0.12</v>
      </c>
      <c r="AQ26" t="s">
        <v>328</v>
      </c>
      <c r="AR26" s="116">
        <v>0.3</v>
      </c>
      <c r="AU26">
        <v>24</v>
      </c>
      <c r="AV26">
        <v>2043</v>
      </c>
      <c r="AW26">
        <v>24</v>
      </c>
      <c r="AX26">
        <v>2043</v>
      </c>
      <c r="AY26">
        <v>24</v>
      </c>
      <c r="AZ26">
        <v>2043</v>
      </c>
      <c r="BR26" s="10" t="s">
        <v>217</v>
      </c>
      <c r="BS26" s="10">
        <f>羽国原初成本!A2</f>
        <v>280</v>
      </c>
      <c r="BT26" s="10">
        <f>羽国原初成本!B2</f>
        <v>230</v>
      </c>
      <c r="BU26" s="10">
        <f>羽国原初成本!C2</f>
        <v>27</v>
      </c>
      <c r="BV26" s="10">
        <f>羽国原初成本!D2</f>
        <v>210</v>
      </c>
      <c r="BW26" s="10"/>
      <c r="BX26" s="10"/>
      <c r="BY26" s="10"/>
      <c r="BZ26" s="10">
        <v>185</v>
      </c>
      <c r="CA26" s="10">
        <f t="shared" si="16"/>
        <v>32240</v>
      </c>
      <c r="CB26" s="10">
        <f t="shared" si="1"/>
        <v>64480</v>
      </c>
      <c r="CC26" s="10">
        <f t="shared" si="2"/>
        <v>386.88</v>
      </c>
      <c r="CD26" s="10">
        <f t="shared" si="3"/>
        <v>359.245714285714</v>
      </c>
      <c r="CE26" s="10">
        <f t="shared" si="4"/>
        <v>68.4621817991741</v>
      </c>
      <c r="CF26" s="10"/>
      <c r="CG26" s="10">
        <v>185</v>
      </c>
      <c r="CH26" s="10">
        <f t="shared" si="52"/>
        <v>23840</v>
      </c>
      <c r="CI26" s="10">
        <v>0</v>
      </c>
      <c r="CJ26" s="10">
        <f t="shared" si="5"/>
        <v>190.72</v>
      </c>
      <c r="CK26" s="10">
        <f t="shared" si="6"/>
        <v>495.872</v>
      </c>
      <c r="CL26" s="10">
        <f t="shared" si="7"/>
        <v>103.306666666667</v>
      </c>
      <c r="CM26" s="10"/>
      <c r="CN26" s="10"/>
      <c r="CO26" s="10"/>
      <c r="CP26" s="10"/>
      <c r="CQ26" s="10"/>
      <c r="CR26" s="10"/>
      <c r="CS26" s="10"/>
      <c r="CT26" s="10"/>
      <c r="CU26" s="10">
        <v>185</v>
      </c>
      <c r="CV26" s="10">
        <v>262550</v>
      </c>
      <c r="CW26" s="10">
        <v>0</v>
      </c>
      <c r="CX26" s="10">
        <f t="shared" si="11"/>
        <v>525.1</v>
      </c>
      <c r="CY26" s="10">
        <f t="shared" si="12"/>
        <v>1137.71666666667</v>
      </c>
      <c r="CZ26" s="10"/>
      <c r="DA26" s="10"/>
      <c r="DB26" s="10"/>
      <c r="DC26" s="10"/>
      <c r="DE26" t="s">
        <v>143</v>
      </c>
      <c r="DF26" t="s">
        <v>144</v>
      </c>
      <c r="DG26" t="s">
        <v>145</v>
      </c>
      <c r="DH26" t="s">
        <v>91</v>
      </c>
      <c r="EC26" s="43"/>
      <c r="ED26" t="s">
        <v>89</v>
      </c>
      <c r="EE26">
        <f>SUM(EL4:INDEX(EL4:EL11,$EF$23))*$ED$17*$EF$16/10000</f>
        <v>0.6149376</v>
      </c>
      <c r="EF26" s="118">
        <f>SUM(EM4:INDEX(EM4:EM11,$EF$23))*$EF$16*EE19</f>
        <v>4.0404</v>
      </c>
      <c r="FB26" s="52">
        <v>24</v>
      </c>
      <c r="FC26" s="112">
        <v>2670</v>
      </c>
      <c r="FD26" s="55">
        <f>SUM($FC$3:FC26)</f>
        <v>44250</v>
      </c>
    </row>
    <row r="27" spans="1:177">
      <c r="A27">
        <v>16</v>
      </c>
      <c r="B27">
        <f>秘宝大作战!D18-秘宝大作战!H18</f>
        <v>-28190</v>
      </c>
      <c r="C27">
        <f t="shared" si="53"/>
        <v>28190</v>
      </c>
      <c r="D27">
        <f t="shared" si="54"/>
        <v>1920</v>
      </c>
      <c r="E27">
        <f t="shared" si="55"/>
        <v>9600</v>
      </c>
      <c r="F27">
        <f t="shared" si="56"/>
        <v>16670</v>
      </c>
      <c r="J27">
        <f t="shared" si="13"/>
        <v>59350</v>
      </c>
      <c r="K27">
        <v>26</v>
      </c>
      <c r="L27">
        <f t="shared" si="14"/>
        <v>183</v>
      </c>
      <c r="M27" t="s">
        <v>298</v>
      </c>
      <c r="N27" t="str">
        <f t="shared" si="43"/>
        <v>幸运神像/黄金圣木</v>
      </c>
      <c r="V27" t="s">
        <v>329</v>
      </c>
      <c r="AD27">
        <v>26</v>
      </c>
      <c r="AE27">
        <v>60</v>
      </c>
      <c r="AF27">
        <f t="shared" si="15"/>
        <v>800</v>
      </c>
      <c r="AG27" t="s">
        <v>115</v>
      </c>
      <c r="AH27" s="70">
        <v>0.05</v>
      </c>
      <c r="AI27" s="70">
        <f>COUNTIF(AG$1:AG27,AG27)*AH27</f>
        <v>0.35</v>
      </c>
      <c r="AO27" s="3">
        <f>AF28</f>
        <v>860</v>
      </c>
      <c r="AP27" s="116">
        <f>AI28</f>
        <v>0.14</v>
      </c>
      <c r="AQ27" s="3" t="s">
        <v>330</v>
      </c>
      <c r="AR27" s="116">
        <f t="shared" ref="AR27:AR32" si="57">1.2*AR21</f>
        <v>0.12</v>
      </c>
      <c r="AU27">
        <v>25</v>
      </c>
      <c r="AV27">
        <v>2067</v>
      </c>
      <c r="AW27">
        <v>25</v>
      </c>
      <c r="AX27">
        <v>2067</v>
      </c>
      <c r="AY27">
        <v>25</v>
      </c>
      <c r="AZ27">
        <v>2067</v>
      </c>
      <c r="BR27" s="10" t="s">
        <v>331</v>
      </c>
      <c r="BS27" s="10">
        <f t="shared" ref="BS27:BV27" si="58">BS26+1</f>
        <v>281</v>
      </c>
      <c r="BT27" s="10">
        <f t="shared" si="58"/>
        <v>231</v>
      </c>
      <c r="BU27" s="10">
        <f t="shared" si="58"/>
        <v>28</v>
      </c>
      <c r="BV27" s="10">
        <f t="shared" si="58"/>
        <v>211</v>
      </c>
      <c r="BW27" s="10"/>
      <c r="BX27" s="10"/>
      <c r="BY27" s="10"/>
      <c r="BZ27" s="10">
        <v>186</v>
      </c>
      <c r="CA27" s="10">
        <f t="shared" si="16"/>
        <v>32500</v>
      </c>
      <c r="CB27" s="10">
        <f t="shared" si="1"/>
        <v>65000</v>
      </c>
      <c r="CC27" s="10">
        <f t="shared" si="2"/>
        <v>390</v>
      </c>
      <c r="CD27" s="10">
        <f t="shared" si="3"/>
        <v>362.142857142857</v>
      </c>
      <c r="CE27" s="10">
        <f t="shared" si="4"/>
        <v>69.0142961685223</v>
      </c>
      <c r="CF27" s="10"/>
      <c r="CG27" s="10">
        <v>186</v>
      </c>
      <c r="CH27" s="10">
        <f t="shared" ref="CH27:CH31" si="59">CH26+190</f>
        <v>24030</v>
      </c>
      <c r="CI27" s="10">
        <v>0</v>
      </c>
      <c r="CJ27" s="10">
        <f t="shared" si="5"/>
        <v>192.24</v>
      </c>
      <c r="CK27" s="10">
        <f t="shared" si="6"/>
        <v>499.824</v>
      </c>
      <c r="CL27" s="10">
        <f t="shared" si="7"/>
        <v>104.13</v>
      </c>
      <c r="CM27" s="10"/>
      <c r="CN27" s="10"/>
      <c r="CO27" s="10"/>
      <c r="CP27" s="10"/>
      <c r="CQ27" s="10"/>
      <c r="CR27" s="10"/>
      <c r="CS27" s="10"/>
      <c r="CT27" s="10"/>
      <c r="CU27" s="10">
        <v>186</v>
      </c>
      <c r="CV27" s="10">
        <v>266100</v>
      </c>
      <c r="CW27" s="10">
        <v>0</v>
      </c>
      <c r="CX27" s="10">
        <f t="shared" si="11"/>
        <v>532.2</v>
      </c>
      <c r="CY27" s="10">
        <f t="shared" si="12"/>
        <v>1153.1</v>
      </c>
      <c r="CZ27" s="10"/>
      <c r="DA27" s="10"/>
      <c r="DB27" s="10"/>
      <c r="DC27" s="10"/>
      <c r="DD27" t="s">
        <v>92</v>
      </c>
      <c r="DE27">
        <v>2.5</v>
      </c>
      <c r="DF27">
        <v>2.5</v>
      </c>
      <c r="DG27">
        <v>0.5</v>
      </c>
      <c r="DH27">
        <v>3.125</v>
      </c>
      <c r="EC27" s="43"/>
      <c r="ED27" t="s">
        <v>90</v>
      </c>
      <c r="EE27">
        <f>SUM(EQ4:INDEX(EQ4:EQ11,$EF$23))*$ED$17*$EF$16/10000</f>
        <v>2.983296</v>
      </c>
      <c r="EF27" s="118">
        <f>SUM(ER4:INDEX(ER4:ER11,$EF$23))*$EF$16*EE20</f>
        <v>17.094</v>
      </c>
      <c r="FB27" s="52">
        <v>25</v>
      </c>
      <c r="FC27" s="112">
        <v>2760</v>
      </c>
      <c r="FD27" s="55">
        <f>SUM($FC$3:FC27)</f>
        <v>47010</v>
      </c>
    </row>
    <row r="28" spans="1:177">
      <c r="A28">
        <v>17</v>
      </c>
      <c r="B28">
        <f>秘宝大作战!D19-秘宝大作战!H19</f>
        <v>-30380</v>
      </c>
      <c r="C28">
        <f t="shared" si="53"/>
        <v>30380</v>
      </c>
      <c r="D28">
        <f t="shared" si="54"/>
        <v>2040</v>
      </c>
      <c r="E28">
        <f t="shared" si="55"/>
        <v>10200</v>
      </c>
      <c r="F28">
        <f t="shared" si="56"/>
        <v>18140</v>
      </c>
      <c r="J28">
        <f t="shared" si="13"/>
        <v>61600</v>
      </c>
      <c r="K28">
        <v>27</v>
      </c>
      <c r="L28">
        <f t="shared" si="14"/>
        <v>190</v>
      </c>
      <c r="M28" t="s">
        <v>301</v>
      </c>
      <c r="N28" t="str">
        <f t="shared" si="43"/>
        <v>5阶技能碎片*180</v>
      </c>
      <c r="V28" t="s">
        <v>183</v>
      </c>
      <c r="W28" t="s">
        <v>184</v>
      </c>
      <c r="X28" t="s">
        <v>185</v>
      </c>
      <c r="Y28" t="s">
        <v>186</v>
      </c>
      <c r="Z28" t="s">
        <v>187</v>
      </c>
      <c r="AA28" t="s">
        <v>277</v>
      </c>
      <c r="AD28">
        <v>27</v>
      </c>
      <c r="AE28">
        <v>60</v>
      </c>
      <c r="AF28">
        <f t="shared" si="15"/>
        <v>860</v>
      </c>
      <c r="AG28" t="s">
        <v>116</v>
      </c>
      <c r="AH28" s="70">
        <v>0.02</v>
      </c>
      <c r="AI28" s="70">
        <f>COUNTIF(AG$1:AG28,AG28)*AH28</f>
        <v>0.14</v>
      </c>
      <c r="AO28" s="3">
        <f>AF32</f>
        <v>1130</v>
      </c>
      <c r="AP28" s="116">
        <f>AI32</f>
        <v>0.16</v>
      </c>
      <c r="AQ28" s="3" t="s">
        <v>332</v>
      </c>
      <c r="AR28" s="116">
        <f t="shared" si="57"/>
        <v>0.168</v>
      </c>
      <c r="AU28">
        <v>26</v>
      </c>
      <c r="AV28">
        <v>2169</v>
      </c>
      <c r="AW28">
        <v>26</v>
      </c>
      <c r="AX28">
        <v>2169</v>
      </c>
      <c r="AY28">
        <v>26</v>
      </c>
      <c r="AZ28">
        <v>2169</v>
      </c>
      <c r="BR28" s="10" t="s">
        <v>333</v>
      </c>
      <c r="BS28" s="10">
        <f>ROUND(VLOOKUP(BS27,BZ$1:CE$181,5,0),1)</f>
        <v>637.4</v>
      </c>
      <c r="BT28" s="10">
        <f>ROUND(VLOOKUP(BT27,CG$1:CL$181,5,0),1)</f>
        <v>679.8</v>
      </c>
      <c r="BU28" s="10">
        <f>ROUND(VLOOKUP(BU27,CN$1:CS$181,5,0),1)</f>
        <v>833.2</v>
      </c>
      <c r="BV28" s="10">
        <f>ROUND(VLOOKUP(BV27,CU$1:CY$181,5,0),1)</f>
        <v>1536.8</v>
      </c>
      <c r="BW28" s="10"/>
      <c r="BX28" s="10"/>
      <c r="BY28" s="10"/>
      <c r="BZ28" s="10">
        <v>187</v>
      </c>
      <c r="CA28" s="10">
        <f t="shared" si="16"/>
        <v>32760</v>
      </c>
      <c r="CB28" s="10">
        <f t="shared" si="1"/>
        <v>65520</v>
      </c>
      <c r="CC28" s="10">
        <f t="shared" si="2"/>
        <v>393.12</v>
      </c>
      <c r="CD28" s="10">
        <f t="shared" si="3"/>
        <v>365.04</v>
      </c>
      <c r="CE28" s="10">
        <f t="shared" si="4"/>
        <v>69.5664105378705</v>
      </c>
      <c r="CF28" s="10"/>
      <c r="CG28" s="10">
        <v>187</v>
      </c>
      <c r="CH28" s="10">
        <f t="shared" si="52"/>
        <v>24225</v>
      </c>
      <c r="CI28" s="10">
        <v>0</v>
      </c>
      <c r="CJ28" s="10">
        <f t="shared" si="5"/>
        <v>193.8</v>
      </c>
      <c r="CK28" s="10">
        <f t="shared" si="6"/>
        <v>503.88</v>
      </c>
      <c r="CL28" s="10">
        <f t="shared" si="7"/>
        <v>104.975</v>
      </c>
      <c r="CM28" s="10"/>
      <c r="CN28" s="10"/>
      <c r="CO28" s="10"/>
      <c r="CP28" s="10"/>
      <c r="CQ28" s="10"/>
      <c r="CR28" s="10"/>
      <c r="CS28" s="10"/>
      <c r="CT28" s="10"/>
      <c r="CU28" s="10">
        <v>187</v>
      </c>
      <c r="CV28" s="10">
        <v>269650</v>
      </c>
      <c r="CW28" s="10">
        <v>0</v>
      </c>
      <c r="CX28" s="10">
        <f t="shared" si="11"/>
        <v>539.3</v>
      </c>
      <c r="CY28" s="10">
        <f t="shared" si="12"/>
        <v>1168.48333333333</v>
      </c>
      <c r="CZ28" s="10"/>
      <c r="DA28" s="10"/>
      <c r="DB28" s="10"/>
      <c r="DC28" s="10"/>
      <c r="DE28" t="s">
        <v>143</v>
      </c>
      <c r="DF28" t="s">
        <v>192</v>
      </c>
      <c r="DG28" t="s">
        <v>193</v>
      </c>
      <c r="DH28" t="s">
        <v>194</v>
      </c>
      <c r="DI28" t="s">
        <v>195</v>
      </c>
      <c r="DJ28" t="s">
        <v>144</v>
      </c>
      <c r="DK28" t="s">
        <v>196</v>
      </c>
      <c r="DL28" t="s">
        <v>197</v>
      </c>
      <c r="DM28" t="s">
        <v>198</v>
      </c>
      <c r="DN28" t="s">
        <v>199</v>
      </c>
      <c r="DO28" t="s">
        <v>145</v>
      </c>
      <c r="DP28" t="s">
        <v>200</v>
      </c>
      <c r="DQ28" t="s">
        <v>201</v>
      </c>
      <c r="DR28" t="s">
        <v>202</v>
      </c>
      <c r="DS28" t="s">
        <v>203</v>
      </c>
      <c r="DT28" t="s">
        <v>91</v>
      </c>
      <c r="DU28" t="s">
        <v>204</v>
      </c>
      <c r="DV28" t="s">
        <v>205</v>
      </c>
      <c r="DW28" t="s">
        <v>206</v>
      </c>
      <c r="DX28" t="s">
        <v>207</v>
      </c>
      <c r="DY28" t="s">
        <v>208</v>
      </c>
      <c r="DZ28" t="s">
        <v>209</v>
      </c>
      <c r="EC28" s="43"/>
      <c r="ED28" t="s">
        <v>91</v>
      </c>
      <c r="EE28">
        <f>SUM(EV4:INDEX(EV4:EV11,$EF$23))*$ED$17*$EF$16/10000</f>
        <v>0.4791552</v>
      </c>
      <c r="EF28" s="118">
        <f>SUM(EW4:INDEX(EW4:EW11,$EF$23))*$EF$16*EE21</f>
        <v>2.9808</v>
      </c>
      <c r="FB28" s="52">
        <v>26</v>
      </c>
      <c r="FC28" s="112">
        <v>2880</v>
      </c>
      <c r="FD28" s="55">
        <f>SUM($FC$3:FC28)</f>
        <v>49890</v>
      </c>
    </row>
    <row r="29" spans="1:177">
      <c r="A29">
        <v>18</v>
      </c>
      <c r="B29">
        <f>秘宝大作战!D20-秘宝大作战!H20</f>
        <v>-32570</v>
      </c>
      <c r="C29">
        <f t="shared" si="53"/>
        <v>32570</v>
      </c>
      <c r="D29">
        <f t="shared" si="54"/>
        <v>2160</v>
      </c>
      <c r="E29">
        <f t="shared" si="55"/>
        <v>10800</v>
      </c>
      <c r="F29">
        <f t="shared" si="56"/>
        <v>19610</v>
      </c>
      <c r="J29">
        <f t="shared" si="13"/>
        <v>63850</v>
      </c>
      <c r="K29">
        <v>28</v>
      </c>
      <c r="L29">
        <f t="shared" si="14"/>
        <v>197</v>
      </c>
      <c r="M29" t="s">
        <v>306</v>
      </c>
      <c r="N29" t="str">
        <f t="shared" si="43"/>
        <v>原初宝石/贤者之石</v>
      </c>
      <c r="V29">
        <f>(羽国星象合约计算器!B2-160)*V10</f>
        <v>11000</v>
      </c>
      <c r="W29">
        <f>(SUM(羽国星象合约计算器!B4:C6)-5*160)*W10</f>
        <v>8400</v>
      </c>
      <c r="X29">
        <f>(SUM(羽国星象合约计算器!B8:C11)-8*160)*X10</f>
        <v>2865</v>
      </c>
      <c r="Y29">
        <f>(SUM(羽国星象合约计算器!B13:E17)-20*16)*Y10</f>
        <v>5720</v>
      </c>
      <c r="Z29">
        <f>(SUM(羽国星象合约计算器!B19:E19)-4*160)*Z10</f>
        <v>1278</v>
      </c>
      <c r="AA29">
        <f>SUM(V29:Z29)</f>
        <v>29263</v>
      </c>
      <c r="AD29">
        <v>28</v>
      </c>
      <c r="AE29">
        <v>60</v>
      </c>
      <c r="AF29">
        <f t="shared" si="15"/>
        <v>920</v>
      </c>
      <c r="AG29" t="s">
        <v>117</v>
      </c>
      <c r="AH29" s="70">
        <v>0.02</v>
      </c>
      <c r="AI29" s="70">
        <f>COUNTIF(AG$1:AG29,AG29)*AH29</f>
        <v>0.14</v>
      </c>
      <c r="AO29" s="3">
        <f>AF36</f>
        <v>1440</v>
      </c>
      <c r="AP29" s="116">
        <f>AI36</f>
        <v>0.18</v>
      </c>
      <c r="AQ29" s="3" t="s">
        <v>334</v>
      </c>
      <c r="AR29" s="116">
        <f t="shared" si="57"/>
        <v>0.216</v>
      </c>
      <c r="AU29">
        <v>27</v>
      </c>
      <c r="AV29">
        <v>2437</v>
      </c>
      <c r="AW29">
        <v>27</v>
      </c>
      <c r="AX29">
        <v>2437</v>
      </c>
      <c r="AY29">
        <v>27</v>
      </c>
      <c r="AZ29">
        <v>2437</v>
      </c>
      <c r="BR29" s="10" t="s">
        <v>335</v>
      </c>
      <c r="BS29" s="10">
        <f>ROUND(VLOOKUP(BS27,BZ$1:CE$181,6,0),1)</f>
        <v>121.5</v>
      </c>
      <c r="BT29" s="10">
        <f>ROUND(VLOOKUP(BT27,CG$1:CL$181,6,0),1)</f>
        <v>141.6</v>
      </c>
      <c r="BU29" s="10">
        <f>ROUND(VLOOKUP(BU27,CN$1:CS$181,6,0),1)</f>
        <v>158.8</v>
      </c>
      <c r="BV29" s="10"/>
      <c r="BW29" s="10"/>
      <c r="BX29" s="10"/>
      <c r="BY29" s="10"/>
      <c r="BZ29" s="10">
        <v>188</v>
      </c>
      <c r="CA29" s="10">
        <f t="shared" si="16"/>
        <v>33020</v>
      </c>
      <c r="CB29" s="10">
        <f t="shared" si="1"/>
        <v>66040</v>
      </c>
      <c r="CC29" s="10">
        <f t="shared" si="2"/>
        <v>396.24</v>
      </c>
      <c r="CD29" s="10">
        <f t="shared" si="3"/>
        <v>367.937142857143</v>
      </c>
      <c r="CE29" s="10">
        <f t="shared" si="4"/>
        <v>70.1185249072187</v>
      </c>
      <c r="CF29" s="10"/>
      <c r="CG29" s="10">
        <v>188</v>
      </c>
      <c r="CH29" s="10">
        <f t="shared" si="59"/>
        <v>24415</v>
      </c>
      <c r="CI29" s="10">
        <v>0</v>
      </c>
      <c r="CJ29" s="10">
        <f t="shared" si="5"/>
        <v>195.32</v>
      </c>
      <c r="CK29" s="10">
        <f t="shared" si="6"/>
        <v>507.832</v>
      </c>
      <c r="CL29" s="10">
        <f t="shared" si="7"/>
        <v>105.798333333333</v>
      </c>
      <c r="CM29" s="10"/>
      <c r="CN29" s="10"/>
      <c r="CO29" s="10"/>
      <c r="CP29" s="10"/>
      <c r="CQ29" s="10"/>
      <c r="CR29" s="10"/>
      <c r="CS29" s="10"/>
      <c r="CT29" s="10"/>
      <c r="CU29" s="10">
        <v>188</v>
      </c>
      <c r="CV29" s="10">
        <v>273200</v>
      </c>
      <c r="CW29" s="10">
        <v>0</v>
      </c>
      <c r="CX29" s="10">
        <f t="shared" si="11"/>
        <v>546.4</v>
      </c>
      <c r="CY29" s="10">
        <f t="shared" si="12"/>
        <v>1183.86666666667</v>
      </c>
      <c r="CZ29" s="10"/>
      <c r="DA29" s="10"/>
      <c r="DB29" s="10"/>
      <c r="DC29" s="10"/>
      <c r="DD29">
        <v>1</v>
      </c>
      <c r="DE29">
        <v>26</v>
      </c>
      <c r="DF29" s="16">
        <v>0.05</v>
      </c>
      <c r="DG29">
        <v>5</v>
      </c>
      <c r="DH29">
        <f>(DG29*4+DY29*2)*DE29</f>
        <v>572</v>
      </c>
      <c r="DI29" s="16">
        <f t="shared" ref="DI29:DI36" si="60">DG29*DF29</f>
        <v>0.25</v>
      </c>
      <c r="DJ29">
        <v>26</v>
      </c>
      <c r="DK29" s="16">
        <v>0.05</v>
      </c>
      <c r="DL29">
        <v>5</v>
      </c>
      <c r="DM29">
        <f>(DL29*4+DY29*2)*DJ29</f>
        <v>572</v>
      </c>
      <c r="DN29" s="16">
        <f t="shared" ref="DN29:DN36" si="61">DL29*DK29</f>
        <v>0.25</v>
      </c>
      <c r="DO29">
        <v>130</v>
      </c>
      <c r="DP29" s="16">
        <v>0.05</v>
      </c>
      <c r="DQ29">
        <v>4</v>
      </c>
      <c r="DR29">
        <f>(DQ29*4+DY29*2)*DO29</f>
        <v>2340</v>
      </c>
      <c r="DS29" s="16">
        <f t="shared" ref="DS29:DS36" si="62">DQ29*DP29</f>
        <v>0.2</v>
      </c>
      <c r="DT29">
        <v>20</v>
      </c>
      <c r="DU29" s="16">
        <v>0.05</v>
      </c>
      <c r="DV29">
        <v>4</v>
      </c>
      <c r="DW29">
        <f>(DV29*4+DY29*2)*DT29</f>
        <v>360</v>
      </c>
      <c r="DX29" s="16">
        <f t="shared" ref="DX29:DX36" si="63">DV29*DU29</f>
        <v>0.2</v>
      </c>
      <c r="DY29">
        <v>1</v>
      </c>
      <c r="DZ29">
        <f t="shared" ref="DZ29:DZ36" si="64">DG29+DL29+DQ29+DV29+DY29</f>
        <v>19</v>
      </c>
      <c r="EE29" t="s">
        <v>336</v>
      </c>
      <c r="FB29" s="52">
        <v>27</v>
      </c>
      <c r="FC29" s="112">
        <v>3000</v>
      </c>
      <c r="FD29" s="55">
        <f>SUM($FC$3:FC29)</f>
        <v>52890</v>
      </c>
      <c r="FQ29" t="s">
        <v>337</v>
      </c>
      <c r="FS29" t="s">
        <v>338</v>
      </c>
    </row>
    <row r="30" spans="1:177">
      <c r="A30">
        <v>19</v>
      </c>
      <c r="B30">
        <f>秘宝大作战!D21-秘宝大作战!H21</f>
        <v>-35960</v>
      </c>
      <c r="C30">
        <f t="shared" si="53"/>
        <v>35960</v>
      </c>
      <c r="D30">
        <f t="shared" si="54"/>
        <v>2280</v>
      </c>
      <c r="E30">
        <f t="shared" si="55"/>
        <v>11400</v>
      </c>
      <c r="F30">
        <f t="shared" si="56"/>
        <v>22280</v>
      </c>
      <c r="J30">
        <f t="shared" si="13"/>
        <v>66100</v>
      </c>
      <c r="K30">
        <v>29</v>
      </c>
      <c r="L30">
        <f t="shared" si="14"/>
        <v>204</v>
      </c>
      <c r="M30" t="s">
        <v>327</v>
      </c>
      <c r="N30" t="str">
        <f t="shared" si="43"/>
        <v>自选奇迹遗物·羽III</v>
      </c>
      <c r="X30" t="s">
        <v>289</v>
      </c>
      <c r="Y30" t="s">
        <v>290</v>
      </c>
      <c r="Z30" t="s">
        <v>291</v>
      </c>
      <c r="AA30" t="s">
        <v>292</v>
      </c>
      <c r="AD30">
        <v>29</v>
      </c>
      <c r="AE30">
        <v>70</v>
      </c>
      <c r="AF30">
        <f t="shared" si="15"/>
        <v>990</v>
      </c>
      <c r="AG30" t="s">
        <v>114</v>
      </c>
      <c r="AH30" s="70">
        <v>0.03</v>
      </c>
      <c r="AI30" s="70">
        <f>COUNTIF(AG$1:AG30,AG30)*AH30</f>
        <v>0.24</v>
      </c>
      <c r="AO30" s="3">
        <f>AF40</f>
        <v>1790</v>
      </c>
      <c r="AP30" s="116">
        <f>AI40</f>
        <v>0.2</v>
      </c>
      <c r="AQ30" t="s">
        <v>339</v>
      </c>
      <c r="AR30" s="116">
        <f t="shared" si="57"/>
        <v>0.264</v>
      </c>
      <c r="AU30">
        <v>28</v>
      </c>
      <c r="AV30">
        <v>2536</v>
      </c>
      <c r="AW30">
        <v>28</v>
      </c>
      <c r="AX30">
        <v>2536</v>
      </c>
      <c r="AY30">
        <v>28</v>
      </c>
      <c r="AZ30">
        <v>2536</v>
      </c>
      <c r="BR30" s="10"/>
      <c r="BS30" s="10"/>
      <c r="BT30" s="10"/>
      <c r="BU30" s="10"/>
      <c r="BV30" s="10"/>
      <c r="BW30" s="10"/>
      <c r="BX30" s="10"/>
      <c r="BY30" s="10"/>
      <c r="BZ30" s="10">
        <v>189</v>
      </c>
      <c r="CA30" s="10">
        <f t="shared" si="16"/>
        <v>33280</v>
      </c>
      <c r="CB30" s="10">
        <f t="shared" si="1"/>
        <v>66560</v>
      </c>
      <c r="CC30" s="10">
        <f t="shared" si="2"/>
        <v>399.36</v>
      </c>
      <c r="CD30" s="10">
        <f t="shared" si="3"/>
        <v>370.834285714286</v>
      </c>
      <c r="CE30" s="10">
        <f t="shared" si="4"/>
        <v>70.6706392765668</v>
      </c>
      <c r="CF30" s="10"/>
      <c r="CG30" s="10">
        <v>189</v>
      </c>
      <c r="CH30" s="10">
        <f t="shared" ref="CH30:CH34" si="65">CH29+195</f>
        <v>24610</v>
      </c>
      <c r="CI30" s="10">
        <v>0</v>
      </c>
      <c r="CJ30" s="10">
        <f t="shared" si="5"/>
        <v>196.88</v>
      </c>
      <c r="CK30" s="10">
        <f t="shared" si="6"/>
        <v>511.888</v>
      </c>
      <c r="CL30" s="10">
        <f t="shared" si="7"/>
        <v>106.643333333333</v>
      </c>
      <c r="CM30" s="10"/>
      <c r="CN30" s="10"/>
      <c r="CO30" s="10"/>
      <c r="CP30" s="10"/>
      <c r="CQ30" s="10"/>
      <c r="CR30" s="10"/>
      <c r="CS30" s="10"/>
      <c r="CT30" s="10"/>
      <c r="CU30" s="10">
        <v>189</v>
      </c>
      <c r="CV30" s="10">
        <v>276750</v>
      </c>
      <c r="CW30" s="10">
        <v>0</v>
      </c>
      <c r="CX30" s="10">
        <f t="shared" si="11"/>
        <v>553.5</v>
      </c>
      <c r="CY30" s="10">
        <f t="shared" si="12"/>
        <v>1199.25</v>
      </c>
      <c r="CZ30" s="10"/>
      <c r="DA30" s="10"/>
      <c r="DB30" s="10"/>
      <c r="DC30" s="10"/>
      <c r="DD30">
        <v>2</v>
      </c>
      <c r="DE30">
        <v>30</v>
      </c>
      <c r="DF30" s="16">
        <v>0.05</v>
      </c>
      <c r="DG30">
        <v>9</v>
      </c>
      <c r="DH30">
        <f t="shared" ref="DH30:DH36" si="66">(DG30*4+DY30*2)*DE30</f>
        <v>1200</v>
      </c>
      <c r="DI30" s="16">
        <f t="shared" si="60"/>
        <v>0.45</v>
      </c>
      <c r="DJ30">
        <v>30</v>
      </c>
      <c r="DK30" s="16">
        <v>0.05</v>
      </c>
      <c r="DL30">
        <v>8</v>
      </c>
      <c r="DM30">
        <f t="shared" ref="DM30:DM36" si="67">(DL30*4+DY30*2)*DJ30</f>
        <v>1080</v>
      </c>
      <c r="DN30" s="16">
        <f t="shared" si="61"/>
        <v>0.4</v>
      </c>
      <c r="DO30">
        <v>150</v>
      </c>
      <c r="DP30" s="16">
        <v>0.05</v>
      </c>
      <c r="DQ30">
        <v>7</v>
      </c>
      <c r="DR30">
        <f t="shared" ref="DR30:DR36" si="68">(DQ30*4+DY30*2)*DO30</f>
        <v>4800</v>
      </c>
      <c r="DS30" s="16">
        <f t="shared" si="62"/>
        <v>0.35</v>
      </c>
      <c r="DT30">
        <v>24</v>
      </c>
      <c r="DU30" s="16">
        <v>0.05</v>
      </c>
      <c r="DV30">
        <v>8</v>
      </c>
      <c r="DW30">
        <f t="shared" ref="DW30:DW36" si="69">(DV30*4+DY30*2)*DT30</f>
        <v>864</v>
      </c>
      <c r="DX30" s="16">
        <f t="shared" si="63"/>
        <v>0.4</v>
      </c>
      <c r="DY30">
        <v>2</v>
      </c>
      <c r="DZ30">
        <f t="shared" si="64"/>
        <v>34</v>
      </c>
      <c r="EC30" s="43" t="s">
        <v>314</v>
      </c>
      <c r="ED30" t="s">
        <v>88</v>
      </c>
      <c r="EE30">
        <f>EE18+EE25+EF25</f>
        <v>10.1559296</v>
      </c>
      <c r="FB30" s="52">
        <v>28</v>
      </c>
      <c r="FC30" s="112">
        <v>3120</v>
      </c>
      <c r="FD30" s="55">
        <f>SUM($FC$3:FC30)</f>
        <v>56010</v>
      </c>
      <c r="FQ30" t="s">
        <v>340</v>
      </c>
      <c r="FR30">
        <v>100</v>
      </c>
      <c r="FS30">
        <f>(SUM(FR30:FR39)+COUNTA(FQ30:FQ39)*45)*5</f>
        <v>4775</v>
      </c>
    </row>
    <row r="31" spans="1:177">
      <c r="A31">
        <v>20</v>
      </c>
      <c r="B31">
        <f>秘宝大作战!D22-秘宝大作战!H22</f>
        <v>-38150</v>
      </c>
      <c r="C31">
        <f t="shared" si="53"/>
        <v>38150</v>
      </c>
      <c r="D31">
        <f t="shared" si="54"/>
        <v>2400</v>
      </c>
      <c r="E31">
        <f t="shared" si="55"/>
        <v>12000</v>
      </c>
      <c r="F31">
        <f t="shared" si="56"/>
        <v>23750</v>
      </c>
      <c r="J31">
        <f t="shared" si="13"/>
        <v>68350</v>
      </c>
      <c r="K31">
        <v>30</v>
      </c>
      <c r="L31">
        <f t="shared" si="14"/>
        <v>211</v>
      </c>
      <c r="M31" t="s">
        <v>298</v>
      </c>
      <c r="N31" t="str">
        <f t="shared" si="43"/>
        <v>幸运神像/黄金圣木</v>
      </c>
      <c r="X31">
        <f>羽国星象合约计算器!G2</f>
        <v>1138</v>
      </c>
      <c r="Y31">
        <f>羽国星象合约计算器!H2</f>
        <v>3440</v>
      </c>
      <c r="Z31">
        <f>FLOOR(AA29/AA10,1)+AB10</f>
        <v>2316</v>
      </c>
      <c r="AA31">
        <f>(Y31-AB10-X31)*AA10-AA29</f>
        <v>-182</v>
      </c>
      <c r="AD31">
        <v>30</v>
      </c>
      <c r="AE31">
        <v>70</v>
      </c>
      <c r="AF31">
        <f t="shared" si="15"/>
        <v>1060</v>
      </c>
      <c r="AG31" t="s">
        <v>115</v>
      </c>
      <c r="AH31" s="70">
        <v>0.05</v>
      </c>
      <c r="AI31" s="70">
        <f>COUNTIF(AG$1:AG31,AG31)*AH31</f>
        <v>0.4</v>
      </c>
      <c r="AO31" s="3">
        <f>AF44</f>
        <v>2240</v>
      </c>
      <c r="AP31" s="116">
        <f>AI44</f>
        <v>0.22</v>
      </c>
      <c r="AQ31" t="s">
        <v>341</v>
      </c>
      <c r="AR31" s="116">
        <f t="shared" si="57"/>
        <v>0.312</v>
      </c>
      <c r="AU31">
        <v>29</v>
      </c>
      <c r="AV31">
        <v>2860</v>
      </c>
      <c r="AW31">
        <v>29</v>
      </c>
      <c r="AX31">
        <v>2860</v>
      </c>
      <c r="AY31">
        <v>29</v>
      </c>
      <c r="AZ31">
        <v>2860</v>
      </c>
      <c r="BR31" s="10"/>
      <c r="BS31" s="10"/>
      <c r="BT31" s="10"/>
      <c r="BU31" s="10"/>
      <c r="BV31" s="10"/>
      <c r="BW31" s="10"/>
      <c r="BX31" s="10"/>
      <c r="BY31" s="10"/>
      <c r="BZ31" s="10">
        <v>190</v>
      </c>
      <c r="CA31" s="10">
        <f t="shared" si="16"/>
        <v>33540</v>
      </c>
      <c r="CB31" s="10">
        <f t="shared" si="1"/>
        <v>67080</v>
      </c>
      <c r="CC31" s="10">
        <f t="shared" si="2"/>
        <v>402.48</v>
      </c>
      <c r="CD31" s="10">
        <f t="shared" si="3"/>
        <v>373.731428571429</v>
      </c>
      <c r="CE31" s="10">
        <f t="shared" si="4"/>
        <v>71.222753645915</v>
      </c>
      <c r="CF31" s="10"/>
      <c r="CG31" s="10">
        <v>190</v>
      </c>
      <c r="CH31" s="10">
        <f t="shared" si="59"/>
        <v>24800</v>
      </c>
      <c r="CI31" s="10">
        <v>0</v>
      </c>
      <c r="CJ31" s="10">
        <f t="shared" si="5"/>
        <v>198.4</v>
      </c>
      <c r="CK31" s="10">
        <f t="shared" si="6"/>
        <v>515.84</v>
      </c>
      <c r="CL31" s="10">
        <f t="shared" si="7"/>
        <v>107.466666666667</v>
      </c>
      <c r="CM31" s="10"/>
      <c r="CN31" s="10"/>
      <c r="CO31" s="10"/>
      <c r="CP31" s="10"/>
      <c r="CQ31" s="10"/>
      <c r="CR31" s="10"/>
      <c r="CS31" s="10"/>
      <c r="CT31" s="10"/>
      <c r="CU31" s="10">
        <v>190</v>
      </c>
      <c r="CV31" s="10">
        <v>280300</v>
      </c>
      <c r="CW31" s="10">
        <v>0</v>
      </c>
      <c r="CX31" s="10">
        <f t="shared" si="11"/>
        <v>560.6</v>
      </c>
      <c r="CY31" s="10">
        <f t="shared" si="12"/>
        <v>1214.63333333333</v>
      </c>
      <c r="CZ31" s="10"/>
      <c r="DA31" s="10"/>
      <c r="DB31" s="10"/>
      <c r="DC31" s="10"/>
      <c r="DD31">
        <v>3</v>
      </c>
      <c r="DE31">
        <v>36</v>
      </c>
      <c r="DF31" s="16">
        <v>0.05</v>
      </c>
      <c r="DG31">
        <v>6</v>
      </c>
      <c r="DH31">
        <f t="shared" si="66"/>
        <v>1008</v>
      </c>
      <c r="DI31" s="16">
        <f t="shared" si="60"/>
        <v>0.3</v>
      </c>
      <c r="DJ31">
        <v>36</v>
      </c>
      <c r="DK31" s="16">
        <v>0.05</v>
      </c>
      <c r="DL31">
        <v>9</v>
      </c>
      <c r="DM31">
        <f t="shared" si="67"/>
        <v>1440</v>
      </c>
      <c r="DN31" s="16">
        <f t="shared" si="61"/>
        <v>0.45</v>
      </c>
      <c r="DO31">
        <v>180</v>
      </c>
      <c r="DP31" s="16">
        <v>0.05</v>
      </c>
      <c r="DQ31">
        <v>9</v>
      </c>
      <c r="DR31">
        <f t="shared" si="68"/>
        <v>7200</v>
      </c>
      <c r="DS31" s="16">
        <f t="shared" si="62"/>
        <v>0.45</v>
      </c>
      <c r="DT31">
        <v>28</v>
      </c>
      <c r="DU31" s="16">
        <v>0.05</v>
      </c>
      <c r="DV31">
        <v>8</v>
      </c>
      <c r="DW31">
        <f t="shared" si="69"/>
        <v>1008</v>
      </c>
      <c r="DX31" s="16">
        <f t="shared" si="63"/>
        <v>0.4</v>
      </c>
      <c r="DY31">
        <v>2</v>
      </c>
      <c r="DZ31">
        <f t="shared" si="64"/>
        <v>34</v>
      </c>
      <c r="EC31" s="43"/>
      <c r="ED31" t="s">
        <v>89</v>
      </c>
      <c r="EE31">
        <f>EE19+EE26+EF26</f>
        <v>9.8353376</v>
      </c>
      <c r="FB31" s="52">
        <v>29</v>
      </c>
      <c r="FC31" s="112">
        <v>3240</v>
      </c>
      <c r="FD31" s="55">
        <f>SUM($FC$3:FC31)</f>
        <v>59250</v>
      </c>
      <c r="FQ31" t="s">
        <v>342</v>
      </c>
      <c r="FR31">
        <v>45</v>
      </c>
    </row>
    <row r="32" spans="1:177">
      <c r="A32">
        <v>21</v>
      </c>
      <c r="B32">
        <f>秘宝大作战!D23-秘宝大作战!H23</f>
        <v>-39140</v>
      </c>
      <c r="C32">
        <f t="shared" si="53"/>
        <v>39140</v>
      </c>
      <c r="D32">
        <f t="shared" si="54"/>
        <v>2520</v>
      </c>
      <c r="E32">
        <f t="shared" si="55"/>
        <v>12600</v>
      </c>
      <c r="F32">
        <f t="shared" si="56"/>
        <v>24020</v>
      </c>
      <c r="J32">
        <f t="shared" si="13"/>
        <v>70600</v>
      </c>
      <c r="K32">
        <v>31</v>
      </c>
      <c r="L32">
        <f t="shared" si="14"/>
        <v>218</v>
      </c>
      <c r="M32" t="s">
        <v>343</v>
      </c>
      <c r="N32" t="str">
        <f t="shared" si="43"/>
        <v>6阶技能碎片*180</v>
      </c>
      <c r="AD32">
        <v>31</v>
      </c>
      <c r="AE32">
        <v>70</v>
      </c>
      <c r="AF32">
        <f t="shared" si="15"/>
        <v>1130</v>
      </c>
      <c r="AG32" t="s">
        <v>116</v>
      </c>
      <c r="AH32" s="70">
        <v>0.02</v>
      </c>
      <c r="AI32" s="70">
        <f>COUNTIF(AG$1:AG32,AG32)*AH32</f>
        <v>0.16</v>
      </c>
      <c r="AO32" s="3">
        <f>AF48</f>
        <v>2750</v>
      </c>
      <c r="AP32" s="116">
        <f>AI48</f>
        <v>0.24</v>
      </c>
      <c r="AQ32" t="s">
        <v>344</v>
      </c>
      <c r="AR32" s="116">
        <f t="shared" si="57"/>
        <v>0.36</v>
      </c>
      <c r="AU32">
        <v>30</v>
      </c>
      <c r="AV32">
        <v>2995</v>
      </c>
      <c r="AW32">
        <v>30</v>
      </c>
      <c r="AX32">
        <v>2995</v>
      </c>
      <c r="AY32">
        <v>30</v>
      </c>
      <c r="AZ32">
        <v>2995</v>
      </c>
      <c r="BR32" s="10"/>
      <c r="BS32" s="10"/>
      <c r="BT32" s="10"/>
      <c r="BU32" s="10"/>
      <c r="BV32" s="10"/>
      <c r="BW32" s="10"/>
      <c r="BX32" s="10"/>
      <c r="BY32" s="10"/>
      <c r="BZ32" s="10">
        <v>191</v>
      </c>
      <c r="CA32" s="10">
        <f t="shared" si="16"/>
        <v>33800</v>
      </c>
      <c r="CB32" s="10">
        <f t="shared" si="1"/>
        <v>67600</v>
      </c>
      <c r="CC32" s="10">
        <f t="shared" si="2"/>
        <v>405.6</v>
      </c>
      <c r="CD32" s="10">
        <f t="shared" si="3"/>
        <v>376.628571428571</v>
      </c>
      <c r="CE32" s="10">
        <f t="shared" si="4"/>
        <v>71.7748680152632</v>
      </c>
      <c r="CF32" s="10"/>
      <c r="CG32" s="10">
        <v>191</v>
      </c>
      <c r="CH32" s="10">
        <f t="shared" si="65"/>
        <v>24995</v>
      </c>
      <c r="CI32" s="10">
        <v>0</v>
      </c>
      <c r="CJ32" s="10">
        <f t="shared" si="5"/>
        <v>199.96</v>
      </c>
      <c r="CK32" s="10">
        <f t="shared" si="6"/>
        <v>519.896</v>
      </c>
      <c r="CL32" s="10">
        <f t="shared" si="7"/>
        <v>108.311666666667</v>
      </c>
      <c r="CM32" s="10"/>
      <c r="CN32" s="10"/>
      <c r="CO32" s="10"/>
      <c r="CP32" s="10"/>
      <c r="CQ32" s="10"/>
      <c r="CR32" s="10"/>
      <c r="CS32" s="10"/>
      <c r="CT32" s="10"/>
      <c r="CU32" s="10">
        <v>191</v>
      </c>
      <c r="CV32" s="10">
        <v>283850</v>
      </c>
      <c r="CW32" s="10">
        <v>0</v>
      </c>
      <c r="CX32" s="10">
        <f t="shared" si="11"/>
        <v>567.7</v>
      </c>
      <c r="CY32" s="10">
        <f t="shared" si="12"/>
        <v>1230.01666666667</v>
      </c>
      <c r="CZ32" s="10"/>
      <c r="DA32" s="10"/>
      <c r="DB32" s="10"/>
      <c r="DC32" s="10"/>
      <c r="DD32">
        <v>4</v>
      </c>
      <c r="DE32">
        <v>42</v>
      </c>
      <c r="DF32" s="16">
        <v>0.05</v>
      </c>
      <c r="DG32">
        <v>9</v>
      </c>
      <c r="DH32">
        <f t="shared" si="66"/>
        <v>1680</v>
      </c>
      <c r="DI32" s="16">
        <f t="shared" si="60"/>
        <v>0.45</v>
      </c>
      <c r="DJ32">
        <v>42</v>
      </c>
      <c r="DK32" s="16">
        <v>0.05</v>
      </c>
      <c r="DL32">
        <v>8</v>
      </c>
      <c r="DM32">
        <f t="shared" si="67"/>
        <v>1512</v>
      </c>
      <c r="DN32" s="16">
        <f t="shared" si="61"/>
        <v>0.4</v>
      </c>
      <c r="DO32">
        <v>210</v>
      </c>
      <c r="DP32" s="16">
        <v>0.05</v>
      </c>
      <c r="DQ32">
        <v>8</v>
      </c>
      <c r="DR32">
        <f t="shared" si="68"/>
        <v>7560</v>
      </c>
      <c r="DS32" s="16">
        <f t="shared" si="62"/>
        <v>0.4</v>
      </c>
      <c r="DT32">
        <v>33</v>
      </c>
      <c r="DU32" s="16">
        <v>0.05</v>
      </c>
      <c r="DV32">
        <v>7</v>
      </c>
      <c r="DW32">
        <f t="shared" si="69"/>
        <v>1056</v>
      </c>
      <c r="DX32" s="16">
        <f t="shared" si="63"/>
        <v>0.35</v>
      </c>
      <c r="DY32">
        <v>2</v>
      </c>
      <c r="DZ32">
        <f t="shared" si="64"/>
        <v>34</v>
      </c>
      <c r="EC32" s="43"/>
      <c r="ED32" t="s">
        <v>90</v>
      </c>
      <c r="EE32">
        <f>EE20+EE27+EF27</f>
        <v>45.977296</v>
      </c>
      <c r="FB32" s="52">
        <v>30</v>
      </c>
      <c r="FC32" s="112">
        <v>3330</v>
      </c>
      <c r="FD32" s="55">
        <f>SUM($FC$3:FC32)</f>
        <v>62580</v>
      </c>
      <c r="FQ32" t="s">
        <v>342</v>
      </c>
      <c r="FR32">
        <v>45</v>
      </c>
    </row>
    <row r="33" spans="1:174">
      <c r="A33">
        <v>22</v>
      </c>
      <c r="B33">
        <f>秘宝大作战!D24-秘宝大作战!H24</f>
        <v>-36890</v>
      </c>
      <c r="C33">
        <f t="shared" ref="C33:C47" si="70">IF(B33&lt;0,-B33,0)</f>
        <v>36890</v>
      </c>
      <c r="D33">
        <f t="shared" ref="D33:D47" si="71">IF(C33&gt;0,A33*2*60,0)</f>
        <v>2640</v>
      </c>
      <c r="E33">
        <f t="shared" ref="E33:E47" si="72">IF(C33&gt;0,A33*2*300,0)</f>
        <v>13200</v>
      </c>
      <c r="F33">
        <f t="shared" ref="F33:F47" si="73">IF(C33-D33-E33&gt;0,C33-D33-E33,0)</f>
        <v>21050</v>
      </c>
      <c r="J33">
        <f t="shared" si="13"/>
        <v>72850</v>
      </c>
      <c r="K33">
        <v>32</v>
      </c>
      <c r="L33">
        <f t="shared" si="14"/>
        <v>225</v>
      </c>
      <c r="M33" t="s">
        <v>345</v>
      </c>
      <c r="N33" t="str">
        <f t="shared" si="43"/>
        <v>原初宝石/贤者之石/秘宝探测仪</v>
      </c>
      <c r="V33" t="s">
        <v>346</v>
      </c>
      <c r="AD33">
        <v>32</v>
      </c>
      <c r="AE33">
        <v>70</v>
      </c>
      <c r="AF33">
        <f t="shared" si="15"/>
        <v>1200</v>
      </c>
      <c r="AG33" t="s">
        <v>117</v>
      </c>
      <c r="AH33" s="70">
        <v>0.02</v>
      </c>
      <c r="AI33" s="70">
        <f>COUNTIF(AG$1:AG33,AG33)*AH33</f>
        <v>0.16</v>
      </c>
      <c r="AO33" s="3">
        <f>AF52</f>
        <v>3300</v>
      </c>
      <c r="AP33" s="116">
        <f>AI52</f>
        <v>0.26</v>
      </c>
      <c r="AU33">
        <v>31</v>
      </c>
      <c r="AV33">
        <v>3607</v>
      </c>
      <c r="AW33">
        <v>31</v>
      </c>
      <c r="AX33">
        <v>3607</v>
      </c>
      <c r="AY33">
        <v>31</v>
      </c>
      <c r="AZ33">
        <v>3607</v>
      </c>
      <c r="BR33" s="10"/>
      <c r="BS33" s="10"/>
      <c r="BT33" s="10"/>
      <c r="BU33" s="10"/>
      <c r="BV33" s="10"/>
      <c r="BW33" s="10"/>
      <c r="BX33" s="10"/>
      <c r="BY33" s="10"/>
      <c r="BZ33" s="10">
        <v>192</v>
      </c>
      <c r="CA33" s="10">
        <f t="shared" si="16"/>
        <v>34060</v>
      </c>
      <c r="CB33" s="10">
        <f t="shared" si="1"/>
        <v>68120</v>
      </c>
      <c r="CC33" s="10">
        <f t="shared" si="2"/>
        <v>408.72</v>
      </c>
      <c r="CD33" s="10">
        <f t="shared" si="3"/>
        <v>379.525714285714</v>
      </c>
      <c r="CE33" s="10">
        <f t="shared" si="4"/>
        <v>72.3269823846114</v>
      </c>
      <c r="CF33" s="10"/>
      <c r="CG33" s="10">
        <v>192</v>
      </c>
      <c r="CH33" s="10">
        <f t="shared" ref="CH33:CH37" si="74">CH32+190</f>
        <v>25185</v>
      </c>
      <c r="CI33" s="10">
        <v>0</v>
      </c>
      <c r="CJ33" s="10">
        <f t="shared" si="5"/>
        <v>201.48</v>
      </c>
      <c r="CK33" s="10">
        <f t="shared" si="6"/>
        <v>523.848</v>
      </c>
      <c r="CL33" s="10">
        <f t="shared" si="7"/>
        <v>109.135</v>
      </c>
      <c r="CM33" s="10"/>
      <c r="CN33" s="10"/>
      <c r="CO33" s="10"/>
      <c r="CP33" s="10"/>
      <c r="CQ33" s="10"/>
      <c r="CR33" s="10"/>
      <c r="CS33" s="10"/>
      <c r="CT33" s="10"/>
      <c r="CU33" s="10">
        <v>192</v>
      </c>
      <c r="CV33" s="10">
        <v>287400</v>
      </c>
      <c r="CW33" s="10">
        <v>0</v>
      </c>
      <c r="CX33" s="10">
        <f t="shared" si="11"/>
        <v>574.8</v>
      </c>
      <c r="CY33" s="10">
        <f t="shared" si="12"/>
        <v>1245.4</v>
      </c>
      <c r="CZ33" s="10"/>
      <c r="DA33" s="10"/>
      <c r="DB33" s="10"/>
      <c r="DC33" s="10"/>
      <c r="DD33">
        <v>5</v>
      </c>
      <c r="DE33">
        <v>42</v>
      </c>
      <c r="DF33" s="16">
        <v>0.05</v>
      </c>
      <c r="DG33">
        <v>9</v>
      </c>
      <c r="DH33">
        <f t="shared" si="66"/>
        <v>1680</v>
      </c>
      <c r="DI33" s="16">
        <f t="shared" si="60"/>
        <v>0.45</v>
      </c>
      <c r="DJ33">
        <v>42</v>
      </c>
      <c r="DK33" s="16">
        <v>0.05</v>
      </c>
      <c r="DL33">
        <v>8</v>
      </c>
      <c r="DM33">
        <f t="shared" si="67"/>
        <v>1512</v>
      </c>
      <c r="DN33" s="16">
        <f t="shared" si="61"/>
        <v>0.4</v>
      </c>
      <c r="DO33">
        <v>210</v>
      </c>
      <c r="DP33" s="16">
        <v>0.05</v>
      </c>
      <c r="DQ33">
        <v>8</v>
      </c>
      <c r="DR33">
        <f t="shared" si="68"/>
        <v>7560</v>
      </c>
      <c r="DS33" s="16">
        <f t="shared" si="62"/>
        <v>0.4</v>
      </c>
      <c r="DT33">
        <v>33</v>
      </c>
      <c r="DU33" s="16">
        <v>0.05</v>
      </c>
      <c r="DV33">
        <v>7</v>
      </c>
      <c r="DW33">
        <f t="shared" si="69"/>
        <v>1056</v>
      </c>
      <c r="DX33" s="16">
        <f t="shared" si="63"/>
        <v>0.35</v>
      </c>
      <c r="DY33">
        <v>2</v>
      </c>
      <c r="DZ33">
        <f t="shared" si="64"/>
        <v>34</v>
      </c>
      <c r="EC33" s="43"/>
      <c r="ED33" t="s">
        <v>91</v>
      </c>
      <c r="EE33">
        <f>EE21+EE28+EF28</f>
        <v>7.5999552</v>
      </c>
      <c r="FB33" s="52">
        <v>31</v>
      </c>
      <c r="FC33" s="112">
        <v>3420</v>
      </c>
      <c r="FD33" s="55">
        <f>SUM($FC$3:FC33)</f>
        <v>66000</v>
      </c>
      <c r="FQ33" t="s">
        <v>342</v>
      </c>
      <c r="FR33">
        <v>45</v>
      </c>
    </row>
    <row r="34" spans="1:174">
      <c r="A34">
        <v>23</v>
      </c>
      <c r="B34">
        <f>秘宝大作战!D25-秘宝大作战!H25</f>
        <v>-40280</v>
      </c>
      <c r="C34">
        <f t="shared" si="70"/>
        <v>40280</v>
      </c>
      <c r="D34">
        <f t="shared" si="71"/>
        <v>2760</v>
      </c>
      <c r="E34">
        <f t="shared" si="72"/>
        <v>13800</v>
      </c>
      <c r="F34">
        <f t="shared" si="73"/>
        <v>23720</v>
      </c>
      <c r="J34">
        <f t="shared" si="13"/>
        <v>75100</v>
      </c>
      <c r="K34">
        <v>33</v>
      </c>
      <c r="L34">
        <f t="shared" si="14"/>
        <v>232</v>
      </c>
      <c r="M34" t="s">
        <v>347</v>
      </c>
      <c r="N34" t="str">
        <f t="shared" si="43"/>
        <v>自选奇迹遗物·哈I</v>
      </c>
      <c r="V34" t="s">
        <v>183</v>
      </c>
      <c r="W34" t="s">
        <v>184</v>
      </c>
      <c r="X34" t="s">
        <v>185</v>
      </c>
      <c r="Y34" t="s">
        <v>186</v>
      </c>
      <c r="Z34" t="s">
        <v>187</v>
      </c>
      <c r="AA34" t="s">
        <v>277</v>
      </c>
      <c r="AD34">
        <v>33</v>
      </c>
      <c r="AE34">
        <v>80</v>
      </c>
      <c r="AF34">
        <f t="shared" si="15"/>
        <v>1280</v>
      </c>
      <c r="AG34" t="s">
        <v>114</v>
      </c>
      <c r="AH34" s="70">
        <v>0.03</v>
      </c>
      <c r="AI34" s="70">
        <f>COUNTIF(AG$1:AG34,AG34)*AH34</f>
        <v>0.27</v>
      </c>
      <c r="AO34" s="3">
        <f>AF56</f>
        <v>3890</v>
      </c>
      <c r="AP34" s="116">
        <f>AI56</f>
        <v>0.28</v>
      </c>
      <c r="AU34">
        <v>32</v>
      </c>
      <c r="AV34">
        <v>3794</v>
      </c>
      <c r="AW34">
        <v>32</v>
      </c>
      <c r="AX34">
        <v>3794</v>
      </c>
      <c r="AY34">
        <v>32</v>
      </c>
      <c r="AZ34">
        <v>3794</v>
      </c>
      <c r="BR34" s="10" t="str">
        <f>"你目前的装备等级由"&amp;BS26&amp;"升到"&amp;BS27&amp;",获取一颗原初之星需要消耗价值"&amp;BS28&amp;"晨星的资源，或消耗"&amp;BS29&amp;"体力挖取"</f>
        <v>你目前的装备等级由280升到281,获取一颗原初之星需要消耗价值637.4晨星的资源，或消耗121.5体力挖取</v>
      </c>
      <c r="BS34" s="10" t="str">
        <f>"你目前的技能等级由"&amp;BT26&amp;"升到"&amp;BT27&amp;",获取一颗原初之星需要消耗价值"&amp;BT28&amp;"晨星的资源，或消耗"&amp;BT29&amp;"体力挖取"</f>
        <v>你目前的技能等级由230升到231,获取一颗原初之星需要消耗价值679.8晨星的资源，或消耗141.6体力挖取</v>
      </c>
      <c r="BT34" s="10" t="str">
        <f>"你目前的遗物等级由"&amp;BU26&amp;" 升到"&amp;BU27&amp;" ,获取一颗原初之星需要消耗价值"&amp;BU28&amp;"晨星的资源，或消耗"&amp;BU29&amp;"体力挖取"</f>
        <v>你目前的遗物等级由27 升到28 ,获取一颗原初之星需要消耗价值833.2晨星的资源，或消耗158.8体力挖取</v>
      </c>
      <c r="BU34" s="10" t="str">
        <f>"你目前的幻兽等级由"&amp;BV26&amp;"升到"&amp;BV27&amp;",获取一颗原初之星需要消耗价值"&amp;BV28&amp;"晨星的资源"</f>
        <v>你目前的幻兽等级由210升到211,获取一颗原初之星需要消耗价值1536.8晨星的资源</v>
      </c>
      <c r="BV34" s="10"/>
      <c r="BW34" s="10"/>
      <c r="BX34" s="10"/>
      <c r="BY34" s="10"/>
      <c r="BZ34" s="10">
        <v>193</v>
      </c>
      <c r="CA34" s="10">
        <f t="shared" si="16"/>
        <v>34320</v>
      </c>
      <c r="CB34" s="10">
        <f t="shared" si="1"/>
        <v>68640</v>
      </c>
      <c r="CC34" s="10">
        <f t="shared" si="2"/>
        <v>411.84</v>
      </c>
      <c r="CD34" s="10">
        <f t="shared" si="3"/>
        <v>382.422857142857</v>
      </c>
      <c r="CE34" s="10">
        <f t="shared" si="4"/>
        <v>72.8790967539596</v>
      </c>
      <c r="CF34" s="10"/>
      <c r="CG34" s="10">
        <v>193</v>
      </c>
      <c r="CH34" s="10">
        <f t="shared" si="65"/>
        <v>25380</v>
      </c>
      <c r="CI34" s="10">
        <v>0</v>
      </c>
      <c r="CJ34" s="10">
        <f t="shared" si="5"/>
        <v>203.04</v>
      </c>
      <c r="CK34" s="10">
        <f t="shared" si="6"/>
        <v>527.904</v>
      </c>
      <c r="CL34" s="10">
        <f t="shared" si="7"/>
        <v>109.98</v>
      </c>
      <c r="CM34" s="10"/>
      <c r="CN34" s="10"/>
      <c r="CO34" s="10"/>
      <c r="CP34" s="10"/>
      <c r="CQ34" s="10"/>
      <c r="CR34" s="10"/>
      <c r="CS34" s="10"/>
      <c r="CT34" s="10"/>
      <c r="CU34" s="10">
        <v>193</v>
      </c>
      <c r="CV34" s="10">
        <v>290950</v>
      </c>
      <c r="CW34" s="10">
        <v>0</v>
      </c>
      <c r="CX34" s="10">
        <f t="shared" si="11"/>
        <v>581.9</v>
      </c>
      <c r="CY34" s="10">
        <f t="shared" si="12"/>
        <v>1260.78333333333</v>
      </c>
      <c r="CZ34" s="10"/>
      <c r="DA34" s="10"/>
      <c r="DB34" s="10"/>
      <c r="DC34" s="10"/>
      <c r="DD34">
        <v>6</v>
      </c>
      <c r="DE34">
        <v>48</v>
      </c>
      <c r="DF34" s="16">
        <v>0.05</v>
      </c>
      <c r="DG34">
        <v>8</v>
      </c>
      <c r="DH34">
        <f t="shared" si="66"/>
        <v>1728</v>
      </c>
      <c r="DI34" s="16">
        <f t="shared" si="60"/>
        <v>0.4</v>
      </c>
      <c r="DJ34">
        <v>48</v>
      </c>
      <c r="DK34" s="16">
        <v>0.05</v>
      </c>
      <c r="DL34">
        <v>8</v>
      </c>
      <c r="DM34">
        <f t="shared" si="67"/>
        <v>1728</v>
      </c>
      <c r="DN34" s="16">
        <f t="shared" si="61"/>
        <v>0.4</v>
      </c>
      <c r="DO34">
        <v>240</v>
      </c>
      <c r="DP34" s="16">
        <v>0.05</v>
      </c>
      <c r="DQ34">
        <v>9</v>
      </c>
      <c r="DR34">
        <f t="shared" si="68"/>
        <v>9600</v>
      </c>
      <c r="DS34" s="16">
        <f t="shared" si="62"/>
        <v>0.45</v>
      </c>
      <c r="DT34">
        <v>38</v>
      </c>
      <c r="DU34" s="16">
        <v>0.05</v>
      </c>
      <c r="DV34">
        <v>7</v>
      </c>
      <c r="DW34">
        <f t="shared" si="69"/>
        <v>1216</v>
      </c>
      <c r="DX34" s="16">
        <f t="shared" si="63"/>
        <v>0.35</v>
      </c>
      <c r="DY34">
        <v>2</v>
      </c>
      <c r="DZ34">
        <f t="shared" si="64"/>
        <v>34</v>
      </c>
      <c r="FB34" s="52">
        <v>32</v>
      </c>
      <c r="FC34" s="112">
        <v>3510</v>
      </c>
      <c r="FD34" s="55">
        <f>SUM($FC$3:FC34)</f>
        <v>69510</v>
      </c>
      <c r="FQ34" t="s">
        <v>348</v>
      </c>
      <c r="FR34">
        <v>45</v>
      </c>
    </row>
    <row r="35" spans="1:174">
      <c r="A35">
        <v>24</v>
      </c>
      <c r="B35">
        <f>秘宝大作战!D26-秘宝大作战!H26</f>
        <v>-38030</v>
      </c>
      <c r="C35">
        <f t="shared" si="70"/>
        <v>38030</v>
      </c>
      <c r="D35">
        <f t="shared" si="71"/>
        <v>2880</v>
      </c>
      <c r="E35">
        <f t="shared" si="72"/>
        <v>14400</v>
      </c>
      <c r="F35">
        <f t="shared" si="73"/>
        <v>20750</v>
      </c>
      <c r="J35">
        <f t="shared" si="13"/>
        <v>77350</v>
      </c>
      <c r="K35">
        <v>34</v>
      </c>
      <c r="L35">
        <f t="shared" si="14"/>
        <v>239</v>
      </c>
      <c r="M35" t="s">
        <v>349</v>
      </c>
      <c r="N35" t="str">
        <f t="shared" si="43"/>
        <v>幸运神像/黄金圣木/无尽沙漏</v>
      </c>
      <c r="V35">
        <f>(哈帕迪星象合约计算器!B2-190)*V13</f>
        <v>9000</v>
      </c>
      <c r="W35">
        <f>(SUM(哈帕迪星象合约计算器!B4:C6)-5*190)*W13</f>
        <v>8925</v>
      </c>
      <c r="X35">
        <f>(SUM(哈帕迪星象合约计算器!B8:C11)-8*190)*X13</f>
        <v>3600</v>
      </c>
      <c r="Y35">
        <f>(SUM(哈帕迪星象合约计算器!B13:E17)-20*19)*Y13</f>
        <v>6720</v>
      </c>
      <c r="Z35">
        <f>(SUM(哈帕迪星象合约计算器!B19:E19)-4*190)*Z13</f>
        <v>3223</v>
      </c>
      <c r="AA35">
        <f>SUM(V35:Z35)</f>
        <v>31468</v>
      </c>
      <c r="AD35">
        <v>34</v>
      </c>
      <c r="AE35">
        <v>80</v>
      </c>
      <c r="AF35">
        <f t="shared" si="15"/>
        <v>1360</v>
      </c>
      <c r="AG35" t="s">
        <v>115</v>
      </c>
      <c r="AH35" s="70">
        <v>0.05</v>
      </c>
      <c r="AI35" s="70">
        <f>COUNTIF(AG$1:AG35,AG35)*AH35</f>
        <v>0.45</v>
      </c>
      <c r="AO35" s="3">
        <f>AF60</f>
        <v>4520</v>
      </c>
      <c r="AP35" s="116">
        <f>AI60</f>
        <v>0.3</v>
      </c>
      <c r="AU35">
        <v>33</v>
      </c>
      <c r="AV35">
        <v>3876</v>
      </c>
      <c r="AW35">
        <v>33</v>
      </c>
      <c r="AX35">
        <v>3876</v>
      </c>
      <c r="AY35">
        <v>33</v>
      </c>
      <c r="AZ35">
        <v>3876</v>
      </c>
      <c r="BR35" s="10"/>
      <c r="BS35" s="10"/>
      <c r="BT35" s="10"/>
      <c r="BU35" s="10"/>
      <c r="BV35" s="10"/>
      <c r="BW35" s="10"/>
      <c r="BX35" s="10"/>
      <c r="BY35" s="10"/>
      <c r="BZ35" s="10">
        <v>194</v>
      </c>
      <c r="CA35" s="10">
        <f t="shared" si="16"/>
        <v>34580</v>
      </c>
      <c r="CB35" s="10">
        <f t="shared" si="1"/>
        <v>69160</v>
      </c>
      <c r="CC35" s="10">
        <f t="shared" si="2"/>
        <v>414.96</v>
      </c>
      <c r="CD35" s="10">
        <f t="shared" si="3"/>
        <v>385.32</v>
      </c>
      <c r="CE35" s="10">
        <f t="shared" si="4"/>
        <v>73.4312111233077</v>
      </c>
      <c r="CF35" s="10"/>
      <c r="CG35" s="10">
        <v>194</v>
      </c>
      <c r="CH35" s="10">
        <f t="shared" si="74"/>
        <v>25570</v>
      </c>
      <c r="CI35" s="10">
        <v>0</v>
      </c>
      <c r="CJ35" s="10">
        <f t="shared" si="5"/>
        <v>204.56</v>
      </c>
      <c r="CK35" s="10">
        <f t="shared" si="6"/>
        <v>531.856</v>
      </c>
      <c r="CL35" s="10">
        <f t="shared" si="7"/>
        <v>110.803333333333</v>
      </c>
      <c r="CM35" s="10"/>
      <c r="CN35" s="10"/>
      <c r="CO35" s="10"/>
      <c r="CP35" s="10"/>
      <c r="CQ35" s="10"/>
      <c r="CR35" s="10"/>
      <c r="CS35" s="10"/>
      <c r="CT35" s="10"/>
      <c r="CU35" s="10">
        <v>194</v>
      </c>
      <c r="CV35" s="10">
        <v>294500</v>
      </c>
      <c r="CW35" s="10">
        <v>0</v>
      </c>
      <c r="CX35" s="10">
        <f t="shared" si="11"/>
        <v>589</v>
      </c>
      <c r="CY35" s="10">
        <f t="shared" si="12"/>
        <v>1276.16666666667</v>
      </c>
      <c r="CZ35" s="10"/>
      <c r="DA35" s="10"/>
      <c r="DB35" s="10"/>
      <c r="DC35" s="10"/>
      <c r="DD35">
        <v>7</v>
      </c>
      <c r="DE35">
        <v>48</v>
      </c>
      <c r="DF35" s="16">
        <v>0.05</v>
      </c>
      <c r="DG35">
        <v>9</v>
      </c>
      <c r="DH35">
        <f t="shared" si="66"/>
        <v>1920</v>
      </c>
      <c r="DI35" s="16">
        <f t="shared" si="60"/>
        <v>0.45</v>
      </c>
      <c r="DJ35">
        <v>48</v>
      </c>
      <c r="DK35" s="16">
        <v>0.05</v>
      </c>
      <c r="DL35">
        <v>6</v>
      </c>
      <c r="DM35">
        <f t="shared" si="67"/>
        <v>1344</v>
      </c>
      <c r="DN35" s="16">
        <f t="shared" si="61"/>
        <v>0.3</v>
      </c>
      <c r="DO35">
        <v>240</v>
      </c>
      <c r="DP35" s="16">
        <v>0.05</v>
      </c>
      <c r="DQ35">
        <v>9</v>
      </c>
      <c r="DR35">
        <f t="shared" si="68"/>
        <v>9600</v>
      </c>
      <c r="DS35" s="16">
        <f t="shared" si="62"/>
        <v>0.45</v>
      </c>
      <c r="DT35">
        <v>38</v>
      </c>
      <c r="DU35" s="16">
        <v>0.05</v>
      </c>
      <c r="DV35">
        <v>8</v>
      </c>
      <c r="DW35">
        <f t="shared" si="69"/>
        <v>1368</v>
      </c>
      <c r="DX35" s="16">
        <f t="shared" si="63"/>
        <v>0.4</v>
      </c>
      <c r="DY35">
        <v>2</v>
      </c>
      <c r="DZ35">
        <f t="shared" si="64"/>
        <v>34</v>
      </c>
      <c r="FB35" s="52">
        <v>33</v>
      </c>
      <c r="FC35" s="112">
        <v>3600</v>
      </c>
      <c r="FD35" s="55">
        <f>SUM($FC$3:FC35)</f>
        <v>73110</v>
      </c>
      <c r="FQ35" t="s">
        <v>342</v>
      </c>
      <c r="FR35">
        <v>45</v>
      </c>
    </row>
    <row r="36" spans="1:174">
      <c r="A36">
        <v>25</v>
      </c>
      <c r="B36">
        <f>秘宝大作战!D27-秘宝大作战!H27</f>
        <v>-41420</v>
      </c>
      <c r="C36">
        <f t="shared" si="70"/>
        <v>41420</v>
      </c>
      <c r="D36">
        <f t="shared" si="71"/>
        <v>3000</v>
      </c>
      <c r="E36">
        <f t="shared" si="72"/>
        <v>15000</v>
      </c>
      <c r="F36">
        <f t="shared" si="73"/>
        <v>23420</v>
      </c>
      <c r="J36">
        <f t="shared" si="13"/>
        <v>79600</v>
      </c>
      <c r="K36">
        <v>35</v>
      </c>
      <c r="L36">
        <f t="shared" si="14"/>
        <v>246</v>
      </c>
      <c r="M36" t="s">
        <v>343</v>
      </c>
      <c r="N36" t="str">
        <f t="shared" si="43"/>
        <v>6阶技能碎片*180</v>
      </c>
      <c r="X36" t="s">
        <v>289</v>
      </c>
      <c r="Y36" t="s">
        <v>290</v>
      </c>
      <c r="Z36" t="s">
        <v>291</v>
      </c>
      <c r="AA36" t="s">
        <v>292</v>
      </c>
      <c r="AD36">
        <v>35</v>
      </c>
      <c r="AE36">
        <v>80</v>
      </c>
      <c r="AF36">
        <f t="shared" si="15"/>
        <v>1440</v>
      </c>
      <c r="AG36" t="s">
        <v>116</v>
      </c>
      <c r="AH36" s="70">
        <v>0.02</v>
      </c>
      <c r="AI36" s="70">
        <f>COUNTIF(AG$1:AG36,AG36)*AH36</f>
        <v>0.18</v>
      </c>
      <c r="AO36" s="3">
        <f>AF64</f>
        <v>5220</v>
      </c>
      <c r="AP36" s="116">
        <f>AI64</f>
        <v>0.32</v>
      </c>
      <c r="AU36">
        <v>34</v>
      </c>
      <c r="AV36">
        <v>3996</v>
      </c>
      <c r="AW36">
        <v>34</v>
      </c>
      <c r="AX36">
        <v>3996</v>
      </c>
      <c r="AY36">
        <v>34</v>
      </c>
      <c r="AZ36">
        <v>3996</v>
      </c>
      <c r="BR36" s="10"/>
      <c r="BS36" s="10"/>
      <c r="BT36" s="10"/>
      <c r="BU36" s="10"/>
      <c r="BV36" s="10"/>
      <c r="BW36" s="10"/>
      <c r="BX36" s="10"/>
      <c r="BY36" s="10"/>
      <c r="BZ36" s="10">
        <v>195</v>
      </c>
      <c r="CA36" s="10">
        <f t="shared" si="16"/>
        <v>34840</v>
      </c>
      <c r="CB36" s="10">
        <f t="shared" si="1"/>
        <v>69680</v>
      </c>
      <c r="CC36" s="10">
        <f t="shared" si="2"/>
        <v>418.08</v>
      </c>
      <c r="CD36" s="10">
        <f t="shared" si="3"/>
        <v>388.217142857143</v>
      </c>
      <c r="CE36" s="10">
        <f t="shared" si="4"/>
        <v>73.9833254926559</v>
      </c>
      <c r="CF36" s="10"/>
      <c r="CG36" s="10">
        <v>195</v>
      </c>
      <c r="CH36" s="10">
        <f t="shared" ref="CH36:CH40" si="75">CH35+195</f>
        <v>25765</v>
      </c>
      <c r="CI36" s="10">
        <v>0</v>
      </c>
      <c r="CJ36" s="10">
        <f t="shared" si="5"/>
        <v>206.12</v>
      </c>
      <c r="CK36" s="10">
        <f t="shared" si="6"/>
        <v>535.912</v>
      </c>
      <c r="CL36" s="10">
        <f t="shared" si="7"/>
        <v>111.648333333333</v>
      </c>
      <c r="CM36" s="10"/>
      <c r="CN36" s="10"/>
      <c r="CO36" s="10"/>
      <c r="CP36" s="10"/>
      <c r="CQ36" s="10"/>
      <c r="CR36" s="10"/>
      <c r="CS36" s="10"/>
      <c r="CT36" s="10"/>
      <c r="CU36" s="10">
        <v>195</v>
      </c>
      <c r="CV36" s="10">
        <v>298050</v>
      </c>
      <c r="CW36" s="10">
        <v>0</v>
      </c>
      <c r="CX36" s="10">
        <f t="shared" si="11"/>
        <v>596.1</v>
      </c>
      <c r="CY36" s="10">
        <f t="shared" si="12"/>
        <v>1291.55</v>
      </c>
      <c r="CZ36" s="10"/>
      <c r="DA36" s="10"/>
      <c r="DB36" s="10"/>
      <c r="DC36" s="10"/>
      <c r="DD36">
        <v>8</v>
      </c>
      <c r="DE36">
        <v>48</v>
      </c>
      <c r="DF36" s="16">
        <v>0.05</v>
      </c>
      <c r="DG36">
        <v>8</v>
      </c>
      <c r="DH36">
        <f t="shared" si="66"/>
        <v>1728</v>
      </c>
      <c r="DI36" s="16">
        <f t="shared" si="60"/>
        <v>0.4</v>
      </c>
      <c r="DJ36">
        <v>48</v>
      </c>
      <c r="DK36" s="16">
        <v>0.05</v>
      </c>
      <c r="DL36">
        <v>9</v>
      </c>
      <c r="DM36">
        <f t="shared" si="67"/>
        <v>1920</v>
      </c>
      <c r="DN36" s="16">
        <f t="shared" si="61"/>
        <v>0.45</v>
      </c>
      <c r="DO36">
        <v>240</v>
      </c>
      <c r="DP36" s="16">
        <v>0.05</v>
      </c>
      <c r="DQ36">
        <v>7</v>
      </c>
      <c r="DR36">
        <f t="shared" si="68"/>
        <v>7680</v>
      </c>
      <c r="DS36" s="16">
        <f t="shared" si="62"/>
        <v>0.35</v>
      </c>
      <c r="DT36">
        <v>38</v>
      </c>
      <c r="DU36" s="16">
        <v>0.05</v>
      </c>
      <c r="DV36">
        <v>8</v>
      </c>
      <c r="DW36">
        <f t="shared" si="69"/>
        <v>1368</v>
      </c>
      <c r="DX36" s="16">
        <f t="shared" si="63"/>
        <v>0.4</v>
      </c>
      <c r="DY36">
        <v>2</v>
      </c>
      <c r="DZ36">
        <f t="shared" si="64"/>
        <v>34</v>
      </c>
      <c r="FB36" s="52">
        <v>34</v>
      </c>
      <c r="FC36" s="112">
        <v>3720</v>
      </c>
      <c r="FD36" s="55">
        <f>SUM($FC$3:FC36)</f>
        <v>76830</v>
      </c>
      <c r="FQ36" t="s">
        <v>342</v>
      </c>
      <c r="FR36">
        <v>45</v>
      </c>
    </row>
    <row r="37" spans="1:174">
      <c r="A37">
        <v>26</v>
      </c>
      <c r="B37">
        <f>秘宝大作战!D28-秘宝大作战!H28</f>
        <v>-39170</v>
      </c>
      <c r="C37">
        <f t="shared" si="70"/>
        <v>39170</v>
      </c>
      <c r="D37">
        <f t="shared" si="71"/>
        <v>3120</v>
      </c>
      <c r="E37">
        <f t="shared" si="72"/>
        <v>15600</v>
      </c>
      <c r="F37">
        <f t="shared" si="73"/>
        <v>20450</v>
      </c>
      <c r="J37">
        <f t="shared" si="13"/>
        <v>81850</v>
      </c>
      <c r="K37">
        <v>36</v>
      </c>
      <c r="L37">
        <f t="shared" si="14"/>
        <v>253</v>
      </c>
      <c r="M37" t="s">
        <v>345</v>
      </c>
      <c r="N37" t="str">
        <f t="shared" si="43"/>
        <v>原初宝石/贤者之石/秘宝探测仪</v>
      </c>
      <c r="X37">
        <f>哈帕迪星象合约计算器!G2</f>
        <v>4040</v>
      </c>
      <c r="Y37">
        <f>哈帕迪星象合约计算器!H2</f>
        <v>9080</v>
      </c>
      <c r="Z37">
        <f>FLOOR(AA35/AA13,1)+AB13</f>
        <v>4615</v>
      </c>
      <c r="AA37">
        <f>(Y37-AB13-X37)*AA13-AA35</f>
        <v>2972</v>
      </c>
      <c r="AD37">
        <v>36</v>
      </c>
      <c r="AE37">
        <v>80</v>
      </c>
      <c r="AF37">
        <f t="shared" si="15"/>
        <v>1520</v>
      </c>
      <c r="AG37" t="s">
        <v>117</v>
      </c>
      <c r="AH37" s="70">
        <v>0.02</v>
      </c>
      <c r="AI37" s="70">
        <f>COUNTIF(AG$1:AG37,AG37)*AH37</f>
        <v>0.18</v>
      </c>
      <c r="AO37" s="3">
        <f>AF68</f>
        <v>6000</v>
      </c>
      <c r="AP37" s="116">
        <f>AI68</f>
        <v>0.34</v>
      </c>
      <c r="AU37">
        <v>35</v>
      </c>
      <c r="AV37">
        <v>4261</v>
      </c>
      <c r="AW37">
        <v>35</v>
      </c>
      <c r="AX37">
        <v>4261</v>
      </c>
      <c r="AY37">
        <v>35</v>
      </c>
      <c r="AZ37">
        <v>4261</v>
      </c>
      <c r="BR37" s="10"/>
      <c r="BS37" s="10"/>
      <c r="BT37" s="10"/>
      <c r="BU37" s="10"/>
      <c r="BV37" s="10"/>
      <c r="BW37" s="10"/>
      <c r="BX37" s="10"/>
      <c r="BY37" s="10"/>
      <c r="BZ37" s="10">
        <v>196</v>
      </c>
      <c r="CA37" s="10">
        <f t="shared" si="16"/>
        <v>35100</v>
      </c>
      <c r="CB37" s="10">
        <f t="shared" si="1"/>
        <v>70200</v>
      </c>
      <c r="CC37" s="10">
        <f t="shared" si="2"/>
        <v>421.2</v>
      </c>
      <c r="CD37" s="10">
        <f t="shared" si="3"/>
        <v>391.114285714286</v>
      </c>
      <c r="CE37" s="10">
        <f t="shared" si="4"/>
        <v>74.5354398620041</v>
      </c>
      <c r="CF37" s="10"/>
      <c r="CG37" s="10">
        <v>196</v>
      </c>
      <c r="CH37" s="10">
        <f t="shared" si="74"/>
        <v>25955</v>
      </c>
      <c r="CI37" s="10">
        <v>0</v>
      </c>
      <c r="CJ37" s="10">
        <f t="shared" si="5"/>
        <v>207.64</v>
      </c>
      <c r="CK37" s="10">
        <f t="shared" si="6"/>
        <v>539.864</v>
      </c>
      <c r="CL37" s="10">
        <f t="shared" si="7"/>
        <v>112.471666666667</v>
      </c>
      <c r="CM37" s="10"/>
      <c r="CN37" s="10"/>
      <c r="CO37" s="10"/>
      <c r="CP37" s="10"/>
      <c r="CQ37" s="10"/>
      <c r="CR37" s="10"/>
      <c r="CS37" s="10"/>
      <c r="CT37" s="10"/>
      <c r="CU37" s="10">
        <v>196</v>
      </c>
      <c r="CV37" s="10">
        <v>301600</v>
      </c>
      <c r="CW37" s="10">
        <v>0</v>
      </c>
      <c r="CX37" s="10">
        <f t="shared" si="11"/>
        <v>603.2</v>
      </c>
      <c r="CY37" s="10">
        <f t="shared" si="12"/>
        <v>1306.93333333333</v>
      </c>
      <c r="CZ37" s="10"/>
      <c r="DA37" s="10"/>
      <c r="DB37" s="10"/>
      <c r="DC37" s="10"/>
      <c r="FB37" s="52">
        <v>35</v>
      </c>
      <c r="FC37" s="112">
        <v>3840</v>
      </c>
      <c r="FD37" s="55">
        <f>SUM($FC$3:FC37)</f>
        <v>80670</v>
      </c>
      <c r="FQ37" t="s">
        <v>342</v>
      </c>
      <c r="FR37">
        <v>45</v>
      </c>
    </row>
    <row r="38" spans="1:174">
      <c r="A38">
        <v>27</v>
      </c>
      <c r="B38">
        <f>秘宝大作战!D29-秘宝大作战!H29</f>
        <v>-42560</v>
      </c>
      <c r="C38">
        <f t="shared" si="70"/>
        <v>42560</v>
      </c>
      <c r="D38">
        <f t="shared" si="71"/>
        <v>3240</v>
      </c>
      <c r="E38">
        <f t="shared" si="72"/>
        <v>16200</v>
      </c>
      <c r="F38">
        <f t="shared" si="73"/>
        <v>23120</v>
      </c>
      <c r="J38">
        <f t="shared" si="13"/>
        <v>84100</v>
      </c>
      <c r="K38">
        <v>37</v>
      </c>
      <c r="L38">
        <f t="shared" si="14"/>
        <v>260</v>
      </c>
      <c r="M38" t="s">
        <v>350</v>
      </c>
      <c r="N38" t="str">
        <f t="shared" si="43"/>
        <v>自选奇迹遗物·哈II</v>
      </c>
      <c r="AD38">
        <v>37</v>
      </c>
      <c r="AE38">
        <v>90</v>
      </c>
      <c r="AF38">
        <f t="shared" ref="AF38:AF56" si="76">AF37+AE38</f>
        <v>1610</v>
      </c>
      <c r="AG38" t="s">
        <v>114</v>
      </c>
      <c r="AH38" s="70">
        <v>0.03</v>
      </c>
      <c r="AI38" s="70">
        <f>COUNTIF(AG$1:AG38,AG38)*AH38</f>
        <v>0.3</v>
      </c>
      <c r="AO38" s="3">
        <f>AF72</f>
        <v>6860</v>
      </c>
      <c r="AP38" s="116">
        <f>AI72</f>
        <v>0.36</v>
      </c>
      <c r="AU38">
        <v>36</v>
      </c>
      <c r="AV38">
        <v>4289</v>
      </c>
      <c r="AW38">
        <v>36</v>
      </c>
      <c r="AX38">
        <v>4289</v>
      </c>
      <c r="AY38">
        <v>36</v>
      </c>
      <c r="AZ38">
        <v>4289</v>
      </c>
      <c r="BR38" s="10"/>
      <c r="BS38" s="10"/>
      <c r="BT38" s="10"/>
      <c r="BU38" s="10"/>
      <c r="BV38" s="10"/>
      <c r="BW38" s="10"/>
      <c r="BX38" s="10"/>
      <c r="BY38" s="10"/>
      <c r="BZ38" s="10">
        <v>197</v>
      </c>
      <c r="CA38" s="10">
        <f t="shared" si="16"/>
        <v>35360</v>
      </c>
      <c r="CB38" s="10">
        <f t="shared" si="1"/>
        <v>70720</v>
      </c>
      <c r="CC38" s="10">
        <f t="shared" si="2"/>
        <v>424.32</v>
      </c>
      <c r="CD38" s="10">
        <f t="shared" si="3"/>
        <v>394.011428571429</v>
      </c>
      <c r="CE38" s="10">
        <f t="shared" si="4"/>
        <v>75.0875542313523</v>
      </c>
      <c r="CF38" s="10"/>
      <c r="CG38" s="10">
        <v>197</v>
      </c>
      <c r="CH38" s="10">
        <f t="shared" si="75"/>
        <v>26150</v>
      </c>
      <c r="CI38" s="10">
        <v>0</v>
      </c>
      <c r="CJ38" s="10">
        <f t="shared" si="5"/>
        <v>209.2</v>
      </c>
      <c r="CK38" s="10">
        <f t="shared" si="6"/>
        <v>543.92</v>
      </c>
      <c r="CL38" s="10">
        <f t="shared" si="7"/>
        <v>113.316666666667</v>
      </c>
      <c r="CM38" s="10"/>
      <c r="CN38" s="10"/>
      <c r="CO38" s="10"/>
      <c r="CP38" s="10"/>
      <c r="CQ38" s="10"/>
      <c r="CR38" s="10"/>
      <c r="CS38" s="10"/>
      <c r="CT38" s="10"/>
      <c r="CU38" s="10">
        <v>197</v>
      </c>
      <c r="CV38" s="10">
        <v>305150</v>
      </c>
      <c r="CW38" s="10">
        <v>0</v>
      </c>
      <c r="CX38" s="10">
        <f t="shared" si="11"/>
        <v>610.3</v>
      </c>
      <c r="CY38" s="10">
        <f t="shared" si="12"/>
        <v>1322.31666666667</v>
      </c>
      <c r="CZ38" s="10"/>
      <c r="DA38" s="10"/>
      <c r="DB38" s="10"/>
      <c r="DC38" s="10"/>
      <c r="FB38" s="52">
        <v>36</v>
      </c>
      <c r="FC38" s="112">
        <v>3960</v>
      </c>
      <c r="FD38" s="55">
        <f>SUM($FC$3:FC38)</f>
        <v>84630</v>
      </c>
      <c r="FQ38" t="s">
        <v>348</v>
      </c>
      <c r="FR38">
        <v>45</v>
      </c>
    </row>
    <row r="39" spans="1:174">
      <c r="A39">
        <v>28</v>
      </c>
      <c r="B39">
        <f>秘宝大作战!D30-秘宝大作战!H30</f>
        <v>-44750</v>
      </c>
      <c r="C39">
        <f t="shared" si="70"/>
        <v>44750</v>
      </c>
      <c r="D39">
        <f t="shared" si="71"/>
        <v>3360</v>
      </c>
      <c r="E39">
        <f t="shared" si="72"/>
        <v>16800</v>
      </c>
      <c r="F39">
        <f t="shared" si="73"/>
        <v>24590</v>
      </c>
      <c r="J39">
        <f t="shared" si="13"/>
        <v>86350</v>
      </c>
      <c r="K39">
        <v>38</v>
      </c>
      <c r="L39">
        <f t="shared" si="14"/>
        <v>267</v>
      </c>
      <c r="M39" t="s">
        <v>349</v>
      </c>
      <c r="N39" t="str">
        <f t="shared" si="43"/>
        <v>幸运神像/黄金圣木/无尽沙漏</v>
      </c>
      <c r="AD39">
        <v>38</v>
      </c>
      <c r="AE39">
        <v>90</v>
      </c>
      <c r="AF39">
        <f t="shared" si="76"/>
        <v>1700</v>
      </c>
      <c r="AG39" t="s">
        <v>115</v>
      </c>
      <c r="AH39" s="70">
        <v>0.05</v>
      </c>
      <c r="AI39" s="70">
        <f>COUNTIF(AG$1:AG39,AG39)*AH39</f>
        <v>0.5</v>
      </c>
      <c r="AO39" s="3">
        <f>AF76</f>
        <v>7800</v>
      </c>
      <c r="AP39" s="116">
        <f>AI76</f>
        <v>0.38</v>
      </c>
      <c r="AU39">
        <v>37</v>
      </c>
      <c r="AV39">
        <v>4510</v>
      </c>
      <c r="AW39">
        <v>37</v>
      </c>
      <c r="AX39">
        <v>4510</v>
      </c>
      <c r="AY39">
        <v>37</v>
      </c>
      <c r="AZ39">
        <v>4510</v>
      </c>
      <c r="BR39" s="10"/>
      <c r="BS39" s="10"/>
      <c r="BT39" s="10"/>
      <c r="BU39" s="10"/>
      <c r="BV39" s="10"/>
      <c r="BW39" s="10"/>
      <c r="BX39" s="10"/>
      <c r="BY39" s="10"/>
      <c r="BZ39" s="10">
        <v>198</v>
      </c>
      <c r="CA39" s="10">
        <f t="shared" si="16"/>
        <v>35620</v>
      </c>
      <c r="CB39" s="10">
        <f t="shared" si="1"/>
        <v>71240</v>
      </c>
      <c r="CC39" s="10">
        <f t="shared" si="2"/>
        <v>427.44</v>
      </c>
      <c r="CD39" s="10">
        <f t="shared" si="3"/>
        <v>396.908571428571</v>
      </c>
      <c r="CE39" s="10">
        <f t="shared" si="4"/>
        <v>75.6396686007004</v>
      </c>
      <c r="CF39" s="10"/>
      <c r="CG39" s="10">
        <v>198</v>
      </c>
      <c r="CH39" s="10">
        <f t="shared" ref="CH39:CH43" si="77">CH38+190</f>
        <v>26340</v>
      </c>
      <c r="CI39" s="10">
        <v>0</v>
      </c>
      <c r="CJ39" s="10">
        <f t="shared" si="5"/>
        <v>210.72</v>
      </c>
      <c r="CK39" s="10">
        <f t="shared" si="6"/>
        <v>547.872</v>
      </c>
      <c r="CL39" s="10">
        <f t="shared" si="7"/>
        <v>114.14</v>
      </c>
      <c r="CM39" s="10"/>
      <c r="CN39" s="10"/>
      <c r="CO39" s="10"/>
      <c r="CP39" s="10"/>
      <c r="CQ39" s="10"/>
      <c r="CR39" s="10"/>
      <c r="CS39" s="10"/>
      <c r="CT39" s="10"/>
      <c r="CU39" s="10">
        <v>198</v>
      </c>
      <c r="CV39" s="10">
        <v>308700</v>
      </c>
      <c r="CW39" s="10">
        <v>0</v>
      </c>
      <c r="CX39" s="10">
        <f t="shared" si="11"/>
        <v>617.4</v>
      </c>
      <c r="CY39" s="10">
        <f t="shared" si="12"/>
        <v>1337.7</v>
      </c>
      <c r="CZ39" s="10"/>
      <c r="DA39" s="10"/>
      <c r="DB39" s="10"/>
      <c r="DC39" s="10"/>
      <c r="FB39" s="52">
        <v>37</v>
      </c>
      <c r="FC39" s="112">
        <v>4080</v>
      </c>
      <c r="FD39" s="55">
        <f>SUM($FC$3:FC39)</f>
        <v>88710</v>
      </c>
      <c r="FQ39" t="s">
        <v>342</v>
      </c>
      <c r="FR39">
        <v>45</v>
      </c>
    </row>
    <row r="40" spans="1:174">
      <c r="A40">
        <v>29</v>
      </c>
      <c r="B40">
        <f>秘宝大作战!D31-秘宝大作战!H31</f>
        <v>-48140</v>
      </c>
      <c r="C40">
        <f t="shared" si="70"/>
        <v>48140</v>
      </c>
      <c r="D40">
        <f t="shared" si="71"/>
        <v>3480</v>
      </c>
      <c r="E40">
        <f t="shared" si="72"/>
        <v>17400</v>
      </c>
      <c r="F40">
        <f t="shared" si="73"/>
        <v>27260</v>
      </c>
      <c r="J40">
        <f t="shared" si="13"/>
        <v>88600</v>
      </c>
      <c r="K40">
        <v>39</v>
      </c>
      <c r="L40">
        <f t="shared" si="14"/>
        <v>274</v>
      </c>
      <c r="M40" t="s">
        <v>343</v>
      </c>
      <c r="N40" t="str">
        <f t="shared" si="43"/>
        <v>6阶技能碎片*180</v>
      </c>
      <c r="AD40">
        <v>39</v>
      </c>
      <c r="AE40">
        <v>90</v>
      </c>
      <c r="AF40">
        <f t="shared" si="76"/>
        <v>1790</v>
      </c>
      <c r="AG40" t="s">
        <v>116</v>
      </c>
      <c r="AH40" s="70">
        <v>0.02</v>
      </c>
      <c r="AI40" s="70">
        <f>COUNTIF(AG$1:AG40,AG40)*AH40</f>
        <v>0.2</v>
      </c>
      <c r="AO40" s="3">
        <f>AF80</f>
        <v>8820</v>
      </c>
      <c r="AP40" s="116">
        <f>AI80</f>
        <v>0.4</v>
      </c>
      <c r="AU40">
        <v>38</v>
      </c>
      <c r="AV40">
        <v>4928</v>
      </c>
      <c r="AW40">
        <v>38</v>
      </c>
      <c r="AX40">
        <v>4928</v>
      </c>
      <c r="AY40">
        <v>38</v>
      </c>
      <c r="AZ40">
        <v>4928</v>
      </c>
      <c r="BR40" s="10"/>
      <c r="BS40" s="10"/>
      <c r="BT40" s="10"/>
      <c r="BU40" s="10"/>
      <c r="BV40" s="10"/>
      <c r="BW40" s="10"/>
      <c r="BX40" s="10"/>
      <c r="BY40" s="10"/>
      <c r="BZ40" s="10">
        <v>199</v>
      </c>
      <c r="CA40" s="10">
        <f t="shared" si="16"/>
        <v>35880</v>
      </c>
      <c r="CB40" s="10">
        <f t="shared" si="1"/>
        <v>71760</v>
      </c>
      <c r="CC40" s="10">
        <f t="shared" si="2"/>
        <v>430.56</v>
      </c>
      <c r="CD40" s="10">
        <f t="shared" si="3"/>
        <v>399.805714285714</v>
      </c>
      <c r="CE40" s="10">
        <f t="shared" si="4"/>
        <v>76.1917829700486</v>
      </c>
      <c r="CF40" s="10"/>
      <c r="CG40" s="10">
        <v>199</v>
      </c>
      <c r="CH40" s="10">
        <f t="shared" si="75"/>
        <v>26535</v>
      </c>
      <c r="CI40" s="10">
        <v>0</v>
      </c>
      <c r="CJ40" s="10">
        <f t="shared" si="5"/>
        <v>212.28</v>
      </c>
      <c r="CK40" s="10">
        <f t="shared" si="6"/>
        <v>551.928</v>
      </c>
      <c r="CL40" s="10">
        <f t="shared" si="7"/>
        <v>114.985</v>
      </c>
      <c r="CM40" s="10"/>
      <c r="CN40" s="10"/>
      <c r="CO40" s="10"/>
      <c r="CP40" s="10"/>
      <c r="CQ40" s="10"/>
      <c r="CR40" s="10"/>
      <c r="CS40" s="10"/>
      <c r="CT40" s="10"/>
      <c r="CU40" s="10">
        <v>199</v>
      </c>
      <c r="CV40" s="10">
        <v>312250</v>
      </c>
      <c r="CW40" s="10">
        <v>0</v>
      </c>
      <c r="CX40" s="10">
        <f t="shared" si="11"/>
        <v>624.5</v>
      </c>
      <c r="CY40" s="10">
        <f t="shared" si="12"/>
        <v>1353.08333333333</v>
      </c>
      <c r="CZ40" s="10"/>
      <c r="DA40" s="10"/>
      <c r="DB40" s="10"/>
      <c r="DC40" s="10"/>
      <c r="FB40" s="52">
        <v>38</v>
      </c>
      <c r="FC40" s="112">
        <v>4200</v>
      </c>
      <c r="FD40" s="55">
        <f>SUM($FC$3:FC40)</f>
        <v>92910</v>
      </c>
    </row>
    <row r="41" spans="1:174">
      <c r="A41">
        <v>30</v>
      </c>
      <c r="B41">
        <f>秘宝大作战!D32-秘宝大作战!H32</f>
        <v>-49130</v>
      </c>
      <c r="C41">
        <f t="shared" si="70"/>
        <v>49130</v>
      </c>
      <c r="D41">
        <f t="shared" si="71"/>
        <v>3600</v>
      </c>
      <c r="E41">
        <f t="shared" si="72"/>
        <v>18000</v>
      </c>
      <c r="F41">
        <f t="shared" si="73"/>
        <v>27530</v>
      </c>
      <c r="J41">
        <f t="shared" si="13"/>
        <v>90850</v>
      </c>
      <c r="K41">
        <v>40</v>
      </c>
      <c r="L41">
        <f t="shared" si="14"/>
        <v>281</v>
      </c>
      <c r="M41" t="s">
        <v>345</v>
      </c>
      <c r="N41" t="str">
        <f t="shared" si="43"/>
        <v>原初宝石/贤者之石/秘宝探测仪</v>
      </c>
      <c r="AD41">
        <v>40</v>
      </c>
      <c r="AE41">
        <v>90</v>
      </c>
      <c r="AF41">
        <f t="shared" si="76"/>
        <v>1880</v>
      </c>
      <c r="AG41" t="s">
        <v>117</v>
      </c>
      <c r="AH41" s="70">
        <v>0.02</v>
      </c>
      <c r="AI41" s="70">
        <f>COUNTIF(AG$1:AG41,AG41)*AH41</f>
        <v>0.2</v>
      </c>
      <c r="AO41" s="3">
        <f>AF84</f>
        <v>9920</v>
      </c>
      <c r="AP41" s="116">
        <f>AI84</f>
        <v>0.42</v>
      </c>
      <c r="AU41">
        <v>39</v>
      </c>
      <c r="AV41">
        <v>5086</v>
      </c>
      <c r="AW41">
        <v>39</v>
      </c>
      <c r="AX41">
        <v>5086</v>
      </c>
      <c r="AY41">
        <v>39</v>
      </c>
      <c r="AZ41">
        <v>5086</v>
      </c>
      <c r="BR41" s="10"/>
      <c r="BS41" s="10"/>
      <c r="BT41" s="10"/>
      <c r="BU41" s="10"/>
      <c r="BV41" s="10"/>
      <c r="BW41" s="10"/>
      <c r="BX41" s="10"/>
      <c r="BY41" s="10"/>
      <c r="BZ41" s="10">
        <v>200</v>
      </c>
      <c r="CA41" s="10">
        <f t="shared" si="16"/>
        <v>36140</v>
      </c>
      <c r="CB41" s="10">
        <f t="shared" si="1"/>
        <v>72280</v>
      </c>
      <c r="CC41" s="10">
        <f t="shared" si="2"/>
        <v>433.68</v>
      </c>
      <c r="CD41" s="10">
        <f t="shared" si="3"/>
        <v>402.702857142857</v>
      </c>
      <c r="CE41" s="10">
        <f t="shared" si="4"/>
        <v>76.7438973393968</v>
      </c>
      <c r="CF41" s="10"/>
      <c r="CG41" s="10">
        <v>200</v>
      </c>
      <c r="CH41" s="10">
        <f t="shared" si="77"/>
        <v>26725</v>
      </c>
      <c r="CI41" s="10">
        <v>0</v>
      </c>
      <c r="CJ41" s="10">
        <f t="shared" si="5"/>
        <v>213.8</v>
      </c>
      <c r="CK41" s="10">
        <f t="shared" si="6"/>
        <v>555.88</v>
      </c>
      <c r="CL41" s="10">
        <f t="shared" si="7"/>
        <v>115.808333333333</v>
      </c>
      <c r="CM41" s="10"/>
      <c r="CN41" s="10"/>
      <c r="CO41" s="10"/>
      <c r="CP41" s="10"/>
      <c r="CQ41" s="10"/>
      <c r="CR41" s="10"/>
      <c r="CS41" s="10"/>
      <c r="CT41" s="10"/>
      <c r="CU41" s="10">
        <v>200</v>
      </c>
      <c r="CV41" s="10">
        <v>315800</v>
      </c>
      <c r="CW41" s="10">
        <v>0</v>
      </c>
      <c r="CX41" s="10">
        <f t="shared" si="11"/>
        <v>631.6</v>
      </c>
      <c r="CY41" s="10">
        <f t="shared" si="12"/>
        <v>1368.46666666667</v>
      </c>
      <c r="CZ41" s="10"/>
      <c r="DA41" s="10"/>
      <c r="DB41" s="10"/>
      <c r="DC41" s="10"/>
      <c r="EB41">
        <v>5</v>
      </c>
      <c r="EC41" t="s">
        <v>141</v>
      </c>
      <c r="ED41" t="str">
        <f>属性晨星性价比!S17</f>
        <v>传说</v>
      </c>
      <c r="EE41" t="s">
        <v>142</v>
      </c>
      <c r="EF41">
        <f>IF(ED41="奇迹",1.2,IF(ED41="传说",1.1,1))</f>
        <v>1.1</v>
      </c>
      <c r="EH41">
        <v>6</v>
      </c>
      <c r="EI41" t="s">
        <v>141</v>
      </c>
      <c r="EJ41" t="str">
        <f>属性晨星性价比!W17</f>
        <v>传说</v>
      </c>
      <c r="EK41" t="s">
        <v>142</v>
      </c>
      <c r="EL41">
        <f>IF(EJ41="奇迹",1.2,IF(EJ41="传说",1.1,1))</f>
        <v>1.1</v>
      </c>
      <c r="EN41">
        <v>7</v>
      </c>
      <c r="EO41" t="s">
        <v>141</v>
      </c>
      <c r="EP41" t="str">
        <f>属性晨星性价比!AA17</f>
        <v>史诗</v>
      </c>
      <c r="EQ41" t="s">
        <v>142</v>
      </c>
      <c r="ER41">
        <f>IF(EP41="奇迹",1.2,1.1)</f>
        <v>1.1</v>
      </c>
      <c r="ET41">
        <v>8</v>
      </c>
      <c r="EU41" t="s">
        <v>141</v>
      </c>
      <c r="EV41" t="str">
        <f>属性晨星性价比!AE17</f>
        <v>奇迹</v>
      </c>
      <c r="EW41" t="s">
        <v>142</v>
      </c>
      <c r="EX41">
        <f>IF(EV41="奇迹",1.2,IF(EV41="传说",1.1,1))</f>
        <v>1.2</v>
      </c>
      <c r="FB41" s="52">
        <v>39</v>
      </c>
      <c r="FC41" s="112">
        <v>4320</v>
      </c>
      <c r="FD41" s="55">
        <f>SUM($FC$3:FC41)</f>
        <v>97230</v>
      </c>
    </row>
    <row r="42" spans="1:174">
      <c r="A42">
        <v>31</v>
      </c>
      <c r="B42">
        <f>秘宝大作战!D33-秘宝大作战!H33</f>
        <v>-50120</v>
      </c>
      <c r="C42">
        <f t="shared" si="70"/>
        <v>50120</v>
      </c>
      <c r="D42">
        <f t="shared" si="71"/>
        <v>3720</v>
      </c>
      <c r="E42">
        <f t="shared" si="72"/>
        <v>18600</v>
      </c>
      <c r="F42">
        <f t="shared" si="73"/>
        <v>27800</v>
      </c>
      <c r="J42">
        <f t="shared" si="13"/>
        <v>93100</v>
      </c>
      <c r="K42">
        <v>41</v>
      </c>
      <c r="L42">
        <f t="shared" si="14"/>
        <v>288</v>
      </c>
      <c r="M42" t="s">
        <v>351</v>
      </c>
      <c r="N42" t="str">
        <f t="shared" si="43"/>
        <v>自选奇迹遗物·哈III</v>
      </c>
      <c r="AD42">
        <v>41</v>
      </c>
      <c r="AE42">
        <v>120</v>
      </c>
      <c r="AF42">
        <f t="shared" si="76"/>
        <v>2000</v>
      </c>
      <c r="AG42" t="s">
        <v>114</v>
      </c>
      <c r="AH42" s="70">
        <v>0.03</v>
      </c>
      <c r="AI42" s="70">
        <f>COUNTIF(AG$1:AG42,AG42)*AH42</f>
        <v>0.33</v>
      </c>
      <c r="AO42" s="3">
        <f>AF88</f>
        <v>11100</v>
      </c>
      <c r="AP42" s="116">
        <f>AI88</f>
        <v>0.44</v>
      </c>
      <c r="AU42">
        <v>40</v>
      </c>
      <c r="AV42">
        <v>17203</v>
      </c>
      <c r="AW42">
        <v>40</v>
      </c>
      <c r="AX42">
        <v>17203</v>
      </c>
      <c r="AY42">
        <v>40</v>
      </c>
      <c r="AZ42">
        <v>17203</v>
      </c>
      <c r="BR42" s="10"/>
      <c r="BS42" s="10"/>
      <c r="BT42" s="10"/>
      <c r="BU42" s="10"/>
      <c r="BV42" s="10"/>
      <c r="BW42" s="10"/>
      <c r="BX42" s="10"/>
      <c r="BY42" s="10"/>
      <c r="BZ42" s="10">
        <v>201</v>
      </c>
      <c r="CA42" s="10">
        <f t="shared" si="16"/>
        <v>36400</v>
      </c>
      <c r="CB42" s="10">
        <f t="shared" si="1"/>
        <v>72800</v>
      </c>
      <c r="CC42" s="10">
        <f t="shared" si="2"/>
        <v>436.8</v>
      </c>
      <c r="CD42" s="10">
        <f t="shared" si="3"/>
        <v>405.6</v>
      </c>
      <c r="CE42" s="10">
        <f t="shared" si="4"/>
        <v>77.296011708745</v>
      </c>
      <c r="CF42" s="10"/>
      <c r="CG42" s="10">
        <v>201</v>
      </c>
      <c r="CH42" s="10">
        <f>CH41+195-5</f>
        <v>26915</v>
      </c>
      <c r="CI42" s="10">
        <v>0</v>
      </c>
      <c r="CJ42" s="10">
        <f t="shared" si="5"/>
        <v>215.32</v>
      </c>
      <c r="CK42" s="10">
        <f t="shared" si="6"/>
        <v>559.832</v>
      </c>
      <c r="CL42" s="10">
        <f t="shared" si="7"/>
        <v>116.631666666667</v>
      </c>
      <c r="CM42" s="10"/>
      <c r="CN42" s="10"/>
      <c r="CO42" s="10"/>
      <c r="CP42" s="10"/>
      <c r="CQ42" s="10"/>
      <c r="CR42" s="10"/>
      <c r="CS42" s="10"/>
      <c r="CT42" s="10"/>
      <c r="CU42" s="10">
        <v>201</v>
      </c>
      <c r="CV42" s="10">
        <v>319350</v>
      </c>
      <c r="CW42" s="10">
        <v>0</v>
      </c>
      <c r="CX42" s="10">
        <f t="shared" si="11"/>
        <v>638.7</v>
      </c>
      <c r="CY42" s="10">
        <f t="shared" si="12"/>
        <v>1383.85</v>
      </c>
      <c r="CZ42" s="10"/>
      <c r="DA42" s="10"/>
      <c r="DB42" s="10"/>
      <c r="DC42" s="10"/>
      <c r="EC42" t="s">
        <v>85</v>
      </c>
      <c r="ED42">
        <f>属性晨星性价比!S18</f>
        <v>0.69</v>
      </c>
      <c r="EF42" t="s">
        <v>171</v>
      </c>
      <c r="EI42" t="s">
        <v>85</v>
      </c>
      <c r="EJ42">
        <f>属性晨星性价比!W18</f>
        <v>0.62</v>
      </c>
      <c r="EL42" t="s">
        <v>171</v>
      </c>
      <c r="EO42" t="s">
        <v>85</v>
      </c>
      <c r="EP42">
        <f>属性晨星性价比!AA18</f>
        <v>0.6</v>
      </c>
      <c r="ER42" t="s">
        <v>171</v>
      </c>
      <c r="EU42" t="s">
        <v>85</v>
      </c>
      <c r="EV42">
        <f>属性晨星性价比!AE18</f>
        <v>0.2</v>
      </c>
      <c r="EX42" t="s">
        <v>171</v>
      </c>
      <c r="FB42" s="52">
        <v>40</v>
      </c>
      <c r="FC42" s="112">
        <v>4440</v>
      </c>
      <c r="FD42" s="55">
        <f>SUM($FC$3:FC42)</f>
        <v>101670</v>
      </c>
    </row>
    <row r="43" spans="1:174">
      <c r="A43">
        <v>32</v>
      </c>
      <c r="B43">
        <f>秘宝大作战!D34-秘宝大作战!H34</f>
        <v>-51110</v>
      </c>
      <c r="C43">
        <f t="shared" si="70"/>
        <v>51110</v>
      </c>
      <c r="D43">
        <f t="shared" si="71"/>
        <v>3840</v>
      </c>
      <c r="E43">
        <f t="shared" si="72"/>
        <v>19200</v>
      </c>
      <c r="F43">
        <f t="shared" si="73"/>
        <v>28070</v>
      </c>
      <c r="J43">
        <f t="shared" si="13"/>
        <v>95350</v>
      </c>
      <c r="K43">
        <v>42</v>
      </c>
      <c r="L43">
        <f t="shared" si="14"/>
        <v>295</v>
      </c>
      <c r="M43" t="s">
        <v>349</v>
      </c>
      <c r="N43" t="str">
        <f t="shared" si="43"/>
        <v>幸运神像/黄金圣木/无尽沙漏</v>
      </c>
      <c r="AD43">
        <v>42</v>
      </c>
      <c r="AE43">
        <v>120</v>
      </c>
      <c r="AF43">
        <f t="shared" si="76"/>
        <v>2120</v>
      </c>
      <c r="AG43" t="s">
        <v>115</v>
      </c>
      <c r="AH43" s="70">
        <v>0.05</v>
      </c>
      <c r="AI43" s="70">
        <f>COUNTIF(AG$1:AG43,AG43)*AH43</f>
        <v>0.55</v>
      </c>
      <c r="AO43" s="3"/>
      <c r="AU43">
        <v>41</v>
      </c>
      <c r="AV43">
        <v>19189</v>
      </c>
      <c r="AW43">
        <v>41</v>
      </c>
      <c r="AX43">
        <v>19189</v>
      </c>
      <c r="AY43">
        <v>41</v>
      </c>
      <c r="AZ43">
        <v>19189</v>
      </c>
      <c r="BR43" s="10"/>
      <c r="BS43" s="10"/>
      <c r="BT43" s="10"/>
      <c r="BU43" s="10"/>
      <c r="BV43" s="10"/>
      <c r="BW43" s="10"/>
      <c r="BX43" s="10"/>
      <c r="BY43" s="10"/>
      <c r="BZ43" s="10">
        <v>202</v>
      </c>
      <c r="CA43" s="10">
        <f t="shared" si="16"/>
        <v>36660</v>
      </c>
      <c r="CB43" s="10">
        <f t="shared" si="1"/>
        <v>73320</v>
      </c>
      <c r="CC43" s="10">
        <f t="shared" si="2"/>
        <v>439.92</v>
      </c>
      <c r="CD43" s="10">
        <f t="shared" si="3"/>
        <v>408.497142857143</v>
      </c>
      <c r="CE43" s="10">
        <f t="shared" si="4"/>
        <v>77.8481260780931</v>
      </c>
      <c r="CF43" s="10"/>
      <c r="CG43" s="10">
        <v>202</v>
      </c>
      <c r="CH43" s="10">
        <f t="shared" si="77"/>
        <v>27105</v>
      </c>
      <c r="CI43" s="10">
        <v>0</v>
      </c>
      <c r="CJ43" s="10">
        <f t="shared" si="5"/>
        <v>216.84</v>
      </c>
      <c r="CK43" s="10">
        <f t="shared" si="6"/>
        <v>563.784</v>
      </c>
      <c r="CL43" s="10">
        <f t="shared" si="7"/>
        <v>117.455</v>
      </c>
      <c r="CM43" s="10"/>
      <c r="CN43" s="10"/>
      <c r="CO43" s="10"/>
      <c r="CP43" s="10"/>
      <c r="CQ43" s="10"/>
      <c r="CR43" s="10"/>
      <c r="CS43" s="10"/>
      <c r="CT43" s="10"/>
      <c r="CU43" s="10">
        <v>202</v>
      </c>
      <c r="CV43" s="10">
        <v>322900</v>
      </c>
      <c r="CW43" s="10">
        <v>0</v>
      </c>
      <c r="CX43" s="10">
        <f t="shared" si="11"/>
        <v>645.8</v>
      </c>
      <c r="CY43" s="10">
        <f t="shared" si="12"/>
        <v>1399.23333333333</v>
      </c>
      <c r="CZ43" s="10"/>
      <c r="DA43" s="10"/>
      <c r="DB43" s="10"/>
      <c r="DC43" s="10"/>
      <c r="EC43" t="s">
        <v>87</v>
      </c>
      <c r="ED43" t="s">
        <v>88</v>
      </c>
      <c r="EE43">
        <f>属性晨星性价比!S19</f>
        <v>5.9</v>
      </c>
      <c r="EF43">
        <f t="shared" ref="EF43:EF46" si="78">EE43/ED$42</f>
        <v>8.55072463768116</v>
      </c>
      <c r="EI43" t="s">
        <v>87</v>
      </c>
      <c r="EJ43" t="s">
        <v>88</v>
      </c>
      <c r="EK43">
        <f>属性晨星性价比!W19</f>
        <v>5.3</v>
      </c>
      <c r="EL43">
        <f t="shared" ref="EL43:EL46" si="79">EK43/EJ$42</f>
        <v>8.54838709677419</v>
      </c>
      <c r="EO43" t="s">
        <v>87</v>
      </c>
      <c r="EP43" t="s">
        <v>88</v>
      </c>
      <c r="EQ43">
        <f>属性晨星性价比!AA19</f>
        <v>3.91</v>
      </c>
      <c r="ER43">
        <f t="shared" ref="ER43:ER46" si="80">EQ43/EP$42</f>
        <v>6.51666666666667</v>
      </c>
      <c r="EU43" t="s">
        <v>87</v>
      </c>
      <c r="EV43" t="s">
        <v>88</v>
      </c>
      <c r="EW43">
        <f>属性晨星性价比!AE19</f>
        <v>2.58</v>
      </c>
      <c r="EX43">
        <f t="shared" ref="EX43:EX46" si="81">EW43/EV$42</f>
        <v>12.9</v>
      </c>
      <c r="FB43" s="52">
        <v>41</v>
      </c>
      <c r="FC43" s="112">
        <v>4560</v>
      </c>
      <c r="FD43" s="55">
        <f>SUM($FC$3:FC43)</f>
        <v>106230</v>
      </c>
    </row>
    <row r="44" spans="1:174">
      <c r="A44">
        <v>33</v>
      </c>
      <c r="B44">
        <f>秘宝大作战!D35-秘宝大作战!H35</f>
        <v>-52100</v>
      </c>
      <c r="C44">
        <f t="shared" si="70"/>
        <v>52100</v>
      </c>
      <c r="D44">
        <f t="shared" si="71"/>
        <v>3960</v>
      </c>
      <c r="E44">
        <f t="shared" si="72"/>
        <v>19800</v>
      </c>
      <c r="F44">
        <f t="shared" si="73"/>
        <v>28340</v>
      </c>
      <c r="J44">
        <f t="shared" si="13"/>
        <v>97600</v>
      </c>
      <c r="K44">
        <v>43</v>
      </c>
      <c r="L44">
        <f t="shared" si="14"/>
        <v>302</v>
      </c>
      <c r="M44" t="s">
        <v>343</v>
      </c>
      <c r="N44" t="str">
        <f t="shared" si="43"/>
        <v>6阶技能碎片*180</v>
      </c>
      <c r="AD44">
        <v>43</v>
      </c>
      <c r="AE44">
        <v>120</v>
      </c>
      <c r="AF44">
        <f t="shared" si="76"/>
        <v>2240</v>
      </c>
      <c r="AG44" t="s">
        <v>116</v>
      </c>
      <c r="AH44" s="70">
        <v>0.02</v>
      </c>
      <c r="AI44" s="70">
        <f>COUNTIF(AG$1:AG44,AG44)*AH44</f>
        <v>0.22</v>
      </c>
      <c r="AO44" s="3"/>
      <c r="AU44">
        <v>42</v>
      </c>
      <c r="AV44">
        <v>21484</v>
      </c>
      <c r="AW44">
        <v>42</v>
      </c>
      <c r="AX44">
        <v>21484</v>
      </c>
      <c r="AY44">
        <v>42</v>
      </c>
      <c r="AZ44">
        <v>21484</v>
      </c>
      <c r="BR44" s="10"/>
      <c r="BS44" s="10"/>
      <c r="BT44" s="10"/>
      <c r="BU44" s="10"/>
      <c r="BV44" s="10"/>
      <c r="BW44" s="10"/>
      <c r="BX44" s="10"/>
      <c r="BY44" s="10"/>
      <c r="BZ44" s="10">
        <v>203</v>
      </c>
      <c r="CA44" s="10">
        <f t="shared" si="16"/>
        <v>36920</v>
      </c>
      <c r="CB44" s="10">
        <f t="shared" si="1"/>
        <v>73840</v>
      </c>
      <c r="CC44" s="10">
        <f t="shared" si="2"/>
        <v>443.04</v>
      </c>
      <c r="CD44" s="10">
        <f t="shared" si="3"/>
        <v>411.394285714286</v>
      </c>
      <c r="CE44" s="10">
        <f t="shared" si="4"/>
        <v>78.4002404474413</v>
      </c>
      <c r="CF44" s="10"/>
      <c r="CG44" s="10">
        <v>203</v>
      </c>
      <c r="CH44" s="10">
        <f t="shared" ref="CH44:CH48" si="82">CH43+195</f>
        <v>27300</v>
      </c>
      <c r="CI44" s="10">
        <v>0</v>
      </c>
      <c r="CJ44" s="10">
        <f t="shared" si="5"/>
        <v>218.4</v>
      </c>
      <c r="CK44" s="10">
        <f t="shared" si="6"/>
        <v>567.84</v>
      </c>
      <c r="CL44" s="10">
        <f t="shared" si="7"/>
        <v>118.3</v>
      </c>
      <c r="CM44" s="10"/>
      <c r="CN44" s="10"/>
      <c r="CO44" s="10"/>
      <c r="CP44" s="10"/>
      <c r="CQ44" s="10"/>
      <c r="CR44" s="10"/>
      <c r="CS44" s="10"/>
      <c r="CT44" s="10"/>
      <c r="CU44" s="10">
        <v>203</v>
      </c>
      <c r="CV44" s="10">
        <v>326450</v>
      </c>
      <c r="CW44" s="10">
        <v>0</v>
      </c>
      <c r="CX44" s="10">
        <f t="shared" si="11"/>
        <v>652.9</v>
      </c>
      <c r="CY44" s="10">
        <f t="shared" si="12"/>
        <v>1414.61666666667</v>
      </c>
      <c r="CZ44" s="10"/>
      <c r="DA44" s="10"/>
      <c r="DB44" s="10"/>
      <c r="DC44" s="10"/>
      <c r="DJ44">
        <v>2</v>
      </c>
      <c r="DK44" t="s">
        <v>141</v>
      </c>
      <c r="DL44" t="str">
        <f>属性晨星性价比!G17</f>
        <v>奇迹</v>
      </c>
      <c r="DM44" t="s">
        <v>142</v>
      </c>
      <c r="DN44">
        <f>IF(DL44="奇迹",1.2,IF(DL44="传说",1.1,1))</f>
        <v>1.2</v>
      </c>
      <c r="DP44">
        <v>3</v>
      </c>
      <c r="DQ44" t="s">
        <v>141</v>
      </c>
      <c r="DR44" t="str">
        <f>属性晨星性价比!K17</f>
        <v>奇迹</v>
      </c>
      <c r="DS44" t="s">
        <v>142</v>
      </c>
      <c r="DT44">
        <f>IF(DR44="奇迹",1.2,IF(DR44="传说",1.1,1))</f>
        <v>1.2</v>
      </c>
      <c r="DV44">
        <v>4</v>
      </c>
      <c r="DW44" t="s">
        <v>141</v>
      </c>
      <c r="DX44" t="str">
        <f>属性晨星性价比!O17</f>
        <v>传说</v>
      </c>
      <c r="DY44" t="s">
        <v>142</v>
      </c>
      <c r="DZ44">
        <f>IF(DX44="奇迹",1.2,IF(DX44="传说",1.1,1))</f>
        <v>1.1</v>
      </c>
      <c r="ED44" t="s">
        <v>89</v>
      </c>
      <c r="EE44">
        <f>属性晨星性价比!S20</f>
        <v>5.9</v>
      </c>
      <c r="EF44">
        <f t="shared" si="78"/>
        <v>8.55072463768116</v>
      </c>
      <c r="EJ44" t="s">
        <v>89</v>
      </c>
      <c r="EK44">
        <f>属性晨星性价比!W20</f>
        <v>5.3</v>
      </c>
      <c r="EL44">
        <f t="shared" si="79"/>
        <v>8.54838709677419</v>
      </c>
      <c r="EP44" t="s">
        <v>89</v>
      </c>
      <c r="EQ44">
        <f>属性晨星性价比!AA20</f>
        <v>3.91</v>
      </c>
      <c r="ER44">
        <f t="shared" si="80"/>
        <v>6.51666666666667</v>
      </c>
      <c r="EV44" t="s">
        <v>89</v>
      </c>
      <c r="EW44">
        <f>属性晨星性价比!AE20</f>
        <v>2.58</v>
      </c>
      <c r="EX44">
        <f t="shared" si="81"/>
        <v>12.9</v>
      </c>
      <c r="FB44" s="52">
        <v>42</v>
      </c>
      <c r="FC44" s="112">
        <v>4680</v>
      </c>
      <c r="FD44" s="55">
        <f>SUM($FC$3:FC44)</f>
        <v>110910</v>
      </c>
    </row>
    <row r="45" spans="1:174">
      <c r="A45">
        <v>34</v>
      </c>
      <c r="B45">
        <f>秘宝大作战!D36-秘宝大作战!H36</f>
        <v>-49850</v>
      </c>
      <c r="C45">
        <f t="shared" si="70"/>
        <v>49850</v>
      </c>
      <c r="D45">
        <f t="shared" si="71"/>
        <v>4080</v>
      </c>
      <c r="E45">
        <f t="shared" si="72"/>
        <v>20400</v>
      </c>
      <c r="F45">
        <f t="shared" si="73"/>
        <v>25370</v>
      </c>
      <c r="J45">
        <f t="shared" si="13"/>
        <v>99850</v>
      </c>
      <c r="K45">
        <v>44</v>
      </c>
      <c r="L45">
        <f t="shared" si="14"/>
        <v>309</v>
      </c>
      <c r="M45" t="s">
        <v>345</v>
      </c>
      <c r="N45" t="str">
        <f t="shared" si="43"/>
        <v>原初宝石/贤者之石/秘宝探测仪</v>
      </c>
      <c r="AD45">
        <v>44</v>
      </c>
      <c r="AE45">
        <v>120</v>
      </c>
      <c r="AF45">
        <f t="shared" si="76"/>
        <v>2360</v>
      </c>
      <c r="AG45" t="s">
        <v>117</v>
      </c>
      <c r="AH45" s="70">
        <v>0.02</v>
      </c>
      <c r="AI45" s="70">
        <f>COUNTIF(AG$1:AG45,AG45)*AH45</f>
        <v>0.22</v>
      </c>
      <c r="AO45" s="3"/>
      <c r="AU45">
        <v>43</v>
      </c>
      <c r="AV45">
        <v>21509</v>
      </c>
      <c r="AW45">
        <v>43</v>
      </c>
      <c r="AX45">
        <v>21509</v>
      </c>
      <c r="AY45">
        <v>43</v>
      </c>
      <c r="AZ45">
        <v>21509</v>
      </c>
      <c r="BR45" s="10"/>
      <c r="BS45" s="10"/>
      <c r="BT45" s="10"/>
      <c r="BU45" s="10"/>
      <c r="BV45" s="10"/>
      <c r="BW45" s="10"/>
      <c r="BX45" s="10"/>
      <c r="BY45" s="10"/>
      <c r="BZ45" s="10">
        <v>204</v>
      </c>
      <c r="CA45" s="10">
        <f t="shared" si="16"/>
        <v>37180</v>
      </c>
      <c r="CB45" s="10">
        <f t="shared" si="1"/>
        <v>74360</v>
      </c>
      <c r="CC45" s="10">
        <f t="shared" si="2"/>
        <v>446.16</v>
      </c>
      <c r="CD45" s="10">
        <f t="shared" si="3"/>
        <v>414.291428571429</v>
      </c>
      <c r="CE45" s="10">
        <f t="shared" si="4"/>
        <v>78.9523548167895</v>
      </c>
      <c r="CF45" s="10"/>
      <c r="CG45" s="10">
        <v>204</v>
      </c>
      <c r="CH45" s="10">
        <f t="shared" ref="CH45:CH49" si="83">CH44+190</f>
        <v>27490</v>
      </c>
      <c r="CI45" s="10">
        <v>0</v>
      </c>
      <c r="CJ45" s="10">
        <f t="shared" si="5"/>
        <v>219.92</v>
      </c>
      <c r="CK45" s="10">
        <f t="shared" si="6"/>
        <v>571.792</v>
      </c>
      <c r="CL45" s="10">
        <f t="shared" si="7"/>
        <v>119.123333333333</v>
      </c>
      <c r="CM45" s="10"/>
      <c r="CN45" s="10"/>
      <c r="CO45" s="10"/>
      <c r="CP45" s="10"/>
      <c r="CQ45" s="10"/>
      <c r="CR45" s="10"/>
      <c r="CS45" s="10"/>
      <c r="CT45" s="10"/>
      <c r="CU45" s="10">
        <v>204</v>
      </c>
      <c r="CV45" s="10">
        <v>330000</v>
      </c>
      <c r="CW45" s="10">
        <v>0</v>
      </c>
      <c r="CX45" s="10">
        <f t="shared" si="11"/>
        <v>660</v>
      </c>
      <c r="CY45" s="10">
        <f t="shared" si="12"/>
        <v>1430</v>
      </c>
      <c r="CZ45" s="10"/>
      <c r="DA45" s="10"/>
      <c r="DB45" s="10"/>
      <c r="DC45" s="10"/>
      <c r="DK45" t="s">
        <v>85</v>
      </c>
      <c r="DL45">
        <f>属性晨星性价比!G18</f>
        <v>0.62</v>
      </c>
      <c r="DN45" t="s">
        <v>171</v>
      </c>
      <c r="DQ45" t="s">
        <v>85</v>
      </c>
      <c r="DR45">
        <f>属性晨星性价比!K18</f>
        <v>0.62</v>
      </c>
      <c r="DT45" t="s">
        <v>171</v>
      </c>
      <c r="DW45" t="s">
        <v>85</v>
      </c>
      <c r="DX45">
        <f>属性晨星性价比!O18</f>
        <v>0.92</v>
      </c>
      <c r="DZ45" t="s">
        <v>171</v>
      </c>
      <c r="ED45" t="s">
        <v>90</v>
      </c>
      <c r="EE45">
        <f>属性晨星性价比!S21</f>
        <v>29.5</v>
      </c>
      <c r="EF45">
        <f t="shared" si="78"/>
        <v>42.7536231884058</v>
      </c>
      <c r="EJ45" t="s">
        <v>90</v>
      </c>
      <c r="EK45">
        <f>属性晨星性价比!W21</f>
        <v>26.5</v>
      </c>
      <c r="EL45">
        <f t="shared" si="79"/>
        <v>42.741935483871</v>
      </c>
      <c r="EP45" t="s">
        <v>90</v>
      </c>
      <c r="EQ45">
        <f>属性晨星性价比!AA21</f>
        <v>19.2</v>
      </c>
      <c r="ER45">
        <f t="shared" si="80"/>
        <v>32</v>
      </c>
      <c r="EV45" t="s">
        <v>90</v>
      </c>
      <c r="EW45">
        <f>属性晨星性价比!AE21</f>
        <v>12.9</v>
      </c>
      <c r="EX45">
        <f t="shared" si="81"/>
        <v>64.5</v>
      </c>
      <c r="FB45" s="52">
        <v>43</v>
      </c>
      <c r="FC45" s="112">
        <v>4800</v>
      </c>
      <c r="FD45" s="55">
        <f>SUM($FC$3:FC45)</f>
        <v>115710</v>
      </c>
    </row>
    <row r="46" spans="1:174">
      <c r="A46">
        <v>35</v>
      </c>
      <c r="B46">
        <f>秘宝大作战!D37-秘宝大作战!H37</f>
        <v>-50840</v>
      </c>
      <c r="C46">
        <f t="shared" si="70"/>
        <v>50840</v>
      </c>
      <c r="D46">
        <f t="shared" si="71"/>
        <v>4200</v>
      </c>
      <c r="E46">
        <f t="shared" si="72"/>
        <v>21000</v>
      </c>
      <c r="F46">
        <f t="shared" si="73"/>
        <v>25640</v>
      </c>
      <c r="J46">
        <f t="shared" si="13"/>
        <v>102100</v>
      </c>
      <c r="K46">
        <v>45</v>
      </c>
      <c r="L46">
        <f t="shared" si="14"/>
        <v>316</v>
      </c>
      <c r="M46" t="s">
        <v>351</v>
      </c>
      <c r="N46" t="str">
        <f t="shared" si="43"/>
        <v>自选奇迹遗物·哈III</v>
      </c>
      <c r="AD46">
        <v>45</v>
      </c>
      <c r="AE46">
        <v>130</v>
      </c>
      <c r="AF46">
        <f t="shared" si="76"/>
        <v>2490</v>
      </c>
      <c r="AG46" t="s">
        <v>114</v>
      </c>
      <c r="AH46" s="70">
        <v>0.03</v>
      </c>
      <c r="AI46" s="70">
        <f>COUNTIF(AG$1:AG46,AG46)*AH46</f>
        <v>0.36</v>
      </c>
      <c r="AO46" s="3"/>
      <c r="AU46">
        <v>44</v>
      </c>
      <c r="AV46">
        <v>23052</v>
      </c>
      <c r="AW46">
        <v>44</v>
      </c>
      <c r="AX46">
        <v>23052</v>
      </c>
      <c r="AY46">
        <v>44</v>
      </c>
      <c r="AZ46">
        <v>23052</v>
      </c>
      <c r="BR46" s="10"/>
      <c r="BS46" s="10"/>
      <c r="BT46" s="10"/>
      <c r="BU46" s="10"/>
      <c r="BV46" s="10"/>
      <c r="BW46" s="10"/>
      <c r="BX46" s="10"/>
      <c r="BY46" s="10"/>
      <c r="BZ46" s="10">
        <v>205</v>
      </c>
      <c r="CA46" s="10">
        <f t="shared" si="16"/>
        <v>37440</v>
      </c>
      <c r="CB46" s="10">
        <f t="shared" si="1"/>
        <v>74880</v>
      </c>
      <c r="CC46" s="10">
        <f t="shared" si="2"/>
        <v>449.28</v>
      </c>
      <c r="CD46" s="10">
        <f t="shared" si="3"/>
        <v>417.188571428571</v>
      </c>
      <c r="CE46" s="10">
        <f t="shared" si="4"/>
        <v>79.5044691861377</v>
      </c>
      <c r="CF46" s="10"/>
      <c r="CG46" s="10">
        <v>205</v>
      </c>
      <c r="CH46" s="10">
        <f t="shared" si="82"/>
        <v>27685</v>
      </c>
      <c r="CI46" s="10">
        <v>0</v>
      </c>
      <c r="CJ46" s="10">
        <f t="shared" si="5"/>
        <v>221.48</v>
      </c>
      <c r="CK46" s="10">
        <f t="shared" si="6"/>
        <v>575.848</v>
      </c>
      <c r="CL46" s="10">
        <f t="shared" si="7"/>
        <v>119.968333333333</v>
      </c>
      <c r="CM46" s="10"/>
      <c r="CN46" s="10"/>
      <c r="CO46" s="10"/>
      <c r="CP46" s="10"/>
      <c r="CQ46" s="10"/>
      <c r="CR46" s="10"/>
      <c r="CS46" s="10"/>
      <c r="CT46" s="10"/>
      <c r="CU46" s="10">
        <v>205</v>
      </c>
      <c r="CV46" s="10">
        <v>333550</v>
      </c>
      <c r="CW46" s="10">
        <v>0</v>
      </c>
      <c r="CX46" s="10">
        <f t="shared" si="11"/>
        <v>667.1</v>
      </c>
      <c r="CY46" s="10">
        <f t="shared" si="12"/>
        <v>1445.38333333333</v>
      </c>
      <c r="CZ46" s="10"/>
      <c r="DA46" s="10"/>
      <c r="DB46" s="10"/>
      <c r="DC46" s="10"/>
      <c r="DK46" t="s">
        <v>87</v>
      </c>
      <c r="DL46" t="s">
        <v>88</v>
      </c>
      <c r="DM46">
        <f>属性晨星性价比!G19</f>
        <v>7.22</v>
      </c>
      <c r="DN46">
        <f t="shared" ref="DN46:DN49" si="84">DM46/DL$45</f>
        <v>11.6451612903226</v>
      </c>
      <c r="DQ46" t="s">
        <v>87</v>
      </c>
      <c r="DR46" t="s">
        <v>88</v>
      </c>
      <c r="DS46">
        <f>属性晨星性价比!K19</f>
        <v>7.22</v>
      </c>
      <c r="DT46">
        <f t="shared" ref="DT46:DT49" si="85">DS46/DR$45</f>
        <v>11.6451612903226</v>
      </c>
      <c r="DW46" t="s">
        <v>87</v>
      </c>
      <c r="DX46" t="s">
        <v>88</v>
      </c>
      <c r="DY46">
        <f>属性晨星性价比!O19</f>
        <v>7.87</v>
      </c>
      <c r="DZ46">
        <f>DY46/DX$45</f>
        <v>8.55434782608696</v>
      </c>
      <c r="ED46" t="s">
        <v>91</v>
      </c>
      <c r="EE46">
        <f>属性晨星性价比!S22</f>
        <v>4.72</v>
      </c>
      <c r="EF46">
        <f t="shared" si="78"/>
        <v>6.84057971014493</v>
      </c>
      <c r="EJ46" t="s">
        <v>91</v>
      </c>
      <c r="EK46">
        <f>属性晨星性价比!W22</f>
        <v>4.24</v>
      </c>
      <c r="EL46">
        <f t="shared" si="79"/>
        <v>6.83870967741935</v>
      </c>
      <c r="EP46" t="s">
        <v>91</v>
      </c>
      <c r="EQ46">
        <f>属性晨星性价比!AA22</f>
        <v>3.07</v>
      </c>
      <c r="ER46">
        <f t="shared" si="80"/>
        <v>5.11666666666667</v>
      </c>
      <c r="EV46" t="s">
        <v>91</v>
      </c>
      <c r="EW46">
        <f>属性晨星性价比!AE22</f>
        <v>2.06</v>
      </c>
      <c r="EX46">
        <f t="shared" si="81"/>
        <v>10.3</v>
      </c>
      <c r="FB46" s="52">
        <v>44</v>
      </c>
      <c r="FC46" s="112">
        <v>4920</v>
      </c>
      <c r="FD46" s="55">
        <f>SUM($FC$3:FC46)</f>
        <v>120630</v>
      </c>
    </row>
    <row r="47" spans="1:174">
      <c r="A47">
        <v>36</v>
      </c>
      <c r="B47">
        <f>秘宝大作战!D38-秘宝大作战!H38</f>
        <v>-51830</v>
      </c>
      <c r="C47">
        <f t="shared" si="70"/>
        <v>51830</v>
      </c>
      <c r="D47">
        <f t="shared" si="71"/>
        <v>4320</v>
      </c>
      <c r="E47">
        <f t="shared" si="72"/>
        <v>21600</v>
      </c>
      <c r="F47">
        <f t="shared" si="73"/>
        <v>25910</v>
      </c>
      <c r="J47">
        <f t="shared" si="13"/>
        <v>104350</v>
      </c>
      <c r="K47">
        <v>46</v>
      </c>
      <c r="L47">
        <f t="shared" si="14"/>
        <v>323</v>
      </c>
      <c r="M47" t="s">
        <v>349</v>
      </c>
      <c r="N47" t="str">
        <f t="shared" si="43"/>
        <v>幸运神像/黄金圣木/无尽沙漏</v>
      </c>
      <c r="AD47">
        <v>46</v>
      </c>
      <c r="AE47">
        <v>130</v>
      </c>
      <c r="AF47">
        <f t="shared" si="76"/>
        <v>2620</v>
      </c>
      <c r="AG47" t="s">
        <v>115</v>
      </c>
      <c r="AH47" s="70">
        <v>0.05</v>
      </c>
      <c r="AI47" s="70">
        <f>COUNTIF(AG$1:AG47,AG47)*AH47</f>
        <v>0.6</v>
      </c>
      <c r="AO47" s="3"/>
      <c r="AU47">
        <v>45</v>
      </c>
      <c r="AV47">
        <v>24627</v>
      </c>
      <c r="AW47">
        <v>45</v>
      </c>
      <c r="AX47">
        <v>24627</v>
      </c>
      <c r="AY47">
        <v>45</v>
      </c>
      <c r="AZ47">
        <v>24627</v>
      </c>
      <c r="BR47" s="10"/>
      <c r="BS47" s="10"/>
      <c r="BT47" s="10"/>
      <c r="BU47" s="10"/>
      <c r="BV47" s="10"/>
      <c r="BW47" s="10"/>
      <c r="BX47" s="10"/>
      <c r="BY47" s="10"/>
      <c r="BZ47" s="10">
        <v>206</v>
      </c>
      <c r="CA47" s="10">
        <f t="shared" si="16"/>
        <v>37700</v>
      </c>
      <c r="CB47" s="10">
        <f t="shared" si="1"/>
        <v>75400</v>
      </c>
      <c r="CC47" s="10">
        <f t="shared" si="2"/>
        <v>452.4</v>
      </c>
      <c r="CD47" s="10">
        <f t="shared" si="3"/>
        <v>420.085714285714</v>
      </c>
      <c r="CE47" s="10">
        <f t="shared" si="4"/>
        <v>80.0565835554859</v>
      </c>
      <c r="CF47" s="10"/>
      <c r="CG47" s="10">
        <v>206</v>
      </c>
      <c r="CH47" s="10">
        <f t="shared" si="83"/>
        <v>27875</v>
      </c>
      <c r="CI47" s="10">
        <v>0</v>
      </c>
      <c r="CJ47" s="10">
        <f t="shared" si="5"/>
        <v>223</v>
      </c>
      <c r="CK47" s="10">
        <f t="shared" si="6"/>
        <v>579.8</v>
      </c>
      <c r="CL47" s="10">
        <f t="shared" si="7"/>
        <v>120.791666666667</v>
      </c>
      <c r="CM47" s="10"/>
      <c r="CN47" s="10"/>
      <c r="CO47" s="10"/>
      <c r="CP47" s="10"/>
      <c r="CQ47" s="10"/>
      <c r="CR47" s="10"/>
      <c r="CS47" s="10"/>
      <c r="CT47" s="10"/>
      <c r="CU47" s="10">
        <v>206</v>
      </c>
      <c r="CV47" s="10">
        <v>337100</v>
      </c>
      <c r="CW47" s="10">
        <v>0</v>
      </c>
      <c r="CX47" s="10">
        <f t="shared" si="11"/>
        <v>674.2</v>
      </c>
      <c r="CY47" s="10">
        <f t="shared" si="12"/>
        <v>1460.76666666667</v>
      </c>
      <c r="CZ47" s="10"/>
      <c r="DA47" s="10"/>
      <c r="DB47" s="10"/>
      <c r="DC47" s="10"/>
      <c r="DL47" t="s">
        <v>89</v>
      </c>
      <c r="DM47">
        <f>属性晨星性价比!G20</f>
        <v>7.22</v>
      </c>
      <c r="DN47">
        <f t="shared" si="84"/>
        <v>11.6451612903226</v>
      </c>
      <c r="DR47" t="s">
        <v>89</v>
      </c>
      <c r="DS47">
        <f>属性晨星性价比!K20</f>
        <v>7.22</v>
      </c>
      <c r="DT47">
        <f t="shared" si="85"/>
        <v>11.6451612903226</v>
      </c>
      <c r="DX47" t="s">
        <v>89</v>
      </c>
      <c r="DY47">
        <f>属性晨星性价比!O20</f>
        <v>7.87</v>
      </c>
      <c r="DZ47">
        <f>DY47/DX$45</f>
        <v>8.55434782608696</v>
      </c>
      <c r="FB47" s="52">
        <v>45</v>
      </c>
      <c r="FC47" s="112">
        <v>5040</v>
      </c>
      <c r="FD47" s="55">
        <f>SUM($FC$3:FC47)</f>
        <v>125670</v>
      </c>
    </row>
    <row r="48" spans="1:174">
      <c r="J48">
        <f t="shared" si="13"/>
        <v>106600</v>
      </c>
      <c r="K48">
        <v>47</v>
      </c>
      <c r="L48">
        <f t="shared" si="14"/>
        <v>330</v>
      </c>
      <c r="M48" t="s">
        <v>343</v>
      </c>
      <c r="N48" t="str">
        <f t="shared" si="43"/>
        <v>6阶技能碎片*180</v>
      </c>
      <c r="AD48">
        <v>47</v>
      </c>
      <c r="AE48">
        <v>130</v>
      </c>
      <c r="AF48">
        <f t="shared" si="76"/>
        <v>2750</v>
      </c>
      <c r="AG48" t="s">
        <v>116</v>
      </c>
      <c r="AH48" s="70">
        <v>0.02</v>
      </c>
      <c r="AI48" s="70">
        <f>COUNTIF(AG$1:AG48,AG48)*AH48</f>
        <v>0.24</v>
      </c>
      <c r="AO48" s="3"/>
      <c r="AU48">
        <v>46</v>
      </c>
      <c r="AV48">
        <v>25480</v>
      </c>
      <c r="AW48">
        <v>46</v>
      </c>
      <c r="AX48">
        <v>25480</v>
      </c>
      <c r="AY48">
        <v>46</v>
      </c>
      <c r="AZ48">
        <v>25480</v>
      </c>
      <c r="BR48" s="10"/>
      <c r="BS48" s="10"/>
      <c r="BT48" s="10"/>
      <c r="BU48" s="10"/>
      <c r="BV48" s="10"/>
      <c r="BW48" s="10"/>
      <c r="BX48" s="10"/>
      <c r="BY48" s="10"/>
      <c r="BZ48" s="10">
        <v>207</v>
      </c>
      <c r="CA48" s="10">
        <f t="shared" si="16"/>
        <v>37960</v>
      </c>
      <c r="CB48" s="10">
        <f t="shared" si="1"/>
        <v>75920</v>
      </c>
      <c r="CC48" s="10">
        <f t="shared" si="2"/>
        <v>455.52</v>
      </c>
      <c r="CD48" s="10">
        <f t="shared" si="3"/>
        <v>422.982857142857</v>
      </c>
      <c r="CE48" s="10">
        <f t="shared" si="4"/>
        <v>80.608697924834</v>
      </c>
      <c r="CF48" s="10"/>
      <c r="CG48" s="10">
        <v>207</v>
      </c>
      <c r="CH48" s="10">
        <f t="shared" si="82"/>
        <v>28070</v>
      </c>
      <c r="CI48" s="10">
        <v>0</v>
      </c>
      <c r="CJ48" s="10">
        <f t="shared" si="5"/>
        <v>224.56</v>
      </c>
      <c r="CK48" s="10">
        <f t="shared" si="6"/>
        <v>583.856</v>
      </c>
      <c r="CL48" s="10">
        <f t="shared" si="7"/>
        <v>121.636666666667</v>
      </c>
      <c r="CM48" s="10"/>
      <c r="CN48" s="10"/>
      <c r="CO48" s="10"/>
      <c r="CP48" s="10"/>
      <c r="CQ48" s="10"/>
      <c r="CR48" s="10"/>
      <c r="CS48" s="10"/>
      <c r="CT48" s="10"/>
      <c r="CU48" s="10">
        <v>207</v>
      </c>
      <c r="CV48" s="10">
        <v>340650</v>
      </c>
      <c r="CW48" s="10">
        <v>0</v>
      </c>
      <c r="CX48" s="10">
        <f t="shared" si="11"/>
        <v>681.3</v>
      </c>
      <c r="CY48" s="10">
        <f t="shared" si="12"/>
        <v>1476.15</v>
      </c>
      <c r="CZ48" s="10"/>
      <c r="DA48" s="10"/>
      <c r="DB48" s="10"/>
      <c r="DC48" s="10"/>
      <c r="DL48" t="s">
        <v>90</v>
      </c>
      <c r="DM48">
        <f>属性晨星性价比!G21</f>
        <v>36.1</v>
      </c>
      <c r="DN48">
        <f t="shared" si="84"/>
        <v>58.2258064516129</v>
      </c>
      <c r="DR48" t="s">
        <v>90</v>
      </c>
      <c r="DS48">
        <f>属性晨星性价比!K21</f>
        <v>36.1</v>
      </c>
      <c r="DT48">
        <f t="shared" si="85"/>
        <v>58.2258064516129</v>
      </c>
      <c r="DX48" t="s">
        <v>90</v>
      </c>
      <c r="DY48">
        <f>属性晨星性价比!O21</f>
        <v>39.3</v>
      </c>
      <c r="DZ48">
        <f>DY48/DX$45</f>
        <v>42.7173913043478</v>
      </c>
      <c r="FB48" s="52">
        <v>46</v>
      </c>
      <c r="FC48" s="112">
        <v>5160</v>
      </c>
      <c r="FD48" s="55">
        <f>SUM($FC$3:FC48)</f>
        <v>130830</v>
      </c>
    </row>
    <row r="49" spans="10:160">
      <c r="J49">
        <f t="shared" si="13"/>
        <v>108850</v>
      </c>
      <c r="K49">
        <v>48</v>
      </c>
      <c r="L49">
        <f t="shared" si="14"/>
        <v>337</v>
      </c>
      <c r="M49" t="s">
        <v>345</v>
      </c>
      <c r="N49" t="str">
        <f t="shared" si="43"/>
        <v>原初宝石/贤者之石/秘宝探测仪</v>
      </c>
      <c r="AD49">
        <v>48</v>
      </c>
      <c r="AE49">
        <v>130</v>
      </c>
      <c r="AF49">
        <f t="shared" si="76"/>
        <v>2880</v>
      </c>
      <c r="AG49" t="s">
        <v>117</v>
      </c>
      <c r="AH49" s="70">
        <v>0.02</v>
      </c>
      <c r="AI49" s="70">
        <f>COUNTIF(AG$1:AG49,AG49)*AH49</f>
        <v>0.24</v>
      </c>
      <c r="AO49" s="3"/>
      <c r="AU49">
        <v>47</v>
      </c>
      <c r="AV49">
        <v>26852</v>
      </c>
      <c r="AW49">
        <v>47</v>
      </c>
      <c r="AX49">
        <v>26852</v>
      </c>
      <c r="AY49">
        <v>47</v>
      </c>
      <c r="AZ49">
        <v>26852</v>
      </c>
      <c r="BR49" s="10"/>
      <c r="BS49" s="10"/>
      <c r="BT49" s="10"/>
      <c r="BU49" s="10"/>
      <c r="BV49" s="10"/>
      <c r="BW49" s="10"/>
      <c r="BX49" s="10"/>
      <c r="BY49" s="10"/>
      <c r="BZ49" s="10">
        <v>208</v>
      </c>
      <c r="CA49" s="10">
        <f t="shared" si="16"/>
        <v>38220</v>
      </c>
      <c r="CB49" s="10">
        <f t="shared" si="1"/>
        <v>76440</v>
      </c>
      <c r="CC49" s="10">
        <f t="shared" si="2"/>
        <v>458.64</v>
      </c>
      <c r="CD49" s="10">
        <f t="shared" si="3"/>
        <v>425.88</v>
      </c>
      <c r="CE49" s="10">
        <f t="shared" si="4"/>
        <v>81.1608122941822</v>
      </c>
      <c r="CF49" s="10"/>
      <c r="CG49" s="10">
        <v>208</v>
      </c>
      <c r="CH49" s="10">
        <f t="shared" si="83"/>
        <v>28260</v>
      </c>
      <c r="CI49" s="10">
        <v>0</v>
      </c>
      <c r="CJ49" s="10">
        <f t="shared" si="5"/>
        <v>226.08</v>
      </c>
      <c r="CK49" s="10">
        <f t="shared" si="6"/>
        <v>587.808</v>
      </c>
      <c r="CL49" s="10">
        <f t="shared" si="7"/>
        <v>122.46</v>
      </c>
      <c r="CM49" s="10"/>
      <c r="CN49" s="10"/>
      <c r="CO49" s="10"/>
      <c r="CP49" s="10"/>
      <c r="CQ49" s="10"/>
      <c r="CR49" s="10"/>
      <c r="CS49" s="10"/>
      <c r="CT49" s="10"/>
      <c r="CU49" s="10">
        <v>208</v>
      </c>
      <c r="CV49" s="10">
        <v>344200</v>
      </c>
      <c r="CW49" s="10">
        <v>0</v>
      </c>
      <c r="CX49" s="10">
        <f t="shared" si="11"/>
        <v>688.4</v>
      </c>
      <c r="CY49" s="10">
        <f t="shared" si="12"/>
        <v>1491.53333333333</v>
      </c>
      <c r="CZ49" s="10"/>
      <c r="DA49" s="10"/>
      <c r="DB49" s="10"/>
      <c r="DC49" s="10"/>
      <c r="DL49" t="s">
        <v>91</v>
      </c>
      <c r="DM49">
        <f>属性晨星性价比!G22</f>
        <v>5.77</v>
      </c>
      <c r="DN49">
        <f t="shared" si="84"/>
        <v>9.30645161290323</v>
      </c>
      <c r="DR49" t="s">
        <v>91</v>
      </c>
      <c r="DS49">
        <f>属性晨星性价比!K22</f>
        <v>5.77</v>
      </c>
      <c r="DT49">
        <f t="shared" si="85"/>
        <v>9.30645161290323</v>
      </c>
      <c r="DX49" t="s">
        <v>91</v>
      </c>
      <c r="DY49">
        <f>属性晨星性价比!O22</f>
        <v>6.29</v>
      </c>
      <c r="DZ49">
        <f>DY49/DX$45</f>
        <v>6.83695652173913</v>
      </c>
      <c r="EC49" t="s">
        <v>137</v>
      </c>
      <c r="EI49" t="s">
        <v>137</v>
      </c>
      <c r="EO49" t="s">
        <v>137</v>
      </c>
      <c r="EU49" t="s">
        <v>137</v>
      </c>
      <c r="FB49" s="52">
        <v>47</v>
      </c>
      <c r="FC49" s="112">
        <v>5280</v>
      </c>
      <c r="FD49" s="55">
        <f>SUM($FC$3:FC49)</f>
        <v>136110</v>
      </c>
    </row>
    <row r="50" spans="10:160">
      <c r="AD50">
        <v>49</v>
      </c>
      <c r="AE50">
        <v>140</v>
      </c>
      <c r="AF50">
        <f t="shared" si="76"/>
        <v>3020</v>
      </c>
      <c r="AG50" t="s">
        <v>114</v>
      </c>
      <c r="AH50" s="70">
        <v>0.03</v>
      </c>
      <c r="AI50" s="70">
        <f>COUNTIF(AG$1:AG50,AG50)*AH50</f>
        <v>0.39</v>
      </c>
      <c r="AU50">
        <v>48</v>
      </c>
      <c r="AV50">
        <v>29068</v>
      </c>
      <c r="AW50">
        <v>48</v>
      </c>
      <c r="AX50">
        <v>29068</v>
      </c>
      <c r="AY50">
        <v>48</v>
      </c>
      <c r="AZ50">
        <v>29068</v>
      </c>
      <c r="BR50" s="10"/>
      <c r="BS50" s="10"/>
      <c r="BT50" s="10"/>
      <c r="BU50" s="10"/>
      <c r="BV50" s="10"/>
      <c r="BW50" s="10"/>
      <c r="BX50" s="10"/>
      <c r="BY50" s="10"/>
      <c r="BZ50" s="10">
        <v>209</v>
      </c>
      <c r="CA50" s="10">
        <f t="shared" si="16"/>
        <v>38480</v>
      </c>
      <c r="CB50" s="10">
        <f t="shared" si="1"/>
        <v>76960</v>
      </c>
      <c r="CC50" s="10">
        <f t="shared" si="2"/>
        <v>461.76</v>
      </c>
      <c r="CD50" s="10">
        <f t="shared" si="3"/>
        <v>428.777142857143</v>
      </c>
      <c r="CE50" s="10">
        <f t="shared" si="4"/>
        <v>81.7129266635304</v>
      </c>
      <c r="CF50" s="10"/>
      <c r="CG50" s="10">
        <v>209</v>
      </c>
      <c r="CH50" s="10">
        <f t="shared" ref="CH50:CH54" si="86">CH49+195</f>
        <v>28455</v>
      </c>
      <c r="CI50" s="10">
        <v>0</v>
      </c>
      <c r="CJ50" s="10">
        <f t="shared" si="5"/>
        <v>227.64</v>
      </c>
      <c r="CK50" s="10">
        <f t="shared" si="6"/>
        <v>591.864</v>
      </c>
      <c r="CL50" s="10">
        <f t="shared" si="7"/>
        <v>123.305</v>
      </c>
      <c r="CM50" s="10"/>
      <c r="CN50" s="10"/>
      <c r="CO50" s="10"/>
      <c r="CP50" s="10"/>
      <c r="CQ50" s="10"/>
      <c r="CR50" s="10"/>
      <c r="CS50" s="10"/>
      <c r="CT50" s="10"/>
      <c r="CU50" s="10">
        <v>209</v>
      </c>
      <c r="CV50" s="10">
        <v>347750</v>
      </c>
      <c r="CW50" s="10">
        <v>0</v>
      </c>
      <c r="CX50" s="10">
        <f t="shared" si="11"/>
        <v>695.5</v>
      </c>
      <c r="CY50" s="10">
        <f t="shared" si="12"/>
        <v>1506.91666666667</v>
      </c>
      <c r="CZ50" s="10"/>
      <c r="DA50" s="10"/>
      <c r="DB50" s="10"/>
      <c r="DC50" s="10"/>
      <c r="EC50" t="s">
        <v>174</v>
      </c>
      <c r="EE50" s="16"/>
      <c r="EI50" t="s">
        <v>174</v>
      </c>
      <c r="EK50" s="16"/>
      <c r="EO50" t="s">
        <v>174</v>
      </c>
      <c r="EQ50" s="16"/>
      <c r="EU50" t="s">
        <v>174</v>
      </c>
      <c r="EW50" s="16"/>
      <c r="FB50" s="52">
        <v>48</v>
      </c>
      <c r="FC50" s="112">
        <v>5400</v>
      </c>
      <c r="FD50" s="55">
        <f>SUM($FC$3:FC50)</f>
        <v>141510</v>
      </c>
    </row>
    <row r="51" spans="10:160">
      <c r="AD51">
        <v>50</v>
      </c>
      <c r="AE51">
        <v>140</v>
      </c>
      <c r="AF51">
        <f t="shared" si="76"/>
        <v>3160</v>
      </c>
      <c r="AG51" t="s">
        <v>115</v>
      </c>
      <c r="AH51" s="70">
        <v>0.05</v>
      </c>
      <c r="AI51" s="70">
        <f>COUNTIF(AG$1:AG51,AG51)*AH51</f>
        <v>0.65</v>
      </c>
      <c r="AU51">
        <v>49</v>
      </c>
      <c r="AV51">
        <v>32008</v>
      </c>
      <c r="AW51">
        <v>49</v>
      </c>
      <c r="AX51">
        <v>32008</v>
      </c>
      <c r="AY51">
        <v>49</v>
      </c>
      <c r="AZ51">
        <v>32008</v>
      </c>
      <c r="BR51" s="10"/>
      <c r="BS51" s="10"/>
      <c r="BT51" s="10"/>
      <c r="BU51" s="10"/>
      <c r="BV51" s="10"/>
      <c r="BW51" s="10"/>
      <c r="BX51" s="10"/>
      <c r="BY51" s="10"/>
      <c r="BZ51" s="10">
        <v>210</v>
      </c>
      <c r="CA51" s="10">
        <f t="shared" si="16"/>
        <v>38740</v>
      </c>
      <c r="CB51" s="10">
        <f t="shared" si="1"/>
        <v>77480</v>
      </c>
      <c r="CC51" s="10">
        <f t="shared" si="2"/>
        <v>464.88</v>
      </c>
      <c r="CD51" s="10">
        <f t="shared" si="3"/>
        <v>431.674285714286</v>
      </c>
      <c r="CE51" s="10">
        <f t="shared" si="4"/>
        <v>82.2650410328786</v>
      </c>
      <c r="CF51" s="10"/>
      <c r="CG51" s="10">
        <v>210</v>
      </c>
      <c r="CH51" s="10">
        <f t="shared" ref="CH51:CH55" si="87">CH50+190</f>
        <v>28645</v>
      </c>
      <c r="CI51" s="10">
        <v>0</v>
      </c>
      <c r="CJ51" s="10">
        <f t="shared" si="5"/>
        <v>229.16</v>
      </c>
      <c r="CK51" s="10">
        <f t="shared" si="6"/>
        <v>595.816</v>
      </c>
      <c r="CL51" s="10">
        <f t="shared" si="7"/>
        <v>124.128333333333</v>
      </c>
      <c r="CM51" s="10"/>
      <c r="CN51" s="10"/>
      <c r="CO51" s="10"/>
      <c r="CP51" s="10"/>
      <c r="CQ51" s="10"/>
      <c r="CR51" s="10"/>
      <c r="CS51" s="10"/>
      <c r="CT51" s="10"/>
      <c r="CU51" s="10">
        <v>210</v>
      </c>
      <c r="CV51" s="10">
        <v>351300</v>
      </c>
      <c r="CW51" s="10">
        <v>0</v>
      </c>
      <c r="CX51" s="10">
        <f t="shared" si="11"/>
        <v>702.6</v>
      </c>
      <c r="CY51" s="10">
        <f t="shared" si="12"/>
        <v>1522.3</v>
      </c>
      <c r="CZ51" s="10"/>
      <c r="DA51" s="10"/>
      <c r="DB51" s="10"/>
      <c r="DC51" s="10"/>
      <c r="EB51" s="17"/>
      <c r="ED51" t="s">
        <v>278</v>
      </c>
      <c r="EE51" t="s">
        <v>279</v>
      </c>
      <c r="EF51" t="s">
        <v>280</v>
      </c>
      <c r="EH51" s="17"/>
      <c r="EJ51" t="s">
        <v>278</v>
      </c>
      <c r="EK51" t="s">
        <v>279</v>
      </c>
      <c r="EL51" t="s">
        <v>280</v>
      </c>
      <c r="EN51" s="17"/>
      <c r="EP51" t="s">
        <v>278</v>
      </c>
      <c r="EQ51" t="s">
        <v>279</v>
      </c>
      <c r="ER51" t="s">
        <v>280</v>
      </c>
      <c r="ET51" s="17"/>
      <c r="EV51" t="s">
        <v>278</v>
      </c>
      <c r="EW51" t="s">
        <v>279</v>
      </c>
      <c r="EX51" t="s">
        <v>280</v>
      </c>
      <c r="FB51" s="52">
        <v>49</v>
      </c>
      <c r="FC51" s="112">
        <v>5520</v>
      </c>
      <c r="FD51" s="55">
        <f>SUM($FC$3:FC51)</f>
        <v>147030</v>
      </c>
    </row>
    <row r="52" ht="14.25" spans="10:160">
      <c r="AD52">
        <v>51</v>
      </c>
      <c r="AE52">
        <v>140</v>
      </c>
      <c r="AF52">
        <f t="shared" si="76"/>
        <v>3300</v>
      </c>
      <c r="AG52" t="s">
        <v>116</v>
      </c>
      <c r="AH52" s="70">
        <v>0.02</v>
      </c>
      <c r="AI52" s="70">
        <f>COUNTIF(AG$1:AG52,AG52)*AH52</f>
        <v>0.26</v>
      </c>
      <c r="AU52">
        <v>50</v>
      </c>
      <c r="AV52">
        <v>33168</v>
      </c>
      <c r="AW52">
        <v>50</v>
      </c>
      <c r="AX52">
        <v>33168</v>
      </c>
      <c r="AY52">
        <v>50</v>
      </c>
      <c r="AZ52">
        <v>33168</v>
      </c>
      <c r="BR52" s="10"/>
      <c r="BS52" s="10"/>
      <c r="BT52" s="10"/>
      <c r="BU52" s="10"/>
      <c r="BV52" s="10"/>
      <c r="BW52" s="10"/>
      <c r="BX52" s="10"/>
      <c r="BY52" s="10"/>
      <c r="BZ52" s="10">
        <v>211</v>
      </c>
      <c r="CA52" s="10">
        <f t="shared" si="16"/>
        <v>39000</v>
      </c>
      <c r="CB52" s="10">
        <f t="shared" si="1"/>
        <v>78000</v>
      </c>
      <c r="CC52" s="10">
        <f t="shared" si="2"/>
        <v>468</v>
      </c>
      <c r="CD52" s="10">
        <f t="shared" si="3"/>
        <v>434.571428571429</v>
      </c>
      <c r="CE52" s="10">
        <f t="shared" si="4"/>
        <v>82.8171554022267</v>
      </c>
      <c r="CF52" s="10"/>
      <c r="CG52" s="10">
        <v>211</v>
      </c>
      <c r="CH52" s="10">
        <f t="shared" si="86"/>
        <v>28840</v>
      </c>
      <c r="CI52" s="10">
        <v>0</v>
      </c>
      <c r="CJ52" s="10">
        <f t="shared" si="5"/>
        <v>230.72</v>
      </c>
      <c r="CK52" s="10">
        <f t="shared" si="6"/>
        <v>599.872</v>
      </c>
      <c r="CL52" s="10">
        <f t="shared" si="7"/>
        <v>124.973333333333</v>
      </c>
      <c r="CM52" s="10"/>
      <c r="CN52" s="10"/>
      <c r="CO52" s="10"/>
      <c r="CP52" s="10"/>
      <c r="CQ52" s="10"/>
      <c r="CR52" s="10"/>
      <c r="CS52" s="10"/>
      <c r="CT52" s="10"/>
      <c r="CU52" s="10">
        <v>211</v>
      </c>
      <c r="CV52" s="10">
        <v>354650</v>
      </c>
      <c r="CW52" s="10">
        <v>0</v>
      </c>
      <c r="CX52" s="10">
        <f t="shared" si="11"/>
        <v>709.3</v>
      </c>
      <c r="CY52" s="10">
        <f t="shared" si="12"/>
        <v>1536.81666666667</v>
      </c>
      <c r="CZ52" s="10"/>
      <c r="DA52" s="10"/>
      <c r="DB52" s="10"/>
      <c r="DC52" s="10"/>
      <c r="DK52" t="s">
        <v>137</v>
      </c>
      <c r="DQ52" t="s">
        <v>137</v>
      </c>
      <c r="DW52" t="s">
        <v>137</v>
      </c>
      <c r="EC52" t="s">
        <v>286</v>
      </c>
      <c r="ED52">
        <f>SUM($DH$29*2.5,$DM$29*2.5,$DR$29*0.5,$DW$29*3.125)</f>
        <v>5155</v>
      </c>
      <c r="EE52" s="115">
        <f t="shared" ref="EE52:EE59" si="88">10000*($DI29*EF$43*2.5+$DN29*EF$44*2.5+$DS29*EF$45*0.5+$DX29*EF$46*3.125)</f>
        <v>192391.304347826</v>
      </c>
      <c r="EF52">
        <v>570</v>
      </c>
      <c r="EI52" t="s">
        <v>286</v>
      </c>
      <c r="EJ52">
        <f>SUM($DH$29*2.5,$DM$29*2.5,$DR$29*0.5,$DW$29*3.125)</f>
        <v>5155</v>
      </c>
      <c r="EK52" s="115">
        <f t="shared" ref="EK52:EK59" si="89">10000*($DI29*EL$43*2.5+$DN29*EL$44*2.5+$DS29*EL$45*0.5+$DX29*EL$46*3.125)</f>
        <v>192338.709677419</v>
      </c>
      <c r="EL52">
        <v>570</v>
      </c>
      <c r="EO52" t="s">
        <v>286</v>
      </c>
      <c r="EP52">
        <f>SUM($DH$29*2.5,$DM$29*2.5,$DR$29*0.5,$DW$29*3.125)</f>
        <v>5155</v>
      </c>
      <c r="EQ52" s="115">
        <f t="shared" ref="EQ52:EQ59" si="90">10000*($DI29*ER$43*2.5+$DN29*ER$44*2.5+$DS29*ER$45*0.5+$DX29*ER$46*3.125)</f>
        <v>145437.5</v>
      </c>
      <c r="ER52">
        <v>570</v>
      </c>
      <c r="EU52" t="s">
        <v>286</v>
      </c>
      <c r="EV52">
        <f>SUM($DH$29*2.5,$DM$29*2.5,$DR$29*0.5,$DW$29*3.125)</f>
        <v>5155</v>
      </c>
      <c r="EW52" s="115">
        <f t="shared" ref="EW52:EW59" si="91">10000*($DI29*EX$43*2.5+$DN29*EX$44*2.5+$DS29*EX$45*0.5+$DX29*EX$46*3.125)</f>
        <v>290125</v>
      </c>
      <c r="EX52">
        <v>570</v>
      </c>
      <c r="FB52" s="59">
        <v>50</v>
      </c>
      <c r="FC52" s="119">
        <v>5640</v>
      </c>
      <c r="FD52" s="55">
        <f>SUM($FC$3:FC52)</f>
        <v>152670</v>
      </c>
    </row>
    <row r="53" spans="10:160">
      <c r="AD53">
        <v>52</v>
      </c>
      <c r="AE53">
        <v>140</v>
      </c>
      <c r="AF53">
        <f t="shared" si="76"/>
        <v>3440</v>
      </c>
      <c r="AG53" t="s">
        <v>117</v>
      </c>
      <c r="AH53" s="70">
        <v>0.02</v>
      </c>
      <c r="AI53" s="70">
        <f>COUNTIF(AG$1:AG53,AG53)*AH53</f>
        <v>0.26</v>
      </c>
      <c r="AU53">
        <v>51</v>
      </c>
      <c r="AV53">
        <v>33332</v>
      </c>
      <c r="AW53">
        <v>51</v>
      </c>
      <c r="AX53">
        <v>33332</v>
      </c>
      <c r="AY53">
        <v>51</v>
      </c>
      <c r="AZ53">
        <v>33332</v>
      </c>
      <c r="BR53" s="10"/>
      <c r="BS53" s="10"/>
      <c r="BT53" s="10"/>
      <c r="BU53" s="10"/>
      <c r="BV53" s="10"/>
      <c r="BW53" s="10"/>
      <c r="BX53" s="10"/>
      <c r="BY53" s="10"/>
      <c r="BZ53" s="10">
        <v>212</v>
      </c>
      <c r="CA53" s="10">
        <f t="shared" si="16"/>
        <v>39260</v>
      </c>
      <c r="CB53" s="10">
        <f t="shared" si="1"/>
        <v>78520</v>
      </c>
      <c r="CC53" s="10">
        <f t="shared" si="2"/>
        <v>471.12</v>
      </c>
      <c r="CD53" s="10">
        <f t="shared" si="3"/>
        <v>437.468571428571</v>
      </c>
      <c r="CE53" s="10">
        <f t="shared" si="4"/>
        <v>83.3692697715749</v>
      </c>
      <c r="CF53" s="10"/>
      <c r="CG53" s="10">
        <v>212</v>
      </c>
      <c r="CH53" s="10">
        <f t="shared" si="87"/>
        <v>29030</v>
      </c>
      <c r="CI53" s="10">
        <v>0</v>
      </c>
      <c r="CJ53" s="10">
        <f t="shared" si="5"/>
        <v>232.24</v>
      </c>
      <c r="CK53" s="10">
        <f t="shared" si="6"/>
        <v>603.824</v>
      </c>
      <c r="CL53" s="10">
        <f t="shared" si="7"/>
        <v>125.796666666667</v>
      </c>
      <c r="CM53" s="10"/>
      <c r="CN53" s="10"/>
      <c r="CO53" s="10"/>
      <c r="CP53" s="10"/>
      <c r="CQ53" s="10"/>
      <c r="CR53" s="10"/>
      <c r="CS53" s="10"/>
      <c r="CT53" s="10"/>
      <c r="CU53" s="10">
        <v>212</v>
      </c>
      <c r="CV53" s="10">
        <v>356450</v>
      </c>
      <c r="CW53" s="10">
        <v>0</v>
      </c>
      <c r="CX53" s="10">
        <f t="shared" si="11"/>
        <v>712.9</v>
      </c>
      <c r="CY53" s="10">
        <f t="shared" si="12"/>
        <v>1544.61666666667</v>
      </c>
      <c r="CZ53" s="10"/>
      <c r="DA53" s="10"/>
      <c r="DB53" s="10"/>
      <c r="DC53" s="10"/>
      <c r="DK53" t="s">
        <v>174</v>
      </c>
      <c r="DM53" s="16"/>
      <c r="DQ53" t="s">
        <v>174</v>
      </c>
      <c r="DS53" s="16"/>
      <c r="DW53" t="s">
        <v>174</v>
      </c>
      <c r="DY53" s="16"/>
      <c r="EC53" t="s">
        <v>295</v>
      </c>
      <c r="ED53">
        <f>SUM($DH$30*2.5,$DM$30*2.5,$DR$30*0.5,$DW$30*3.125)</f>
        <v>10800</v>
      </c>
      <c r="EE53" s="115">
        <f t="shared" si="88"/>
        <v>342028.985507246</v>
      </c>
      <c r="EF53">
        <v>2448</v>
      </c>
      <c r="EI53" t="s">
        <v>295</v>
      </c>
      <c r="EJ53">
        <f>SUM($DH$30*2.5,$DM$30*2.5,$DR$30*0.5,$DW$30*3.125)</f>
        <v>10800</v>
      </c>
      <c r="EK53" s="115">
        <f t="shared" si="89"/>
        <v>341935.483870968</v>
      </c>
      <c r="EL53">
        <v>2448</v>
      </c>
      <c r="EO53" t="s">
        <v>295</v>
      </c>
      <c r="EP53">
        <f>SUM($DH$30*2.5,$DM$30*2.5,$DR$30*0.5,$DW$30*3.125)</f>
        <v>10800</v>
      </c>
      <c r="EQ53" s="115">
        <f t="shared" si="90"/>
        <v>258437.5</v>
      </c>
      <c r="ER53">
        <v>2448</v>
      </c>
      <c r="EU53" t="s">
        <v>295</v>
      </c>
      <c r="EV53">
        <f>SUM($DH$30*2.5,$DM$30*2.5,$DR$30*0.5,$DW$30*3.125)</f>
        <v>10800</v>
      </c>
      <c r="EW53" s="115">
        <f t="shared" si="91"/>
        <v>515750</v>
      </c>
      <c r="EX53">
        <v>2448</v>
      </c>
      <c r="FB53" s="52">
        <v>51</v>
      </c>
      <c r="FC53" s="112">
        <v>5760</v>
      </c>
      <c r="FD53" s="55">
        <f>SUM($FC$3:FC53)</f>
        <v>158430</v>
      </c>
    </row>
    <row r="54" spans="10:160">
      <c r="AD54">
        <v>53</v>
      </c>
      <c r="AE54">
        <v>150</v>
      </c>
      <c r="AF54">
        <f t="shared" si="76"/>
        <v>3590</v>
      </c>
      <c r="AG54" t="s">
        <v>114</v>
      </c>
      <c r="AH54" s="70">
        <v>0.03</v>
      </c>
      <c r="AI54" s="70">
        <f>COUNTIF(AG$1:AG54,AG54)*AH54</f>
        <v>0.42</v>
      </c>
      <c r="AU54">
        <v>52</v>
      </c>
      <c r="AV54">
        <v>34095</v>
      </c>
      <c r="AW54">
        <v>52</v>
      </c>
      <c r="AX54">
        <v>34095</v>
      </c>
      <c r="AY54">
        <v>52</v>
      </c>
      <c r="AZ54">
        <v>34095</v>
      </c>
      <c r="BR54" s="10"/>
      <c r="BS54" s="10"/>
      <c r="BT54" s="10"/>
      <c r="BU54" s="10"/>
      <c r="BV54" s="10"/>
      <c r="BW54" s="10"/>
      <c r="BX54" s="10"/>
      <c r="BY54" s="10"/>
      <c r="BZ54" s="10">
        <v>213</v>
      </c>
      <c r="CA54" s="10">
        <f t="shared" si="16"/>
        <v>39520</v>
      </c>
      <c r="CB54" s="10">
        <f t="shared" si="1"/>
        <v>79040</v>
      </c>
      <c r="CC54" s="10">
        <f t="shared" si="2"/>
        <v>474.24</v>
      </c>
      <c r="CD54" s="10">
        <f t="shared" si="3"/>
        <v>440.365714285714</v>
      </c>
      <c r="CE54" s="10">
        <f t="shared" si="4"/>
        <v>83.9213841409231</v>
      </c>
      <c r="CF54" s="10"/>
      <c r="CG54" s="10">
        <v>213</v>
      </c>
      <c r="CH54" s="10">
        <f t="shared" si="86"/>
        <v>29225</v>
      </c>
      <c r="CI54" s="10">
        <v>0</v>
      </c>
      <c r="CJ54" s="10">
        <f t="shared" si="5"/>
        <v>233.8</v>
      </c>
      <c r="CK54" s="10">
        <f t="shared" si="6"/>
        <v>607.88</v>
      </c>
      <c r="CL54" s="10">
        <f t="shared" si="7"/>
        <v>126.641666666667</v>
      </c>
      <c r="CM54" s="10"/>
      <c r="CN54" s="10"/>
      <c r="CO54" s="10"/>
      <c r="CP54" s="10"/>
      <c r="CQ54" s="10"/>
      <c r="CR54" s="10"/>
      <c r="CS54" s="10"/>
      <c r="CT54" s="10"/>
      <c r="CU54" s="10">
        <v>213</v>
      </c>
      <c r="CV54" s="10">
        <v>358200</v>
      </c>
      <c r="CW54" s="10">
        <v>0</v>
      </c>
      <c r="CX54" s="10">
        <f t="shared" si="11"/>
        <v>716.4</v>
      </c>
      <c r="CY54" s="10">
        <f t="shared" si="12"/>
        <v>1552.2</v>
      </c>
      <c r="CZ54" s="10"/>
      <c r="DA54" s="10"/>
      <c r="DB54" s="10"/>
      <c r="DC54" s="10"/>
      <c r="DL54" t="s">
        <v>278</v>
      </c>
      <c r="DM54" t="s">
        <v>279</v>
      </c>
      <c r="DN54" t="s">
        <v>280</v>
      </c>
      <c r="DR54" t="s">
        <v>278</v>
      </c>
      <c r="DS54" t="s">
        <v>279</v>
      </c>
      <c r="DT54" t="s">
        <v>280</v>
      </c>
      <c r="DU54" s="17"/>
      <c r="DV54" s="17"/>
      <c r="DX54" t="s">
        <v>278</v>
      </c>
      <c r="DY54" t="s">
        <v>279</v>
      </c>
      <c r="DZ54" t="s">
        <v>280</v>
      </c>
      <c r="EC54" t="s">
        <v>300</v>
      </c>
      <c r="ED54">
        <f>SUM($DH$31*2.5,$DM$31*2.5,$DR$31*0.5,$DW$31*3.125)</f>
        <v>12870</v>
      </c>
      <c r="EE54" s="115">
        <f t="shared" si="88"/>
        <v>342028.985507246</v>
      </c>
      <c r="EF54">
        <v>3536</v>
      </c>
      <c r="EI54" t="s">
        <v>300</v>
      </c>
      <c r="EJ54">
        <f>SUM($DH$31*2.5,$DM$31*2.5,$DR$31*0.5,$DW$31*3.125)</f>
        <v>12870</v>
      </c>
      <c r="EK54" s="115">
        <f t="shared" si="89"/>
        <v>341935.483870968</v>
      </c>
      <c r="EL54">
        <v>3536</v>
      </c>
      <c r="EO54" t="s">
        <v>300</v>
      </c>
      <c r="EP54">
        <f>SUM($DH$31*2.5,$DM$31*2.5,$DR$31*0.5,$DW$31*3.125)</f>
        <v>12870</v>
      </c>
      <c r="EQ54" s="115">
        <f t="shared" si="90"/>
        <v>258145.833333333</v>
      </c>
      <c r="ER54">
        <v>3536</v>
      </c>
      <c r="EU54" t="s">
        <v>300</v>
      </c>
      <c r="EV54">
        <f>SUM($DH$31*2.5,$DM$31*2.5,$DR$31*0.5,$DW$31*3.125)</f>
        <v>12870</v>
      </c>
      <c r="EW54" s="115">
        <f t="shared" si="91"/>
        <v>515750</v>
      </c>
      <c r="EX54">
        <v>3536</v>
      </c>
      <c r="FB54" s="52">
        <v>52</v>
      </c>
      <c r="FC54" s="112">
        <v>5910</v>
      </c>
      <c r="FD54" s="55">
        <f>SUM($FC$3:FC54)</f>
        <v>164340</v>
      </c>
    </row>
    <row r="55" spans="10:160">
      <c r="AD55">
        <v>54</v>
      </c>
      <c r="AE55">
        <v>150</v>
      </c>
      <c r="AF55">
        <f t="shared" si="76"/>
        <v>3740</v>
      </c>
      <c r="AG55" t="s">
        <v>115</v>
      </c>
      <c r="AH55" s="70">
        <v>0.05</v>
      </c>
      <c r="AI55" s="70">
        <f>COUNTIF(AG$1:AG55,AG55)*AH55</f>
        <v>0.7</v>
      </c>
      <c r="AU55">
        <v>53</v>
      </c>
      <c r="AV55">
        <v>35628</v>
      </c>
      <c r="AW55">
        <v>53</v>
      </c>
      <c r="AX55">
        <v>35628</v>
      </c>
      <c r="AY55">
        <v>53</v>
      </c>
      <c r="AZ55">
        <v>35628</v>
      </c>
      <c r="BR55" s="10"/>
      <c r="BS55" s="10"/>
      <c r="BT55" s="10"/>
      <c r="BU55" s="10"/>
      <c r="BV55" s="10"/>
      <c r="BW55" s="10"/>
      <c r="BX55" s="10"/>
      <c r="BY55" s="10"/>
      <c r="BZ55" s="10">
        <v>214</v>
      </c>
      <c r="CA55" s="10">
        <f t="shared" si="16"/>
        <v>39780</v>
      </c>
      <c r="CB55" s="10">
        <f t="shared" si="1"/>
        <v>79560</v>
      </c>
      <c r="CC55" s="10">
        <f t="shared" si="2"/>
        <v>477.36</v>
      </c>
      <c r="CD55" s="10">
        <f t="shared" si="3"/>
        <v>443.262857142857</v>
      </c>
      <c r="CE55" s="10">
        <f t="shared" si="4"/>
        <v>84.4734985102713</v>
      </c>
      <c r="CF55" s="10"/>
      <c r="CG55" s="10">
        <v>214</v>
      </c>
      <c r="CH55" s="10">
        <f t="shared" si="87"/>
        <v>29415</v>
      </c>
      <c r="CI55" s="10">
        <v>0</v>
      </c>
      <c r="CJ55" s="10">
        <f t="shared" si="5"/>
        <v>235.32</v>
      </c>
      <c r="CK55" s="10">
        <f t="shared" si="6"/>
        <v>611.832</v>
      </c>
      <c r="CL55" s="10">
        <f t="shared" si="7"/>
        <v>127.465</v>
      </c>
      <c r="CM55" s="10"/>
      <c r="CN55" s="10"/>
      <c r="CO55" s="10"/>
      <c r="CP55" s="10"/>
      <c r="CQ55" s="10"/>
      <c r="CR55" s="10"/>
      <c r="CS55" s="10"/>
      <c r="CT55" s="10"/>
      <c r="CU55" s="10">
        <v>214</v>
      </c>
      <c r="CV55" s="10">
        <v>360000</v>
      </c>
      <c r="CW55" s="10">
        <v>0</v>
      </c>
      <c r="CX55" s="10">
        <f t="shared" si="11"/>
        <v>720</v>
      </c>
      <c r="CY55" s="10">
        <f t="shared" si="12"/>
        <v>1560</v>
      </c>
      <c r="CZ55" s="10"/>
      <c r="DA55" s="10"/>
      <c r="DB55" s="10"/>
      <c r="DC55" s="10"/>
      <c r="DK55" t="s">
        <v>286</v>
      </c>
      <c r="DL55">
        <f>SUM($DH$29*2.5,$DM$29*2.5,$DR$29*0.5,$DW$29*3.125)</f>
        <v>5155</v>
      </c>
      <c r="DM55" s="115">
        <f>10000*($DI29*DN$46*2.5+$DN29*DN$47*2.5+$DS29*DN$48*0.5+$DX29*DN$49*3.125)</f>
        <v>261955.64516129</v>
      </c>
      <c r="DN55">
        <v>570</v>
      </c>
      <c r="DQ55" t="s">
        <v>286</v>
      </c>
      <c r="DR55">
        <f>SUM($DH$29*2.5,$DM$29*2.5,$DR$29*0.5,$DW$29*3.125)</f>
        <v>5155</v>
      </c>
      <c r="DS55" s="115">
        <f t="shared" ref="DS55:DS62" si="92">10000*($DI29*DT$46*2.5+$DN29*DT$47*2.5+$DS29*DT$48*0.5+$DX29*DT$49*3.125)</f>
        <v>261955.64516129</v>
      </c>
      <c r="DT55">
        <v>570</v>
      </c>
      <c r="DW55" t="s">
        <v>286</v>
      </c>
      <c r="DX55">
        <f>SUM($DH$29*2.5,$DM$29*2.5,$DR$29*0.5,$DW$29*3.125)</f>
        <v>5155</v>
      </c>
      <c r="DY55" s="115">
        <f t="shared" ref="DY55:DY62" si="93">10000*($DI29*DZ$46*2.5+$DN29*DZ$47*2.5+$DS29*DZ$48*0.5+$DX29*DZ$49*3.125)</f>
        <v>192377.717391304</v>
      </c>
      <c r="DZ55">
        <v>570</v>
      </c>
      <c r="EC55" t="s">
        <v>305</v>
      </c>
      <c r="ED55">
        <f>SUM($DH$32*2.5,$DM$32*2.5,$DR$32*0.5,$DW$32*3.125)</f>
        <v>15060</v>
      </c>
      <c r="EE55" s="115">
        <f t="shared" si="88"/>
        <v>342028.985507246</v>
      </c>
      <c r="EF55">
        <v>4080</v>
      </c>
      <c r="EI55" t="s">
        <v>305</v>
      </c>
      <c r="EJ55">
        <f>SUM($DH$32*2.5,$DM$32*2.5,$DR$32*0.5,$DW$32*3.125)</f>
        <v>15060</v>
      </c>
      <c r="EK55" s="115">
        <f t="shared" si="89"/>
        <v>341935.483870968</v>
      </c>
      <c r="EL55">
        <v>4080</v>
      </c>
      <c r="EO55" t="s">
        <v>305</v>
      </c>
      <c r="EP55">
        <f>SUM($DH$32*2.5,$DM$32*2.5,$DR$32*0.5,$DW$32*3.125)</f>
        <v>15060</v>
      </c>
      <c r="EQ55" s="115">
        <f t="shared" si="90"/>
        <v>258442.708333333</v>
      </c>
      <c r="ER55">
        <v>4080</v>
      </c>
      <c r="EU55" t="s">
        <v>305</v>
      </c>
      <c r="EV55">
        <f>SUM($DH$32*2.5,$DM$32*2.5,$DR$32*0.5,$DW$32*3.125)</f>
        <v>15060</v>
      </c>
      <c r="EW55" s="115">
        <f t="shared" si="91"/>
        <v>515781.25</v>
      </c>
      <c r="EX55">
        <v>4080</v>
      </c>
      <c r="FB55" s="52">
        <v>53</v>
      </c>
      <c r="FC55" s="112">
        <v>6060</v>
      </c>
      <c r="FD55" s="55">
        <f>SUM($FC$3:FC55)</f>
        <v>170400</v>
      </c>
    </row>
    <row r="56" spans="10:160">
      <c r="AD56">
        <v>55</v>
      </c>
      <c r="AE56">
        <v>150</v>
      </c>
      <c r="AF56">
        <f t="shared" si="76"/>
        <v>3890</v>
      </c>
      <c r="AG56" t="s">
        <v>116</v>
      </c>
      <c r="AH56" s="70">
        <v>0.02</v>
      </c>
      <c r="AI56" s="70">
        <f>COUNTIF(AG$1:AG56,AG56)*AH56</f>
        <v>0.28</v>
      </c>
      <c r="AU56">
        <v>54</v>
      </c>
      <c r="AV56">
        <v>35929</v>
      </c>
      <c r="AW56">
        <v>54</v>
      </c>
      <c r="AX56">
        <v>35929</v>
      </c>
      <c r="AY56">
        <v>54</v>
      </c>
      <c r="AZ56">
        <v>35929</v>
      </c>
      <c r="BR56" s="10"/>
      <c r="BS56" s="10"/>
      <c r="BT56" s="10"/>
      <c r="BU56" s="10"/>
      <c r="BV56" s="10"/>
      <c r="BW56" s="10"/>
      <c r="BX56" s="10"/>
      <c r="BY56" s="10"/>
      <c r="BZ56" s="10">
        <v>215</v>
      </c>
      <c r="CA56" s="10">
        <f t="shared" si="16"/>
        <v>40040</v>
      </c>
      <c r="CB56" s="10">
        <f t="shared" si="1"/>
        <v>80080</v>
      </c>
      <c r="CC56" s="10">
        <f t="shared" si="2"/>
        <v>480.48</v>
      </c>
      <c r="CD56" s="10">
        <f t="shared" si="3"/>
        <v>446.16</v>
      </c>
      <c r="CE56" s="10">
        <f t="shared" si="4"/>
        <v>85.0256128796195</v>
      </c>
      <c r="CF56" s="10"/>
      <c r="CG56" s="10">
        <v>215</v>
      </c>
      <c r="CH56" s="10">
        <f t="shared" ref="CH56:CH60" si="94">CH55+195</f>
        <v>29610</v>
      </c>
      <c r="CI56" s="10">
        <v>0</v>
      </c>
      <c r="CJ56" s="10">
        <f t="shared" si="5"/>
        <v>236.88</v>
      </c>
      <c r="CK56" s="10">
        <f t="shared" si="6"/>
        <v>615.888</v>
      </c>
      <c r="CL56" s="10">
        <f t="shared" si="7"/>
        <v>128.31</v>
      </c>
      <c r="CM56" s="10"/>
      <c r="CN56" s="10"/>
      <c r="CO56" s="10"/>
      <c r="CP56" s="10"/>
      <c r="CQ56" s="10"/>
      <c r="CR56" s="10"/>
      <c r="CS56" s="10"/>
      <c r="CT56" s="10"/>
      <c r="CU56" s="10">
        <v>215</v>
      </c>
      <c r="CV56" s="10">
        <v>361750</v>
      </c>
      <c r="CW56" s="10">
        <v>0</v>
      </c>
      <c r="CX56" s="10">
        <f t="shared" si="11"/>
        <v>723.5</v>
      </c>
      <c r="CY56" s="10">
        <f t="shared" si="12"/>
        <v>1567.58333333333</v>
      </c>
      <c r="CZ56" s="10"/>
      <c r="DA56" s="10"/>
      <c r="DB56" s="10"/>
      <c r="DC56" s="10"/>
      <c r="DD56" t="s">
        <v>352</v>
      </c>
      <c r="DK56" t="s">
        <v>295</v>
      </c>
      <c r="DL56">
        <f>SUM($DH$30*2.5,$DM$30*2.5,$DR$30*0.5,$DW$30*3.125)</f>
        <v>10800</v>
      </c>
      <c r="DM56" s="115">
        <f t="shared" ref="DM56:DM62" si="95">10000*($DI30*DN$46*2.5+$DN30*DN$47*2.5+$DS30*DN$48*0.5+$DX30*DN$49*3.125)</f>
        <v>465685.483870968</v>
      </c>
      <c r="DN56">
        <v>2448</v>
      </c>
      <c r="DQ56" t="s">
        <v>295</v>
      </c>
      <c r="DR56">
        <f>SUM($DH$30*2.5,$DM$30*2.5,$DR$30*0.5,$DW$30*3.125)</f>
        <v>10800</v>
      </c>
      <c r="DS56" s="115">
        <f t="shared" si="92"/>
        <v>465685.483870968</v>
      </c>
      <c r="DT56">
        <v>2448</v>
      </c>
      <c r="DW56" t="s">
        <v>295</v>
      </c>
      <c r="DX56">
        <f>SUM($DH$30*2.5,$DM$30*2.5,$DR$30*0.5,$DW$30*3.125)</f>
        <v>10800</v>
      </c>
      <c r="DY56" s="115">
        <f t="shared" si="93"/>
        <v>341997.282608696</v>
      </c>
      <c r="DZ56">
        <v>2448</v>
      </c>
      <c r="EC56" t="s">
        <v>309</v>
      </c>
      <c r="ED56">
        <f>SUM($DH$33*2.5,$DM$33*2.5,$DR$33*0.5,$DW$33*3.125)</f>
        <v>15060</v>
      </c>
      <c r="EE56" s="115">
        <f t="shared" si="88"/>
        <v>342028.985507246</v>
      </c>
      <c r="EF56">
        <v>4692</v>
      </c>
      <c r="EI56" t="s">
        <v>309</v>
      </c>
      <c r="EJ56">
        <f>SUM($DH$33*2.5,$DM$33*2.5,$DR$33*0.5,$DW$33*3.125)</f>
        <v>15060</v>
      </c>
      <c r="EK56" s="115">
        <f t="shared" si="89"/>
        <v>341935.483870968</v>
      </c>
      <c r="EL56">
        <v>4692</v>
      </c>
      <c r="EO56" t="s">
        <v>309</v>
      </c>
      <c r="EP56">
        <f>SUM($DH$33*2.5,$DM$33*2.5,$DR$33*0.5,$DW$33*3.125)</f>
        <v>15060</v>
      </c>
      <c r="EQ56" s="115">
        <f t="shared" si="90"/>
        <v>258442.708333333</v>
      </c>
      <c r="ER56">
        <v>4692</v>
      </c>
      <c r="EU56" t="s">
        <v>309</v>
      </c>
      <c r="EV56">
        <f>SUM($DH$33*2.5,$DM$33*2.5,$DR$33*0.5,$DW$33*3.125)</f>
        <v>15060</v>
      </c>
      <c r="EW56" s="115">
        <f t="shared" si="91"/>
        <v>515781.25</v>
      </c>
      <c r="EX56">
        <v>4692</v>
      </c>
      <c r="FB56" s="52">
        <v>54</v>
      </c>
      <c r="FC56" s="112">
        <v>6210</v>
      </c>
      <c r="FD56" s="55">
        <f>SUM($FC$3:FC56)</f>
        <v>176610</v>
      </c>
    </row>
    <row r="57" spans="10:160">
      <c r="AD57">
        <v>56</v>
      </c>
      <c r="AE57">
        <v>150</v>
      </c>
      <c r="AF57">
        <f t="shared" ref="AF57:AF65" si="96">AF56+AE57</f>
        <v>4040</v>
      </c>
      <c r="AG57" t="s">
        <v>117</v>
      </c>
      <c r="AH57" s="70">
        <v>0.02</v>
      </c>
      <c r="AI57" s="70">
        <f>COUNTIF(AG$1:AG57,AG57)*AH57</f>
        <v>0.28</v>
      </c>
      <c r="AU57">
        <v>55</v>
      </c>
      <c r="AV57">
        <v>37680</v>
      </c>
      <c r="AW57">
        <v>55</v>
      </c>
      <c r="AX57">
        <v>37680</v>
      </c>
      <c r="AY57">
        <v>55</v>
      </c>
      <c r="AZ57">
        <v>37680</v>
      </c>
      <c r="BR57" s="10"/>
      <c r="BS57" s="10"/>
      <c r="BT57" s="10"/>
      <c r="BU57" s="10"/>
      <c r="BV57" s="10"/>
      <c r="BW57" s="10"/>
      <c r="BX57" s="10"/>
      <c r="BY57" s="10"/>
      <c r="BZ57" s="10">
        <v>216</v>
      </c>
      <c r="CA57" s="10">
        <f t="shared" si="16"/>
        <v>40300</v>
      </c>
      <c r="CB57" s="10">
        <f t="shared" si="1"/>
        <v>80600</v>
      </c>
      <c r="CC57" s="10">
        <f t="shared" si="2"/>
        <v>483.6</v>
      </c>
      <c r="CD57" s="10">
        <f t="shared" si="3"/>
        <v>449.057142857143</v>
      </c>
      <c r="CE57" s="10">
        <f t="shared" si="4"/>
        <v>85.5777272489676</v>
      </c>
      <c r="CF57" s="10"/>
      <c r="CG57" s="10">
        <v>216</v>
      </c>
      <c r="CH57" s="10">
        <f t="shared" ref="CH57:CH61" si="97">CH56+190</f>
        <v>29800</v>
      </c>
      <c r="CI57" s="10">
        <v>0</v>
      </c>
      <c r="CJ57" s="10">
        <f t="shared" si="5"/>
        <v>238.4</v>
      </c>
      <c r="CK57" s="10">
        <f t="shared" si="6"/>
        <v>619.84</v>
      </c>
      <c r="CL57" s="10">
        <f t="shared" si="7"/>
        <v>129.133333333333</v>
      </c>
      <c r="CM57" s="10"/>
      <c r="CN57" s="10"/>
      <c r="CO57" s="10"/>
      <c r="CP57" s="10"/>
      <c r="CQ57" s="10"/>
      <c r="CR57" s="10"/>
      <c r="CS57" s="10"/>
      <c r="CT57" s="10"/>
      <c r="CU57" s="10">
        <v>216</v>
      </c>
      <c r="CV57" s="10">
        <v>363550</v>
      </c>
      <c r="CW57" s="10">
        <v>0</v>
      </c>
      <c r="CX57" s="10">
        <f t="shared" si="11"/>
        <v>727.1</v>
      </c>
      <c r="CY57" s="10">
        <f t="shared" si="12"/>
        <v>1575.38333333333</v>
      </c>
      <c r="CZ57" s="10"/>
      <c r="DA57" s="10"/>
      <c r="DB57" s="10"/>
      <c r="DC57" s="10"/>
      <c r="DD57" t="s">
        <v>353</v>
      </c>
      <c r="DE57" t="s">
        <v>163</v>
      </c>
      <c r="DF57" t="s">
        <v>354</v>
      </c>
      <c r="DG57" t="s">
        <v>281</v>
      </c>
      <c r="DK57" t="s">
        <v>300</v>
      </c>
      <c r="DL57">
        <f>SUM($DH$31*2.5,$DM$31*2.5,$DR$31*0.5,$DW$31*3.125)</f>
        <v>12870</v>
      </c>
      <c r="DM57" s="115">
        <f t="shared" si="95"/>
        <v>465685.483870968</v>
      </c>
      <c r="DN57">
        <v>3536</v>
      </c>
      <c r="DQ57" t="s">
        <v>300</v>
      </c>
      <c r="DR57">
        <f>SUM($DH$31*2.5,$DM$31*2.5,$DR$31*0.5,$DW$31*3.125)</f>
        <v>12870</v>
      </c>
      <c r="DS57" s="115">
        <f t="shared" si="92"/>
        <v>465685.483870968</v>
      </c>
      <c r="DT57">
        <v>3536</v>
      </c>
      <c r="DW57" t="s">
        <v>300</v>
      </c>
      <c r="DX57">
        <f>SUM($DH$31*2.5,$DM$31*2.5,$DR$31*0.5,$DW$31*3.125)</f>
        <v>12870</v>
      </c>
      <c r="DY57" s="115">
        <f t="shared" si="93"/>
        <v>341970.108695652</v>
      </c>
      <c r="DZ57">
        <v>3536</v>
      </c>
      <c r="EC57" t="s">
        <v>313</v>
      </c>
      <c r="ED57">
        <f>SUM($DH$34*2.5,$DM$34*2.5,$DR$34*0.5,$DW$34*3.125)</f>
        <v>17240</v>
      </c>
      <c r="EE57" s="115">
        <f t="shared" si="88"/>
        <v>342028.985507246</v>
      </c>
      <c r="EF57">
        <v>5440</v>
      </c>
      <c r="EI57" t="s">
        <v>313</v>
      </c>
      <c r="EJ57">
        <f>SUM($DH$34*2.5,$DM$34*2.5,$DR$34*0.5,$DW$34*3.125)</f>
        <v>17240</v>
      </c>
      <c r="EK57" s="115">
        <f t="shared" si="89"/>
        <v>341935.483870968</v>
      </c>
      <c r="EL57">
        <v>5440</v>
      </c>
      <c r="EO57" t="s">
        <v>313</v>
      </c>
      <c r="EP57">
        <f>SUM($DH$34*2.5,$DM$34*2.5,$DR$34*0.5,$DW$34*3.125)</f>
        <v>17240</v>
      </c>
      <c r="EQ57" s="115">
        <f t="shared" si="90"/>
        <v>258296.875</v>
      </c>
      <c r="ER57">
        <v>5440</v>
      </c>
      <c r="EU57" t="s">
        <v>313</v>
      </c>
      <c r="EV57">
        <f>SUM($DH$34*2.5,$DM$34*2.5,$DR$34*0.5,$DW$34*3.125)</f>
        <v>17240</v>
      </c>
      <c r="EW57" s="115">
        <f t="shared" si="91"/>
        <v>515781.25</v>
      </c>
      <c r="EX57">
        <v>5440</v>
      </c>
      <c r="FB57" s="52">
        <v>55</v>
      </c>
      <c r="FC57" s="112">
        <v>6360</v>
      </c>
      <c r="FD57" s="55">
        <f>SUM($FC$3:FC57)</f>
        <v>182970</v>
      </c>
    </row>
    <row r="58" spans="10:160">
      <c r="AD58">
        <v>57</v>
      </c>
      <c r="AE58">
        <v>160</v>
      </c>
      <c r="AF58">
        <f t="shared" si="96"/>
        <v>4200</v>
      </c>
      <c r="AG58" t="s">
        <v>114</v>
      </c>
      <c r="AH58" s="70">
        <v>0.03</v>
      </c>
      <c r="AI58" s="70">
        <f>COUNTIF(AG$1:AG58,AG58)*AH58</f>
        <v>0.45</v>
      </c>
      <c r="AU58">
        <v>56</v>
      </c>
      <c r="AV58">
        <v>38331</v>
      </c>
      <c r="AW58">
        <v>56</v>
      </c>
      <c r="AX58">
        <v>38331</v>
      </c>
      <c r="AY58">
        <v>56</v>
      </c>
      <c r="AZ58">
        <v>38331</v>
      </c>
      <c r="BR58" s="10"/>
      <c r="BS58" s="10"/>
      <c r="BT58" s="10"/>
      <c r="BU58" s="10"/>
      <c r="BV58" s="10"/>
      <c r="BW58" s="10"/>
      <c r="BX58" s="10"/>
      <c r="BY58" s="10"/>
      <c r="BZ58" s="10">
        <v>217</v>
      </c>
      <c r="CA58" s="10">
        <f t="shared" si="16"/>
        <v>40560</v>
      </c>
      <c r="CB58" s="10">
        <f t="shared" si="1"/>
        <v>81120</v>
      </c>
      <c r="CC58" s="10">
        <f t="shared" si="2"/>
        <v>486.72</v>
      </c>
      <c r="CD58" s="10">
        <f t="shared" si="3"/>
        <v>451.954285714286</v>
      </c>
      <c r="CE58" s="10">
        <f t="shared" si="4"/>
        <v>86.1298416183158</v>
      </c>
      <c r="CF58" s="10"/>
      <c r="CG58" s="10">
        <v>217</v>
      </c>
      <c r="CH58" s="10">
        <f t="shared" si="94"/>
        <v>29995</v>
      </c>
      <c r="CI58" s="10">
        <v>0</v>
      </c>
      <c r="CJ58" s="10">
        <f t="shared" si="5"/>
        <v>239.96</v>
      </c>
      <c r="CK58" s="10">
        <f t="shared" si="6"/>
        <v>623.896</v>
      </c>
      <c r="CL58" s="10">
        <f t="shared" si="7"/>
        <v>129.978333333333</v>
      </c>
      <c r="CM58" s="10"/>
      <c r="CN58" s="10"/>
      <c r="CO58" s="10"/>
      <c r="CP58" s="10"/>
      <c r="CQ58" s="10"/>
      <c r="CR58" s="10"/>
      <c r="CS58" s="10"/>
      <c r="CT58" s="10"/>
      <c r="CU58" s="10">
        <v>217</v>
      </c>
      <c r="CV58" s="10">
        <v>365300</v>
      </c>
      <c r="CW58" s="10">
        <v>0</v>
      </c>
      <c r="CX58" s="10">
        <f t="shared" si="11"/>
        <v>730.6</v>
      </c>
      <c r="CY58" s="10">
        <f t="shared" si="12"/>
        <v>1582.96666666667</v>
      </c>
      <c r="CZ58" s="10"/>
      <c r="DA58" s="10"/>
      <c r="DB58" s="10"/>
      <c r="DC58" s="10"/>
      <c r="DD58" s="31" t="s">
        <v>355</v>
      </c>
      <c r="DE58" s="32">
        <v>0.01</v>
      </c>
      <c r="DF58">
        <f>10*$DO$3/3</f>
        <v>50</v>
      </c>
      <c r="DG58" s="29">
        <f>DF58/(DE58*MAX(DP$17*2.5,DP$18*2.5,DP$19*0.5,DP$20*3.125))</f>
        <v>105.35187526338</v>
      </c>
      <c r="DK58" t="s">
        <v>305</v>
      </c>
      <c r="DL58">
        <f>SUM($DH$32*2.5,$DM$32*2.5,$DR$32*0.5,$DW$32*3.125)</f>
        <v>15060</v>
      </c>
      <c r="DM58" s="115">
        <f t="shared" si="95"/>
        <v>465700.60483871</v>
      </c>
      <c r="DN58">
        <v>4080</v>
      </c>
      <c r="DQ58" t="s">
        <v>305</v>
      </c>
      <c r="DR58">
        <f>SUM($DH$32*2.5,$DM$32*2.5,$DR$32*0.5,$DW$32*3.125)</f>
        <v>15060</v>
      </c>
      <c r="DS58" s="115">
        <f t="shared" si="92"/>
        <v>465700.60483871</v>
      </c>
      <c r="DT58">
        <v>4080</v>
      </c>
      <c r="DW58" t="s">
        <v>305</v>
      </c>
      <c r="DX58">
        <f>SUM($DH$32*2.5,$DM$32*2.5,$DR$32*0.5,$DW$32*3.125)</f>
        <v>15060</v>
      </c>
      <c r="DY58" s="115">
        <f t="shared" si="93"/>
        <v>341993.885869565</v>
      </c>
      <c r="DZ58">
        <v>4080</v>
      </c>
      <c r="EC58" t="s">
        <v>317</v>
      </c>
      <c r="ED58">
        <f>SUM($DH$35*2.5,$DM$35*2.5,$DR$35*0.5,$DW$35*3.125)</f>
        <v>17235</v>
      </c>
      <c r="EE58" s="115">
        <f t="shared" si="88"/>
        <v>342028.985507246</v>
      </c>
      <c r="EF58">
        <v>6256</v>
      </c>
      <c r="EI58" t="s">
        <v>317</v>
      </c>
      <c r="EJ58">
        <f>SUM($DH$35*2.5,$DM$35*2.5,$DR$35*0.5,$DW$35*3.125)</f>
        <v>17235</v>
      </c>
      <c r="EK58" s="115">
        <f t="shared" si="89"/>
        <v>341935.483870968</v>
      </c>
      <c r="EL58">
        <v>6256</v>
      </c>
      <c r="EO58" t="s">
        <v>317</v>
      </c>
      <c r="EP58">
        <f>SUM($DH$35*2.5,$DM$35*2.5,$DR$35*0.5,$DW$35*3.125)</f>
        <v>17235</v>
      </c>
      <c r="EQ58" s="115">
        <f t="shared" si="90"/>
        <v>258145.833333333</v>
      </c>
      <c r="ER58">
        <v>6256</v>
      </c>
      <c r="EU58" t="s">
        <v>317</v>
      </c>
      <c r="EV58">
        <f>SUM($DH$35*2.5,$DM$35*2.5,$DR$35*0.5,$DW$35*3.125)</f>
        <v>17235</v>
      </c>
      <c r="EW58" s="115">
        <f t="shared" si="91"/>
        <v>515750</v>
      </c>
      <c r="EX58">
        <v>6256</v>
      </c>
      <c r="FB58" s="52">
        <v>56</v>
      </c>
      <c r="FC58" s="112">
        <v>6510</v>
      </c>
      <c r="FD58" s="55">
        <f>SUM($FC$3:FC58)</f>
        <v>189480</v>
      </c>
    </row>
    <row r="59" spans="10:160">
      <c r="AD59">
        <v>58</v>
      </c>
      <c r="AE59">
        <v>160</v>
      </c>
      <c r="AF59">
        <f t="shared" si="96"/>
        <v>4360</v>
      </c>
      <c r="AG59" t="s">
        <v>115</v>
      </c>
      <c r="AH59" s="70">
        <v>0.05</v>
      </c>
      <c r="AI59" s="70">
        <f>COUNTIF(AG$1:AG59,AG59)*AH59</f>
        <v>0.75</v>
      </c>
      <c r="AU59">
        <v>57</v>
      </c>
      <c r="AV59">
        <v>38878</v>
      </c>
      <c r="AW59">
        <v>57</v>
      </c>
      <c r="AX59">
        <v>38878</v>
      </c>
      <c r="AY59">
        <v>57</v>
      </c>
      <c r="AZ59">
        <v>38878</v>
      </c>
      <c r="BR59" s="10"/>
      <c r="BS59" s="10"/>
      <c r="BT59" s="10"/>
      <c r="BU59" s="10"/>
      <c r="BV59" s="10"/>
      <c r="BW59" s="10"/>
      <c r="BX59" s="10"/>
      <c r="BY59" s="10"/>
      <c r="BZ59" s="10">
        <v>218</v>
      </c>
      <c r="CA59" s="10">
        <f t="shared" si="16"/>
        <v>40820</v>
      </c>
      <c r="CB59" s="10">
        <f t="shared" si="1"/>
        <v>81640</v>
      </c>
      <c r="CC59" s="10">
        <f t="shared" si="2"/>
        <v>489.84</v>
      </c>
      <c r="CD59" s="10">
        <f t="shared" si="3"/>
        <v>454.851428571429</v>
      </c>
      <c r="CE59" s="10">
        <f t="shared" si="4"/>
        <v>86.681955987664</v>
      </c>
      <c r="CF59" s="10"/>
      <c r="CG59" s="10">
        <v>218</v>
      </c>
      <c r="CH59" s="10">
        <f t="shared" si="97"/>
        <v>30185</v>
      </c>
      <c r="CI59" s="10">
        <v>0</v>
      </c>
      <c r="CJ59" s="10">
        <f t="shared" si="5"/>
        <v>241.48</v>
      </c>
      <c r="CK59" s="10">
        <f t="shared" si="6"/>
        <v>627.848</v>
      </c>
      <c r="CL59" s="10">
        <f t="shared" si="7"/>
        <v>130.801666666667</v>
      </c>
      <c r="CM59" s="10"/>
      <c r="CN59" s="10"/>
      <c r="CO59" s="10"/>
      <c r="CP59" s="10"/>
      <c r="CQ59" s="10"/>
      <c r="CR59" s="10"/>
      <c r="CS59" s="10"/>
      <c r="CT59" s="10"/>
      <c r="CU59" s="10">
        <v>218</v>
      </c>
      <c r="CV59" s="10">
        <v>367100</v>
      </c>
      <c r="CW59" s="10">
        <v>0</v>
      </c>
      <c r="CX59" s="10">
        <f t="shared" si="11"/>
        <v>734.2</v>
      </c>
      <c r="CY59" s="10">
        <f t="shared" si="12"/>
        <v>1590.76666666667</v>
      </c>
      <c r="CZ59" s="10"/>
      <c r="DA59" s="10"/>
      <c r="DB59" s="10"/>
      <c r="DC59" s="10"/>
      <c r="DD59" s="31" t="s">
        <v>356</v>
      </c>
      <c r="DE59" s="32">
        <f>0.5*DE58</f>
        <v>0.005</v>
      </c>
      <c r="DF59">
        <f>10*$DO$3/3</f>
        <v>50</v>
      </c>
      <c r="DG59" s="29">
        <f t="shared" ref="DG59:DG67" si="98">DF59/(DE59*MAX(DP$17*2.5,DP$18*2.5,DP$19*0.5,DP$20*3.125))</f>
        <v>210.703750526759</v>
      </c>
      <c r="DK59" t="s">
        <v>309</v>
      </c>
      <c r="DL59">
        <f>SUM($DH$33*2.5,$DM$33*2.5,$DR$33*0.5,$DW$33*3.125)</f>
        <v>15060</v>
      </c>
      <c r="DM59" s="115">
        <f t="shared" si="95"/>
        <v>465700.60483871</v>
      </c>
      <c r="DN59">
        <v>4692</v>
      </c>
      <c r="DQ59" t="s">
        <v>309</v>
      </c>
      <c r="DR59">
        <f>SUM($DH$33*2.5,$DM$33*2.5,$DR$33*0.5,$DW$33*3.125)</f>
        <v>15060</v>
      </c>
      <c r="DS59" s="115">
        <f t="shared" si="92"/>
        <v>465700.60483871</v>
      </c>
      <c r="DT59">
        <v>4692</v>
      </c>
      <c r="DW59" t="s">
        <v>309</v>
      </c>
      <c r="DX59">
        <f>SUM($DH$33*2.5,$DM$33*2.5,$DR$33*0.5,$DW$33*3.125)</f>
        <v>15060</v>
      </c>
      <c r="DY59" s="115">
        <f t="shared" si="93"/>
        <v>341993.885869565</v>
      </c>
      <c r="DZ59">
        <v>4692</v>
      </c>
      <c r="EC59" t="s">
        <v>319</v>
      </c>
      <c r="ED59">
        <f>SUM($DH$36*2.5,$DM$36*2.5,$DR$36*0.5,$DW$36*3.125)</f>
        <v>17235</v>
      </c>
      <c r="EE59" s="115">
        <f t="shared" si="88"/>
        <v>342028.985507246</v>
      </c>
      <c r="EF59">
        <v>6800</v>
      </c>
      <c r="EI59" t="s">
        <v>319</v>
      </c>
      <c r="EJ59">
        <f>SUM($DH$36*2.5,$DM$36*2.5,$DR$36*0.5,$DW$36*3.125)</f>
        <v>17235</v>
      </c>
      <c r="EK59" s="115">
        <f t="shared" si="89"/>
        <v>341935.483870968</v>
      </c>
      <c r="EL59">
        <v>6800</v>
      </c>
      <c r="EO59" t="s">
        <v>319</v>
      </c>
      <c r="EP59">
        <f>SUM($DH$36*2.5,$DM$36*2.5,$DR$36*0.5,$DW$36*3.125)</f>
        <v>17235</v>
      </c>
      <c r="EQ59" s="115">
        <f t="shared" si="90"/>
        <v>258437.5</v>
      </c>
      <c r="ER59">
        <v>6800</v>
      </c>
      <c r="EU59" t="s">
        <v>319</v>
      </c>
      <c r="EV59">
        <f>SUM($DH$36*2.5,$DM$36*2.5,$DR$36*0.5,$DW$36*3.125)</f>
        <v>17235</v>
      </c>
      <c r="EW59" s="115">
        <f t="shared" si="91"/>
        <v>515750</v>
      </c>
      <c r="EX59">
        <v>6800</v>
      </c>
      <c r="FB59" s="52">
        <v>57</v>
      </c>
      <c r="FC59" s="112">
        <v>6660</v>
      </c>
      <c r="FD59" s="55">
        <f>SUM($FC$3:FC59)</f>
        <v>196140</v>
      </c>
    </row>
    <row r="60" spans="10:160">
      <c r="AD60">
        <v>59</v>
      </c>
      <c r="AE60">
        <v>160</v>
      </c>
      <c r="AF60">
        <f t="shared" si="96"/>
        <v>4520</v>
      </c>
      <c r="AG60" t="s">
        <v>116</v>
      </c>
      <c r="AH60" s="70">
        <v>0.02</v>
      </c>
      <c r="AI60" s="70">
        <f>COUNTIF(AG$1:AG60,AG60)*AH60</f>
        <v>0.3</v>
      </c>
      <c r="AU60">
        <v>58</v>
      </c>
      <c r="AV60">
        <v>39016</v>
      </c>
      <c r="AW60">
        <v>58</v>
      </c>
      <c r="AX60">
        <v>39016</v>
      </c>
      <c r="AY60">
        <v>58</v>
      </c>
      <c r="AZ60">
        <v>39016</v>
      </c>
      <c r="BR60" s="10"/>
      <c r="BS60" s="10"/>
      <c r="BT60" s="10"/>
      <c r="BU60" s="10"/>
      <c r="BV60" s="10"/>
      <c r="BW60" s="10"/>
      <c r="BX60" s="10"/>
      <c r="BY60" s="10"/>
      <c r="BZ60" s="10">
        <v>219</v>
      </c>
      <c r="CA60" s="10">
        <f t="shared" si="16"/>
        <v>41080</v>
      </c>
      <c r="CB60" s="10">
        <f t="shared" si="1"/>
        <v>82160</v>
      </c>
      <c r="CC60" s="10">
        <f t="shared" si="2"/>
        <v>492.96</v>
      </c>
      <c r="CD60" s="10">
        <f t="shared" si="3"/>
        <v>457.748571428571</v>
      </c>
      <c r="CE60" s="10">
        <f t="shared" si="4"/>
        <v>87.2340703570122</v>
      </c>
      <c r="CF60" s="10"/>
      <c r="CG60" s="10">
        <v>219</v>
      </c>
      <c r="CH60" s="10">
        <f t="shared" si="94"/>
        <v>30380</v>
      </c>
      <c r="CI60" s="10">
        <v>0</v>
      </c>
      <c r="CJ60" s="10">
        <f t="shared" si="5"/>
        <v>243.04</v>
      </c>
      <c r="CK60" s="10">
        <f t="shared" si="6"/>
        <v>631.904</v>
      </c>
      <c r="CL60" s="10">
        <f t="shared" si="7"/>
        <v>131.646666666667</v>
      </c>
      <c r="CM60" s="10"/>
      <c r="CN60" s="10"/>
      <c r="CO60" s="10"/>
      <c r="CP60" s="10"/>
      <c r="CQ60" s="10"/>
      <c r="CR60" s="10"/>
      <c r="CS60" s="10"/>
      <c r="CT60" s="10"/>
      <c r="CU60" s="10">
        <v>219</v>
      </c>
      <c r="CV60" s="10">
        <v>368850</v>
      </c>
      <c r="CW60" s="10">
        <v>0</v>
      </c>
      <c r="CX60" s="10">
        <f t="shared" si="11"/>
        <v>737.7</v>
      </c>
      <c r="CY60" s="10">
        <f t="shared" si="12"/>
        <v>1598.35</v>
      </c>
      <c r="CZ60" s="10"/>
      <c r="DA60" s="10"/>
      <c r="DB60" s="10"/>
      <c r="DC60" s="10"/>
      <c r="DD60" t="s">
        <v>357</v>
      </c>
      <c r="DE60" s="32">
        <f>0.2*DE58</f>
        <v>0.002</v>
      </c>
      <c r="DF60">
        <f>10*$DO$3/3</f>
        <v>50</v>
      </c>
      <c r="DG60" s="29">
        <f t="shared" si="98"/>
        <v>526.759376316898</v>
      </c>
      <c r="DK60" t="s">
        <v>313</v>
      </c>
      <c r="DL60">
        <f>SUM($DH$34*2.5,$DM$34*2.5,$DR$34*0.5,$DW$34*3.125)</f>
        <v>17240</v>
      </c>
      <c r="DM60" s="115">
        <f t="shared" si="95"/>
        <v>465700.60483871</v>
      </c>
      <c r="DN60">
        <v>5440</v>
      </c>
      <c r="DQ60" t="s">
        <v>313</v>
      </c>
      <c r="DR60">
        <f>SUM($DH$34*2.5,$DM$34*2.5,$DR$34*0.5,$DW$34*3.125)</f>
        <v>17240</v>
      </c>
      <c r="DS60" s="115">
        <f t="shared" si="92"/>
        <v>465700.60483871</v>
      </c>
      <c r="DT60">
        <v>5440</v>
      </c>
      <c r="DW60" t="s">
        <v>313</v>
      </c>
      <c r="DX60">
        <f>SUM($DH$34*2.5,$DM$34*2.5,$DR$34*0.5,$DW$34*3.125)</f>
        <v>17240</v>
      </c>
      <c r="DY60" s="115">
        <f t="shared" si="93"/>
        <v>341980.298913043</v>
      </c>
      <c r="DZ60">
        <v>5440</v>
      </c>
      <c r="FB60" s="52">
        <v>58</v>
      </c>
      <c r="FC60" s="112">
        <v>6810</v>
      </c>
      <c r="FD60" s="55">
        <f>SUM($FC$3:FC60)</f>
        <v>202950</v>
      </c>
    </row>
    <row r="61" spans="10:160">
      <c r="AD61">
        <v>60</v>
      </c>
      <c r="AE61">
        <v>160</v>
      </c>
      <c r="AF61">
        <f t="shared" si="96"/>
        <v>4680</v>
      </c>
      <c r="AG61" t="s">
        <v>117</v>
      </c>
      <c r="AH61" s="70">
        <v>0.02</v>
      </c>
      <c r="AI61" s="70">
        <f>COUNTIF(AG$1:AG61,AG61)*AH61</f>
        <v>0.3</v>
      </c>
      <c r="AU61">
        <v>59</v>
      </c>
      <c r="AV61">
        <v>41731</v>
      </c>
      <c r="AW61">
        <v>59</v>
      </c>
      <c r="AX61">
        <v>41731</v>
      </c>
      <c r="AY61">
        <v>59</v>
      </c>
      <c r="AZ61">
        <v>41731</v>
      </c>
      <c r="BR61" s="10"/>
      <c r="BS61" s="10"/>
      <c r="BT61" s="10"/>
      <c r="BU61" s="10"/>
      <c r="BV61" s="10"/>
      <c r="BW61" s="10"/>
      <c r="BX61" s="10"/>
      <c r="BY61" s="10"/>
      <c r="BZ61" s="10">
        <v>220</v>
      </c>
      <c r="CA61" s="10">
        <f t="shared" si="16"/>
        <v>41340</v>
      </c>
      <c r="CB61" s="10">
        <f t="shared" si="1"/>
        <v>82680</v>
      </c>
      <c r="CC61" s="10">
        <f t="shared" si="2"/>
        <v>496.08</v>
      </c>
      <c r="CD61" s="10">
        <f t="shared" si="3"/>
        <v>460.645714285714</v>
      </c>
      <c r="CE61" s="10">
        <f t="shared" si="4"/>
        <v>87.7861847263604</v>
      </c>
      <c r="CF61" s="10"/>
      <c r="CG61" s="10">
        <v>220</v>
      </c>
      <c r="CH61" s="10">
        <f t="shared" si="97"/>
        <v>30570</v>
      </c>
      <c r="CI61" s="10">
        <v>0</v>
      </c>
      <c r="CJ61" s="10">
        <f t="shared" si="5"/>
        <v>244.56</v>
      </c>
      <c r="CK61" s="10">
        <f t="shared" si="6"/>
        <v>635.856</v>
      </c>
      <c r="CL61" s="10">
        <f t="shared" si="7"/>
        <v>132.47</v>
      </c>
      <c r="CM61" s="10"/>
      <c r="CN61" s="10"/>
      <c r="CO61" s="10"/>
      <c r="CP61" s="10"/>
      <c r="CQ61" s="10"/>
      <c r="CR61" s="10"/>
      <c r="CS61" s="10"/>
      <c r="CT61" s="10"/>
      <c r="CU61" s="10">
        <v>220</v>
      </c>
      <c r="CV61" s="10">
        <v>370650</v>
      </c>
      <c r="CW61" s="10">
        <v>0</v>
      </c>
      <c r="CX61" s="10">
        <f t="shared" si="11"/>
        <v>741.3</v>
      </c>
      <c r="CY61" s="10">
        <f t="shared" si="12"/>
        <v>1606.15</v>
      </c>
      <c r="CZ61" s="10"/>
      <c r="DA61" s="10"/>
      <c r="DB61" s="10"/>
      <c r="DC61" s="10"/>
      <c r="DD61" t="s">
        <v>358</v>
      </c>
      <c r="DE61" s="32">
        <f>0.05*DE58</f>
        <v>0.0005</v>
      </c>
      <c r="DF61">
        <f>10*$DO$3/3</f>
        <v>50</v>
      </c>
      <c r="DG61" s="29">
        <f t="shared" si="98"/>
        <v>2107.03750526759</v>
      </c>
      <c r="DK61" t="s">
        <v>317</v>
      </c>
      <c r="DL61">
        <f>SUM($DH$35*2.5,$DM$35*2.5,$DR$35*0.5,$DW$35*3.125)</f>
        <v>17235</v>
      </c>
      <c r="DM61" s="115">
        <f t="shared" si="95"/>
        <v>465685.483870968</v>
      </c>
      <c r="DN61">
        <v>6256</v>
      </c>
      <c r="DQ61" t="s">
        <v>317</v>
      </c>
      <c r="DR61">
        <f>SUM($DH$35*2.5,$DM$35*2.5,$DR$35*0.5,$DW$35*3.125)</f>
        <v>17235</v>
      </c>
      <c r="DS61" s="115">
        <f t="shared" si="92"/>
        <v>465685.483870968</v>
      </c>
      <c r="DT61">
        <v>6256</v>
      </c>
      <c r="DW61" t="s">
        <v>317</v>
      </c>
      <c r="DX61">
        <f>SUM($DH$35*2.5,$DM$35*2.5,$DR$35*0.5,$DW$35*3.125)</f>
        <v>17235</v>
      </c>
      <c r="DY61" s="115">
        <f t="shared" si="93"/>
        <v>341970.108695652</v>
      </c>
      <c r="DZ61">
        <v>6256</v>
      </c>
      <c r="ED61" t="s">
        <v>281</v>
      </c>
      <c r="EE61" s="17"/>
      <c r="EJ61" t="s">
        <v>281</v>
      </c>
      <c r="EK61" s="17"/>
      <c r="EP61" t="s">
        <v>281</v>
      </c>
      <c r="EQ61" s="17"/>
      <c r="EV61" t="s">
        <v>281</v>
      </c>
      <c r="EW61" s="17"/>
      <c r="FB61" s="52">
        <v>59</v>
      </c>
      <c r="FC61" s="112">
        <v>6960</v>
      </c>
      <c r="FD61" s="55">
        <f>SUM($FC$3:FC61)</f>
        <v>209910</v>
      </c>
    </row>
    <row r="62" spans="10:160">
      <c r="AD62">
        <v>61</v>
      </c>
      <c r="AE62">
        <v>180</v>
      </c>
      <c r="AF62">
        <f t="shared" si="96"/>
        <v>4860</v>
      </c>
      <c r="AG62" t="s">
        <v>114</v>
      </c>
      <c r="AH62" s="70">
        <v>0.03</v>
      </c>
      <c r="AI62" s="70">
        <f>COUNTIF(AG$1:AG62,AG62)*AH62</f>
        <v>0.48</v>
      </c>
      <c r="AU62">
        <v>60</v>
      </c>
      <c r="AV62">
        <v>43128</v>
      </c>
      <c r="AW62">
        <v>60</v>
      </c>
      <c r="AX62">
        <v>43128</v>
      </c>
      <c r="AY62">
        <v>60</v>
      </c>
      <c r="AZ62">
        <v>43128</v>
      </c>
      <c r="BR62" s="10"/>
      <c r="BS62" s="10"/>
      <c r="BT62" s="10"/>
      <c r="BU62" s="10"/>
      <c r="BV62" s="10"/>
      <c r="BW62" s="10"/>
      <c r="BX62" s="10"/>
      <c r="BY62" s="10"/>
      <c r="BZ62" s="10">
        <v>221</v>
      </c>
      <c r="CA62" s="10">
        <f t="shared" si="16"/>
        <v>41600</v>
      </c>
      <c r="CB62" s="10">
        <f t="shared" si="1"/>
        <v>83200</v>
      </c>
      <c r="CC62" s="10">
        <f t="shared" si="2"/>
        <v>499.2</v>
      </c>
      <c r="CD62" s="10">
        <f t="shared" si="3"/>
        <v>463.542857142857</v>
      </c>
      <c r="CE62" s="10">
        <f t="shared" si="4"/>
        <v>88.3382990957085</v>
      </c>
      <c r="CF62" s="10"/>
      <c r="CG62" s="10">
        <v>221</v>
      </c>
      <c r="CH62" s="10">
        <f>CH61+195-5</f>
        <v>30760</v>
      </c>
      <c r="CI62" s="10">
        <v>0</v>
      </c>
      <c r="CJ62" s="10">
        <f t="shared" si="5"/>
        <v>246.08</v>
      </c>
      <c r="CK62" s="10">
        <f t="shared" si="6"/>
        <v>639.808</v>
      </c>
      <c r="CL62" s="10">
        <f t="shared" si="7"/>
        <v>133.293333333333</v>
      </c>
      <c r="CM62" s="10"/>
      <c r="CN62" s="10"/>
      <c r="CO62" s="10"/>
      <c r="CP62" s="10"/>
      <c r="CQ62" s="10"/>
      <c r="CR62" s="10"/>
      <c r="CS62" s="10"/>
      <c r="CT62" s="10"/>
      <c r="CU62" s="10">
        <v>221</v>
      </c>
      <c r="CV62" s="10">
        <v>372400</v>
      </c>
      <c r="CW62" s="10">
        <v>0</v>
      </c>
      <c r="CX62" s="10">
        <f t="shared" si="11"/>
        <v>744.8</v>
      </c>
      <c r="CY62" s="10">
        <f t="shared" si="12"/>
        <v>1613.73333333333</v>
      </c>
      <c r="CZ62" s="10"/>
      <c r="DA62" s="10"/>
      <c r="DB62" s="10"/>
      <c r="DC62" s="10"/>
      <c r="DK62" t="s">
        <v>319</v>
      </c>
      <c r="DL62">
        <f>SUM($DH$36*2.5,$DM$36*2.5,$DR$36*0.5,$DW$36*3.125)</f>
        <v>17235</v>
      </c>
      <c r="DM62" s="115">
        <f t="shared" si="95"/>
        <v>465685.483870968</v>
      </c>
      <c r="DN62">
        <v>6800</v>
      </c>
      <c r="DQ62" t="s">
        <v>319</v>
      </c>
      <c r="DR62">
        <f>SUM($DH$36*2.5,$DM$36*2.5,$DR$36*0.5,$DW$36*3.125)</f>
        <v>17235</v>
      </c>
      <c r="DS62" s="115">
        <f t="shared" si="92"/>
        <v>465685.483870968</v>
      </c>
      <c r="DT62">
        <v>6800</v>
      </c>
      <c r="DW62" t="s">
        <v>319</v>
      </c>
      <c r="DX62">
        <f>SUM($DH$36*2.5,$DM$36*2.5,$DR$36*0.5,$DW$36*3.125)</f>
        <v>17235</v>
      </c>
      <c r="DY62" s="115">
        <f t="shared" si="93"/>
        <v>341997.282608696</v>
      </c>
      <c r="DZ62">
        <v>6800</v>
      </c>
      <c r="EC62" t="s">
        <v>286</v>
      </c>
      <c r="ED62" s="29">
        <f t="shared" ref="ED62:ED69" si="99">EF52/16*$DO$2/((ED52+EE52)*EF$41*ED$42/10000)</f>
        <v>190.079015846888</v>
      </c>
      <c r="EI62" t="s">
        <v>286</v>
      </c>
      <c r="EJ62" s="29">
        <f t="shared" ref="EJ62:EJ69" si="100">EL52/16*$DO$2/((EJ52+EK52)*EL$41*EJ$42/10000)</f>
        <v>211.595885120807</v>
      </c>
      <c r="EO62" t="s">
        <v>286</v>
      </c>
      <c r="EP62" s="29">
        <f t="shared" ref="EP62:EP69" si="101">ER52/16*$DO$2/((EP52+EQ52)*ER$41*EP$42/10000)</f>
        <v>286.746140623326</v>
      </c>
      <c r="EU62" t="s">
        <v>286</v>
      </c>
      <c r="EV62" s="29">
        <f t="shared" ref="EV62:EV69" si="102">EX52/16*$DO$2/((EV52+EW52)*EX$41*EV$42/10000)</f>
        <v>402.160661067461</v>
      </c>
      <c r="FB62" s="52">
        <v>60</v>
      </c>
      <c r="FC62" s="112">
        <v>7110</v>
      </c>
      <c r="FD62" s="55">
        <f>SUM($FC$3:FC62)</f>
        <v>217020</v>
      </c>
    </row>
    <row r="63" spans="10:160">
      <c r="AD63">
        <v>62</v>
      </c>
      <c r="AE63">
        <v>180</v>
      </c>
      <c r="AF63">
        <f t="shared" si="96"/>
        <v>5040</v>
      </c>
      <c r="AG63" t="s">
        <v>115</v>
      </c>
      <c r="AH63" s="70">
        <v>0.05</v>
      </c>
      <c r="AI63" s="70">
        <f>COUNTIF(AG$1:AG63,AG63)*AH63</f>
        <v>0.8</v>
      </c>
      <c r="AU63">
        <v>61</v>
      </c>
      <c r="AV63">
        <v>45042</v>
      </c>
      <c r="AW63">
        <v>61</v>
      </c>
      <c r="AX63">
        <v>45042</v>
      </c>
      <c r="AY63">
        <v>61</v>
      </c>
      <c r="AZ63">
        <v>45042</v>
      </c>
      <c r="BR63" s="10"/>
      <c r="BS63" s="10"/>
      <c r="BT63" s="10"/>
      <c r="BU63" s="10"/>
      <c r="BV63" s="10"/>
      <c r="BW63" s="10"/>
      <c r="BX63" s="10"/>
      <c r="BY63" s="10"/>
      <c r="BZ63" s="10">
        <v>222</v>
      </c>
      <c r="CA63" s="10">
        <f t="shared" si="16"/>
        <v>41860</v>
      </c>
      <c r="CB63" s="10">
        <f t="shared" si="1"/>
        <v>83720</v>
      </c>
      <c r="CC63" s="10">
        <f t="shared" si="2"/>
        <v>502.32</v>
      </c>
      <c r="CD63" s="10">
        <f t="shared" si="3"/>
        <v>466.44</v>
      </c>
      <c r="CE63" s="10">
        <f t="shared" si="4"/>
        <v>88.8904134650567</v>
      </c>
      <c r="CF63" s="10"/>
      <c r="CG63" s="10">
        <v>222</v>
      </c>
      <c r="CH63" s="10">
        <f t="shared" ref="CH63:CH67" si="103">CH62+190</f>
        <v>30950</v>
      </c>
      <c r="CI63" s="10">
        <v>0</v>
      </c>
      <c r="CJ63" s="10">
        <f t="shared" si="5"/>
        <v>247.6</v>
      </c>
      <c r="CK63" s="10">
        <f t="shared" si="6"/>
        <v>643.76</v>
      </c>
      <c r="CL63" s="10">
        <f t="shared" si="7"/>
        <v>134.116666666667</v>
      </c>
      <c r="CM63" s="10"/>
      <c r="CN63" s="10"/>
      <c r="CO63" s="10"/>
      <c r="CP63" s="10"/>
      <c r="CQ63" s="10"/>
      <c r="CR63" s="10"/>
      <c r="CS63" s="10"/>
      <c r="CT63" s="10"/>
      <c r="CU63" s="10">
        <v>222</v>
      </c>
      <c r="CV63" s="10">
        <v>374200</v>
      </c>
      <c r="CW63" s="10">
        <v>0</v>
      </c>
      <c r="CX63" s="10">
        <f t="shared" si="11"/>
        <v>748.4</v>
      </c>
      <c r="CY63" s="10">
        <f t="shared" si="12"/>
        <v>1621.53333333333</v>
      </c>
      <c r="CZ63" s="10"/>
      <c r="DA63" s="10"/>
      <c r="DB63" s="10"/>
      <c r="DC63" s="10"/>
      <c r="DD63" t="s">
        <v>359</v>
      </c>
      <c r="DE63" t="s">
        <v>163</v>
      </c>
      <c r="DF63" t="s">
        <v>354</v>
      </c>
      <c r="DG63" t="s">
        <v>281</v>
      </c>
      <c r="EC63" t="s">
        <v>295</v>
      </c>
      <c r="ED63" s="29">
        <f t="shared" si="99"/>
        <v>457.062284445095</v>
      </c>
      <c r="EI63" t="s">
        <v>295</v>
      </c>
      <c r="EJ63" s="29">
        <f t="shared" si="100"/>
        <v>508.800925818155</v>
      </c>
      <c r="EO63" t="s">
        <v>295</v>
      </c>
      <c r="EP63" s="29">
        <f t="shared" si="101"/>
        <v>688.813948482457</v>
      </c>
      <c r="EU63" t="s">
        <v>295</v>
      </c>
      <c r="EV63" s="29">
        <f t="shared" si="102"/>
        <v>968.568986800874</v>
      </c>
      <c r="FB63" s="52">
        <v>61</v>
      </c>
      <c r="FC63" s="112">
        <v>7260</v>
      </c>
      <c r="FD63" s="55">
        <f>SUM($FC$3:FC63)</f>
        <v>224280</v>
      </c>
    </row>
    <row r="64" spans="10:160">
      <c r="AD64">
        <v>63</v>
      </c>
      <c r="AE64">
        <v>180</v>
      </c>
      <c r="AF64">
        <f t="shared" si="96"/>
        <v>5220</v>
      </c>
      <c r="AG64" t="s">
        <v>116</v>
      </c>
      <c r="AH64" s="70">
        <v>0.02</v>
      </c>
      <c r="AI64" s="70">
        <f>COUNTIF(AG$1:AG64,AG64)*AH64</f>
        <v>0.32</v>
      </c>
      <c r="AU64">
        <v>62</v>
      </c>
      <c r="AV64">
        <v>45412</v>
      </c>
      <c r="AW64">
        <v>62</v>
      </c>
      <c r="AX64">
        <v>45412</v>
      </c>
      <c r="AY64">
        <v>62</v>
      </c>
      <c r="AZ64">
        <v>45412</v>
      </c>
      <c r="BR64" s="10"/>
      <c r="BS64" s="10"/>
      <c r="BT64" s="10"/>
      <c r="BU64" s="10"/>
      <c r="BV64" s="10"/>
      <c r="BW64" s="10"/>
      <c r="BX64" s="10"/>
      <c r="BY64" s="10"/>
      <c r="BZ64" s="10">
        <v>223</v>
      </c>
      <c r="CA64" s="10">
        <f t="shared" si="16"/>
        <v>42120</v>
      </c>
      <c r="CB64" s="10">
        <f t="shared" si="1"/>
        <v>84240</v>
      </c>
      <c r="CC64" s="10">
        <f t="shared" si="2"/>
        <v>505.44</v>
      </c>
      <c r="CD64" s="10">
        <f t="shared" si="3"/>
        <v>469.337142857143</v>
      </c>
      <c r="CE64" s="10">
        <f t="shared" si="4"/>
        <v>89.4425278344049</v>
      </c>
      <c r="CF64" s="10"/>
      <c r="CG64" s="10">
        <v>223</v>
      </c>
      <c r="CH64" s="10">
        <f t="shared" ref="CH64:CH68" si="104">CH63+195</f>
        <v>31145</v>
      </c>
      <c r="CI64" s="10">
        <v>0</v>
      </c>
      <c r="CJ64" s="10">
        <f t="shared" si="5"/>
        <v>249.16</v>
      </c>
      <c r="CK64" s="10">
        <f t="shared" si="6"/>
        <v>647.816</v>
      </c>
      <c r="CL64" s="10">
        <f t="shared" si="7"/>
        <v>134.961666666667</v>
      </c>
      <c r="CM64" s="10"/>
      <c r="CN64" s="10"/>
      <c r="CO64" s="10"/>
      <c r="CP64" s="10"/>
      <c r="CQ64" s="10"/>
      <c r="CR64" s="10"/>
      <c r="CS64" s="10"/>
      <c r="CT64" s="10"/>
      <c r="CU64" s="10">
        <v>223</v>
      </c>
      <c r="CV64" s="10">
        <v>375950</v>
      </c>
      <c r="CW64" s="10">
        <v>0</v>
      </c>
      <c r="CX64" s="10">
        <f t="shared" si="11"/>
        <v>751.9</v>
      </c>
      <c r="CY64" s="10">
        <f t="shared" si="12"/>
        <v>1629.11666666667</v>
      </c>
      <c r="CZ64" s="10"/>
      <c r="DA64" s="10"/>
      <c r="DB64" s="10"/>
      <c r="DC64" s="10"/>
      <c r="DD64" s="31" t="s">
        <v>355</v>
      </c>
      <c r="DE64" s="32">
        <v>0.01</v>
      </c>
      <c r="DF64">
        <f>(10*$DO$3+2*$DO$6)/3</f>
        <v>76.6666666666667</v>
      </c>
      <c r="DG64" s="29">
        <f t="shared" si="98"/>
        <v>161.539542070516</v>
      </c>
      <c r="DL64" t="s">
        <v>281</v>
      </c>
      <c r="DM64" s="17"/>
      <c r="DR64" t="s">
        <v>281</v>
      </c>
      <c r="DS64" s="17"/>
      <c r="DX64" t="s">
        <v>281</v>
      </c>
      <c r="DY64" s="17"/>
      <c r="EC64" t="s">
        <v>300</v>
      </c>
      <c r="ED64" s="29">
        <f t="shared" si="99"/>
        <v>656.350358633474</v>
      </c>
      <c r="EI64" t="s">
        <v>300</v>
      </c>
      <c r="EJ64" s="29">
        <f t="shared" si="100"/>
        <v>730.646927518089</v>
      </c>
      <c r="EO64" t="s">
        <v>300</v>
      </c>
      <c r="EP64" s="29">
        <f t="shared" si="101"/>
        <v>988.424862798746</v>
      </c>
      <c r="EU64" t="s">
        <v>300</v>
      </c>
      <c r="EV64" s="29">
        <f t="shared" si="102"/>
        <v>1393.5656363109</v>
      </c>
      <c r="FB64" s="52">
        <v>62</v>
      </c>
      <c r="FC64" s="112">
        <v>7410</v>
      </c>
      <c r="FD64" s="55">
        <f>SUM($FC$3:FC64)</f>
        <v>231690</v>
      </c>
    </row>
    <row r="65" spans="30:160">
      <c r="AD65">
        <v>64</v>
      </c>
      <c r="AE65">
        <v>180</v>
      </c>
      <c r="AF65">
        <f t="shared" si="96"/>
        <v>5400</v>
      </c>
      <c r="AG65" t="s">
        <v>117</v>
      </c>
      <c r="AH65" s="70">
        <v>0.02</v>
      </c>
      <c r="AI65" s="70">
        <f>COUNTIF(AG$1:AG65,AG65)*AH65</f>
        <v>0.32</v>
      </c>
      <c r="AU65">
        <v>63</v>
      </c>
      <c r="AV65">
        <v>47152</v>
      </c>
      <c r="AW65">
        <v>63</v>
      </c>
      <c r="AX65">
        <v>47152</v>
      </c>
      <c r="AY65">
        <v>63</v>
      </c>
      <c r="AZ65">
        <v>47152</v>
      </c>
      <c r="BR65" s="10"/>
      <c r="BS65" s="10"/>
      <c r="BT65" s="10"/>
      <c r="BU65" s="10"/>
      <c r="BV65" s="10"/>
      <c r="BW65" s="10"/>
      <c r="BX65" s="10"/>
      <c r="BY65" s="10"/>
      <c r="BZ65" s="10">
        <v>224</v>
      </c>
      <c r="CA65" s="10">
        <f t="shared" si="16"/>
        <v>42380</v>
      </c>
      <c r="CB65" s="10">
        <f t="shared" si="1"/>
        <v>84760</v>
      </c>
      <c r="CC65" s="10">
        <f t="shared" si="2"/>
        <v>508.56</v>
      </c>
      <c r="CD65" s="10">
        <f t="shared" si="3"/>
        <v>472.234285714286</v>
      </c>
      <c r="CE65" s="10">
        <f t="shared" si="4"/>
        <v>89.9946422037531</v>
      </c>
      <c r="CF65" s="10"/>
      <c r="CG65" s="10">
        <v>224</v>
      </c>
      <c r="CH65" s="10">
        <f t="shared" si="103"/>
        <v>31335</v>
      </c>
      <c r="CI65" s="10">
        <v>0</v>
      </c>
      <c r="CJ65" s="10">
        <f t="shared" si="5"/>
        <v>250.68</v>
      </c>
      <c r="CK65" s="10">
        <f t="shared" si="6"/>
        <v>651.768</v>
      </c>
      <c r="CL65" s="10">
        <f t="shared" si="7"/>
        <v>135.785</v>
      </c>
      <c r="CM65" s="10"/>
      <c r="CN65" s="10"/>
      <c r="CO65" s="10"/>
      <c r="CP65" s="10"/>
      <c r="CQ65" s="10"/>
      <c r="CR65" s="10"/>
      <c r="CS65" s="10"/>
      <c r="CT65" s="10"/>
      <c r="CU65" s="10">
        <v>224</v>
      </c>
      <c r="CV65" s="10">
        <v>377750</v>
      </c>
      <c r="CW65" s="10">
        <v>0</v>
      </c>
      <c r="CX65" s="10">
        <f t="shared" si="11"/>
        <v>755.5</v>
      </c>
      <c r="CY65" s="10">
        <f t="shared" si="12"/>
        <v>1636.91666666667</v>
      </c>
      <c r="CZ65" s="10"/>
      <c r="DA65" s="10"/>
      <c r="DB65" s="10"/>
      <c r="DC65" s="10"/>
      <c r="DD65" s="31" t="s">
        <v>356</v>
      </c>
      <c r="DE65" s="32">
        <f>0.5*DE64</f>
        <v>0.005</v>
      </c>
      <c r="DF65">
        <f>(10*$DO$3+2*$DO$6)/3</f>
        <v>76.6666666666667</v>
      </c>
      <c r="DG65" s="29">
        <f t="shared" si="98"/>
        <v>323.079084141031</v>
      </c>
      <c r="DK65" t="s">
        <v>286</v>
      </c>
      <c r="DL65" s="29">
        <f>DN55/16*$DO$2/((DL55+DM55)*DN$44*DL$45/10000)</f>
        <v>143.4104267532</v>
      </c>
      <c r="DQ65" t="s">
        <v>286</v>
      </c>
      <c r="DR65" s="29">
        <f t="shared" ref="DR65:DR72" si="105">DT55/16*$DO$2/((DR55+DS55)*DT$44*DR$45/10000)</f>
        <v>143.4104267532</v>
      </c>
      <c r="DW65" t="s">
        <v>286</v>
      </c>
      <c r="DX65" s="29">
        <f t="shared" ref="DX65:DX72" si="106">DZ55/16*$DO$2/((DX55+DY55)*DZ$44*DX$45/10000)</f>
        <v>142.569067584791</v>
      </c>
      <c r="EC65" t="s">
        <v>305</v>
      </c>
      <c r="ED65" s="29">
        <f t="shared" si="99"/>
        <v>752.682705056043</v>
      </c>
      <c r="EI65" t="s">
        <v>305</v>
      </c>
      <c r="EJ65" s="29">
        <f t="shared" si="100"/>
        <v>837.882405011654</v>
      </c>
      <c r="EO65" t="s">
        <v>305</v>
      </c>
      <c r="EP65" s="29">
        <f t="shared" si="101"/>
        <v>1130.12010365251</v>
      </c>
      <c r="EU65" t="s">
        <v>305</v>
      </c>
      <c r="EV65" s="29">
        <f t="shared" si="102"/>
        <v>1601.23200674401</v>
      </c>
      <c r="FB65" s="52">
        <v>63</v>
      </c>
      <c r="FC65" s="112">
        <v>7560</v>
      </c>
      <c r="FD65" s="55">
        <f>SUM($FC$3:FC65)</f>
        <v>239250</v>
      </c>
    </row>
    <row r="66" spans="30:160">
      <c r="AD66">
        <v>65</v>
      </c>
      <c r="AE66">
        <v>200</v>
      </c>
      <c r="AF66">
        <f t="shared" ref="AF66:AF77" si="107">AF65+AE66</f>
        <v>5600</v>
      </c>
      <c r="AG66" t="s">
        <v>114</v>
      </c>
      <c r="AH66" s="70">
        <v>0.03</v>
      </c>
      <c r="AI66" s="70">
        <f>COUNTIF(AG$1:AG66,AG66)*AH66</f>
        <v>0.51</v>
      </c>
      <c r="AU66">
        <v>64</v>
      </c>
      <c r="AV66">
        <v>47282</v>
      </c>
      <c r="AW66">
        <v>64</v>
      </c>
      <c r="AX66">
        <v>47282</v>
      </c>
      <c r="AY66">
        <v>64</v>
      </c>
      <c r="AZ66">
        <v>47282</v>
      </c>
      <c r="BR66" s="10"/>
      <c r="BS66" s="10"/>
      <c r="BT66" s="10"/>
      <c r="BU66" s="10"/>
      <c r="BV66" s="10"/>
      <c r="BW66" s="10"/>
      <c r="BX66" s="10"/>
      <c r="BY66" s="10"/>
      <c r="BZ66" s="10">
        <v>225</v>
      </c>
      <c r="CA66" s="10">
        <f t="shared" si="16"/>
        <v>42640</v>
      </c>
      <c r="CB66" s="10">
        <f t="shared" ref="CB66:CB129" si="108">CA66*2</f>
        <v>85280</v>
      </c>
      <c r="CC66" s="10">
        <f t="shared" ref="CC66:CC129" si="109">CA66*$BT$5+CB66*$BS$2</f>
        <v>511.68</v>
      </c>
      <c r="CD66" s="10">
        <f t="shared" ref="CD66:CD129" si="110">CC66/14*13</f>
        <v>475.131428571429</v>
      </c>
      <c r="CE66" s="10">
        <f t="shared" ref="CE66:CE129" si="111">(CA66/$BS$14*5+CB66/$BS$13*5)/14*13</f>
        <v>90.5467565731012</v>
      </c>
      <c r="CF66" s="10"/>
      <c r="CG66" s="10">
        <v>225</v>
      </c>
      <c r="CH66" s="10">
        <f t="shared" si="104"/>
        <v>31530</v>
      </c>
      <c r="CI66" s="10">
        <v>0</v>
      </c>
      <c r="CJ66" s="10">
        <f t="shared" ref="CJ66:CJ129" si="112">CH66*$BT$6+CI66*$BS$2</f>
        <v>252.24</v>
      </c>
      <c r="CK66" s="10">
        <f t="shared" ref="CK66:CK129" si="113">CJ66/5*13</f>
        <v>655.824</v>
      </c>
      <c r="CL66" s="10">
        <f t="shared" ref="CL66:CL129" si="114">(CH66/$BS$15*5+CI66/$BS$13*5)/5*13</f>
        <v>136.63</v>
      </c>
      <c r="CM66" s="10"/>
      <c r="CN66" s="10"/>
      <c r="CO66" s="10"/>
      <c r="CP66" s="10"/>
      <c r="CQ66" s="10"/>
      <c r="CR66" s="10"/>
      <c r="CS66" s="10"/>
      <c r="CT66" s="10"/>
      <c r="CU66" s="10">
        <v>225</v>
      </c>
      <c r="CV66" s="10">
        <v>379500</v>
      </c>
      <c r="CW66" s="10">
        <v>0</v>
      </c>
      <c r="CX66" s="10">
        <f t="shared" ref="CX66:CX129" si="115">CV66*$BT$8+CW66*$BS$2</f>
        <v>759</v>
      </c>
      <c r="CY66" s="10">
        <f t="shared" ref="CY66:CY129" si="116">CX66/6*13</f>
        <v>1644.5</v>
      </c>
      <c r="CZ66" s="10"/>
      <c r="DA66" s="10"/>
      <c r="DB66" s="10"/>
      <c r="DC66" s="10"/>
      <c r="DD66" t="s">
        <v>357</v>
      </c>
      <c r="DE66" s="32">
        <f>0.2*DE64</f>
        <v>0.002</v>
      </c>
      <c r="DF66">
        <f>(10*$DO$3+2*$DO$6)/3</f>
        <v>76.6666666666667</v>
      </c>
      <c r="DG66" s="29">
        <f t="shared" si="98"/>
        <v>807.697710352578</v>
      </c>
      <c r="DK66" t="s">
        <v>295</v>
      </c>
      <c r="DL66" s="29">
        <f t="shared" ref="DL66:DL72" si="117">DN56/16*$DO$2/((DL56+DM56)*DN$44*DL$45/10000)</f>
        <v>345.269970652052</v>
      </c>
      <c r="DQ66" t="s">
        <v>295</v>
      </c>
      <c r="DR66" s="29">
        <f t="shared" si="105"/>
        <v>345.269970652052</v>
      </c>
      <c r="DW66" t="s">
        <v>295</v>
      </c>
      <c r="DX66" s="29">
        <f t="shared" si="106"/>
        <v>342.827517566059</v>
      </c>
      <c r="EC66" t="s">
        <v>309</v>
      </c>
      <c r="ED66" s="29">
        <f t="shared" si="99"/>
        <v>865.585110814449</v>
      </c>
      <c r="EI66" t="s">
        <v>309</v>
      </c>
      <c r="EJ66" s="29">
        <f t="shared" si="100"/>
        <v>963.564765763402</v>
      </c>
      <c r="EO66" t="s">
        <v>309</v>
      </c>
      <c r="EP66" s="29">
        <f t="shared" si="101"/>
        <v>1299.63811920039</v>
      </c>
      <c r="EU66" t="s">
        <v>309</v>
      </c>
      <c r="EV66" s="29">
        <f t="shared" si="102"/>
        <v>1841.41680775561</v>
      </c>
      <c r="FB66" s="52">
        <v>64</v>
      </c>
      <c r="FC66" s="112">
        <v>7710</v>
      </c>
      <c r="FD66" s="55">
        <f>SUM($FC$3:FC66)</f>
        <v>246960</v>
      </c>
    </row>
    <row r="67" spans="30:160">
      <c r="AD67">
        <v>66</v>
      </c>
      <c r="AE67">
        <v>200</v>
      </c>
      <c r="AF67">
        <f t="shared" si="107"/>
        <v>5800</v>
      </c>
      <c r="AG67" t="s">
        <v>115</v>
      </c>
      <c r="AH67" s="70">
        <v>0.05</v>
      </c>
      <c r="AI67" s="70">
        <f>COUNTIF(AG$1:AG67,AG67)*AH67</f>
        <v>0.85</v>
      </c>
      <c r="AU67">
        <v>65</v>
      </c>
      <c r="AV67">
        <v>47340</v>
      </c>
      <c r="AW67">
        <v>65</v>
      </c>
      <c r="AX67">
        <v>47340</v>
      </c>
      <c r="AY67">
        <v>65</v>
      </c>
      <c r="AZ67">
        <v>47340</v>
      </c>
      <c r="BR67" s="10"/>
      <c r="BS67" s="10"/>
      <c r="BT67" s="10"/>
      <c r="BU67" s="10"/>
      <c r="BV67" s="10"/>
      <c r="BW67" s="10"/>
      <c r="BX67" s="10"/>
      <c r="BY67" s="10"/>
      <c r="BZ67" s="10">
        <v>226</v>
      </c>
      <c r="CA67" s="10">
        <f t="shared" ref="CA67:CA130" si="118">CA66+260</f>
        <v>42900</v>
      </c>
      <c r="CB67" s="10">
        <f t="shared" si="108"/>
        <v>85800</v>
      </c>
      <c r="CC67" s="10">
        <f t="shared" si="109"/>
        <v>514.8</v>
      </c>
      <c r="CD67" s="10">
        <f t="shared" si="110"/>
        <v>478.028571428571</v>
      </c>
      <c r="CE67" s="10">
        <f t="shared" si="111"/>
        <v>91.0988709424494</v>
      </c>
      <c r="CF67" s="10"/>
      <c r="CG67" s="10">
        <v>226</v>
      </c>
      <c r="CH67" s="10">
        <f t="shared" si="103"/>
        <v>31720</v>
      </c>
      <c r="CI67" s="10">
        <v>0</v>
      </c>
      <c r="CJ67" s="10">
        <f t="shared" si="112"/>
        <v>253.76</v>
      </c>
      <c r="CK67" s="10">
        <f t="shared" si="113"/>
        <v>659.776</v>
      </c>
      <c r="CL67" s="10">
        <f t="shared" si="114"/>
        <v>137.453333333333</v>
      </c>
      <c r="CM67" s="10"/>
      <c r="CN67" s="10"/>
      <c r="CO67" s="10"/>
      <c r="CP67" s="10"/>
      <c r="CQ67" s="10"/>
      <c r="CR67" s="10"/>
      <c r="CS67" s="10"/>
      <c r="CT67" s="10"/>
      <c r="CU67" s="10">
        <v>226</v>
      </c>
      <c r="CV67" s="10">
        <v>381300</v>
      </c>
      <c r="CW67" s="10">
        <v>0</v>
      </c>
      <c r="CX67" s="10">
        <f t="shared" si="115"/>
        <v>762.6</v>
      </c>
      <c r="CY67" s="10">
        <f t="shared" si="116"/>
        <v>1652.3</v>
      </c>
      <c r="CZ67" s="10"/>
      <c r="DA67" s="10"/>
      <c r="DB67" s="10"/>
      <c r="DC67" s="10"/>
      <c r="DD67" t="s">
        <v>358</v>
      </c>
      <c r="DE67" s="32">
        <f>0.05*DE64</f>
        <v>0.0005</v>
      </c>
      <c r="DF67">
        <f>(10*$DO$3+2*$DO$6)/3</f>
        <v>76.6666666666667</v>
      </c>
      <c r="DG67" s="29">
        <f t="shared" si="98"/>
        <v>3230.79084141031</v>
      </c>
      <c r="DK67" t="s">
        <v>300</v>
      </c>
      <c r="DL67" s="29">
        <f t="shared" si="117"/>
        <v>496.566054744498</v>
      </c>
      <c r="DQ67" t="s">
        <v>300</v>
      </c>
      <c r="DR67" s="29">
        <f t="shared" si="105"/>
        <v>496.566054744498</v>
      </c>
      <c r="DW67" t="s">
        <v>300</v>
      </c>
      <c r="DX67" s="29">
        <f t="shared" si="106"/>
        <v>492.344447628656</v>
      </c>
      <c r="EC67" t="s">
        <v>313</v>
      </c>
      <c r="ED67" s="29">
        <f t="shared" si="99"/>
        <v>997.487358681345</v>
      </c>
      <c r="EI67" t="s">
        <v>313</v>
      </c>
      <c r="EJ67" s="29">
        <f t="shared" si="100"/>
        <v>1110.39588552602</v>
      </c>
      <c r="EO67" t="s">
        <v>313</v>
      </c>
      <c r="EP67" s="29">
        <f t="shared" si="101"/>
        <v>1495.70257019578</v>
      </c>
      <c r="EU67" t="s">
        <v>313</v>
      </c>
      <c r="EV67" s="29">
        <f t="shared" si="102"/>
        <v>2126.24418507392</v>
      </c>
      <c r="FB67" s="52">
        <v>65</v>
      </c>
      <c r="FC67" s="112">
        <v>7860</v>
      </c>
      <c r="FD67" s="55">
        <f>SUM($FC$3:FC67)</f>
        <v>254820</v>
      </c>
    </row>
    <row r="68" spans="30:160">
      <c r="AD68">
        <v>67</v>
      </c>
      <c r="AE68">
        <v>200</v>
      </c>
      <c r="AF68">
        <f t="shared" si="107"/>
        <v>6000</v>
      </c>
      <c r="AG68" t="s">
        <v>116</v>
      </c>
      <c r="AH68" s="70">
        <v>0.02</v>
      </c>
      <c r="AI68" s="70">
        <f>COUNTIF(AG$1:AG68,AG68)*AH68</f>
        <v>0.34</v>
      </c>
      <c r="AU68">
        <v>66</v>
      </c>
      <c r="AV68">
        <v>50487</v>
      </c>
      <c r="AW68">
        <v>66</v>
      </c>
      <c r="AX68">
        <v>50487</v>
      </c>
      <c r="AY68">
        <v>66</v>
      </c>
      <c r="AZ68">
        <v>50487</v>
      </c>
      <c r="BR68" s="10"/>
      <c r="BS68" s="10"/>
      <c r="BT68" s="10"/>
      <c r="BU68" s="10"/>
      <c r="BV68" s="10"/>
      <c r="BW68" s="10"/>
      <c r="BX68" s="10"/>
      <c r="BY68" s="10"/>
      <c r="BZ68" s="10">
        <v>227</v>
      </c>
      <c r="CA68" s="10">
        <f t="shared" si="118"/>
        <v>43160</v>
      </c>
      <c r="CB68" s="10">
        <f t="shared" si="108"/>
        <v>86320</v>
      </c>
      <c r="CC68" s="10">
        <f t="shared" si="109"/>
        <v>517.92</v>
      </c>
      <c r="CD68" s="10">
        <f t="shared" si="110"/>
        <v>480.925714285714</v>
      </c>
      <c r="CE68" s="10">
        <f t="shared" si="111"/>
        <v>91.6509853117976</v>
      </c>
      <c r="CF68" s="10"/>
      <c r="CG68" s="10">
        <v>227</v>
      </c>
      <c r="CH68" s="10">
        <f t="shared" si="104"/>
        <v>31915</v>
      </c>
      <c r="CI68" s="10">
        <v>0</v>
      </c>
      <c r="CJ68" s="10">
        <f t="shared" si="112"/>
        <v>255.32</v>
      </c>
      <c r="CK68" s="10">
        <f t="shared" si="113"/>
        <v>663.832</v>
      </c>
      <c r="CL68" s="10">
        <f t="shared" si="114"/>
        <v>138.298333333333</v>
      </c>
      <c r="CM68" s="10"/>
      <c r="CN68" s="10"/>
      <c r="CO68" s="10"/>
      <c r="CP68" s="10"/>
      <c r="CQ68" s="10"/>
      <c r="CR68" s="10"/>
      <c r="CS68" s="10"/>
      <c r="CT68" s="10"/>
      <c r="CU68" s="10">
        <v>227</v>
      </c>
      <c r="CV68" s="10">
        <v>383050</v>
      </c>
      <c r="CW68" s="10">
        <v>0</v>
      </c>
      <c r="CX68" s="10">
        <f t="shared" si="115"/>
        <v>766.1</v>
      </c>
      <c r="CY68" s="10">
        <f t="shared" si="116"/>
        <v>1659.88333333333</v>
      </c>
      <c r="CZ68" s="10"/>
      <c r="DA68" s="10"/>
      <c r="DB68" s="10"/>
      <c r="DC68" s="10"/>
      <c r="DE68" s="32"/>
      <c r="DG68" s="29"/>
      <c r="DK68" t="s">
        <v>305</v>
      </c>
      <c r="DL68" s="29">
        <f t="shared" si="117"/>
        <v>570.332813519706</v>
      </c>
      <c r="DQ68" t="s">
        <v>305</v>
      </c>
      <c r="DR68" s="29">
        <f t="shared" si="105"/>
        <v>570.332813519706</v>
      </c>
      <c r="DW68" t="s">
        <v>305</v>
      </c>
      <c r="DX68" s="29">
        <f t="shared" si="106"/>
        <v>564.567522286043</v>
      </c>
      <c r="EC68" t="s">
        <v>317</v>
      </c>
      <c r="ED68" s="29">
        <f t="shared" si="99"/>
        <v>1147.12642721295</v>
      </c>
      <c r="EI68" t="s">
        <v>317</v>
      </c>
      <c r="EJ68" s="29">
        <f t="shared" si="100"/>
        <v>1276.97304480546</v>
      </c>
      <c r="EO68" t="s">
        <v>317</v>
      </c>
      <c r="EP68" s="29">
        <f t="shared" si="101"/>
        <v>1721.03260856109</v>
      </c>
      <c r="EU68" t="s">
        <v>317</v>
      </c>
      <c r="EV68" s="29">
        <f t="shared" si="102"/>
        <v>2445.34711733601</v>
      </c>
      <c r="FB68" s="52">
        <v>66</v>
      </c>
      <c r="FC68" s="112">
        <v>8040</v>
      </c>
      <c r="FD68" s="55">
        <f>SUM($FC$3:FC68)</f>
        <v>262860</v>
      </c>
    </row>
    <row r="69" spans="30:160">
      <c r="AD69">
        <v>68</v>
      </c>
      <c r="AE69">
        <v>200</v>
      </c>
      <c r="AF69">
        <f t="shared" si="107"/>
        <v>6200</v>
      </c>
      <c r="AG69" t="s">
        <v>117</v>
      </c>
      <c r="AH69" s="70">
        <v>0.02</v>
      </c>
      <c r="AI69" s="70">
        <f>COUNTIF(AG$1:AG69,AG69)*AH69</f>
        <v>0.34</v>
      </c>
      <c r="AU69">
        <v>67</v>
      </c>
      <c r="AV69">
        <v>53076</v>
      </c>
      <c r="AW69">
        <v>67</v>
      </c>
      <c r="AX69">
        <v>53076</v>
      </c>
      <c r="AY69">
        <v>67</v>
      </c>
      <c r="AZ69">
        <v>53076</v>
      </c>
      <c r="BR69" s="10"/>
      <c r="BS69" s="10"/>
      <c r="BT69" s="10"/>
      <c r="BU69" s="10"/>
      <c r="BV69" s="10"/>
      <c r="BW69" s="10"/>
      <c r="BX69" s="10"/>
      <c r="BY69" s="10"/>
      <c r="BZ69" s="10">
        <v>228</v>
      </c>
      <c r="CA69" s="10">
        <f t="shared" si="118"/>
        <v>43420</v>
      </c>
      <c r="CB69" s="10">
        <f t="shared" si="108"/>
        <v>86840</v>
      </c>
      <c r="CC69" s="10">
        <f t="shared" si="109"/>
        <v>521.04</v>
      </c>
      <c r="CD69" s="10">
        <f t="shared" si="110"/>
        <v>483.822857142857</v>
      </c>
      <c r="CE69" s="10">
        <f t="shared" si="111"/>
        <v>92.2030996811458</v>
      </c>
      <c r="CF69" s="10"/>
      <c r="CG69" s="10">
        <v>228</v>
      </c>
      <c r="CH69" s="10">
        <f t="shared" ref="CH69:CH73" si="119">CH68+190</f>
        <v>32105</v>
      </c>
      <c r="CI69" s="10">
        <v>0</v>
      </c>
      <c r="CJ69" s="10">
        <f t="shared" si="112"/>
        <v>256.84</v>
      </c>
      <c r="CK69" s="10">
        <f t="shared" si="113"/>
        <v>667.784</v>
      </c>
      <c r="CL69" s="10">
        <f t="shared" si="114"/>
        <v>139.121666666667</v>
      </c>
      <c r="CM69" s="10"/>
      <c r="CN69" s="10"/>
      <c r="CO69" s="10"/>
      <c r="CP69" s="10"/>
      <c r="CQ69" s="10"/>
      <c r="CR69" s="10"/>
      <c r="CS69" s="10"/>
      <c r="CT69" s="10"/>
      <c r="CU69" s="10">
        <v>228</v>
      </c>
      <c r="CV69" s="10">
        <v>384850</v>
      </c>
      <c r="CW69" s="10">
        <v>0</v>
      </c>
      <c r="CX69" s="10">
        <f t="shared" si="115"/>
        <v>769.7</v>
      </c>
      <c r="CY69" s="10">
        <f t="shared" si="116"/>
        <v>1667.68333333333</v>
      </c>
      <c r="CZ69" s="10"/>
      <c r="DA69" s="10"/>
      <c r="DB69" s="10"/>
      <c r="DC69" s="10"/>
      <c r="DD69" t="s">
        <v>360</v>
      </c>
      <c r="DE69" t="s">
        <v>163</v>
      </c>
      <c r="DF69" t="s">
        <v>354</v>
      </c>
      <c r="DG69" t="s">
        <v>281</v>
      </c>
      <c r="DH69" t="s">
        <v>361</v>
      </c>
      <c r="DK69" t="s">
        <v>309</v>
      </c>
      <c r="DL69" s="29">
        <f t="shared" si="117"/>
        <v>655.882735547662</v>
      </c>
      <c r="DQ69" t="s">
        <v>309</v>
      </c>
      <c r="DR69" s="29">
        <f t="shared" si="105"/>
        <v>655.882735547662</v>
      </c>
      <c r="DW69" t="s">
        <v>309</v>
      </c>
      <c r="DX69" s="29">
        <f t="shared" si="106"/>
        <v>649.25265062895</v>
      </c>
      <c r="EC69" t="s">
        <v>319</v>
      </c>
      <c r="ED69" s="29">
        <f t="shared" si="99"/>
        <v>1246.87655131842</v>
      </c>
      <c r="EI69" t="s">
        <v>319</v>
      </c>
      <c r="EJ69" s="29">
        <f t="shared" si="100"/>
        <v>1388.01417913637</v>
      </c>
      <c r="EO69" t="s">
        <v>319</v>
      </c>
      <c r="EP69" s="29">
        <f t="shared" si="101"/>
        <v>1868.70839547476</v>
      </c>
      <c r="EU69" t="s">
        <v>319</v>
      </c>
      <c r="EV69" s="29">
        <f t="shared" si="102"/>
        <v>2657.98599710436</v>
      </c>
      <c r="FB69" s="52">
        <v>67</v>
      </c>
      <c r="FC69" s="112">
        <v>8220</v>
      </c>
      <c r="FD69" s="55">
        <f>SUM($FC$3:FC69)</f>
        <v>271080</v>
      </c>
    </row>
    <row r="70" spans="30:160">
      <c r="AD70">
        <v>69</v>
      </c>
      <c r="AE70">
        <v>220</v>
      </c>
      <c r="AF70">
        <f t="shared" si="107"/>
        <v>6420</v>
      </c>
      <c r="AG70" t="s">
        <v>114</v>
      </c>
      <c r="AH70" s="70">
        <v>0.03</v>
      </c>
      <c r="AI70" s="70">
        <f>COUNTIF(AG$1:AG70,AG70)*AH70</f>
        <v>0.54</v>
      </c>
      <c r="AU70">
        <v>68</v>
      </c>
      <c r="AV70">
        <v>54257</v>
      </c>
      <c r="AW70">
        <v>68</v>
      </c>
      <c r="AX70">
        <v>54257</v>
      </c>
      <c r="AY70">
        <v>68</v>
      </c>
      <c r="AZ70">
        <v>54257</v>
      </c>
      <c r="BR70" s="10"/>
      <c r="BS70" s="10"/>
      <c r="BT70" s="10"/>
      <c r="BU70" s="10"/>
      <c r="BV70" s="10"/>
      <c r="BW70" s="10"/>
      <c r="BX70" s="10"/>
      <c r="BY70" s="10"/>
      <c r="BZ70" s="10">
        <v>229</v>
      </c>
      <c r="CA70" s="10">
        <f t="shared" si="118"/>
        <v>43680</v>
      </c>
      <c r="CB70" s="10">
        <f t="shared" si="108"/>
        <v>87360</v>
      </c>
      <c r="CC70" s="10">
        <f t="shared" si="109"/>
        <v>524.16</v>
      </c>
      <c r="CD70" s="10">
        <f t="shared" si="110"/>
        <v>486.72</v>
      </c>
      <c r="CE70" s="10">
        <f t="shared" si="111"/>
        <v>92.755214050494</v>
      </c>
      <c r="CF70" s="10"/>
      <c r="CG70" s="10">
        <v>229</v>
      </c>
      <c r="CH70" s="10">
        <f t="shared" ref="CH70:CH74" si="120">CH69+195</f>
        <v>32300</v>
      </c>
      <c r="CI70" s="10">
        <v>0</v>
      </c>
      <c r="CJ70" s="10">
        <f t="shared" si="112"/>
        <v>258.4</v>
      </c>
      <c r="CK70" s="10">
        <f t="shared" si="113"/>
        <v>671.84</v>
      </c>
      <c r="CL70" s="10">
        <f t="shared" si="114"/>
        <v>139.966666666667</v>
      </c>
      <c r="CM70" s="10"/>
      <c r="CN70" s="10"/>
      <c r="CO70" s="10"/>
      <c r="CP70" s="10"/>
      <c r="CQ70" s="10"/>
      <c r="CR70" s="10"/>
      <c r="CS70" s="10"/>
      <c r="CT70" s="10"/>
      <c r="CU70" s="10">
        <v>229</v>
      </c>
      <c r="CV70" s="10">
        <v>386600</v>
      </c>
      <c r="CW70" s="10">
        <v>0</v>
      </c>
      <c r="CX70" s="10">
        <f t="shared" si="115"/>
        <v>773.2</v>
      </c>
      <c r="CY70" s="10">
        <f t="shared" si="116"/>
        <v>1675.26666666667</v>
      </c>
      <c r="CZ70" s="10"/>
      <c r="DA70" s="10"/>
      <c r="DB70" s="10"/>
      <c r="DC70" s="10"/>
      <c r="DD70" s="31" t="s">
        <v>355</v>
      </c>
      <c r="DE70" s="32">
        <v>0.015</v>
      </c>
      <c r="DF70">
        <f>10*$DO$4</f>
        <v>150</v>
      </c>
      <c r="DG70" s="29">
        <f t="shared" ref="DG70:DG73" si="121">DF70/(DE70*MAX(DP$17*2.5,DP$18*2.5,DP$19*0.5,DP$20*3.125))</f>
        <v>210.703750526759</v>
      </c>
      <c r="DH70" s="29">
        <f>200/(DE70*MAX(DP$17*2.5,DP$18*2.5,DP$19*0.5,DP$20*3.125))</f>
        <v>280.938334035679</v>
      </c>
      <c r="DK70" t="s">
        <v>313</v>
      </c>
      <c r="DL70" s="29">
        <f t="shared" si="117"/>
        <v>757.011098645476</v>
      </c>
      <c r="DQ70" t="s">
        <v>313</v>
      </c>
      <c r="DR70" s="29">
        <f t="shared" si="105"/>
        <v>757.011098645476</v>
      </c>
      <c r="DW70" t="s">
        <v>313</v>
      </c>
      <c r="DX70" s="29">
        <f t="shared" si="106"/>
        <v>748.216914162678</v>
      </c>
      <c r="FB70" s="52">
        <v>68</v>
      </c>
      <c r="FC70" s="112">
        <v>8400</v>
      </c>
      <c r="FD70" s="55">
        <f>SUM($FC$3:FC70)</f>
        <v>279480</v>
      </c>
    </row>
    <row r="71" spans="30:160">
      <c r="AD71">
        <v>70</v>
      </c>
      <c r="AE71">
        <v>220</v>
      </c>
      <c r="AF71">
        <f t="shared" si="107"/>
        <v>6640</v>
      </c>
      <c r="AG71" t="s">
        <v>115</v>
      </c>
      <c r="AH71" s="70">
        <v>0.05</v>
      </c>
      <c r="AI71" s="70">
        <f>COUNTIF(AG$1:AG71,AG71)*AH71</f>
        <v>0.9</v>
      </c>
      <c r="AU71">
        <v>69</v>
      </c>
      <c r="AV71">
        <v>54405</v>
      </c>
      <c r="AW71">
        <v>69</v>
      </c>
      <c r="AX71">
        <v>54405</v>
      </c>
      <c r="AY71">
        <v>69</v>
      </c>
      <c r="AZ71">
        <v>54405</v>
      </c>
      <c r="BR71" s="10"/>
      <c r="BS71" s="10"/>
      <c r="BT71" s="10"/>
      <c r="BU71" s="10"/>
      <c r="BV71" s="10"/>
      <c r="BW71" s="10"/>
      <c r="BX71" s="10"/>
      <c r="BY71" s="10"/>
      <c r="BZ71" s="10">
        <v>230</v>
      </c>
      <c r="CA71" s="10">
        <f t="shared" si="118"/>
        <v>43940</v>
      </c>
      <c r="CB71" s="10">
        <f t="shared" si="108"/>
        <v>87880</v>
      </c>
      <c r="CC71" s="10">
        <f t="shared" si="109"/>
        <v>527.28</v>
      </c>
      <c r="CD71" s="10">
        <f t="shared" si="110"/>
        <v>489.617142857143</v>
      </c>
      <c r="CE71" s="10">
        <f t="shared" si="111"/>
        <v>93.3073284198422</v>
      </c>
      <c r="CF71" s="10"/>
      <c r="CG71" s="10">
        <v>230</v>
      </c>
      <c r="CH71" s="10">
        <f t="shared" si="119"/>
        <v>32490</v>
      </c>
      <c r="CI71" s="10">
        <v>0</v>
      </c>
      <c r="CJ71" s="10">
        <f t="shared" si="112"/>
        <v>259.92</v>
      </c>
      <c r="CK71" s="10">
        <f t="shared" si="113"/>
        <v>675.792</v>
      </c>
      <c r="CL71" s="10">
        <f t="shared" si="114"/>
        <v>140.79</v>
      </c>
      <c r="CM71" s="10"/>
      <c r="CN71" s="10"/>
      <c r="CO71" s="10"/>
      <c r="CP71" s="10"/>
      <c r="CQ71" s="10"/>
      <c r="CR71" s="10"/>
      <c r="CS71" s="10"/>
      <c r="CT71" s="10"/>
      <c r="CU71" s="10">
        <v>230</v>
      </c>
      <c r="CV71" s="10">
        <v>388400</v>
      </c>
      <c r="CW71" s="10">
        <v>0</v>
      </c>
      <c r="CX71" s="10">
        <f t="shared" si="115"/>
        <v>776.8</v>
      </c>
      <c r="CY71" s="10">
        <f t="shared" si="116"/>
        <v>1683.06666666667</v>
      </c>
      <c r="CZ71" s="10"/>
      <c r="DA71" s="10"/>
      <c r="DB71" s="10"/>
      <c r="DC71" s="10"/>
      <c r="DD71" s="31" t="s">
        <v>356</v>
      </c>
      <c r="DE71" s="32">
        <f>0.5*DE70</f>
        <v>0.0075</v>
      </c>
      <c r="DF71">
        <f>10*$DO$4</f>
        <v>150</v>
      </c>
      <c r="DG71" s="29">
        <f t="shared" si="121"/>
        <v>421.407501053519</v>
      </c>
      <c r="DH71" s="29">
        <f t="shared" ref="DH71:DH79" si="122">200/(DE71*MAX(DP$17*2.5,DP$18*2.5,DP$19*0.5,DP$20*3.125))</f>
        <v>561.876668071358</v>
      </c>
      <c r="DK71" t="s">
        <v>317</v>
      </c>
      <c r="DL71" s="29">
        <f t="shared" si="117"/>
        <v>870.599035594475</v>
      </c>
      <c r="DQ71" t="s">
        <v>317</v>
      </c>
      <c r="DR71" s="29">
        <f t="shared" si="105"/>
        <v>870.599035594475</v>
      </c>
      <c r="DW71" t="s">
        <v>317</v>
      </c>
      <c r="DX71" s="29">
        <f t="shared" si="106"/>
        <v>860.485838336993</v>
      </c>
      <c r="FB71" s="52">
        <v>69</v>
      </c>
      <c r="FC71" s="112">
        <v>8580</v>
      </c>
      <c r="FD71" s="55">
        <f>SUM($FC$3:FC71)</f>
        <v>288060</v>
      </c>
    </row>
    <row r="72" spans="30:160">
      <c r="AD72">
        <v>71</v>
      </c>
      <c r="AE72">
        <v>220</v>
      </c>
      <c r="AF72">
        <f t="shared" si="107"/>
        <v>6860</v>
      </c>
      <c r="AG72" t="s">
        <v>116</v>
      </c>
      <c r="AH72" s="70">
        <v>0.02</v>
      </c>
      <c r="AI72" s="70">
        <f>COUNTIF(AG$1:AG72,AG72)*AH72</f>
        <v>0.36</v>
      </c>
      <c r="AU72">
        <v>70</v>
      </c>
      <c r="AV72">
        <v>197114</v>
      </c>
      <c r="AW72">
        <v>70</v>
      </c>
      <c r="AX72">
        <v>197114</v>
      </c>
      <c r="AY72">
        <v>70</v>
      </c>
      <c r="AZ72">
        <v>197114</v>
      </c>
      <c r="BR72" s="10"/>
      <c r="BS72" s="10"/>
      <c r="BT72" s="10"/>
      <c r="BU72" s="10"/>
      <c r="BV72" s="10"/>
      <c r="BW72" s="10"/>
      <c r="BX72" s="10"/>
      <c r="BY72" s="10"/>
      <c r="BZ72" s="10">
        <v>231</v>
      </c>
      <c r="CA72" s="10">
        <f t="shared" si="118"/>
        <v>44200</v>
      </c>
      <c r="CB72" s="10">
        <f t="shared" si="108"/>
        <v>88400</v>
      </c>
      <c r="CC72" s="10">
        <f t="shared" si="109"/>
        <v>530.4</v>
      </c>
      <c r="CD72" s="10">
        <f t="shared" si="110"/>
        <v>492.514285714286</v>
      </c>
      <c r="CE72" s="10">
        <f t="shared" si="111"/>
        <v>93.8594427891903</v>
      </c>
      <c r="CF72" s="10"/>
      <c r="CG72" s="10">
        <v>231</v>
      </c>
      <c r="CH72" s="10">
        <f t="shared" si="120"/>
        <v>32685</v>
      </c>
      <c r="CI72" s="10">
        <v>0</v>
      </c>
      <c r="CJ72" s="10">
        <f t="shared" si="112"/>
        <v>261.48</v>
      </c>
      <c r="CK72" s="10">
        <f t="shared" si="113"/>
        <v>679.848</v>
      </c>
      <c r="CL72" s="10">
        <f t="shared" si="114"/>
        <v>141.635</v>
      </c>
      <c r="CM72" s="10"/>
      <c r="CN72" s="10"/>
      <c r="CO72" s="10"/>
      <c r="CP72" s="10"/>
      <c r="CQ72" s="10"/>
      <c r="CR72" s="10"/>
      <c r="CS72" s="10"/>
      <c r="CT72" s="10"/>
      <c r="CU72" s="10">
        <v>231</v>
      </c>
      <c r="CV72" s="10">
        <v>390150</v>
      </c>
      <c r="CW72" s="10">
        <v>0</v>
      </c>
      <c r="CX72" s="10">
        <f t="shared" si="115"/>
        <v>780.3</v>
      </c>
      <c r="CY72" s="10">
        <f t="shared" si="116"/>
        <v>1690.65</v>
      </c>
      <c r="CZ72" s="10"/>
      <c r="DA72" s="10"/>
      <c r="DB72" s="10"/>
      <c r="DC72" s="10"/>
      <c r="DD72" t="s">
        <v>357</v>
      </c>
      <c r="DE72" s="32">
        <f>0.2*DE70</f>
        <v>0.003</v>
      </c>
      <c r="DF72">
        <f>10*$DO$4</f>
        <v>150</v>
      </c>
      <c r="DG72" s="29">
        <f t="shared" si="121"/>
        <v>1053.5187526338</v>
      </c>
      <c r="DH72" s="29">
        <f t="shared" si="122"/>
        <v>1404.6916701784</v>
      </c>
      <c r="DK72" t="s">
        <v>319</v>
      </c>
      <c r="DL72" s="29">
        <f t="shared" si="117"/>
        <v>946.303299559212</v>
      </c>
      <c r="DQ72" t="s">
        <v>319</v>
      </c>
      <c r="DR72" s="29">
        <f t="shared" si="105"/>
        <v>946.303299559212</v>
      </c>
      <c r="DW72" t="s">
        <v>319</v>
      </c>
      <c r="DX72" s="29">
        <f t="shared" si="106"/>
        <v>935.239942821631</v>
      </c>
      <c r="FB72" s="52">
        <v>70</v>
      </c>
      <c r="FC72" s="112">
        <v>8760</v>
      </c>
      <c r="FD72" s="55">
        <f>SUM($FC$3:FC72)</f>
        <v>296820</v>
      </c>
    </row>
    <row r="73" spans="30:160">
      <c r="AD73">
        <v>72</v>
      </c>
      <c r="AE73">
        <v>220</v>
      </c>
      <c r="AF73">
        <f t="shared" si="107"/>
        <v>7080</v>
      </c>
      <c r="AG73" t="s">
        <v>117</v>
      </c>
      <c r="AH73" s="70">
        <v>0.02</v>
      </c>
      <c r="AI73" s="70">
        <f>COUNTIF(AG$1:AG73,AG73)*AH73</f>
        <v>0.36</v>
      </c>
      <c r="AU73">
        <v>71</v>
      </c>
      <c r="AV73">
        <v>310414</v>
      </c>
      <c r="AW73">
        <v>71</v>
      </c>
      <c r="AX73">
        <v>310414</v>
      </c>
      <c r="AY73">
        <v>71</v>
      </c>
      <c r="AZ73">
        <v>310414</v>
      </c>
      <c r="BR73" s="10"/>
      <c r="BS73" s="10"/>
      <c r="BT73" s="10"/>
      <c r="BU73" s="10"/>
      <c r="BV73" s="10"/>
      <c r="BW73" s="10"/>
      <c r="BX73" s="10"/>
      <c r="BY73" s="10"/>
      <c r="BZ73" s="10">
        <v>232</v>
      </c>
      <c r="CA73" s="10">
        <f t="shared" si="118"/>
        <v>44460</v>
      </c>
      <c r="CB73" s="10">
        <f t="shared" si="108"/>
        <v>88920</v>
      </c>
      <c r="CC73" s="10">
        <f t="shared" si="109"/>
        <v>533.52</v>
      </c>
      <c r="CD73" s="10">
        <f t="shared" si="110"/>
        <v>495.411428571429</v>
      </c>
      <c r="CE73" s="10">
        <f t="shared" si="111"/>
        <v>94.4115571585385</v>
      </c>
      <c r="CF73" s="10"/>
      <c r="CG73" s="10">
        <v>232</v>
      </c>
      <c r="CH73" s="10">
        <f t="shared" si="119"/>
        <v>32875</v>
      </c>
      <c r="CI73" s="10">
        <v>0</v>
      </c>
      <c r="CJ73" s="10">
        <f t="shared" si="112"/>
        <v>263</v>
      </c>
      <c r="CK73" s="10">
        <f t="shared" si="113"/>
        <v>683.8</v>
      </c>
      <c r="CL73" s="10">
        <f t="shared" si="114"/>
        <v>142.458333333333</v>
      </c>
      <c r="CM73" s="10"/>
      <c r="CN73" s="10"/>
      <c r="CO73" s="10"/>
      <c r="CP73" s="10"/>
      <c r="CQ73" s="10"/>
      <c r="CR73" s="10"/>
      <c r="CS73" s="10"/>
      <c r="CT73" s="10"/>
      <c r="CU73" s="10">
        <v>232</v>
      </c>
      <c r="CV73" s="10">
        <v>391950</v>
      </c>
      <c r="CW73" s="10">
        <v>0</v>
      </c>
      <c r="CX73" s="10">
        <f t="shared" si="115"/>
        <v>783.9</v>
      </c>
      <c r="CY73" s="10">
        <f t="shared" si="116"/>
        <v>1698.45</v>
      </c>
      <c r="CZ73" s="10"/>
      <c r="DA73" s="10"/>
      <c r="DB73" s="10"/>
      <c r="DC73" s="10"/>
      <c r="DD73" t="s">
        <v>358</v>
      </c>
      <c r="DE73" s="32">
        <f>0.05*DE70</f>
        <v>0.00075</v>
      </c>
      <c r="DF73">
        <f>10*$DO$4</f>
        <v>150</v>
      </c>
      <c r="DG73" s="29">
        <f t="shared" si="121"/>
        <v>4214.07501053519</v>
      </c>
      <c r="DH73" s="29">
        <f t="shared" si="122"/>
        <v>5618.76668071358</v>
      </c>
      <c r="FB73" s="52">
        <v>71</v>
      </c>
      <c r="FC73" s="112">
        <v>8940</v>
      </c>
      <c r="FD73" s="55">
        <f>SUM($FC$3:FC73)</f>
        <v>305760</v>
      </c>
    </row>
    <row r="74" spans="30:160">
      <c r="AD74">
        <v>73</v>
      </c>
      <c r="AE74">
        <v>240</v>
      </c>
      <c r="AF74">
        <f t="shared" si="107"/>
        <v>7320</v>
      </c>
      <c r="AG74" t="s">
        <v>114</v>
      </c>
      <c r="AH74" s="70">
        <v>0.03</v>
      </c>
      <c r="AI74" s="70">
        <f>COUNTIF(AG$1:AG74,AG74)*AH74</f>
        <v>0.57</v>
      </c>
      <c r="AU74">
        <v>72</v>
      </c>
      <c r="AV74">
        <v>330204</v>
      </c>
      <c r="AW74">
        <v>72</v>
      </c>
      <c r="AX74">
        <v>330204</v>
      </c>
      <c r="AY74">
        <v>72</v>
      </c>
      <c r="AZ74">
        <v>330204</v>
      </c>
      <c r="BR74" s="10"/>
      <c r="BS74" s="10"/>
      <c r="BT74" s="10"/>
      <c r="BU74" s="10"/>
      <c r="BV74" s="10"/>
      <c r="BW74" s="10"/>
      <c r="BX74" s="10"/>
      <c r="BY74" s="10"/>
      <c r="BZ74" s="10">
        <v>233</v>
      </c>
      <c r="CA74" s="10">
        <f t="shared" si="118"/>
        <v>44720</v>
      </c>
      <c r="CB74" s="10">
        <f t="shared" si="108"/>
        <v>89440</v>
      </c>
      <c r="CC74" s="10">
        <f t="shared" si="109"/>
        <v>536.64</v>
      </c>
      <c r="CD74" s="10">
        <f t="shared" si="110"/>
        <v>498.308571428571</v>
      </c>
      <c r="CE74" s="10">
        <f t="shared" si="111"/>
        <v>94.9636715278867</v>
      </c>
      <c r="CF74" s="10"/>
      <c r="CG74" s="10">
        <v>233</v>
      </c>
      <c r="CH74" s="10">
        <f t="shared" si="120"/>
        <v>33070</v>
      </c>
      <c r="CI74" s="10">
        <v>0</v>
      </c>
      <c r="CJ74" s="10">
        <f t="shared" si="112"/>
        <v>264.56</v>
      </c>
      <c r="CK74" s="10">
        <f t="shared" si="113"/>
        <v>687.856</v>
      </c>
      <c r="CL74" s="10">
        <f t="shared" si="114"/>
        <v>143.303333333333</v>
      </c>
      <c r="CM74" s="10"/>
      <c r="CN74" s="10"/>
      <c r="CO74" s="10"/>
      <c r="CP74" s="10"/>
      <c r="CQ74" s="10"/>
      <c r="CR74" s="10"/>
      <c r="CS74" s="10"/>
      <c r="CT74" s="10"/>
      <c r="CU74" s="10">
        <v>233</v>
      </c>
      <c r="CV74" s="10">
        <v>393700</v>
      </c>
      <c r="CW74" s="10">
        <v>0</v>
      </c>
      <c r="CX74" s="10">
        <f t="shared" si="115"/>
        <v>787.4</v>
      </c>
      <c r="CY74" s="10">
        <f t="shared" si="116"/>
        <v>1706.03333333333</v>
      </c>
      <c r="CZ74" s="10"/>
      <c r="DA74" s="10"/>
      <c r="DB74" s="10"/>
      <c r="DC74" s="10"/>
      <c r="DH74" s="29"/>
      <c r="DJ74">
        <v>9</v>
      </c>
      <c r="DK74" t="s">
        <v>141</v>
      </c>
      <c r="DL74" t="str">
        <f>属性晨星性价比!AI17</f>
        <v>传说</v>
      </c>
      <c r="DM74" t="s">
        <v>142</v>
      </c>
      <c r="DN74">
        <f>IF(DL74="奇迹",1.2,IF(DL74="传说",1.1,1))</f>
        <v>1.1</v>
      </c>
      <c r="DP74">
        <v>10</v>
      </c>
      <c r="DQ74" t="s">
        <v>141</v>
      </c>
      <c r="DR74" t="str">
        <f>属性晨星性价比!AM17</f>
        <v>传说</v>
      </c>
      <c r="DS74" t="s">
        <v>142</v>
      </c>
      <c r="DT74">
        <f>IF(DR74="奇迹",1.2,IF(DR74="传说",1.1,1))</f>
        <v>1.1</v>
      </c>
      <c r="FB74" s="52">
        <v>72</v>
      </c>
      <c r="FC74" s="112">
        <v>9120</v>
      </c>
      <c r="FD74" s="55">
        <f>SUM($FC$3:FC74)</f>
        <v>314880</v>
      </c>
    </row>
    <row r="75" spans="30:160">
      <c r="AD75">
        <v>74</v>
      </c>
      <c r="AE75">
        <v>240</v>
      </c>
      <c r="AF75">
        <f t="shared" si="107"/>
        <v>7560</v>
      </c>
      <c r="AG75" t="s">
        <v>115</v>
      </c>
      <c r="AH75" s="70">
        <v>0.05</v>
      </c>
      <c r="AI75" s="70">
        <f>COUNTIF(AG$1:AG75,AG75)*AH75</f>
        <v>0.95</v>
      </c>
      <c r="AU75">
        <v>73</v>
      </c>
      <c r="AV75">
        <v>334735</v>
      </c>
      <c r="AW75">
        <v>73</v>
      </c>
      <c r="AX75">
        <v>334735</v>
      </c>
      <c r="AY75">
        <v>73</v>
      </c>
      <c r="AZ75">
        <v>334735</v>
      </c>
      <c r="BR75" s="10"/>
      <c r="BS75" s="10"/>
      <c r="BT75" s="10"/>
      <c r="BU75" s="10"/>
      <c r="BV75" s="10"/>
      <c r="BW75" s="10"/>
      <c r="BX75" s="10"/>
      <c r="BY75" s="10"/>
      <c r="BZ75" s="10">
        <v>234</v>
      </c>
      <c r="CA75" s="10">
        <f t="shared" si="118"/>
        <v>44980</v>
      </c>
      <c r="CB75" s="10">
        <f t="shared" si="108"/>
        <v>89960</v>
      </c>
      <c r="CC75" s="10">
        <f t="shared" si="109"/>
        <v>539.76</v>
      </c>
      <c r="CD75" s="10">
        <f t="shared" si="110"/>
        <v>501.205714285714</v>
      </c>
      <c r="CE75" s="10">
        <f t="shared" si="111"/>
        <v>95.5157858972348</v>
      </c>
      <c r="CF75" s="10"/>
      <c r="CG75" s="10">
        <v>234</v>
      </c>
      <c r="CH75" s="10">
        <f t="shared" ref="CH75:CH79" si="123">CH74+190</f>
        <v>33260</v>
      </c>
      <c r="CI75" s="10">
        <v>0</v>
      </c>
      <c r="CJ75" s="10">
        <f t="shared" si="112"/>
        <v>266.08</v>
      </c>
      <c r="CK75" s="10">
        <f t="shared" si="113"/>
        <v>691.808</v>
      </c>
      <c r="CL75" s="10">
        <f t="shared" si="114"/>
        <v>144.126666666667</v>
      </c>
      <c r="CM75" s="10"/>
      <c r="CN75" s="10"/>
      <c r="CO75" s="10"/>
      <c r="CP75" s="10"/>
      <c r="CQ75" s="10"/>
      <c r="CR75" s="10"/>
      <c r="CS75" s="10"/>
      <c r="CT75" s="10"/>
      <c r="CU75" s="10">
        <v>234</v>
      </c>
      <c r="CV75" s="10">
        <v>395500</v>
      </c>
      <c r="CW75" s="10">
        <v>0</v>
      </c>
      <c r="CX75" s="10">
        <f t="shared" si="115"/>
        <v>791</v>
      </c>
      <c r="CY75" s="10">
        <f t="shared" si="116"/>
        <v>1713.83333333333</v>
      </c>
      <c r="CZ75" s="10"/>
      <c r="DA75" s="10"/>
      <c r="DB75" s="10"/>
      <c r="DC75" s="10"/>
      <c r="DD75" t="s">
        <v>362</v>
      </c>
      <c r="DE75" t="s">
        <v>163</v>
      </c>
      <c r="DF75" t="s">
        <v>354</v>
      </c>
      <c r="DG75" t="s">
        <v>281</v>
      </c>
      <c r="DH75" s="29" t="s">
        <v>361</v>
      </c>
      <c r="DK75" t="s">
        <v>85</v>
      </c>
      <c r="DL75">
        <f>属性晨星性价比!AI18</f>
        <v>0.69</v>
      </c>
      <c r="DN75" t="s">
        <v>171</v>
      </c>
      <c r="DQ75" t="s">
        <v>85</v>
      </c>
      <c r="DR75">
        <f>属性晨星性价比!AM18</f>
        <v>0.69</v>
      </c>
      <c r="DT75" t="s">
        <v>171</v>
      </c>
      <c r="FB75" s="52">
        <v>73</v>
      </c>
      <c r="FC75" s="112">
        <v>9300</v>
      </c>
      <c r="FD75" s="55">
        <f>SUM($FC$3:FC75)</f>
        <v>324180</v>
      </c>
    </row>
    <row r="76" spans="30:160">
      <c r="AD76">
        <v>75</v>
      </c>
      <c r="AE76">
        <v>240</v>
      </c>
      <c r="AF76">
        <f t="shared" si="107"/>
        <v>7800</v>
      </c>
      <c r="AG76" t="s">
        <v>116</v>
      </c>
      <c r="AH76" s="70">
        <v>0.02</v>
      </c>
      <c r="AI76" s="70">
        <f>COUNTIF(AG$1:AG76,AG76)*AH76</f>
        <v>0.38</v>
      </c>
      <c r="AU76">
        <v>74</v>
      </c>
      <c r="AV76">
        <v>348791</v>
      </c>
      <c r="AW76">
        <v>74</v>
      </c>
      <c r="AX76">
        <v>348791</v>
      </c>
      <c r="AY76">
        <v>74</v>
      </c>
      <c r="AZ76">
        <v>348791</v>
      </c>
      <c r="BR76" s="10"/>
      <c r="BS76" s="10"/>
      <c r="BT76" s="10"/>
      <c r="BU76" s="10"/>
      <c r="BV76" s="10"/>
      <c r="BW76" s="10"/>
      <c r="BX76" s="10"/>
      <c r="BY76" s="10"/>
      <c r="BZ76" s="10">
        <v>235</v>
      </c>
      <c r="CA76" s="10">
        <f t="shared" si="118"/>
        <v>45240</v>
      </c>
      <c r="CB76" s="10">
        <f t="shared" si="108"/>
        <v>90480</v>
      </c>
      <c r="CC76" s="10">
        <f t="shared" si="109"/>
        <v>542.88</v>
      </c>
      <c r="CD76" s="10">
        <f t="shared" si="110"/>
        <v>504.102857142857</v>
      </c>
      <c r="CE76" s="10">
        <f t="shared" si="111"/>
        <v>96.067900266583</v>
      </c>
      <c r="CF76" s="10"/>
      <c r="CG76" s="10">
        <v>235</v>
      </c>
      <c r="CH76" s="10">
        <f t="shared" ref="CH76:CH80" si="124">CH75+195</f>
        <v>33455</v>
      </c>
      <c r="CI76" s="10">
        <v>0</v>
      </c>
      <c r="CJ76" s="10">
        <f t="shared" si="112"/>
        <v>267.64</v>
      </c>
      <c r="CK76" s="10">
        <f t="shared" si="113"/>
        <v>695.864</v>
      </c>
      <c r="CL76" s="10">
        <f t="shared" si="114"/>
        <v>144.971666666667</v>
      </c>
      <c r="CM76" s="10"/>
      <c r="CN76" s="10"/>
      <c r="CO76" s="10"/>
      <c r="CP76" s="10"/>
      <c r="CQ76" s="10"/>
      <c r="CR76" s="10"/>
      <c r="CS76" s="10"/>
      <c r="CT76" s="10"/>
      <c r="CU76" s="10">
        <v>235</v>
      </c>
      <c r="CV76" s="10">
        <v>397250</v>
      </c>
      <c r="CW76" s="10">
        <v>0</v>
      </c>
      <c r="CX76" s="10">
        <f t="shared" si="115"/>
        <v>794.5</v>
      </c>
      <c r="CY76" s="10">
        <f t="shared" si="116"/>
        <v>1721.41666666667</v>
      </c>
      <c r="CZ76" s="10"/>
      <c r="DA76" s="10"/>
      <c r="DB76" s="10"/>
      <c r="DC76" s="10"/>
      <c r="DD76" s="31" t="s">
        <v>355</v>
      </c>
      <c r="DE76" s="32">
        <v>0.015</v>
      </c>
      <c r="DF76">
        <f>(10*$DO$4+2*$DO$7)</f>
        <v>230</v>
      </c>
      <c r="DG76" s="29">
        <f t="shared" ref="DG76:DG79" si="125">DF76/(DE76*MAX(DP$17*2.5,DP$18*2.5,DP$19*0.5,DP$20*3.125))</f>
        <v>323.079084141031</v>
      </c>
      <c r="DH76" s="29">
        <f t="shared" si="122"/>
        <v>280.938334035679</v>
      </c>
      <c r="DK76" t="s">
        <v>87</v>
      </c>
      <c r="DL76" t="s">
        <v>88</v>
      </c>
      <c r="DM76">
        <f>属性晨星性价比!AI19</f>
        <v>5.9</v>
      </c>
      <c r="DN76">
        <f>DM76/DL$75</f>
        <v>8.55072463768116</v>
      </c>
      <c r="DQ76" t="s">
        <v>87</v>
      </c>
      <c r="DR76" t="s">
        <v>88</v>
      </c>
      <c r="DS76">
        <f>属性晨星性价比!AM19</f>
        <v>5.9</v>
      </c>
      <c r="DT76">
        <f t="shared" ref="DT76:DT79" si="126">DS76/DR$75</f>
        <v>8.55072463768116</v>
      </c>
      <c r="FB76" s="52">
        <v>74</v>
      </c>
      <c r="FC76" s="112">
        <v>9480</v>
      </c>
      <c r="FD76" s="55">
        <f>SUM($FC$3:FC76)</f>
        <v>333660</v>
      </c>
    </row>
    <row r="77" spans="30:160">
      <c r="AD77">
        <v>76</v>
      </c>
      <c r="AE77">
        <v>240</v>
      </c>
      <c r="AF77">
        <f t="shared" si="107"/>
        <v>8040</v>
      </c>
      <c r="AG77" t="s">
        <v>117</v>
      </c>
      <c r="AH77" s="70">
        <v>0.02</v>
      </c>
      <c r="AI77" s="70">
        <f>COUNTIF(AG$1:AG77,AG77)*AH77</f>
        <v>0.38</v>
      </c>
      <c r="AU77">
        <v>75</v>
      </c>
      <c r="AV77">
        <v>360389</v>
      </c>
      <c r="AW77">
        <v>75</v>
      </c>
      <c r="AX77">
        <v>360389</v>
      </c>
      <c r="AY77">
        <v>75</v>
      </c>
      <c r="AZ77">
        <v>360389</v>
      </c>
      <c r="BR77" s="10"/>
      <c r="BS77" s="10"/>
      <c r="BT77" s="10"/>
      <c r="BU77" s="10"/>
      <c r="BV77" s="10"/>
      <c r="BW77" s="10"/>
      <c r="BX77" s="10"/>
      <c r="BY77" s="10"/>
      <c r="BZ77" s="10">
        <v>236</v>
      </c>
      <c r="CA77" s="10">
        <f t="shared" si="118"/>
        <v>45500</v>
      </c>
      <c r="CB77" s="10">
        <f t="shared" si="108"/>
        <v>91000</v>
      </c>
      <c r="CC77" s="10">
        <f t="shared" si="109"/>
        <v>546</v>
      </c>
      <c r="CD77" s="10">
        <f t="shared" si="110"/>
        <v>507</v>
      </c>
      <c r="CE77" s="10">
        <f t="shared" si="111"/>
        <v>96.6200146359312</v>
      </c>
      <c r="CF77" s="10"/>
      <c r="CG77" s="10">
        <v>236</v>
      </c>
      <c r="CH77" s="10">
        <f t="shared" si="123"/>
        <v>33645</v>
      </c>
      <c r="CI77" s="10">
        <v>0</v>
      </c>
      <c r="CJ77" s="10">
        <f t="shared" si="112"/>
        <v>269.16</v>
      </c>
      <c r="CK77" s="10">
        <f t="shared" si="113"/>
        <v>699.816</v>
      </c>
      <c r="CL77" s="10">
        <f t="shared" si="114"/>
        <v>145.795</v>
      </c>
      <c r="CM77" s="10"/>
      <c r="CN77" s="10"/>
      <c r="CO77" s="10"/>
      <c r="CP77" s="10"/>
      <c r="CQ77" s="10"/>
      <c r="CR77" s="10"/>
      <c r="CS77" s="10"/>
      <c r="CT77" s="10"/>
      <c r="CU77" s="10">
        <v>236</v>
      </c>
      <c r="CV77" s="10">
        <v>399050</v>
      </c>
      <c r="CW77" s="10">
        <v>0</v>
      </c>
      <c r="CX77" s="10">
        <f t="shared" si="115"/>
        <v>798.1</v>
      </c>
      <c r="CY77" s="10">
        <f t="shared" si="116"/>
        <v>1729.21666666667</v>
      </c>
      <c r="CZ77" s="10"/>
      <c r="DA77" s="10"/>
      <c r="DB77" s="10"/>
      <c r="DC77" s="10"/>
      <c r="DD77" s="31" t="s">
        <v>356</v>
      </c>
      <c r="DE77" s="32">
        <f>0.5*DE76</f>
        <v>0.0075</v>
      </c>
      <c r="DF77">
        <f>(10*$DO$4+2*$DO$7)</f>
        <v>230</v>
      </c>
      <c r="DG77" s="29">
        <f t="shared" si="125"/>
        <v>646.158168282062</v>
      </c>
      <c r="DH77" s="29">
        <f t="shared" si="122"/>
        <v>561.876668071358</v>
      </c>
      <c r="DL77" t="s">
        <v>89</v>
      </c>
      <c r="DM77">
        <f>属性晨星性价比!AI20</f>
        <v>5.9</v>
      </c>
      <c r="DN77">
        <f>DM77/DL$75</f>
        <v>8.55072463768116</v>
      </c>
      <c r="DR77" t="s">
        <v>89</v>
      </c>
      <c r="DS77">
        <f>属性晨星性价比!AM20</f>
        <v>5.9</v>
      </c>
      <c r="DT77">
        <f t="shared" si="126"/>
        <v>8.55072463768116</v>
      </c>
      <c r="FB77" s="52">
        <v>75</v>
      </c>
      <c r="FC77" s="112">
        <v>9660</v>
      </c>
      <c r="FD77" s="55">
        <f>SUM($FC$3:FC77)</f>
        <v>343320</v>
      </c>
    </row>
    <row r="78" spans="30:160">
      <c r="AD78">
        <v>77</v>
      </c>
      <c r="AE78">
        <v>260</v>
      </c>
      <c r="AF78">
        <f t="shared" ref="AF78:AF89" si="127">AF77+AE78</f>
        <v>8300</v>
      </c>
      <c r="AG78" t="s">
        <v>114</v>
      </c>
      <c r="AH78" s="70">
        <v>0.03</v>
      </c>
      <c r="AI78" s="70">
        <f>COUNTIF(AG$1:AG78,AG78)*AH78</f>
        <v>0.6</v>
      </c>
      <c r="AU78">
        <v>76</v>
      </c>
      <c r="AV78">
        <v>360701</v>
      </c>
      <c r="AW78">
        <v>76</v>
      </c>
      <c r="AX78">
        <v>360701</v>
      </c>
      <c r="AY78">
        <v>76</v>
      </c>
      <c r="AZ78">
        <v>360701</v>
      </c>
      <c r="BR78" s="10"/>
      <c r="BS78" s="10"/>
      <c r="BT78" s="10"/>
      <c r="BU78" s="10"/>
      <c r="BV78" s="10"/>
      <c r="BW78" s="10"/>
      <c r="BX78" s="10"/>
      <c r="BY78" s="10"/>
      <c r="BZ78" s="10">
        <v>237</v>
      </c>
      <c r="CA78" s="10">
        <f t="shared" si="118"/>
        <v>45760</v>
      </c>
      <c r="CB78" s="10">
        <f t="shared" si="108"/>
        <v>91520</v>
      </c>
      <c r="CC78" s="10">
        <f t="shared" si="109"/>
        <v>549.12</v>
      </c>
      <c r="CD78" s="10">
        <f t="shared" si="110"/>
        <v>509.897142857143</v>
      </c>
      <c r="CE78" s="10">
        <f t="shared" si="111"/>
        <v>97.1721290052794</v>
      </c>
      <c r="CF78" s="10"/>
      <c r="CG78" s="10">
        <v>237</v>
      </c>
      <c r="CH78" s="10">
        <f t="shared" si="124"/>
        <v>33840</v>
      </c>
      <c r="CI78" s="10">
        <v>0</v>
      </c>
      <c r="CJ78" s="10">
        <f t="shared" si="112"/>
        <v>270.72</v>
      </c>
      <c r="CK78" s="10">
        <f t="shared" si="113"/>
        <v>703.872</v>
      </c>
      <c r="CL78" s="10">
        <f t="shared" si="114"/>
        <v>146.64</v>
      </c>
      <c r="CM78" s="10"/>
      <c r="CN78" s="10"/>
      <c r="CO78" s="10"/>
      <c r="CP78" s="10"/>
      <c r="CQ78" s="10"/>
      <c r="CR78" s="10"/>
      <c r="CS78" s="10"/>
      <c r="CT78" s="10"/>
      <c r="CU78" s="10">
        <v>237</v>
      </c>
      <c r="CV78" s="10">
        <v>400800</v>
      </c>
      <c r="CW78" s="10">
        <v>0</v>
      </c>
      <c r="CX78" s="10">
        <f t="shared" si="115"/>
        <v>801.6</v>
      </c>
      <c r="CY78" s="10">
        <f t="shared" si="116"/>
        <v>1736.8</v>
      </c>
      <c r="CZ78" s="10"/>
      <c r="DA78" s="10"/>
      <c r="DB78" s="10"/>
      <c r="DC78" s="10"/>
      <c r="DD78" t="s">
        <v>357</v>
      </c>
      <c r="DE78" s="32">
        <f>0.2*DE76</f>
        <v>0.003</v>
      </c>
      <c r="DF78">
        <f>(10*$DO$4+2*$DO$7)</f>
        <v>230</v>
      </c>
      <c r="DG78" s="29">
        <f t="shared" si="125"/>
        <v>1615.39542070515</v>
      </c>
      <c r="DH78" s="29">
        <f t="shared" si="122"/>
        <v>1404.6916701784</v>
      </c>
      <c r="DL78" t="s">
        <v>90</v>
      </c>
      <c r="DM78">
        <f>属性晨星性价比!AI21</f>
        <v>29.5</v>
      </c>
      <c r="DN78">
        <f>DM78/DL$75</f>
        <v>42.7536231884058</v>
      </c>
      <c r="DR78" t="s">
        <v>90</v>
      </c>
      <c r="DS78">
        <f>属性晨星性价比!AM21</f>
        <v>29.5</v>
      </c>
      <c r="DT78">
        <f t="shared" si="126"/>
        <v>42.7536231884058</v>
      </c>
      <c r="FB78" s="52">
        <v>76</v>
      </c>
      <c r="FC78" s="112">
        <v>9840</v>
      </c>
      <c r="FD78" s="55">
        <f>SUM($FC$3:FC78)</f>
        <v>353160</v>
      </c>
    </row>
    <row r="79" spans="30:160">
      <c r="AD79">
        <v>78</v>
      </c>
      <c r="AE79">
        <v>260</v>
      </c>
      <c r="AF79">
        <f t="shared" si="127"/>
        <v>8560</v>
      </c>
      <c r="AG79" t="s">
        <v>115</v>
      </c>
      <c r="AH79" s="70">
        <v>0.05</v>
      </c>
      <c r="AI79" s="70">
        <f>COUNTIF(AG$1:AG79,AG79)*AH79</f>
        <v>1</v>
      </c>
      <c r="AU79">
        <v>77</v>
      </c>
      <c r="AV79">
        <v>362826</v>
      </c>
      <c r="AW79">
        <v>77</v>
      </c>
      <c r="AX79">
        <v>362826</v>
      </c>
      <c r="AY79">
        <v>77</v>
      </c>
      <c r="AZ79">
        <v>362826</v>
      </c>
      <c r="BR79" s="10"/>
      <c r="BS79" s="10"/>
      <c r="BT79" s="10"/>
      <c r="BU79" s="10"/>
      <c r="BV79" s="10"/>
      <c r="BW79" s="10"/>
      <c r="BX79" s="10"/>
      <c r="BY79" s="10"/>
      <c r="BZ79" s="10">
        <v>238</v>
      </c>
      <c r="CA79" s="10">
        <f t="shared" si="118"/>
        <v>46020</v>
      </c>
      <c r="CB79" s="10">
        <f t="shared" si="108"/>
        <v>92040</v>
      </c>
      <c r="CC79" s="10">
        <f t="shared" si="109"/>
        <v>552.24</v>
      </c>
      <c r="CD79" s="10">
        <f t="shared" si="110"/>
        <v>512.794285714286</v>
      </c>
      <c r="CE79" s="10">
        <f t="shared" si="111"/>
        <v>97.7242433746276</v>
      </c>
      <c r="CF79" s="10"/>
      <c r="CG79" s="10">
        <v>238</v>
      </c>
      <c r="CH79" s="10">
        <f t="shared" si="123"/>
        <v>34030</v>
      </c>
      <c r="CI79" s="10">
        <v>0</v>
      </c>
      <c r="CJ79" s="10">
        <f t="shared" si="112"/>
        <v>272.24</v>
      </c>
      <c r="CK79" s="10">
        <f t="shared" si="113"/>
        <v>707.824</v>
      </c>
      <c r="CL79" s="10">
        <f t="shared" si="114"/>
        <v>147.463333333333</v>
      </c>
      <c r="CM79" s="10"/>
      <c r="CN79" s="10"/>
      <c r="CO79" s="10"/>
      <c r="CP79" s="10"/>
      <c r="CQ79" s="10"/>
      <c r="CR79" s="10"/>
      <c r="CS79" s="10"/>
      <c r="CT79" s="10"/>
      <c r="CU79" s="10">
        <v>238</v>
      </c>
      <c r="CV79" s="10">
        <v>402600</v>
      </c>
      <c r="CW79" s="10">
        <v>0</v>
      </c>
      <c r="CX79" s="10">
        <f t="shared" si="115"/>
        <v>805.2</v>
      </c>
      <c r="CY79" s="10">
        <f t="shared" si="116"/>
        <v>1744.6</v>
      </c>
      <c r="CZ79" s="10"/>
      <c r="DA79" s="10"/>
      <c r="DB79" s="10"/>
      <c r="DC79" s="10"/>
      <c r="DD79" t="s">
        <v>358</v>
      </c>
      <c r="DE79" s="32">
        <f>0.05*DE76</f>
        <v>0.00075</v>
      </c>
      <c r="DF79">
        <f>(10*$DO$4+2*$DO$7)</f>
        <v>230</v>
      </c>
      <c r="DG79" s="29">
        <f t="shared" si="125"/>
        <v>6461.58168282062</v>
      </c>
      <c r="DH79" s="29">
        <f t="shared" si="122"/>
        <v>5618.76668071358</v>
      </c>
      <c r="DL79" t="s">
        <v>91</v>
      </c>
      <c r="DM79">
        <f>属性晨星性价比!AI22</f>
        <v>4.72</v>
      </c>
      <c r="DN79">
        <f>DM79/DL$75</f>
        <v>6.84057971014493</v>
      </c>
      <c r="DR79" t="s">
        <v>91</v>
      </c>
      <c r="DS79">
        <f>属性晨星性价比!AM22</f>
        <v>4.72</v>
      </c>
      <c r="DT79">
        <f t="shared" si="126"/>
        <v>6.84057971014493</v>
      </c>
      <c r="FB79" s="52">
        <v>77</v>
      </c>
      <c r="FC79" s="112">
        <v>10020</v>
      </c>
      <c r="FD79" s="55">
        <f>SUM($FC$3:FC79)</f>
        <v>363180</v>
      </c>
    </row>
    <row r="80" spans="30:160">
      <c r="AD80">
        <v>79</v>
      </c>
      <c r="AE80">
        <v>260</v>
      </c>
      <c r="AF80">
        <f t="shared" si="127"/>
        <v>8820</v>
      </c>
      <c r="AG80" t="s">
        <v>116</v>
      </c>
      <c r="AH80" s="70">
        <v>0.02</v>
      </c>
      <c r="AI80" s="70">
        <f>COUNTIF(AG$1:AG80,AG80)*AH80</f>
        <v>0.4</v>
      </c>
      <c r="AU80">
        <v>78</v>
      </c>
      <c r="AV80">
        <v>378632</v>
      </c>
      <c r="AW80">
        <v>78</v>
      </c>
      <c r="AX80">
        <v>378632</v>
      </c>
      <c r="AY80">
        <v>78</v>
      </c>
      <c r="AZ80">
        <v>378632</v>
      </c>
      <c r="BR80" s="10"/>
      <c r="BS80" s="10"/>
      <c r="BT80" s="10"/>
      <c r="BU80" s="10"/>
      <c r="BV80" s="10"/>
      <c r="BW80" s="10"/>
      <c r="BX80" s="10"/>
      <c r="BY80" s="10"/>
      <c r="BZ80" s="10">
        <v>239</v>
      </c>
      <c r="CA80" s="10">
        <f t="shared" si="118"/>
        <v>46280</v>
      </c>
      <c r="CB80" s="10">
        <f t="shared" si="108"/>
        <v>92560</v>
      </c>
      <c r="CC80" s="10">
        <f t="shared" si="109"/>
        <v>555.36</v>
      </c>
      <c r="CD80" s="10">
        <f t="shared" si="110"/>
        <v>515.691428571429</v>
      </c>
      <c r="CE80" s="10">
        <f t="shared" si="111"/>
        <v>98.2763577439757</v>
      </c>
      <c r="CF80" s="10"/>
      <c r="CG80" s="10">
        <v>239</v>
      </c>
      <c r="CH80" s="10">
        <f t="shared" si="124"/>
        <v>34225</v>
      </c>
      <c r="CI80" s="10">
        <v>0</v>
      </c>
      <c r="CJ80" s="10">
        <f t="shared" si="112"/>
        <v>273.8</v>
      </c>
      <c r="CK80" s="10">
        <f t="shared" si="113"/>
        <v>711.88</v>
      </c>
      <c r="CL80" s="10">
        <f t="shared" si="114"/>
        <v>148.308333333333</v>
      </c>
      <c r="CM80" s="10"/>
      <c r="CN80" s="10"/>
      <c r="CO80" s="10"/>
      <c r="CP80" s="10"/>
      <c r="CQ80" s="10"/>
      <c r="CR80" s="10"/>
      <c r="CS80" s="10"/>
      <c r="CT80" s="10"/>
      <c r="CU80" s="10">
        <v>239</v>
      </c>
      <c r="CV80" s="10">
        <v>404350</v>
      </c>
      <c r="CW80" s="10">
        <v>0</v>
      </c>
      <c r="CX80" s="10">
        <f t="shared" si="115"/>
        <v>808.7</v>
      </c>
      <c r="CY80" s="10">
        <f t="shared" si="116"/>
        <v>1752.18333333333</v>
      </c>
      <c r="CZ80" s="10"/>
      <c r="DA80" s="10"/>
      <c r="DB80" s="10"/>
      <c r="DC80" s="10"/>
      <c r="DH80" s="29"/>
      <c r="FB80" s="52">
        <v>78</v>
      </c>
      <c r="FC80" s="112">
        <v>10230</v>
      </c>
      <c r="FD80" s="55">
        <f>SUM($FC$3:FC80)</f>
        <v>373410</v>
      </c>
    </row>
    <row r="81" spans="30:160">
      <c r="AD81">
        <v>80</v>
      </c>
      <c r="AE81">
        <v>260</v>
      </c>
      <c r="AF81">
        <f t="shared" si="127"/>
        <v>9080</v>
      </c>
      <c r="AG81" t="s">
        <v>117</v>
      </c>
      <c r="AH81" s="70">
        <v>0.02</v>
      </c>
      <c r="AI81" s="70">
        <f>COUNTIF(AG$1:AG81,AG81)*AH81</f>
        <v>0.4</v>
      </c>
      <c r="AU81">
        <v>79</v>
      </c>
      <c r="AV81">
        <v>379059</v>
      </c>
      <c r="AW81">
        <v>79</v>
      </c>
      <c r="AX81">
        <v>379059</v>
      </c>
      <c r="AY81">
        <v>79</v>
      </c>
      <c r="AZ81">
        <v>379059</v>
      </c>
      <c r="BR81" s="10"/>
      <c r="BS81" s="10"/>
      <c r="BT81" s="10"/>
      <c r="BU81" s="10"/>
      <c r="BV81" s="10"/>
      <c r="BW81" s="10"/>
      <c r="BX81" s="10"/>
      <c r="BY81" s="10"/>
      <c r="BZ81" s="10">
        <v>240</v>
      </c>
      <c r="CA81" s="10">
        <f t="shared" si="118"/>
        <v>46540</v>
      </c>
      <c r="CB81" s="10">
        <f t="shared" si="108"/>
        <v>93080</v>
      </c>
      <c r="CC81" s="10">
        <f t="shared" si="109"/>
        <v>558.48</v>
      </c>
      <c r="CD81" s="10">
        <f t="shared" si="110"/>
        <v>518.588571428571</v>
      </c>
      <c r="CE81" s="10">
        <f t="shared" si="111"/>
        <v>98.828472113324</v>
      </c>
      <c r="CF81" s="10"/>
      <c r="CG81" s="10">
        <v>240</v>
      </c>
      <c r="CH81" s="10">
        <f t="shared" ref="CH81:CH85" si="128">CH80+190</f>
        <v>34415</v>
      </c>
      <c r="CI81" s="10">
        <v>0</v>
      </c>
      <c r="CJ81" s="10">
        <f t="shared" si="112"/>
        <v>275.32</v>
      </c>
      <c r="CK81" s="10">
        <f t="shared" si="113"/>
        <v>715.832</v>
      </c>
      <c r="CL81" s="10">
        <f t="shared" si="114"/>
        <v>149.131666666667</v>
      </c>
      <c r="CM81" s="10"/>
      <c r="CN81" s="10"/>
      <c r="CO81" s="10"/>
      <c r="CP81" s="10"/>
      <c r="CQ81" s="10"/>
      <c r="CR81" s="10"/>
      <c r="CS81" s="10"/>
      <c r="CT81" s="10"/>
      <c r="CU81" s="10">
        <v>240</v>
      </c>
      <c r="CV81" s="10">
        <v>406150</v>
      </c>
      <c r="CW81" s="10">
        <v>0</v>
      </c>
      <c r="CX81" s="10">
        <f t="shared" si="115"/>
        <v>812.3</v>
      </c>
      <c r="CY81" s="10">
        <f t="shared" si="116"/>
        <v>1759.98333333333</v>
      </c>
      <c r="CZ81" s="10"/>
      <c r="DA81" s="10"/>
      <c r="DB81" s="10"/>
      <c r="DC81" s="10"/>
      <c r="DD81" t="s">
        <v>363</v>
      </c>
      <c r="DE81" t="s">
        <v>163</v>
      </c>
      <c r="DF81" t="s">
        <v>354</v>
      </c>
      <c r="DG81" t="s">
        <v>281</v>
      </c>
      <c r="DH81" s="29" t="s">
        <v>361</v>
      </c>
      <c r="FB81" s="52">
        <v>79</v>
      </c>
      <c r="FC81" s="112">
        <v>10440</v>
      </c>
      <c r="FD81" s="55">
        <f>SUM($FC$3:FC81)</f>
        <v>383850</v>
      </c>
    </row>
    <row r="82" spans="30:160">
      <c r="AD82">
        <v>81</v>
      </c>
      <c r="AE82">
        <v>280</v>
      </c>
      <c r="AF82">
        <f t="shared" si="127"/>
        <v>9360</v>
      </c>
      <c r="AG82" t="s">
        <v>114</v>
      </c>
      <c r="AH82" s="70">
        <v>0.03</v>
      </c>
      <c r="AI82" s="70">
        <f>COUNTIF(AG$1:AG82,AG82)*AH82</f>
        <v>0.63</v>
      </c>
      <c r="AU82">
        <v>80</v>
      </c>
      <c r="AV82">
        <v>408765</v>
      </c>
      <c r="AW82">
        <v>80</v>
      </c>
      <c r="AX82">
        <v>408765</v>
      </c>
      <c r="AY82">
        <v>80</v>
      </c>
      <c r="AZ82">
        <v>408765</v>
      </c>
      <c r="BR82" s="10"/>
      <c r="BS82" s="10"/>
      <c r="BT82" s="10"/>
      <c r="BU82" s="10"/>
      <c r="BV82" s="10"/>
      <c r="BW82" s="10"/>
      <c r="BX82" s="10"/>
      <c r="BY82" s="10"/>
      <c r="BZ82" s="10">
        <v>241</v>
      </c>
      <c r="CA82" s="10">
        <f t="shared" si="118"/>
        <v>46800</v>
      </c>
      <c r="CB82" s="10">
        <f t="shared" si="108"/>
        <v>93600</v>
      </c>
      <c r="CC82" s="10">
        <f t="shared" si="109"/>
        <v>561.6</v>
      </c>
      <c r="CD82" s="10">
        <f t="shared" si="110"/>
        <v>521.485714285714</v>
      </c>
      <c r="CE82" s="10">
        <f t="shared" si="111"/>
        <v>99.3805864826721</v>
      </c>
      <c r="CF82" s="10"/>
      <c r="CG82" s="10">
        <v>241</v>
      </c>
      <c r="CH82" s="10">
        <f>CH81+195-5</f>
        <v>34605</v>
      </c>
      <c r="CI82" s="10">
        <v>0</v>
      </c>
      <c r="CJ82" s="10">
        <f t="shared" si="112"/>
        <v>276.84</v>
      </c>
      <c r="CK82" s="10">
        <f t="shared" si="113"/>
        <v>719.784</v>
      </c>
      <c r="CL82" s="10">
        <f t="shared" si="114"/>
        <v>149.955</v>
      </c>
      <c r="CM82" s="10"/>
      <c r="CN82" s="10"/>
      <c r="CO82" s="10"/>
      <c r="CP82" s="10"/>
      <c r="CQ82" s="10"/>
      <c r="CR82" s="10"/>
      <c r="CS82" s="10"/>
      <c r="CT82" s="10"/>
      <c r="CU82" s="10">
        <v>241</v>
      </c>
      <c r="CV82" s="10">
        <v>407900</v>
      </c>
      <c r="CW82" s="10">
        <v>0</v>
      </c>
      <c r="CX82" s="10">
        <f t="shared" si="115"/>
        <v>815.8</v>
      </c>
      <c r="CY82" s="10">
        <f t="shared" si="116"/>
        <v>1767.56666666667</v>
      </c>
      <c r="CZ82" s="10"/>
      <c r="DA82" s="10"/>
      <c r="DB82" s="10"/>
      <c r="DC82" s="10"/>
      <c r="DD82" s="31" t="s">
        <v>355</v>
      </c>
      <c r="DE82" s="32">
        <v>0.03</v>
      </c>
      <c r="DF82">
        <f>10*$DO$5</f>
        <v>450</v>
      </c>
      <c r="DG82" s="29">
        <f t="shared" ref="DG82:DG85" si="129">DF82/(DE82*MAX(DP$17*2.5,DP$18*2.5,DP$19*0.5,DP$20*3.125))</f>
        <v>316.055625790139</v>
      </c>
      <c r="DH82" s="29">
        <f>600/(DE82*MAX(DP$17*2.5,DP$18*2.5,DP$19*0.5,DP$20*3.125))</f>
        <v>421.407501053519</v>
      </c>
      <c r="DK82" t="s">
        <v>137</v>
      </c>
      <c r="DQ82" t="s">
        <v>137</v>
      </c>
      <c r="FB82" s="52">
        <v>80</v>
      </c>
      <c r="FC82" s="112">
        <v>10650</v>
      </c>
      <c r="FD82" s="55">
        <f>SUM($FC$3:FC82)</f>
        <v>394500</v>
      </c>
    </row>
    <row r="83" spans="30:160">
      <c r="AD83">
        <v>82</v>
      </c>
      <c r="AE83">
        <v>280</v>
      </c>
      <c r="AF83">
        <f t="shared" si="127"/>
        <v>9640</v>
      </c>
      <c r="AG83" t="s">
        <v>115</v>
      </c>
      <c r="AH83" s="70">
        <v>0.05</v>
      </c>
      <c r="AI83" s="70">
        <f>COUNTIF(AG$1:AG83,AG83)*AH83</f>
        <v>1.05</v>
      </c>
      <c r="AU83">
        <v>81</v>
      </c>
      <c r="AV83">
        <v>440713</v>
      </c>
      <c r="AW83">
        <v>81</v>
      </c>
      <c r="AX83">
        <v>440713</v>
      </c>
      <c r="AY83">
        <v>81</v>
      </c>
      <c r="AZ83">
        <v>440713</v>
      </c>
      <c r="BR83" s="10"/>
      <c r="BS83" s="10"/>
      <c r="BT83" s="10"/>
      <c r="BU83" s="10"/>
      <c r="BV83" s="10"/>
      <c r="BW83" s="10"/>
      <c r="BX83" s="10"/>
      <c r="BY83" s="10"/>
      <c r="BZ83" s="10">
        <v>242</v>
      </c>
      <c r="CA83" s="10">
        <f t="shared" si="118"/>
        <v>47060</v>
      </c>
      <c r="CB83" s="10">
        <f t="shared" si="108"/>
        <v>94120</v>
      </c>
      <c r="CC83" s="10">
        <f t="shared" si="109"/>
        <v>564.72</v>
      </c>
      <c r="CD83" s="10">
        <f t="shared" si="110"/>
        <v>524.382857142857</v>
      </c>
      <c r="CE83" s="10">
        <f t="shared" si="111"/>
        <v>99.9327008520203</v>
      </c>
      <c r="CF83" s="10"/>
      <c r="CG83" s="10">
        <v>242</v>
      </c>
      <c r="CH83" s="10">
        <f t="shared" si="128"/>
        <v>34795</v>
      </c>
      <c r="CI83" s="10">
        <v>0</v>
      </c>
      <c r="CJ83" s="10">
        <f t="shared" si="112"/>
        <v>278.36</v>
      </c>
      <c r="CK83" s="10">
        <f t="shared" si="113"/>
        <v>723.736</v>
      </c>
      <c r="CL83" s="10">
        <f t="shared" si="114"/>
        <v>150.778333333333</v>
      </c>
      <c r="CM83" s="10"/>
      <c r="CN83" s="10"/>
      <c r="CO83" s="10"/>
      <c r="CP83" s="10"/>
      <c r="CQ83" s="10"/>
      <c r="CR83" s="10"/>
      <c r="CS83" s="10"/>
      <c r="CT83" s="10"/>
      <c r="CU83" s="10">
        <v>242</v>
      </c>
      <c r="CV83" s="10">
        <v>409700</v>
      </c>
      <c r="CW83" s="10">
        <v>0</v>
      </c>
      <c r="CX83" s="10">
        <f t="shared" si="115"/>
        <v>819.4</v>
      </c>
      <c r="CY83" s="10">
        <f t="shared" si="116"/>
        <v>1775.36666666667</v>
      </c>
      <c r="CZ83" s="10"/>
      <c r="DA83" s="10"/>
      <c r="DB83" s="10"/>
      <c r="DC83" s="10"/>
      <c r="DD83" s="31" t="s">
        <v>356</v>
      </c>
      <c r="DE83" s="32">
        <f>0.5*DE82</f>
        <v>0.015</v>
      </c>
      <c r="DF83">
        <f>10*$DO$5</f>
        <v>450</v>
      </c>
      <c r="DG83" s="29">
        <f t="shared" si="129"/>
        <v>632.111251580278</v>
      </c>
      <c r="DH83" s="29">
        <f t="shared" ref="DH83:DH91" si="130">600/(DE83*MAX(DP$17*2.5,DP$18*2.5,DP$19*0.5,DP$20*3.125))</f>
        <v>842.815002107037</v>
      </c>
      <c r="DK83" t="s">
        <v>174</v>
      </c>
      <c r="DM83" s="16"/>
      <c r="DQ83" t="s">
        <v>174</v>
      </c>
      <c r="DS83" s="16"/>
      <c r="FB83" s="52">
        <v>81</v>
      </c>
      <c r="FC83" s="112">
        <v>10860</v>
      </c>
      <c r="FD83" s="55">
        <f>SUM($FC$3:FC83)</f>
        <v>405360</v>
      </c>
    </row>
    <row r="84" spans="30:160">
      <c r="AD84">
        <v>83</v>
      </c>
      <c r="AE84">
        <v>280</v>
      </c>
      <c r="AF84">
        <f t="shared" si="127"/>
        <v>9920</v>
      </c>
      <c r="AG84" t="s">
        <v>116</v>
      </c>
      <c r="AH84" s="70">
        <v>0.02</v>
      </c>
      <c r="AI84" s="70">
        <f>COUNTIF(AG$1:AG84,AG84)*AH84</f>
        <v>0.42</v>
      </c>
      <c r="AU84">
        <v>82</v>
      </c>
      <c r="AV84">
        <v>464670</v>
      </c>
      <c r="AW84">
        <v>82</v>
      </c>
      <c r="AX84">
        <v>464670</v>
      </c>
      <c r="AY84">
        <v>82</v>
      </c>
      <c r="AZ84">
        <v>464670</v>
      </c>
      <c r="BR84" s="10"/>
      <c r="BS84" s="10"/>
      <c r="BT84" s="10"/>
      <c r="BU84" s="10"/>
      <c r="BV84" s="10"/>
      <c r="BW84" s="10"/>
      <c r="BX84" s="10"/>
      <c r="BY84" s="10"/>
      <c r="BZ84" s="10">
        <v>243</v>
      </c>
      <c r="CA84" s="10">
        <f t="shared" si="118"/>
        <v>47320</v>
      </c>
      <c r="CB84" s="10">
        <f t="shared" si="108"/>
        <v>94640</v>
      </c>
      <c r="CC84" s="10">
        <f t="shared" si="109"/>
        <v>567.84</v>
      </c>
      <c r="CD84" s="10">
        <f t="shared" si="110"/>
        <v>527.28</v>
      </c>
      <c r="CE84" s="10">
        <f t="shared" si="111"/>
        <v>100.484815221368</v>
      </c>
      <c r="CF84" s="10"/>
      <c r="CG84" s="10">
        <v>243</v>
      </c>
      <c r="CH84" s="10">
        <f t="shared" ref="CH84:CH88" si="131">CH83+195</f>
        <v>34990</v>
      </c>
      <c r="CI84" s="10">
        <v>0</v>
      </c>
      <c r="CJ84" s="10">
        <f t="shared" si="112"/>
        <v>279.92</v>
      </c>
      <c r="CK84" s="10">
        <f t="shared" si="113"/>
        <v>727.792</v>
      </c>
      <c r="CL84" s="10">
        <f t="shared" si="114"/>
        <v>151.623333333333</v>
      </c>
      <c r="CM84" s="10"/>
      <c r="CN84" s="10"/>
      <c r="CO84" s="10"/>
      <c r="CP84" s="10"/>
      <c r="CQ84" s="10"/>
      <c r="CR84" s="10"/>
      <c r="CS84" s="10"/>
      <c r="CT84" s="10"/>
      <c r="CU84" s="10">
        <v>243</v>
      </c>
      <c r="CV84" s="10">
        <v>411450</v>
      </c>
      <c r="CW84" s="10">
        <v>0</v>
      </c>
      <c r="CX84" s="10">
        <f t="shared" si="115"/>
        <v>822.9</v>
      </c>
      <c r="CY84" s="10">
        <f t="shared" si="116"/>
        <v>1782.95</v>
      </c>
      <c r="CZ84" s="10"/>
      <c r="DA84" s="10"/>
      <c r="DB84" s="10"/>
      <c r="DC84" s="10"/>
      <c r="DD84" t="s">
        <v>357</v>
      </c>
      <c r="DE84" s="32">
        <f>0.2*DE82</f>
        <v>0.006</v>
      </c>
      <c r="DF84">
        <f>10*$DO$5</f>
        <v>450</v>
      </c>
      <c r="DG84" s="29">
        <f t="shared" si="129"/>
        <v>1580.27812895069</v>
      </c>
      <c r="DH84" s="29">
        <f t="shared" si="130"/>
        <v>2107.03750526759</v>
      </c>
      <c r="DJ84" s="17"/>
      <c r="DL84" t="s">
        <v>278</v>
      </c>
      <c r="DM84" t="s">
        <v>279</v>
      </c>
      <c r="DN84" t="s">
        <v>280</v>
      </c>
      <c r="DP84" s="17"/>
      <c r="DR84" t="s">
        <v>278</v>
      </c>
      <c r="DS84" t="s">
        <v>279</v>
      </c>
      <c r="DT84" t="s">
        <v>280</v>
      </c>
      <c r="FB84" s="52">
        <v>82</v>
      </c>
      <c r="FC84" s="112">
        <v>11070</v>
      </c>
      <c r="FD84" s="55">
        <f>SUM($FC$3:FC84)</f>
        <v>416430</v>
      </c>
    </row>
    <row r="85" spans="30:160">
      <c r="AD85">
        <v>84</v>
      </c>
      <c r="AE85">
        <v>280</v>
      </c>
      <c r="AF85">
        <f t="shared" si="127"/>
        <v>10200</v>
      </c>
      <c r="AG85" t="s">
        <v>117</v>
      </c>
      <c r="AH85" s="70">
        <v>0.02</v>
      </c>
      <c r="AI85" s="70">
        <f>COUNTIF(AG$1:AG85,AG85)*AH85</f>
        <v>0.42</v>
      </c>
      <c r="AU85">
        <v>83</v>
      </c>
      <c r="AV85">
        <v>467234</v>
      </c>
      <c r="AW85">
        <v>83</v>
      </c>
      <c r="AX85">
        <v>467234</v>
      </c>
      <c r="AY85">
        <v>83</v>
      </c>
      <c r="AZ85">
        <v>467234</v>
      </c>
      <c r="BR85" s="10"/>
      <c r="BS85" s="10"/>
      <c r="BT85" s="10"/>
      <c r="BU85" s="10"/>
      <c r="BV85" s="10"/>
      <c r="BW85" s="10"/>
      <c r="BX85" s="10"/>
      <c r="BY85" s="10"/>
      <c r="BZ85" s="10">
        <v>244</v>
      </c>
      <c r="CA85" s="10">
        <f t="shared" si="118"/>
        <v>47580</v>
      </c>
      <c r="CB85" s="10">
        <f t="shared" si="108"/>
        <v>95160</v>
      </c>
      <c r="CC85" s="10">
        <f t="shared" si="109"/>
        <v>570.96</v>
      </c>
      <c r="CD85" s="10">
        <f t="shared" si="110"/>
        <v>530.177142857143</v>
      </c>
      <c r="CE85" s="10">
        <f t="shared" si="111"/>
        <v>101.036929590717</v>
      </c>
      <c r="CF85" s="10"/>
      <c r="CG85" s="10">
        <v>244</v>
      </c>
      <c r="CH85" s="10">
        <f t="shared" si="128"/>
        <v>35180</v>
      </c>
      <c r="CI85" s="10">
        <v>0</v>
      </c>
      <c r="CJ85" s="10">
        <f t="shared" si="112"/>
        <v>281.44</v>
      </c>
      <c r="CK85" s="10">
        <f t="shared" si="113"/>
        <v>731.744</v>
      </c>
      <c r="CL85" s="10">
        <f t="shared" si="114"/>
        <v>152.446666666667</v>
      </c>
      <c r="CM85" s="10"/>
      <c r="CN85" s="10"/>
      <c r="CO85" s="10"/>
      <c r="CP85" s="10"/>
      <c r="CQ85" s="10"/>
      <c r="CR85" s="10"/>
      <c r="CS85" s="10"/>
      <c r="CT85" s="10"/>
      <c r="CU85" s="10">
        <v>244</v>
      </c>
      <c r="CV85" s="10">
        <v>413250</v>
      </c>
      <c r="CW85" s="10">
        <v>0</v>
      </c>
      <c r="CX85" s="10">
        <f t="shared" si="115"/>
        <v>826.5</v>
      </c>
      <c r="CY85" s="10">
        <f t="shared" si="116"/>
        <v>1790.75</v>
      </c>
      <c r="CZ85" s="10"/>
      <c r="DA85" s="10"/>
      <c r="DB85" s="10"/>
      <c r="DC85" s="10"/>
      <c r="DD85" t="s">
        <v>358</v>
      </c>
      <c r="DE85" s="32">
        <f>0.05*DE82</f>
        <v>0.0015</v>
      </c>
      <c r="DF85">
        <f>10*$DO$5</f>
        <v>450</v>
      </c>
      <c r="DG85" s="29">
        <f t="shared" si="129"/>
        <v>6321.11251580278</v>
      </c>
      <c r="DH85" s="29">
        <f t="shared" si="130"/>
        <v>8428.15002107037</v>
      </c>
      <c r="DK85" t="s">
        <v>286</v>
      </c>
      <c r="DL85">
        <f>SUM($DH$29*2.5,$DM$29*2.5,$DR$29*0.5,$DW$29*3.125)</f>
        <v>5155</v>
      </c>
      <c r="DM85" s="115">
        <f>10000*($DI29*DN$76*2.5+$DN29*DN$77*2.5+$DS29*DN$78*0.5+$DX29*DN$79*3.125)</f>
        <v>192391.304347826</v>
      </c>
      <c r="DN85">
        <v>570</v>
      </c>
      <c r="DQ85" t="s">
        <v>286</v>
      </c>
      <c r="DR85">
        <f>SUM($DH$29*2.5,$DM$29*2.5,$DR$29*0.5,$DW$29*3.125)</f>
        <v>5155</v>
      </c>
      <c r="DS85" s="115">
        <f t="shared" ref="DS85:DS92" si="132">10000*($DI29*DT$76*2.5+$DN29*DT$77*2.5+$DS29*DT$78*0.5+$DX29*DT$79*3.125)</f>
        <v>192391.304347826</v>
      </c>
      <c r="DT85">
        <v>570</v>
      </c>
      <c r="FB85" s="52">
        <v>83</v>
      </c>
      <c r="FC85" s="112">
        <v>11280</v>
      </c>
      <c r="FD85" s="55">
        <f>SUM($FC$3:FC85)</f>
        <v>427710</v>
      </c>
    </row>
    <row r="86" spans="30:160">
      <c r="AD86">
        <v>85</v>
      </c>
      <c r="AE86">
        <v>300</v>
      </c>
      <c r="AF86">
        <f t="shared" si="127"/>
        <v>10500</v>
      </c>
      <c r="AG86" t="s">
        <v>114</v>
      </c>
      <c r="AH86" s="70">
        <v>0.03</v>
      </c>
      <c r="AI86" s="70">
        <f>COUNTIF(AG$1:AG86,AG86)*AH86</f>
        <v>0.66</v>
      </c>
      <c r="AU86">
        <v>84</v>
      </c>
      <c r="AV86">
        <v>477970</v>
      </c>
      <c r="AW86">
        <v>84</v>
      </c>
      <c r="AX86">
        <v>477970</v>
      </c>
      <c r="AY86">
        <v>84</v>
      </c>
      <c r="AZ86">
        <v>477970</v>
      </c>
      <c r="BR86" s="10"/>
      <c r="BS86" s="10"/>
      <c r="BT86" s="10"/>
      <c r="BU86" s="10"/>
      <c r="BV86" s="10"/>
      <c r="BW86" s="10"/>
      <c r="BX86" s="10"/>
      <c r="BY86" s="10"/>
      <c r="BZ86" s="10">
        <v>245</v>
      </c>
      <c r="CA86" s="10">
        <f t="shared" si="118"/>
        <v>47840</v>
      </c>
      <c r="CB86" s="10">
        <f t="shared" si="108"/>
        <v>95680</v>
      </c>
      <c r="CC86" s="10">
        <f t="shared" si="109"/>
        <v>574.08</v>
      </c>
      <c r="CD86" s="10">
        <f t="shared" si="110"/>
        <v>533.074285714286</v>
      </c>
      <c r="CE86" s="10">
        <f t="shared" si="111"/>
        <v>101.589043960065</v>
      </c>
      <c r="CF86" s="10"/>
      <c r="CG86" s="10">
        <v>245</v>
      </c>
      <c r="CH86" s="10">
        <f t="shared" si="131"/>
        <v>35375</v>
      </c>
      <c r="CI86" s="10">
        <v>0</v>
      </c>
      <c r="CJ86" s="10">
        <f t="shared" si="112"/>
        <v>283</v>
      </c>
      <c r="CK86" s="10">
        <f t="shared" si="113"/>
        <v>735.8</v>
      </c>
      <c r="CL86" s="10">
        <f t="shared" si="114"/>
        <v>153.291666666667</v>
      </c>
      <c r="CM86" s="10"/>
      <c r="CN86" s="10"/>
      <c r="CO86" s="10"/>
      <c r="CP86" s="10"/>
      <c r="CQ86" s="10"/>
      <c r="CR86" s="10"/>
      <c r="CS86" s="10"/>
      <c r="CT86" s="10"/>
      <c r="CU86" s="10">
        <v>245</v>
      </c>
      <c r="CV86" s="10">
        <v>415000</v>
      </c>
      <c r="CW86" s="10">
        <v>0</v>
      </c>
      <c r="CX86" s="10">
        <f t="shared" si="115"/>
        <v>830</v>
      </c>
      <c r="CY86" s="10">
        <f t="shared" si="116"/>
        <v>1798.33333333333</v>
      </c>
      <c r="CZ86" s="10"/>
      <c r="DA86" s="10"/>
      <c r="DB86" s="10"/>
      <c r="DC86" s="10"/>
      <c r="DH86" s="29"/>
      <c r="DK86" t="s">
        <v>295</v>
      </c>
      <c r="DL86">
        <f>SUM($DH$30*2.5,$DM$30*2.5,$DR$30*0.5,$DW$30*3.125)</f>
        <v>10800</v>
      </c>
      <c r="DM86" s="115">
        <f t="shared" ref="DM86:DM92" si="133">10000*($DI30*DN$76*2.5+$DN30*DN$77*2.5+$DS30*DN$78*0.5+$DX30*DN$79*3.125)</f>
        <v>342028.985507246</v>
      </c>
      <c r="DN86">
        <v>2448</v>
      </c>
      <c r="DQ86" t="s">
        <v>295</v>
      </c>
      <c r="DR86">
        <f>SUM($DH$30*2.5,$DM$30*2.5,$DR$30*0.5,$DW$30*3.125)</f>
        <v>10800</v>
      </c>
      <c r="DS86" s="115">
        <f t="shared" si="132"/>
        <v>342028.985507246</v>
      </c>
      <c r="DT86">
        <v>2448</v>
      </c>
      <c r="FB86" s="52">
        <v>84</v>
      </c>
      <c r="FC86" s="112">
        <v>11490</v>
      </c>
      <c r="FD86" s="55">
        <f>SUM($FC$3:FC86)</f>
        <v>439200</v>
      </c>
    </row>
    <row r="87" spans="30:160">
      <c r="AD87">
        <v>86</v>
      </c>
      <c r="AE87">
        <v>300</v>
      </c>
      <c r="AF87">
        <f t="shared" si="127"/>
        <v>10800</v>
      </c>
      <c r="AG87" t="s">
        <v>115</v>
      </c>
      <c r="AH87" s="70">
        <v>0.05</v>
      </c>
      <c r="AI87" s="70">
        <f>COUNTIF(AG$1:AG87,AG87)*AH87</f>
        <v>1.1</v>
      </c>
      <c r="AU87">
        <v>85</v>
      </c>
      <c r="AV87">
        <v>484690</v>
      </c>
      <c r="AW87">
        <v>85</v>
      </c>
      <c r="AX87">
        <v>484690</v>
      </c>
      <c r="AY87">
        <v>85</v>
      </c>
      <c r="AZ87">
        <v>484690</v>
      </c>
      <c r="BR87" s="10"/>
      <c r="BS87" s="10"/>
      <c r="BT87" s="10"/>
      <c r="BU87" s="10"/>
      <c r="BV87" s="10"/>
      <c r="BW87" s="10"/>
      <c r="BX87" s="10"/>
      <c r="BY87" s="10"/>
      <c r="BZ87" s="10">
        <v>246</v>
      </c>
      <c r="CA87" s="10">
        <f t="shared" si="118"/>
        <v>48100</v>
      </c>
      <c r="CB87" s="10">
        <f t="shared" si="108"/>
        <v>96200</v>
      </c>
      <c r="CC87" s="10">
        <f t="shared" si="109"/>
        <v>577.2</v>
      </c>
      <c r="CD87" s="10">
        <f t="shared" si="110"/>
        <v>535.971428571429</v>
      </c>
      <c r="CE87" s="10">
        <f t="shared" si="111"/>
        <v>102.141158329413</v>
      </c>
      <c r="CF87" s="10"/>
      <c r="CG87" s="10">
        <v>246</v>
      </c>
      <c r="CH87" s="10">
        <f t="shared" ref="CH87:CH91" si="134">CH86+190</f>
        <v>35565</v>
      </c>
      <c r="CI87" s="10">
        <v>0</v>
      </c>
      <c r="CJ87" s="10">
        <f t="shared" si="112"/>
        <v>284.52</v>
      </c>
      <c r="CK87" s="10">
        <f t="shared" si="113"/>
        <v>739.752</v>
      </c>
      <c r="CL87" s="10">
        <f t="shared" si="114"/>
        <v>154.115</v>
      </c>
      <c r="CM87" s="10"/>
      <c r="CN87" s="10"/>
      <c r="CO87" s="10"/>
      <c r="CP87" s="10"/>
      <c r="CQ87" s="10"/>
      <c r="CR87" s="10"/>
      <c r="CS87" s="10"/>
      <c r="CT87" s="10"/>
      <c r="CU87" s="10">
        <v>246</v>
      </c>
      <c r="CV87" s="10">
        <v>416800</v>
      </c>
      <c r="CW87" s="10">
        <v>0</v>
      </c>
      <c r="CX87" s="10">
        <f t="shared" si="115"/>
        <v>833.6</v>
      </c>
      <c r="CY87" s="10">
        <f t="shared" si="116"/>
        <v>1806.13333333333</v>
      </c>
      <c r="CZ87" s="10"/>
      <c r="DA87" s="10"/>
      <c r="DB87" s="10"/>
      <c r="DC87" s="10"/>
      <c r="DD87" t="s">
        <v>364</v>
      </c>
      <c r="DE87" t="s">
        <v>163</v>
      </c>
      <c r="DF87" t="s">
        <v>354</v>
      </c>
      <c r="DG87" t="s">
        <v>281</v>
      </c>
      <c r="DH87" s="29" t="s">
        <v>361</v>
      </c>
      <c r="DK87" t="s">
        <v>300</v>
      </c>
      <c r="DL87">
        <f>SUM($DH$31*2.5,$DM$31*2.5,$DR$31*0.5,$DW$31*3.125)</f>
        <v>12870</v>
      </c>
      <c r="DM87" s="115">
        <f t="shared" si="133"/>
        <v>342028.985507246</v>
      </c>
      <c r="DN87">
        <v>3536</v>
      </c>
      <c r="DQ87" t="s">
        <v>300</v>
      </c>
      <c r="DR87">
        <f>SUM($DH$31*2.5,$DM$31*2.5,$DR$31*0.5,$DW$31*3.125)</f>
        <v>12870</v>
      </c>
      <c r="DS87" s="115">
        <f t="shared" si="132"/>
        <v>342028.985507246</v>
      </c>
      <c r="DT87">
        <v>3536</v>
      </c>
      <c r="FB87" s="52">
        <v>85</v>
      </c>
      <c r="FC87" s="112">
        <v>11700</v>
      </c>
      <c r="FD87" s="55">
        <f>SUM($FC$3:FC87)</f>
        <v>450900</v>
      </c>
    </row>
    <row r="88" spans="30:160">
      <c r="AD88">
        <v>87</v>
      </c>
      <c r="AE88">
        <v>300</v>
      </c>
      <c r="AF88">
        <f t="shared" si="127"/>
        <v>11100</v>
      </c>
      <c r="AG88" t="s">
        <v>116</v>
      </c>
      <c r="AH88" s="70">
        <v>0.02</v>
      </c>
      <c r="AI88" s="70">
        <f>COUNTIF(AG$1:AG88,AG88)*AH88</f>
        <v>0.44</v>
      </c>
      <c r="AU88">
        <v>86</v>
      </c>
      <c r="AV88">
        <v>509874</v>
      </c>
      <c r="AW88">
        <v>86</v>
      </c>
      <c r="AX88">
        <v>509874</v>
      </c>
      <c r="AY88">
        <v>86</v>
      </c>
      <c r="AZ88">
        <v>509874</v>
      </c>
      <c r="BR88" s="10"/>
      <c r="BS88" s="10"/>
      <c r="BT88" s="10"/>
      <c r="BU88" s="10"/>
      <c r="BV88" s="10"/>
      <c r="BW88" s="10"/>
      <c r="BX88" s="10"/>
      <c r="BY88" s="10"/>
      <c r="BZ88" s="10">
        <v>247</v>
      </c>
      <c r="CA88" s="10">
        <f t="shared" si="118"/>
        <v>48360</v>
      </c>
      <c r="CB88" s="10">
        <f t="shared" si="108"/>
        <v>96720</v>
      </c>
      <c r="CC88" s="10">
        <f t="shared" si="109"/>
        <v>580.32</v>
      </c>
      <c r="CD88" s="10">
        <f t="shared" si="110"/>
        <v>538.868571428571</v>
      </c>
      <c r="CE88" s="10">
        <f t="shared" si="111"/>
        <v>102.693272698761</v>
      </c>
      <c r="CF88" s="10"/>
      <c r="CG88" s="10">
        <v>247</v>
      </c>
      <c r="CH88" s="10">
        <f t="shared" si="131"/>
        <v>35760</v>
      </c>
      <c r="CI88" s="10">
        <v>0</v>
      </c>
      <c r="CJ88" s="10">
        <f t="shared" si="112"/>
        <v>286.08</v>
      </c>
      <c r="CK88" s="10">
        <f t="shared" si="113"/>
        <v>743.808</v>
      </c>
      <c r="CL88" s="10">
        <f t="shared" si="114"/>
        <v>154.96</v>
      </c>
      <c r="CM88" s="10"/>
      <c r="CN88" s="10"/>
      <c r="CO88" s="10"/>
      <c r="CP88" s="10"/>
      <c r="CQ88" s="10"/>
      <c r="CR88" s="10"/>
      <c r="CS88" s="10"/>
      <c r="CT88" s="10"/>
      <c r="CU88" s="10">
        <v>247</v>
      </c>
      <c r="CV88" s="10">
        <v>418550</v>
      </c>
      <c r="CW88" s="10">
        <v>0</v>
      </c>
      <c r="CX88" s="10">
        <f t="shared" si="115"/>
        <v>837.1</v>
      </c>
      <c r="CY88" s="10">
        <f t="shared" si="116"/>
        <v>1813.71666666667</v>
      </c>
      <c r="CZ88" s="10"/>
      <c r="DA88" s="10"/>
      <c r="DB88" s="10"/>
      <c r="DC88" s="10"/>
      <c r="DD88" s="31" t="s">
        <v>355</v>
      </c>
      <c r="DE88" s="32">
        <v>0.03</v>
      </c>
      <c r="DF88">
        <f>(10*$DO$5+1*$DO$8)</f>
        <v>495</v>
      </c>
      <c r="DG88" s="29">
        <f t="shared" ref="DG88:DG91" si="135">DF88/(DE88*MAX(DP$17*2.5,DP$18*2.5,DP$19*0.5,DP$20*3.125))</f>
        <v>347.661188369153</v>
      </c>
      <c r="DH88" s="29">
        <f t="shared" si="130"/>
        <v>421.407501053519</v>
      </c>
      <c r="DK88" t="s">
        <v>305</v>
      </c>
      <c r="DL88">
        <f>SUM($DH$32*2.5,$DM$32*2.5,$DR$32*0.5,$DW$32*3.125)</f>
        <v>15060</v>
      </c>
      <c r="DM88" s="115">
        <f t="shared" si="133"/>
        <v>342028.985507246</v>
      </c>
      <c r="DN88">
        <v>4080</v>
      </c>
      <c r="DQ88" t="s">
        <v>305</v>
      </c>
      <c r="DR88">
        <f>SUM($DH$32*2.5,$DM$32*2.5,$DR$32*0.5,$DW$32*3.125)</f>
        <v>15060</v>
      </c>
      <c r="DS88" s="115">
        <f t="shared" si="132"/>
        <v>342028.985507246</v>
      </c>
      <c r="DT88">
        <v>4080</v>
      </c>
      <c r="FB88" s="52">
        <v>86</v>
      </c>
      <c r="FC88" s="112">
        <v>11910</v>
      </c>
      <c r="FD88" s="55">
        <f>SUM($FC$3:FC88)</f>
        <v>462810</v>
      </c>
    </row>
    <row r="89" spans="30:160">
      <c r="AD89">
        <v>88</v>
      </c>
      <c r="AE89">
        <v>300</v>
      </c>
      <c r="AF89">
        <f t="shared" si="127"/>
        <v>11400</v>
      </c>
      <c r="AG89" t="s">
        <v>117</v>
      </c>
      <c r="AH89" s="70">
        <v>0.02</v>
      </c>
      <c r="AI89" s="70">
        <f>COUNTIF(AG$1:AG89,AG89)*AH89</f>
        <v>0.44</v>
      </c>
      <c r="AU89">
        <v>87</v>
      </c>
      <c r="AV89">
        <v>513879</v>
      </c>
      <c r="AW89">
        <v>87</v>
      </c>
      <c r="AX89">
        <v>513879</v>
      </c>
      <c r="AY89">
        <v>87</v>
      </c>
      <c r="AZ89">
        <v>513879</v>
      </c>
      <c r="BR89" s="10"/>
      <c r="BS89" s="10"/>
      <c r="BT89" s="10"/>
      <c r="BU89" s="10"/>
      <c r="BV89" s="10"/>
      <c r="BW89" s="10"/>
      <c r="BX89" s="10"/>
      <c r="BY89" s="10"/>
      <c r="BZ89" s="10">
        <v>248</v>
      </c>
      <c r="CA89" s="10">
        <f t="shared" si="118"/>
        <v>48620</v>
      </c>
      <c r="CB89" s="10">
        <f t="shared" si="108"/>
        <v>97240</v>
      </c>
      <c r="CC89" s="10">
        <f t="shared" si="109"/>
        <v>583.44</v>
      </c>
      <c r="CD89" s="10">
        <f t="shared" si="110"/>
        <v>541.765714285714</v>
      </c>
      <c r="CE89" s="10">
        <f t="shared" si="111"/>
        <v>103.245387068109</v>
      </c>
      <c r="CF89" s="10"/>
      <c r="CG89" s="10">
        <v>248</v>
      </c>
      <c r="CH89" s="10">
        <f t="shared" si="134"/>
        <v>35950</v>
      </c>
      <c r="CI89" s="10">
        <v>0</v>
      </c>
      <c r="CJ89" s="10">
        <f t="shared" si="112"/>
        <v>287.6</v>
      </c>
      <c r="CK89" s="10">
        <f t="shared" si="113"/>
        <v>747.76</v>
      </c>
      <c r="CL89" s="10">
        <f t="shared" si="114"/>
        <v>155.783333333333</v>
      </c>
      <c r="CM89" s="10"/>
      <c r="CN89" s="10"/>
      <c r="CO89" s="10"/>
      <c r="CP89" s="10"/>
      <c r="CQ89" s="10"/>
      <c r="CR89" s="10"/>
      <c r="CS89" s="10"/>
      <c r="CT89" s="10"/>
      <c r="CU89" s="10">
        <v>248</v>
      </c>
      <c r="CV89" s="10">
        <v>420350</v>
      </c>
      <c r="CW89" s="10">
        <v>0</v>
      </c>
      <c r="CX89" s="10">
        <f t="shared" si="115"/>
        <v>840.7</v>
      </c>
      <c r="CY89" s="10">
        <f t="shared" si="116"/>
        <v>1821.51666666667</v>
      </c>
      <c r="CZ89" s="10"/>
      <c r="DA89" s="10"/>
      <c r="DB89" s="10"/>
      <c r="DC89" s="10"/>
      <c r="DD89" s="31" t="s">
        <v>356</v>
      </c>
      <c r="DE89" s="32">
        <f>0.5*DE88</f>
        <v>0.015</v>
      </c>
      <c r="DF89">
        <f>(10*$DO$5+1*$DO$8)</f>
        <v>495</v>
      </c>
      <c r="DG89" s="29">
        <f t="shared" si="135"/>
        <v>695.322376738306</v>
      </c>
      <c r="DH89" s="29">
        <f t="shared" si="130"/>
        <v>842.815002107037</v>
      </c>
      <c r="DK89" t="s">
        <v>309</v>
      </c>
      <c r="DL89">
        <f>SUM($DH$33*2.5,$DM$33*2.5,$DR$33*0.5,$DW$33*3.125)</f>
        <v>15060</v>
      </c>
      <c r="DM89" s="115">
        <f t="shared" si="133"/>
        <v>342028.985507246</v>
      </c>
      <c r="DN89">
        <v>4692</v>
      </c>
      <c r="DQ89" t="s">
        <v>309</v>
      </c>
      <c r="DR89">
        <f>SUM($DH$33*2.5,$DM$33*2.5,$DR$33*0.5,$DW$33*3.125)</f>
        <v>15060</v>
      </c>
      <c r="DS89" s="115">
        <f t="shared" si="132"/>
        <v>342028.985507246</v>
      </c>
      <c r="DT89">
        <v>4692</v>
      </c>
      <c r="FB89" s="52">
        <v>87</v>
      </c>
      <c r="FC89" s="112">
        <v>12120</v>
      </c>
      <c r="FD89" s="55">
        <f>SUM($FC$3:FC89)</f>
        <v>474930</v>
      </c>
    </row>
    <row r="90" spans="30:160">
      <c r="AU90">
        <v>88</v>
      </c>
      <c r="AV90">
        <v>527583</v>
      </c>
      <c r="AW90">
        <v>88</v>
      </c>
      <c r="AX90">
        <v>527583</v>
      </c>
      <c r="AY90">
        <v>88</v>
      </c>
      <c r="AZ90">
        <v>527583</v>
      </c>
      <c r="BR90" s="10"/>
      <c r="BS90" s="10"/>
      <c r="BT90" s="10"/>
      <c r="BU90" s="10"/>
      <c r="BV90" s="10"/>
      <c r="BW90" s="10"/>
      <c r="BX90" s="10"/>
      <c r="BY90" s="10"/>
      <c r="BZ90" s="10">
        <v>249</v>
      </c>
      <c r="CA90" s="10">
        <f t="shared" si="118"/>
        <v>48880</v>
      </c>
      <c r="CB90" s="10">
        <f t="shared" si="108"/>
        <v>97760</v>
      </c>
      <c r="CC90" s="10">
        <f t="shared" si="109"/>
        <v>586.56</v>
      </c>
      <c r="CD90" s="10">
        <f t="shared" si="110"/>
        <v>544.662857142857</v>
      </c>
      <c r="CE90" s="10">
        <f t="shared" si="111"/>
        <v>103.797501437458</v>
      </c>
      <c r="CF90" s="10"/>
      <c r="CG90" s="10">
        <v>249</v>
      </c>
      <c r="CH90" s="10">
        <f t="shared" ref="CH90:CH94" si="136">CH89+195</f>
        <v>36145</v>
      </c>
      <c r="CI90" s="10">
        <v>0</v>
      </c>
      <c r="CJ90" s="10">
        <f t="shared" si="112"/>
        <v>289.16</v>
      </c>
      <c r="CK90" s="10">
        <f t="shared" si="113"/>
        <v>751.816</v>
      </c>
      <c r="CL90" s="10">
        <f t="shared" si="114"/>
        <v>156.628333333333</v>
      </c>
      <c r="CM90" s="10"/>
      <c r="CN90" s="10"/>
      <c r="CO90" s="10"/>
      <c r="CP90" s="10"/>
      <c r="CQ90" s="10"/>
      <c r="CR90" s="10"/>
      <c r="CS90" s="10"/>
      <c r="CT90" s="10"/>
      <c r="CU90" s="10">
        <v>249</v>
      </c>
      <c r="CV90" s="10">
        <v>422100</v>
      </c>
      <c r="CW90" s="10">
        <v>0</v>
      </c>
      <c r="CX90" s="10">
        <f t="shared" si="115"/>
        <v>844.2</v>
      </c>
      <c r="CY90" s="10">
        <f t="shared" si="116"/>
        <v>1829.1</v>
      </c>
      <c r="CZ90" s="10"/>
      <c r="DA90" s="10"/>
      <c r="DB90" s="10"/>
      <c r="DC90" s="10"/>
      <c r="DD90" t="s">
        <v>357</v>
      </c>
      <c r="DE90" s="32">
        <f>0.2*DE88</f>
        <v>0.006</v>
      </c>
      <c r="DF90">
        <f>(10*$DO$5+1*$DO$8)</f>
        <v>495</v>
      </c>
      <c r="DG90" s="29">
        <f t="shared" si="135"/>
        <v>1738.30594184576</v>
      </c>
      <c r="DH90" s="29">
        <f t="shared" si="130"/>
        <v>2107.03750526759</v>
      </c>
      <c r="DK90" t="s">
        <v>313</v>
      </c>
      <c r="DL90">
        <f>SUM($DH$34*2.5,$DM$34*2.5,$DR$34*0.5,$DW$34*3.125)</f>
        <v>17240</v>
      </c>
      <c r="DM90" s="115">
        <f t="shared" si="133"/>
        <v>342028.985507246</v>
      </c>
      <c r="DN90">
        <v>5440</v>
      </c>
      <c r="DQ90" t="s">
        <v>313</v>
      </c>
      <c r="DR90">
        <f>SUM($DH$34*2.5,$DM$34*2.5,$DR$34*0.5,$DW$34*3.125)</f>
        <v>17240</v>
      </c>
      <c r="DS90" s="115">
        <f t="shared" si="132"/>
        <v>342028.985507246</v>
      </c>
      <c r="DT90">
        <v>5440</v>
      </c>
      <c r="FB90" s="52">
        <v>88</v>
      </c>
      <c r="FC90" s="112">
        <v>12360</v>
      </c>
      <c r="FD90" s="55">
        <f>SUM($FC$3:FC90)</f>
        <v>487290</v>
      </c>
    </row>
    <row r="91" spans="30:160">
      <c r="AU91">
        <v>89</v>
      </c>
      <c r="AV91">
        <v>532378</v>
      </c>
      <c r="AW91">
        <v>89</v>
      </c>
      <c r="AX91">
        <v>532378</v>
      </c>
      <c r="AY91">
        <v>89</v>
      </c>
      <c r="AZ91">
        <v>532378</v>
      </c>
      <c r="BR91" s="10"/>
      <c r="BS91" s="10"/>
      <c r="BT91" s="10"/>
      <c r="BU91" s="10"/>
      <c r="BV91" s="10"/>
      <c r="BW91" s="10"/>
      <c r="BX91" s="10"/>
      <c r="BY91" s="10"/>
      <c r="BZ91" s="10">
        <v>250</v>
      </c>
      <c r="CA91" s="10">
        <f t="shared" si="118"/>
        <v>49140</v>
      </c>
      <c r="CB91" s="10">
        <f t="shared" si="108"/>
        <v>98280</v>
      </c>
      <c r="CC91" s="10">
        <f t="shared" si="109"/>
        <v>589.68</v>
      </c>
      <c r="CD91" s="10">
        <f t="shared" si="110"/>
        <v>547.56</v>
      </c>
      <c r="CE91" s="10">
        <f t="shared" si="111"/>
        <v>104.349615806806</v>
      </c>
      <c r="CF91" s="10"/>
      <c r="CG91" s="10">
        <v>250</v>
      </c>
      <c r="CH91" s="10">
        <f t="shared" si="134"/>
        <v>36335</v>
      </c>
      <c r="CI91" s="10">
        <v>0</v>
      </c>
      <c r="CJ91" s="10">
        <f t="shared" si="112"/>
        <v>290.68</v>
      </c>
      <c r="CK91" s="10">
        <f t="shared" si="113"/>
        <v>755.768</v>
      </c>
      <c r="CL91" s="10">
        <f t="shared" si="114"/>
        <v>157.451666666667</v>
      </c>
      <c r="CM91" s="10"/>
      <c r="CN91" s="10"/>
      <c r="CO91" s="10"/>
      <c r="CP91" s="10"/>
      <c r="CQ91" s="10"/>
      <c r="CR91" s="10"/>
      <c r="CS91" s="10"/>
      <c r="CT91" s="10"/>
      <c r="CU91" s="10">
        <v>250</v>
      </c>
      <c r="CV91" s="10">
        <v>423900</v>
      </c>
      <c r="CW91" s="10">
        <v>0</v>
      </c>
      <c r="CX91" s="10">
        <f t="shared" si="115"/>
        <v>847.8</v>
      </c>
      <c r="CY91" s="10">
        <f t="shared" si="116"/>
        <v>1836.9</v>
      </c>
      <c r="CZ91" s="10"/>
      <c r="DA91" s="10"/>
      <c r="DB91" s="10"/>
      <c r="DC91" s="10"/>
      <c r="DD91" t="s">
        <v>358</v>
      </c>
      <c r="DE91" s="32">
        <f>0.05*DE88</f>
        <v>0.0015</v>
      </c>
      <c r="DF91">
        <f>(10*$DO$5+1*$DO$8)</f>
        <v>495</v>
      </c>
      <c r="DG91" s="29">
        <f t="shared" si="135"/>
        <v>6953.22376738306</v>
      </c>
      <c r="DH91" s="29">
        <f t="shared" si="130"/>
        <v>8428.15002107037</v>
      </c>
      <c r="DK91" t="s">
        <v>317</v>
      </c>
      <c r="DL91">
        <f>SUM($DH$35*2.5,$DM$35*2.5,$DR$35*0.5,$DW$35*3.125)</f>
        <v>17235</v>
      </c>
      <c r="DM91" s="115">
        <f t="shared" si="133"/>
        <v>342028.985507246</v>
      </c>
      <c r="DN91">
        <v>6256</v>
      </c>
      <c r="DQ91" t="s">
        <v>317</v>
      </c>
      <c r="DR91">
        <f>SUM($DH$35*2.5,$DM$35*2.5,$DR$35*0.5,$DW$35*3.125)</f>
        <v>17235</v>
      </c>
      <c r="DS91" s="115">
        <f t="shared" si="132"/>
        <v>342028.985507246</v>
      </c>
      <c r="DT91">
        <v>6256</v>
      </c>
      <c r="FB91" s="52">
        <v>89</v>
      </c>
      <c r="FC91" s="112">
        <v>12600</v>
      </c>
      <c r="FD91" s="55">
        <f>SUM($FC$3:FC91)</f>
        <v>499890</v>
      </c>
    </row>
    <row r="92" spans="30:160">
      <c r="AU92">
        <v>90</v>
      </c>
      <c r="AV92">
        <v>583801</v>
      </c>
      <c r="AW92">
        <v>90</v>
      </c>
      <c r="AX92">
        <v>583801</v>
      </c>
      <c r="AY92">
        <v>90</v>
      </c>
      <c r="AZ92">
        <v>583801</v>
      </c>
      <c r="BR92" s="10"/>
      <c r="BS92" s="10"/>
      <c r="BT92" s="10"/>
      <c r="BU92" s="10"/>
      <c r="BV92" s="10"/>
      <c r="BW92" s="10"/>
      <c r="BX92" s="10"/>
      <c r="BY92" s="10"/>
      <c r="BZ92" s="10">
        <v>251</v>
      </c>
      <c r="CA92" s="10">
        <f t="shared" si="118"/>
        <v>49400</v>
      </c>
      <c r="CB92" s="10">
        <f t="shared" si="108"/>
        <v>98800</v>
      </c>
      <c r="CC92" s="10">
        <f t="shared" si="109"/>
        <v>592.8</v>
      </c>
      <c r="CD92" s="10">
        <f t="shared" si="110"/>
        <v>550.457142857143</v>
      </c>
      <c r="CE92" s="10">
        <f t="shared" si="111"/>
        <v>104.901730176154</v>
      </c>
      <c r="CF92" s="10"/>
      <c r="CG92" s="10">
        <v>251</v>
      </c>
      <c r="CH92" s="10">
        <f t="shared" si="136"/>
        <v>36530</v>
      </c>
      <c r="CI92" s="10">
        <v>0</v>
      </c>
      <c r="CJ92" s="10">
        <f t="shared" si="112"/>
        <v>292.24</v>
      </c>
      <c r="CK92" s="10">
        <f t="shared" si="113"/>
        <v>759.824</v>
      </c>
      <c r="CL92" s="10">
        <f t="shared" si="114"/>
        <v>158.296666666667</v>
      </c>
      <c r="CM92" s="10"/>
      <c r="CN92" s="10"/>
      <c r="CO92" s="10"/>
      <c r="CP92" s="10"/>
      <c r="CQ92" s="10"/>
      <c r="CR92" s="10"/>
      <c r="CS92" s="10"/>
      <c r="CT92" s="10"/>
      <c r="CU92" s="10">
        <v>251</v>
      </c>
      <c r="CV92" s="10">
        <v>425650</v>
      </c>
      <c r="CW92" s="10">
        <v>0</v>
      </c>
      <c r="CX92" s="10">
        <f t="shared" si="115"/>
        <v>851.3</v>
      </c>
      <c r="CY92" s="10">
        <f t="shared" si="116"/>
        <v>1844.48333333333</v>
      </c>
      <c r="CZ92" s="10"/>
      <c r="DA92" s="10"/>
      <c r="DB92" s="10"/>
      <c r="DC92" s="10"/>
      <c r="DH92" s="29"/>
      <c r="DK92" t="s">
        <v>319</v>
      </c>
      <c r="DL92">
        <f>SUM($DH$36*2.5,$DM$36*2.5,$DR$36*0.5,$DW$36*3.125)</f>
        <v>17235</v>
      </c>
      <c r="DM92" s="115">
        <f t="shared" si="133"/>
        <v>342028.985507246</v>
      </c>
      <c r="DN92">
        <v>6800</v>
      </c>
      <c r="DQ92" t="s">
        <v>319</v>
      </c>
      <c r="DR92">
        <f>SUM($DH$36*2.5,$DM$36*2.5,$DR$36*0.5,$DW$36*3.125)</f>
        <v>17235</v>
      </c>
      <c r="DS92" s="115">
        <f t="shared" si="132"/>
        <v>342028.985507246</v>
      </c>
      <c r="DT92">
        <v>6800</v>
      </c>
      <c r="FB92" s="52">
        <v>90</v>
      </c>
      <c r="FC92" s="112">
        <v>12840</v>
      </c>
      <c r="FD92" s="55">
        <f>SUM($FC$3:FC92)</f>
        <v>512730</v>
      </c>
    </row>
    <row r="93" spans="30:160">
      <c r="AU93">
        <v>91</v>
      </c>
      <c r="AV93">
        <v>612907</v>
      </c>
      <c r="AW93">
        <v>91</v>
      </c>
      <c r="AX93">
        <v>612907</v>
      </c>
      <c r="AY93">
        <v>91</v>
      </c>
      <c r="AZ93">
        <v>612907</v>
      </c>
      <c r="BR93" s="10"/>
      <c r="BS93" s="10"/>
      <c r="BT93" s="10"/>
      <c r="BU93" s="10"/>
      <c r="BV93" s="10"/>
      <c r="BW93" s="10"/>
      <c r="BX93" s="10"/>
      <c r="BY93" s="10"/>
      <c r="BZ93" s="10">
        <v>252</v>
      </c>
      <c r="CA93" s="10">
        <f t="shared" si="118"/>
        <v>49660</v>
      </c>
      <c r="CB93" s="10">
        <f t="shared" si="108"/>
        <v>99320</v>
      </c>
      <c r="CC93" s="10">
        <f t="shared" si="109"/>
        <v>595.92</v>
      </c>
      <c r="CD93" s="10">
        <f t="shared" si="110"/>
        <v>553.354285714286</v>
      </c>
      <c r="CE93" s="10">
        <f t="shared" si="111"/>
        <v>105.453844545502</v>
      </c>
      <c r="CF93" s="10"/>
      <c r="CG93" s="10">
        <v>252</v>
      </c>
      <c r="CH93" s="10">
        <f t="shared" ref="CH93:CH97" si="137">CH92+190</f>
        <v>36720</v>
      </c>
      <c r="CI93" s="10">
        <v>0</v>
      </c>
      <c r="CJ93" s="10">
        <f t="shared" si="112"/>
        <v>293.76</v>
      </c>
      <c r="CK93" s="10">
        <f t="shared" si="113"/>
        <v>763.776</v>
      </c>
      <c r="CL93" s="10">
        <f t="shared" si="114"/>
        <v>159.12</v>
      </c>
      <c r="CM93" s="10"/>
      <c r="CN93" s="10"/>
      <c r="CO93" s="10"/>
      <c r="CP93" s="10"/>
      <c r="CQ93" s="10"/>
      <c r="CR93" s="10"/>
      <c r="CS93" s="10"/>
      <c r="CT93" s="10"/>
      <c r="CU93" s="10">
        <v>252</v>
      </c>
      <c r="CV93" s="10">
        <v>427450</v>
      </c>
      <c r="CW93" s="10">
        <v>0</v>
      </c>
      <c r="CX93" s="10">
        <f t="shared" si="115"/>
        <v>854.9</v>
      </c>
      <c r="CY93" s="10">
        <f t="shared" si="116"/>
        <v>1852.28333333333</v>
      </c>
      <c r="CZ93" s="10"/>
      <c r="DA93" s="10"/>
      <c r="DB93" s="10"/>
      <c r="DC93" s="10"/>
      <c r="DD93" t="s">
        <v>365</v>
      </c>
      <c r="DE93" t="s">
        <v>163</v>
      </c>
      <c r="DF93" t="s">
        <v>354</v>
      </c>
      <c r="DG93" t="s">
        <v>281</v>
      </c>
      <c r="DH93" s="29" t="s">
        <v>361</v>
      </c>
      <c r="FB93" s="52">
        <v>91</v>
      </c>
      <c r="FC93" s="112">
        <v>13080</v>
      </c>
      <c r="FD93" s="55">
        <f>SUM($FC$3:FC93)</f>
        <v>525810</v>
      </c>
    </row>
    <row r="94" spans="30:160">
      <c r="AU94">
        <v>92</v>
      </c>
      <c r="AV94">
        <v>643189</v>
      </c>
      <c r="AW94">
        <v>92</v>
      </c>
      <c r="AX94">
        <v>643189</v>
      </c>
      <c r="AY94">
        <v>92</v>
      </c>
      <c r="AZ94">
        <v>643189</v>
      </c>
      <c r="BR94" s="10"/>
      <c r="BS94" s="10"/>
      <c r="BT94" s="10"/>
      <c r="BU94" s="10"/>
      <c r="BV94" s="10"/>
      <c r="BW94" s="10"/>
      <c r="BX94" s="10"/>
      <c r="BY94" s="10"/>
      <c r="BZ94" s="10">
        <v>253</v>
      </c>
      <c r="CA94" s="10">
        <f t="shared" si="118"/>
        <v>49920</v>
      </c>
      <c r="CB94" s="10">
        <f t="shared" si="108"/>
        <v>99840</v>
      </c>
      <c r="CC94" s="10">
        <f t="shared" si="109"/>
        <v>599.04</v>
      </c>
      <c r="CD94" s="10">
        <f t="shared" si="110"/>
        <v>556.251428571429</v>
      </c>
      <c r="CE94" s="10">
        <f t="shared" si="111"/>
        <v>106.00595891485</v>
      </c>
      <c r="CF94" s="10"/>
      <c r="CG94" s="10">
        <v>253</v>
      </c>
      <c r="CH94" s="10">
        <f t="shared" si="136"/>
        <v>36915</v>
      </c>
      <c r="CI94" s="10">
        <v>0</v>
      </c>
      <c r="CJ94" s="10">
        <f t="shared" si="112"/>
        <v>295.32</v>
      </c>
      <c r="CK94" s="10">
        <f t="shared" si="113"/>
        <v>767.832</v>
      </c>
      <c r="CL94" s="10">
        <f t="shared" si="114"/>
        <v>159.965</v>
      </c>
      <c r="CM94" s="10"/>
      <c r="CN94" s="10"/>
      <c r="CO94" s="10"/>
      <c r="CP94" s="10"/>
      <c r="CQ94" s="10"/>
      <c r="CR94" s="10"/>
      <c r="CS94" s="10"/>
      <c r="CT94" s="10"/>
      <c r="CU94" s="10">
        <v>253</v>
      </c>
      <c r="CV94" s="10">
        <v>429200</v>
      </c>
      <c r="CW94" s="10">
        <v>0</v>
      </c>
      <c r="CX94" s="10">
        <f t="shared" si="115"/>
        <v>858.4</v>
      </c>
      <c r="CY94" s="10">
        <f t="shared" si="116"/>
        <v>1859.86666666667</v>
      </c>
      <c r="CZ94" s="10"/>
      <c r="DA94" s="10"/>
      <c r="DB94" s="10"/>
      <c r="DC94" s="10"/>
      <c r="DD94" s="31" t="s">
        <v>355</v>
      </c>
      <c r="DE94" s="32">
        <v>0.07</v>
      </c>
      <c r="DF94">
        <f>20*$DO$5</f>
        <v>900</v>
      </c>
      <c r="DG94" s="29">
        <f t="shared" ref="DG94:DG97" si="138">DF94/(DE94*MAX(DP$17*2.5,DP$18*2.5,DP$19*0.5,DP$20*3.125))</f>
        <v>270.904822105833</v>
      </c>
      <c r="DH94" s="29">
        <f>1200/(DE94*MAX(DP$17*2.5,DP$18*2.5,DP$19*0.5,DP$20*3.125))</f>
        <v>361.206429474445</v>
      </c>
      <c r="DL94" t="s">
        <v>281</v>
      </c>
      <c r="DM94" s="17"/>
      <c r="DR94" t="s">
        <v>281</v>
      </c>
      <c r="DS94" s="17"/>
      <c r="FB94" s="52">
        <v>92</v>
      </c>
      <c r="FC94" s="112">
        <v>13320</v>
      </c>
      <c r="FD94" s="55">
        <f>SUM($FC$3:FC94)</f>
        <v>539130</v>
      </c>
    </row>
    <row r="95" spans="30:160">
      <c r="AU95">
        <v>93</v>
      </c>
      <c r="AV95">
        <v>644274</v>
      </c>
      <c r="AW95">
        <v>93</v>
      </c>
      <c r="AX95">
        <v>644274</v>
      </c>
      <c r="AY95">
        <v>93</v>
      </c>
      <c r="AZ95">
        <v>644274</v>
      </c>
      <c r="BR95" s="10"/>
      <c r="BS95" s="10"/>
      <c r="BT95" s="10"/>
      <c r="BU95" s="10"/>
      <c r="BV95" s="10"/>
      <c r="BW95" s="10"/>
      <c r="BX95" s="10"/>
      <c r="BY95" s="10"/>
      <c r="BZ95" s="10">
        <v>254</v>
      </c>
      <c r="CA95" s="10">
        <f t="shared" si="118"/>
        <v>50180</v>
      </c>
      <c r="CB95" s="10">
        <f t="shared" si="108"/>
        <v>100360</v>
      </c>
      <c r="CC95" s="10">
        <f t="shared" si="109"/>
        <v>602.16</v>
      </c>
      <c r="CD95" s="10">
        <f t="shared" si="110"/>
        <v>559.148571428571</v>
      </c>
      <c r="CE95" s="10">
        <f t="shared" si="111"/>
        <v>106.558073284198</v>
      </c>
      <c r="CF95" s="10"/>
      <c r="CG95" s="10">
        <v>254</v>
      </c>
      <c r="CH95" s="10">
        <f t="shared" si="137"/>
        <v>37105</v>
      </c>
      <c r="CI95" s="10">
        <v>0</v>
      </c>
      <c r="CJ95" s="10">
        <f t="shared" si="112"/>
        <v>296.84</v>
      </c>
      <c r="CK95" s="10">
        <f t="shared" si="113"/>
        <v>771.784</v>
      </c>
      <c r="CL95" s="10">
        <f t="shared" si="114"/>
        <v>160.788333333333</v>
      </c>
      <c r="CM95" s="10"/>
      <c r="CN95" s="10"/>
      <c r="CO95" s="10"/>
      <c r="CP95" s="10"/>
      <c r="CQ95" s="10"/>
      <c r="CR95" s="10"/>
      <c r="CS95" s="10"/>
      <c r="CT95" s="10"/>
      <c r="CU95" s="10">
        <v>254</v>
      </c>
      <c r="CV95" s="10">
        <v>431000</v>
      </c>
      <c r="CW95" s="10">
        <v>0</v>
      </c>
      <c r="CX95" s="10">
        <f t="shared" si="115"/>
        <v>862</v>
      </c>
      <c r="CY95" s="10">
        <f t="shared" si="116"/>
        <v>1867.66666666667</v>
      </c>
      <c r="CZ95" s="10"/>
      <c r="DA95" s="10"/>
      <c r="DB95" s="10"/>
      <c r="DC95" s="10"/>
      <c r="DD95" s="31" t="s">
        <v>356</v>
      </c>
      <c r="DE95" s="32">
        <f>0.5*DE94</f>
        <v>0.035</v>
      </c>
      <c r="DF95">
        <f>20*$DO$5</f>
        <v>900</v>
      </c>
      <c r="DG95" s="29">
        <f t="shared" si="138"/>
        <v>541.809644211667</v>
      </c>
      <c r="DH95" s="29">
        <f t="shared" ref="DH95:DH103" si="139">1200/(DE95*MAX(DP$17*2.5,DP$18*2.5,DP$19*0.5,DP$20*3.125))</f>
        <v>722.412858948889</v>
      </c>
      <c r="DK95" t="s">
        <v>286</v>
      </c>
      <c r="DL95" s="29">
        <f>DN85/16*$DO$2/((DL85+DM85)*DN$74*DL$75/10000)</f>
        <v>190.079015846888</v>
      </c>
      <c r="DQ95" t="s">
        <v>286</v>
      </c>
      <c r="DR95" s="29">
        <f t="shared" ref="DR95:DR102" si="140">DT85/16*$DO$2/((DR85+DS85)*DT$74*DR$75/10000)</f>
        <v>190.079015846888</v>
      </c>
      <c r="FB95" s="52">
        <v>93</v>
      </c>
      <c r="FC95" s="112">
        <v>13560</v>
      </c>
      <c r="FD95" s="55">
        <f>SUM($FC$3:FC95)</f>
        <v>552690</v>
      </c>
    </row>
    <row r="96" spans="30:160">
      <c r="AU96">
        <v>94</v>
      </c>
      <c r="AV96">
        <v>670957</v>
      </c>
      <c r="AW96">
        <v>94</v>
      </c>
      <c r="AX96">
        <v>670957</v>
      </c>
      <c r="AY96">
        <v>94</v>
      </c>
      <c r="AZ96">
        <v>670957</v>
      </c>
      <c r="BR96" s="10"/>
      <c r="BS96" s="10"/>
      <c r="BT96" s="10"/>
      <c r="BU96" s="10"/>
      <c r="BV96" s="10"/>
      <c r="BW96" s="10"/>
      <c r="BX96" s="10"/>
      <c r="BY96" s="10"/>
      <c r="BZ96" s="10">
        <v>255</v>
      </c>
      <c r="CA96" s="10">
        <f t="shared" si="118"/>
        <v>50440</v>
      </c>
      <c r="CB96" s="10">
        <f t="shared" si="108"/>
        <v>100880</v>
      </c>
      <c r="CC96" s="10">
        <f t="shared" si="109"/>
        <v>605.28</v>
      </c>
      <c r="CD96" s="10">
        <f t="shared" si="110"/>
        <v>562.045714285714</v>
      </c>
      <c r="CE96" s="10">
        <f t="shared" si="111"/>
        <v>107.110187653547</v>
      </c>
      <c r="CF96" s="10"/>
      <c r="CG96" s="10">
        <v>255</v>
      </c>
      <c r="CH96" s="10">
        <f t="shared" ref="CH96:CH100" si="141">CH95+195</f>
        <v>37300</v>
      </c>
      <c r="CI96" s="10">
        <v>0</v>
      </c>
      <c r="CJ96" s="10">
        <f t="shared" si="112"/>
        <v>298.4</v>
      </c>
      <c r="CK96" s="10">
        <f t="shared" si="113"/>
        <v>775.84</v>
      </c>
      <c r="CL96" s="10">
        <f t="shared" si="114"/>
        <v>161.633333333333</v>
      </c>
      <c r="CM96" s="10"/>
      <c r="CN96" s="10"/>
      <c r="CO96" s="10"/>
      <c r="CP96" s="10"/>
      <c r="CQ96" s="10"/>
      <c r="CR96" s="10"/>
      <c r="CS96" s="10"/>
      <c r="CT96" s="10"/>
      <c r="CU96" s="10">
        <v>255</v>
      </c>
      <c r="CV96" s="10">
        <v>432750</v>
      </c>
      <c r="CW96" s="10">
        <v>0</v>
      </c>
      <c r="CX96" s="10">
        <f t="shared" si="115"/>
        <v>865.5</v>
      </c>
      <c r="CY96" s="10">
        <f t="shared" si="116"/>
        <v>1875.25</v>
      </c>
      <c r="CZ96" s="10"/>
      <c r="DA96" s="10"/>
      <c r="DB96" s="10"/>
      <c r="DC96" s="10"/>
      <c r="DD96" t="s">
        <v>357</v>
      </c>
      <c r="DE96" s="32">
        <f>0.2*DE94</f>
        <v>0.014</v>
      </c>
      <c r="DF96">
        <f>20*$DO$5</f>
        <v>900</v>
      </c>
      <c r="DG96" s="29">
        <f t="shared" si="138"/>
        <v>1354.52411052917</v>
      </c>
      <c r="DH96" s="29">
        <f t="shared" si="139"/>
        <v>1806.03214737222</v>
      </c>
      <c r="DK96" t="s">
        <v>295</v>
      </c>
      <c r="DL96" s="29">
        <f t="shared" ref="DL96:DL102" si="142">DN86/16*$DO$2/((DL86+DM86)*DN$74*DL$75/10000)</f>
        <v>457.062284445095</v>
      </c>
      <c r="DQ96" t="s">
        <v>295</v>
      </c>
      <c r="DR96" s="29">
        <f t="shared" si="140"/>
        <v>457.062284445095</v>
      </c>
      <c r="FB96" s="52">
        <v>94</v>
      </c>
      <c r="FC96" s="112">
        <v>13800</v>
      </c>
      <c r="FD96" s="55">
        <f>SUM($FC$3:FC96)</f>
        <v>566490</v>
      </c>
    </row>
    <row r="97" spans="47:160">
      <c r="AU97">
        <v>95</v>
      </c>
      <c r="AV97">
        <v>678226</v>
      </c>
      <c r="AW97">
        <v>95</v>
      </c>
      <c r="AX97">
        <v>678226</v>
      </c>
      <c r="AY97">
        <v>95</v>
      </c>
      <c r="AZ97">
        <v>678226</v>
      </c>
      <c r="BR97" s="10"/>
      <c r="BS97" s="10"/>
      <c r="BT97" s="10"/>
      <c r="BU97" s="10"/>
      <c r="BV97" s="10"/>
      <c r="BW97" s="10"/>
      <c r="BX97" s="10"/>
      <c r="BY97" s="10"/>
      <c r="BZ97" s="10">
        <v>256</v>
      </c>
      <c r="CA97" s="10">
        <f t="shared" si="118"/>
        <v>50700</v>
      </c>
      <c r="CB97" s="10">
        <f t="shared" si="108"/>
        <v>101400</v>
      </c>
      <c r="CC97" s="10">
        <f t="shared" si="109"/>
        <v>608.4</v>
      </c>
      <c r="CD97" s="10">
        <f t="shared" si="110"/>
        <v>564.942857142857</v>
      </c>
      <c r="CE97" s="10">
        <f t="shared" si="111"/>
        <v>107.662302022895</v>
      </c>
      <c r="CF97" s="10"/>
      <c r="CG97" s="10">
        <v>256</v>
      </c>
      <c r="CH97" s="10">
        <f t="shared" si="137"/>
        <v>37490</v>
      </c>
      <c r="CI97" s="10">
        <v>0</v>
      </c>
      <c r="CJ97" s="10">
        <f t="shared" si="112"/>
        <v>299.92</v>
      </c>
      <c r="CK97" s="10">
        <f t="shared" si="113"/>
        <v>779.792</v>
      </c>
      <c r="CL97" s="10">
        <f t="shared" si="114"/>
        <v>162.456666666667</v>
      </c>
      <c r="CM97" s="10"/>
      <c r="CN97" s="10"/>
      <c r="CO97" s="10"/>
      <c r="CP97" s="10"/>
      <c r="CQ97" s="10"/>
      <c r="CR97" s="10"/>
      <c r="CS97" s="10"/>
      <c r="CT97" s="10"/>
      <c r="CU97" s="10">
        <v>256</v>
      </c>
      <c r="CV97" s="10">
        <v>434550</v>
      </c>
      <c r="CW97" s="10">
        <v>0</v>
      </c>
      <c r="CX97" s="10">
        <f t="shared" si="115"/>
        <v>869.1</v>
      </c>
      <c r="CY97" s="10">
        <f t="shared" si="116"/>
        <v>1883.05</v>
      </c>
      <c r="CZ97" s="10"/>
      <c r="DA97" s="10"/>
      <c r="DB97" s="10"/>
      <c r="DC97" s="10"/>
      <c r="DD97" t="s">
        <v>358</v>
      </c>
      <c r="DE97" s="32">
        <f>0.05*DE94</f>
        <v>0.0035</v>
      </c>
      <c r="DF97">
        <f>20*$DO$5</f>
        <v>900</v>
      </c>
      <c r="DG97" s="29">
        <f t="shared" si="138"/>
        <v>5418.09644211667</v>
      </c>
      <c r="DH97" s="29">
        <f t="shared" si="139"/>
        <v>7224.12858948889</v>
      </c>
      <c r="DK97" t="s">
        <v>300</v>
      </c>
      <c r="DL97" s="29">
        <f t="shared" si="142"/>
        <v>656.350358633474</v>
      </c>
      <c r="DQ97" t="s">
        <v>300</v>
      </c>
      <c r="DR97" s="29">
        <f t="shared" si="140"/>
        <v>656.350358633474</v>
      </c>
      <c r="FB97" s="52">
        <v>95</v>
      </c>
      <c r="FC97" s="112">
        <v>14040</v>
      </c>
      <c r="FD97" s="55">
        <f>SUM($FC$3:FC97)</f>
        <v>580530</v>
      </c>
    </row>
    <row r="98" spans="47:160">
      <c r="AU98">
        <v>96</v>
      </c>
      <c r="AV98">
        <v>706678</v>
      </c>
      <c r="AW98">
        <v>96</v>
      </c>
      <c r="AX98">
        <v>706678</v>
      </c>
      <c r="AY98">
        <v>96</v>
      </c>
      <c r="AZ98">
        <v>706678</v>
      </c>
      <c r="BR98" s="10"/>
      <c r="BS98" s="10"/>
      <c r="BT98" s="10"/>
      <c r="BU98" s="10"/>
      <c r="BV98" s="10"/>
      <c r="BW98" s="10"/>
      <c r="BX98" s="10"/>
      <c r="BY98" s="10"/>
      <c r="BZ98" s="10">
        <v>257</v>
      </c>
      <c r="CA98" s="10">
        <f t="shared" si="118"/>
        <v>50960</v>
      </c>
      <c r="CB98" s="10">
        <f t="shared" si="108"/>
        <v>101920</v>
      </c>
      <c r="CC98" s="10">
        <f t="shared" si="109"/>
        <v>611.52</v>
      </c>
      <c r="CD98" s="10">
        <f t="shared" si="110"/>
        <v>567.84</v>
      </c>
      <c r="CE98" s="10">
        <f t="shared" si="111"/>
        <v>108.214416392243</v>
      </c>
      <c r="CF98" s="10"/>
      <c r="CG98" s="10">
        <v>257</v>
      </c>
      <c r="CH98" s="10">
        <f t="shared" si="141"/>
        <v>37685</v>
      </c>
      <c r="CI98" s="10">
        <v>0</v>
      </c>
      <c r="CJ98" s="10">
        <f t="shared" si="112"/>
        <v>301.48</v>
      </c>
      <c r="CK98" s="10">
        <f t="shared" si="113"/>
        <v>783.848</v>
      </c>
      <c r="CL98" s="10">
        <f t="shared" si="114"/>
        <v>163.301666666667</v>
      </c>
      <c r="CM98" s="10"/>
      <c r="CN98" s="10"/>
      <c r="CO98" s="10"/>
      <c r="CP98" s="10"/>
      <c r="CQ98" s="10"/>
      <c r="CR98" s="10"/>
      <c r="CS98" s="10"/>
      <c r="CT98" s="10"/>
      <c r="CU98" s="10">
        <v>257</v>
      </c>
      <c r="CV98" s="10">
        <v>436300</v>
      </c>
      <c r="CW98" s="10">
        <v>0</v>
      </c>
      <c r="CX98" s="10">
        <f t="shared" si="115"/>
        <v>872.6</v>
      </c>
      <c r="CY98" s="10">
        <f t="shared" si="116"/>
        <v>1890.63333333333</v>
      </c>
      <c r="CZ98" s="10"/>
      <c r="DA98" s="10"/>
      <c r="DB98" s="10"/>
      <c r="DC98" s="10"/>
      <c r="DH98" s="29"/>
      <c r="DK98" t="s">
        <v>305</v>
      </c>
      <c r="DL98" s="29">
        <f t="shared" si="142"/>
        <v>752.682705056043</v>
      </c>
      <c r="DQ98" t="s">
        <v>305</v>
      </c>
      <c r="DR98" s="29">
        <f t="shared" si="140"/>
        <v>752.682705056043</v>
      </c>
      <c r="FB98" s="52">
        <v>96</v>
      </c>
      <c r="FC98" s="112">
        <v>14280</v>
      </c>
      <c r="FD98" s="55">
        <f>SUM($FC$3:FC98)</f>
        <v>594810</v>
      </c>
    </row>
    <row r="99" spans="47:160">
      <c r="AU99">
        <v>97</v>
      </c>
      <c r="AV99">
        <v>712891</v>
      </c>
      <c r="AW99">
        <v>97</v>
      </c>
      <c r="AX99">
        <v>712891</v>
      </c>
      <c r="AY99">
        <v>97</v>
      </c>
      <c r="AZ99">
        <v>712891</v>
      </c>
      <c r="BR99" s="10"/>
      <c r="BS99" s="10"/>
      <c r="BT99" s="10"/>
      <c r="BU99" s="10"/>
      <c r="BV99" s="10"/>
      <c r="BW99" s="10"/>
      <c r="BX99" s="10"/>
      <c r="BY99" s="10"/>
      <c r="BZ99" s="10">
        <v>258</v>
      </c>
      <c r="CA99" s="10">
        <f t="shared" si="118"/>
        <v>51220</v>
      </c>
      <c r="CB99" s="10">
        <f t="shared" si="108"/>
        <v>102440</v>
      </c>
      <c r="CC99" s="10">
        <f t="shared" si="109"/>
        <v>614.64</v>
      </c>
      <c r="CD99" s="10">
        <f t="shared" si="110"/>
        <v>570.737142857143</v>
      </c>
      <c r="CE99" s="10">
        <f t="shared" si="111"/>
        <v>108.766530761591</v>
      </c>
      <c r="CF99" s="10"/>
      <c r="CG99" s="10">
        <v>258</v>
      </c>
      <c r="CH99" s="10">
        <f t="shared" ref="CH99:CH103" si="143">CH98+190</f>
        <v>37875</v>
      </c>
      <c r="CI99" s="10">
        <v>0</v>
      </c>
      <c r="CJ99" s="10">
        <f t="shared" si="112"/>
        <v>303</v>
      </c>
      <c r="CK99" s="10">
        <f t="shared" si="113"/>
        <v>787.8</v>
      </c>
      <c r="CL99" s="10">
        <f t="shared" si="114"/>
        <v>164.125</v>
      </c>
      <c r="CM99" s="10"/>
      <c r="CN99" s="10"/>
      <c r="CO99" s="10"/>
      <c r="CP99" s="10"/>
      <c r="CQ99" s="10"/>
      <c r="CR99" s="10"/>
      <c r="CS99" s="10"/>
      <c r="CT99" s="10"/>
      <c r="CU99" s="10">
        <v>258</v>
      </c>
      <c r="CV99" s="10">
        <v>438100</v>
      </c>
      <c r="CW99" s="10">
        <v>0</v>
      </c>
      <c r="CX99" s="10">
        <f t="shared" si="115"/>
        <v>876.2</v>
      </c>
      <c r="CY99" s="10">
        <f t="shared" si="116"/>
        <v>1898.43333333333</v>
      </c>
      <c r="CZ99" s="10"/>
      <c r="DA99" s="10"/>
      <c r="DB99" s="10"/>
      <c r="DC99" s="10"/>
      <c r="DD99" t="s">
        <v>364</v>
      </c>
      <c r="DE99" t="s">
        <v>163</v>
      </c>
      <c r="DF99" t="s">
        <v>354</v>
      </c>
      <c r="DG99" t="s">
        <v>281</v>
      </c>
      <c r="DH99" s="29" t="s">
        <v>361</v>
      </c>
      <c r="DK99" t="s">
        <v>309</v>
      </c>
      <c r="DL99" s="29">
        <f t="shared" si="142"/>
        <v>865.585110814449</v>
      </c>
      <c r="DQ99" t="s">
        <v>309</v>
      </c>
      <c r="DR99" s="29">
        <f t="shared" si="140"/>
        <v>865.585110814449</v>
      </c>
      <c r="FB99" s="52">
        <v>97</v>
      </c>
      <c r="FC99" s="112">
        <v>14550</v>
      </c>
      <c r="FD99" s="55">
        <f>SUM($FC$3:FC99)</f>
        <v>609360</v>
      </c>
    </row>
    <row r="100" spans="47:160">
      <c r="AU100">
        <v>98</v>
      </c>
      <c r="AV100">
        <v>749807</v>
      </c>
      <c r="AW100">
        <v>98</v>
      </c>
      <c r="AX100">
        <v>749807</v>
      </c>
      <c r="AY100">
        <v>98</v>
      </c>
      <c r="AZ100">
        <v>749807</v>
      </c>
      <c r="BR100" s="10"/>
      <c r="BS100" s="10"/>
      <c r="BT100" s="10"/>
      <c r="BU100" s="10"/>
      <c r="BV100" s="10"/>
      <c r="BW100" s="10"/>
      <c r="BX100" s="10"/>
      <c r="BY100" s="10"/>
      <c r="BZ100" s="10">
        <v>259</v>
      </c>
      <c r="CA100" s="10">
        <f t="shared" si="118"/>
        <v>51480</v>
      </c>
      <c r="CB100" s="10">
        <f t="shared" si="108"/>
        <v>102960</v>
      </c>
      <c r="CC100" s="10">
        <f t="shared" si="109"/>
        <v>617.76</v>
      </c>
      <c r="CD100" s="10">
        <f t="shared" si="110"/>
        <v>573.634285714286</v>
      </c>
      <c r="CE100" s="10">
        <f t="shared" si="111"/>
        <v>109.318645130939</v>
      </c>
      <c r="CF100" s="10"/>
      <c r="CG100" s="10">
        <v>259</v>
      </c>
      <c r="CH100" s="10">
        <f t="shared" si="141"/>
        <v>38070</v>
      </c>
      <c r="CI100" s="10">
        <v>0</v>
      </c>
      <c r="CJ100" s="10">
        <f t="shared" si="112"/>
        <v>304.56</v>
      </c>
      <c r="CK100" s="10">
        <f t="shared" si="113"/>
        <v>791.856</v>
      </c>
      <c r="CL100" s="10">
        <f t="shared" si="114"/>
        <v>164.97</v>
      </c>
      <c r="CM100" s="10"/>
      <c r="CN100" s="10"/>
      <c r="CO100" s="10"/>
      <c r="CP100" s="10"/>
      <c r="CQ100" s="10"/>
      <c r="CR100" s="10"/>
      <c r="CS100" s="10"/>
      <c r="CT100" s="10"/>
      <c r="CU100" s="10">
        <v>259</v>
      </c>
      <c r="CV100" s="10">
        <v>439850</v>
      </c>
      <c r="CW100" s="10">
        <v>0</v>
      </c>
      <c r="CX100" s="10">
        <f t="shared" si="115"/>
        <v>879.7</v>
      </c>
      <c r="CY100" s="10">
        <f t="shared" si="116"/>
        <v>1906.01666666667</v>
      </c>
      <c r="CZ100" s="10"/>
      <c r="DA100" s="10"/>
      <c r="DB100" s="10"/>
      <c r="DC100" s="10"/>
      <c r="DD100" s="31" t="s">
        <v>355</v>
      </c>
      <c r="DE100" s="32">
        <v>0.07</v>
      </c>
      <c r="DF100">
        <f>(20*$DO$5+2*$DO$8)</f>
        <v>990</v>
      </c>
      <c r="DG100" s="29">
        <f t="shared" ref="DG100:DG103" si="144">DF100/(DE100*MAX(DP$17*2.5,DP$18*2.5,DP$19*0.5,DP$20*3.125))</f>
        <v>297.995304316417</v>
      </c>
      <c r="DH100" s="29">
        <f t="shared" si="139"/>
        <v>361.206429474445</v>
      </c>
      <c r="DK100" t="s">
        <v>313</v>
      </c>
      <c r="DL100" s="29">
        <f t="shared" si="142"/>
        <v>997.487358681345</v>
      </c>
      <c r="DQ100" t="s">
        <v>313</v>
      </c>
      <c r="DR100" s="29">
        <f t="shared" si="140"/>
        <v>997.487358681345</v>
      </c>
      <c r="FB100" s="52">
        <v>98</v>
      </c>
      <c r="FC100" s="112">
        <v>14820</v>
      </c>
      <c r="FD100" s="55">
        <f>SUM($FC$3:FC100)</f>
        <v>624180</v>
      </c>
    </row>
    <row r="101" spans="47:160">
      <c r="AU101">
        <v>99</v>
      </c>
      <c r="AV101">
        <v>751452</v>
      </c>
      <c r="AW101">
        <v>99</v>
      </c>
      <c r="AX101">
        <v>751452</v>
      </c>
      <c r="AY101">
        <v>99</v>
      </c>
      <c r="AZ101">
        <v>751452</v>
      </c>
      <c r="BR101" s="10"/>
      <c r="BS101" s="10"/>
      <c r="BT101" s="10"/>
      <c r="BU101" s="10"/>
      <c r="BV101" s="10"/>
      <c r="BW101" s="10"/>
      <c r="BX101" s="10"/>
      <c r="BY101" s="10"/>
      <c r="BZ101" s="10">
        <v>260</v>
      </c>
      <c r="CA101" s="10">
        <f t="shared" si="118"/>
        <v>51740</v>
      </c>
      <c r="CB101" s="10">
        <f t="shared" si="108"/>
        <v>103480</v>
      </c>
      <c r="CC101" s="10">
        <f t="shared" si="109"/>
        <v>620.88</v>
      </c>
      <c r="CD101" s="10">
        <f t="shared" si="110"/>
        <v>576.531428571428</v>
      </c>
      <c r="CE101" s="10">
        <f t="shared" si="111"/>
        <v>109.870759500287</v>
      </c>
      <c r="CF101" s="10"/>
      <c r="CG101" s="10">
        <v>260</v>
      </c>
      <c r="CH101" s="10">
        <f t="shared" si="143"/>
        <v>38260</v>
      </c>
      <c r="CI101" s="10">
        <v>0</v>
      </c>
      <c r="CJ101" s="10">
        <f t="shared" si="112"/>
        <v>306.08</v>
      </c>
      <c r="CK101" s="10">
        <f t="shared" si="113"/>
        <v>795.808</v>
      </c>
      <c r="CL101" s="10">
        <f t="shared" si="114"/>
        <v>165.793333333333</v>
      </c>
      <c r="CM101" s="10"/>
      <c r="CN101" s="10"/>
      <c r="CO101" s="10"/>
      <c r="CP101" s="10"/>
      <c r="CQ101" s="10"/>
      <c r="CR101" s="10"/>
      <c r="CS101" s="10"/>
      <c r="CT101" s="10"/>
      <c r="CU101" s="10">
        <v>260</v>
      </c>
      <c r="CV101" s="10">
        <v>441650</v>
      </c>
      <c r="CW101" s="10">
        <v>0</v>
      </c>
      <c r="CX101" s="10">
        <f t="shared" si="115"/>
        <v>883.3</v>
      </c>
      <c r="CY101" s="10">
        <f t="shared" si="116"/>
        <v>1913.81666666667</v>
      </c>
      <c r="CZ101" s="10"/>
      <c r="DA101" s="10"/>
      <c r="DB101" s="10"/>
      <c r="DC101" s="10"/>
      <c r="DD101" s="31" t="s">
        <v>356</v>
      </c>
      <c r="DE101" s="32">
        <f>0.5*DE100</f>
        <v>0.035</v>
      </c>
      <c r="DF101">
        <f>(20*$DO$5+2*$DO$8)</f>
        <v>990</v>
      </c>
      <c r="DG101" s="29">
        <f t="shared" si="144"/>
        <v>595.990608632834</v>
      </c>
      <c r="DH101" s="29">
        <f t="shared" si="139"/>
        <v>722.412858948889</v>
      </c>
      <c r="DK101" t="s">
        <v>317</v>
      </c>
      <c r="DL101" s="29">
        <f t="shared" si="142"/>
        <v>1147.12642721295</v>
      </c>
      <c r="DQ101" t="s">
        <v>317</v>
      </c>
      <c r="DR101" s="29">
        <f t="shared" si="140"/>
        <v>1147.12642721295</v>
      </c>
      <c r="FB101" s="52">
        <v>99</v>
      </c>
      <c r="FC101" s="112">
        <v>29997</v>
      </c>
      <c r="FD101" s="55">
        <f>SUM($FC$3:FC101)</f>
        <v>654177</v>
      </c>
    </row>
    <row r="102" ht="14.25" spans="47:160">
      <c r="AU102">
        <v>100</v>
      </c>
      <c r="AV102">
        <v>886086</v>
      </c>
      <c r="AW102">
        <v>100</v>
      </c>
      <c r="AX102">
        <v>886000</v>
      </c>
      <c r="AY102">
        <v>100</v>
      </c>
      <c r="AZ102">
        <v>2904398</v>
      </c>
      <c r="BR102" s="10"/>
      <c r="BS102" s="10"/>
      <c r="BT102" s="10"/>
      <c r="BU102" s="10"/>
      <c r="BV102" s="10"/>
      <c r="BW102" s="10"/>
      <c r="BX102" s="10"/>
      <c r="BY102" s="10"/>
      <c r="BZ102" s="10">
        <v>261</v>
      </c>
      <c r="CA102" s="10">
        <f t="shared" si="118"/>
        <v>52000</v>
      </c>
      <c r="CB102" s="10">
        <f t="shared" si="108"/>
        <v>104000</v>
      </c>
      <c r="CC102" s="10">
        <f t="shared" si="109"/>
        <v>624</v>
      </c>
      <c r="CD102" s="10">
        <f t="shared" si="110"/>
        <v>579.428571428571</v>
      </c>
      <c r="CE102" s="10">
        <f t="shared" si="111"/>
        <v>110.422873869636</v>
      </c>
      <c r="CF102" s="10"/>
      <c r="CG102" s="10">
        <v>261</v>
      </c>
      <c r="CH102" s="10">
        <f>CH101+195-5</f>
        <v>38450</v>
      </c>
      <c r="CI102" s="10">
        <v>0</v>
      </c>
      <c r="CJ102" s="10">
        <f t="shared" si="112"/>
        <v>307.6</v>
      </c>
      <c r="CK102" s="10">
        <f t="shared" si="113"/>
        <v>799.76</v>
      </c>
      <c r="CL102" s="10">
        <f t="shared" si="114"/>
        <v>166.616666666667</v>
      </c>
      <c r="CM102" s="10"/>
      <c r="CN102" s="10"/>
      <c r="CO102" s="10"/>
      <c r="CP102" s="10"/>
      <c r="CQ102" s="10"/>
      <c r="CR102" s="10"/>
      <c r="CS102" s="10"/>
      <c r="CT102" s="10"/>
      <c r="CU102" s="10">
        <v>261</v>
      </c>
      <c r="CV102" s="10">
        <v>443400</v>
      </c>
      <c r="CW102" s="10">
        <v>0</v>
      </c>
      <c r="CX102" s="10">
        <f t="shared" si="115"/>
        <v>886.8</v>
      </c>
      <c r="CY102" s="10">
        <f t="shared" si="116"/>
        <v>1921.4</v>
      </c>
      <c r="CZ102" s="10"/>
      <c r="DA102" s="10"/>
      <c r="DB102" s="10"/>
      <c r="DC102" s="10"/>
      <c r="DD102" t="s">
        <v>357</v>
      </c>
      <c r="DE102" s="32">
        <f>0.2*DE100</f>
        <v>0.014</v>
      </c>
      <c r="DF102">
        <f>(20*$DO$5+2*$DO$8)</f>
        <v>990</v>
      </c>
      <c r="DG102" s="29">
        <f t="shared" si="144"/>
        <v>1489.97652158208</v>
      </c>
      <c r="DH102" s="29">
        <f t="shared" si="139"/>
        <v>1806.03214737222</v>
      </c>
      <c r="DK102" t="s">
        <v>319</v>
      </c>
      <c r="DL102" s="29">
        <f t="shared" si="142"/>
        <v>1246.87655131842</v>
      </c>
      <c r="DQ102" t="s">
        <v>319</v>
      </c>
      <c r="DR102" s="29">
        <f t="shared" si="140"/>
        <v>1246.87655131842</v>
      </c>
      <c r="FB102" s="59" t="s">
        <v>366</v>
      </c>
      <c r="FC102" s="119">
        <v>654177</v>
      </c>
      <c r="FD102" s="62"/>
    </row>
    <row r="103" spans="47:160">
      <c r="AU103">
        <v>101</v>
      </c>
      <c r="AV103">
        <v>888547</v>
      </c>
      <c r="AW103">
        <v>101</v>
      </c>
      <c r="AX103">
        <v>3027527</v>
      </c>
      <c r="AY103">
        <v>101</v>
      </c>
      <c r="AZ103">
        <v>3027527</v>
      </c>
      <c r="BR103" s="10"/>
      <c r="BS103" s="10"/>
      <c r="BT103" s="10"/>
      <c r="BU103" s="10"/>
      <c r="BV103" s="10"/>
      <c r="BW103" s="10"/>
      <c r="BX103" s="10"/>
      <c r="BY103" s="10"/>
      <c r="BZ103" s="10">
        <v>262</v>
      </c>
      <c r="CA103" s="10">
        <f t="shared" si="118"/>
        <v>52260</v>
      </c>
      <c r="CB103" s="10">
        <f t="shared" si="108"/>
        <v>104520</v>
      </c>
      <c r="CC103" s="10">
        <f t="shared" si="109"/>
        <v>627.12</v>
      </c>
      <c r="CD103" s="10">
        <f t="shared" si="110"/>
        <v>582.325714285714</v>
      </c>
      <c r="CE103" s="10">
        <f t="shared" si="111"/>
        <v>110.974988238984</v>
      </c>
      <c r="CF103" s="10"/>
      <c r="CG103" s="10">
        <v>262</v>
      </c>
      <c r="CH103" s="10">
        <f t="shared" si="143"/>
        <v>38640</v>
      </c>
      <c r="CI103" s="10">
        <v>0</v>
      </c>
      <c r="CJ103" s="10">
        <f t="shared" si="112"/>
        <v>309.12</v>
      </c>
      <c r="CK103" s="10">
        <f t="shared" si="113"/>
        <v>803.712</v>
      </c>
      <c r="CL103" s="10">
        <f t="shared" si="114"/>
        <v>167.44</v>
      </c>
      <c r="CM103" s="10"/>
      <c r="CN103" s="10"/>
      <c r="CO103" s="10"/>
      <c r="CP103" s="10"/>
      <c r="CQ103" s="10"/>
      <c r="CR103" s="10"/>
      <c r="CS103" s="10"/>
      <c r="CT103" s="10"/>
      <c r="CU103" s="10">
        <v>262</v>
      </c>
      <c r="CV103" s="10">
        <v>445200</v>
      </c>
      <c r="CW103" s="10">
        <v>0</v>
      </c>
      <c r="CX103" s="10">
        <f t="shared" si="115"/>
        <v>890.4</v>
      </c>
      <c r="CY103" s="10">
        <f t="shared" si="116"/>
        <v>1929.2</v>
      </c>
      <c r="CZ103" s="10"/>
      <c r="DA103" s="10"/>
      <c r="DB103" s="10"/>
      <c r="DC103" s="10"/>
      <c r="DD103" t="s">
        <v>358</v>
      </c>
      <c r="DE103" s="32">
        <f>0.05*DE100</f>
        <v>0.0035</v>
      </c>
      <c r="DF103">
        <f>(20*$DO$5+2*$DO$8)</f>
        <v>990</v>
      </c>
      <c r="DG103" s="29">
        <f t="shared" si="144"/>
        <v>5959.90608632834</v>
      </c>
      <c r="DH103" s="29">
        <f t="shared" si="139"/>
        <v>7224.12858948889</v>
      </c>
    </row>
    <row r="104" spans="47:160">
      <c r="AU104">
        <v>102</v>
      </c>
      <c r="AV104">
        <v>926501</v>
      </c>
      <c r="AW104">
        <v>102</v>
      </c>
      <c r="AX104">
        <v>3032011</v>
      </c>
      <c r="AY104">
        <v>102</v>
      </c>
      <c r="AZ104">
        <v>3032011</v>
      </c>
      <c r="BR104" s="10"/>
      <c r="BS104" s="10"/>
      <c r="BT104" s="10"/>
      <c r="BU104" s="10"/>
      <c r="BV104" s="10"/>
      <c r="BW104" s="10"/>
      <c r="BX104" s="10"/>
      <c r="BY104" s="10"/>
      <c r="BZ104" s="10">
        <v>263</v>
      </c>
      <c r="CA104" s="10">
        <f t="shared" si="118"/>
        <v>52520</v>
      </c>
      <c r="CB104" s="10">
        <f t="shared" si="108"/>
        <v>105040</v>
      </c>
      <c r="CC104" s="10">
        <f t="shared" si="109"/>
        <v>630.24</v>
      </c>
      <c r="CD104" s="10">
        <f t="shared" si="110"/>
        <v>585.222857142857</v>
      </c>
      <c r="CE104" s="10">
        <f t="shared" si="111"/>
        <v>111.527102608332</v>
      </c>
      <c r="CF104" s="10"/>
      <c r="CG104" s="10">
        <v>263</v>
      </c>
      <c r="CH104" s="10">
        <f t="shared" ref="CH104:CH108" si="145">CH103+195</f>
        <v>38835</v>
      </c>
      <c r="CI104" s="10">
        <v>0</v>
      </c>
      <c r="CJ104" s="10">
        <f t="shared" si="112"/>
        <v>310.68</v>
      </c>
      <c r="CK104" s="10">
        <f t="shared" si="113"/>
        <v>807.768</v>
      </c>
      <c r="CL104" s="10">
        <f t="shared" si="114"/>
        <v>168.285</v>
      </c>
      <c r="CM104" s="10"/>
      <c r="CN104" s="10"/>
      <c r="CO104" s="10"/>
      <c r="CP104" s="10"/>
      <c r="CQ104" s="10"/>
      <c r="CR104" s="10"/>
      <c r="CS104" s="10"/>
      <c r="CT104" s="10"/>
      <c r="CU104" s="10">
        <v>263</v>
      </c>
      <c r="CV104" s="10">
        <v>446950</v>
      </c>
      <c r="CW104" s="10">
        <v>0</v>
      </c>
      <c r="CX104" s="10">
        <f t="shared" si="115"/>
        <v>893.9</v>
      </c>
      <c r="CY104" s="10">
        <f t="shared" si="116"/>
        <v>1936.78333333333</v>
      </c>
      <c r="CZ104" s="10"/>
      <c r="DA104" s="10"/>
      <c r="DB104" s="10"/>
      <c r="DC104" s="10"/>
    </row>
    <row r="105" spans="47:160">
      <c r="AU105">
        <v>103</v>
      </c>
      <c r="AV105">
        <v>964086</v>
      </c>
      <c r="AW105">
        <v>103</v>
      </c>
      <c r="AX105">
        <v>3117883</v>
      </c>
      <c r="AY105">
        <v>103</v>
      </c>
      <c r="AZ105">
        <v>3117883</v>
      </c>
      <c r="BR105" s="10"/>
      <c r="BS105" s="10"/>
      <c r="BT105" s="10"/>
      <c r="BU105" s="10"/>
      <c r="BV105" s="10"/>
      <c r="BW105" s="10"/>
      <c r="BX105" s="10"/>
      <c r="BY105" s="10"/>
      <c r="BZ105" s="10">
        <v>264</v>
      </c>
      <c r="CA105" s="10">
        <f t="shared" si="118"/>
        <v>52780</v>
      </c>
      <c r="CB105" s="10">
        <f t="shared" si="108"/>
        <v>105560</v>
      </c>
      <c r="CC105" s="10">
        <f t="shared" si="109"/>
        <v>633.36</v>
      </c>
      <c r="CD105" s="10">
        <f t="shared" si="110"/>
        <v>588.12</v>
      </c>
      <c r="CE105" s="10">
        <f t="shared" si="111"/>
        <v>112.07921697768</v>
      </c>
      <c r="CF105" s="10"/>
      <c r="CG105" s="10">
        <v>264</v>
      </c>
      <c r="CH105" s="10">
        <f t="shared" ref="CH105:CH109" si="146">CH104+190</f>
        <v>39025</v>
      </c>
      <c r="CI105" s="10">
        <v>0</v>
      </c>
      <c r="CJ105" s="10">
        <f t="shared" si="112"/>
        <v>312.2</v>
      </c>
      <c r="CK105" s="10">
        <f t="shared" si="113"/>
        <v>811.72</v>
      </c>
      <c r="CL105" s="10">
        <f t="shared" si="114"/>
        <v>169.108333333333</v>
      </c>
      <c r="CM105" s="10"/>
      <c r="CN105" s="10"/>
      <c r="CO105" s="10"/>
      <c r="CP105" s="10"/>
      <c r="CQ105" s="10"/>
      <c r="CR105" s="10"/>
      <c r="CS105" s="10"/>
      <c r="CT105" s="10"/>
      <c r="CU105" s="10">
        <v>264</v>
      </c>
      <c r="CV105" s="10">
        <v>448750</v>
      </c>
      <c r="CW105" s="10">
        <v>0</v>
      </c>
      <c r="CX105" s="10">
        <f t="shared" si="115"/>
        <v>897.5</v>
      </c>
      <c r="CY105" s="10">
        <f t="shared" si="116"/>
        <v>1944.58333333333</v>
      </c>
      <c r="CZ105" s="10"/>
      <c r="DA105" s="10"/>
      <c r="DB105" s="10"/>
      <c r="DC105" s="10"/>
    </row>
    <row r="106" spans="47:160">
      <c r="AU106">
        <v>104</v>
      </c>
      <c r="AV106">
        <v>1012164</v>
      </c>
      <c r="AW106">
        <v>104</v>
      </c>
      <c r="AX106">
        <v>3191855</v>
      </c>
      <c r="AY106">
        <v>104</v>
      </c>
      <c r="AZ106">
        <v>3191855</v>
      </c>
      <c r="BR106" s="10"/>
      <c r="BS106" s="10"/>
      <c r="BT106" s="10"/>
      <c r="BU106" s="10"/>
      <c r="BV106" s="10"/>
      <c r="BW106" s="10"/>
      <c r="BX106" s="10"/>
      <c r="BY106" s="10"/>
      <c r="BZ106" s="10">
        <v>265</v>
      </c>
      <c r="CA106" s="10">
        <f t="shared" si="118"/>
        <v>53040</v>
      </c>
      <c r="CB106" s="10">
        <f t="shared" si="108"/>
        <v>106080</v>
      </c>
      <c r="CC106" s="10">
        <f t="shared" si="109"/>
        <v>636.48</v>
      </c>
      <c r="CD106" s="10">
        <f t="shared" si="110"/>
        <v>591.017142857143</v>
      </c>
      <c r="CE106" s="10">
        <f t="shared" si="111"/>
        <v>112.631331347028</v>
      </c>
      <c r="CF106" s="10"/>
      <c r="CG106" s="10">
        <v>265</v>
      </c>
      <c r="CH106" s="10">
        <f t="shared" si="145"/>
        <v>39220</v>
      </c>
      <c r="CI106" s="10">
        <v>0</v>
      </c>
      <c r="CJ106" s="10">
        <f t="shared" si="112"/>
        <v>313.76</v>
      </c>
      <c r="CK106" s="10">
        <f t="shared" si="113"/>
        <v>815.776</v>
      </c>
      <c r="CL106" s="10">
        <f t="shared" si="114"/>
        <v>169.953333333333</v>
      </c>
      <c r="CM106" s="10"/>
      <c r="CN106" s="10"/>
      <c r="CO106" s="10"/>
      <c r="CP106" s="10"/>
      <c r="CQ106" s="10"/>
      <c r="CR106" s="10"/>
      <c r="CS106" s="10"/>
      <c r="CT106" s="10"/>
      <c r="CU106" s="10">
        <v>265</v>
      </c>
      <c r="CV106" s="10">
        <v>450500</v>
      </c>
      <c r="CW106" s="10">
        <v>0</v>
      </c>
      <c r="CX106" s="10">
        <f t="shared" si="115"/>
        <v>901</v>
      </c>
      <c r="CY106" s="10">
        <f t="shared" si="116"/>
        <v>1952.16666666667</v>
      </c>
      <c r="CZ106" s="10"/>
      <c r="DA106" s="10"/>
      <c r="DB106" s="10"/>
      <c r="DC106" s="10"/>
    </row>
    <row r="107" spans="47:160">
      <c r="AU107">
        <v>105</v>
      </c>
      <c r="AV107">
        <v>1054111</v>
      </c>
      <c r="AW107">
        <v>105</v>
      </c>
      <c r="AX107">
        <v>3220513</v>
      </c>
      <c r="AY107">
        <v>105</v>
      </c>
      <c r="AZ107">
        <v>3220513</v>
      </c>
      <c r="BR107" s="10"/>
      <c r="BS107" s="10"/>
      <c r="BT107" s="10"/>
      <c r="BU107" s="10"/>
      <c r="BV107" s="10"/>
      <c r="BW107" s="10"/>
      <c r="BX107" s="10"/>
      <c r="BY107" s="10"/>
      <c r="BZ107" s="10">
        <v>266</v>
      </c>
      <c r="CA107" s="10">
        <f t="shared" si="118"/>
        <v>53300</v>
      </c>
      <c r="CB107" s="10">
        <f t="shared" si="108"/>
        <v>106600</v>
      </c>
      <c r="CC107" s="10">
        <f t="shared" si="109"/>
        <v>639.6</v>
      </c>
      <c r="CD107" s="10">
        <f t="shared" si="110"/>
        <v>593.914285714286</v>
      </c>
      <c r="CE107" s="10">
        <f t="shared" si="111"/>
        <v>113.183445716377</v>
      </c>
      <c r="CF107" s="10"/>
      <c r="CG107" s="10">
        <v>266</v>
      </c>
      <c r="CH107" s="10">
        <f t="shared" si="146"/>
        <v>39410</v>
      </c>
      <c r="CI107" s="10">
        <v>0</v>
      </c>
      <c r="CJ107" s="10">
        <f t="shared" si="112"/>
        <v>315.28</v>
      </c>
      <c r="CK107" s="10">
        <f t="shared" si="113"/>
        <v>819.728</v>
      </c>
      <c r="CL107" s="10">
        <f t="shared" si="114"/>
        <v>170.776666666667</v>
      </c>
      <c r="CM107" s="10"/>
      <c r="CN107" s="10"/>
      <c r="CO107" s="10"/>
      <c r="CP107" s="10"/>
      <c r="CQ107" s="10"/>
      <c r="CR107" s="10"/>
      <c r="CS107" s="10"/>
      <c r="CT107" s="10"/>
      <c r="CU107" s="10">
        <v>266</v>
      </c>
      <c r="CV107" s="10">
        <v>452300</v>
      </c>
      <c r="CW107" s="10">
        <v>0</v>
      </c>
      <c r="CX107" s="10">
        <f t="shared" si="115"/>
        <v>904.6</v>
      </c>
      <c r="CY107" s="10">
        <f t="shared" si="116"/>
        <v>1959.96666666667</v>
      </c>
      <c r="CZ107" s="10"/>
      <c r="DA107" s="10"/>
      <c r="DB107" s="10"/>
      <c r="DC107" s="10"/>
    </row>
    <row r="108" spans="47:160">
      <c r="AU108">
        <v>106</v>
      </c>
      <c r="AV108">
        <v>1096529</v>
      </c>
      <c r="AW108">
        <v>106</v>
      </c>
      <c r="AX108">
        <v>3258763</v>
      </c>
      <c r="AY108">
        <v>106</v>
      </c>
      <c r="AZ108">
        <v>3258763</v>
      </c>
      <c r="BR108" s="10"/>
      <c r="BS108" s="10"/>
      <c r="BT108" s="10"/>
      <c r="BU108" s="10"/>
      <c r="BV108" s="10"/>
      <c r="BW108" s="10"/>
      <c r="BX108" s="10"/>
      <c r="BY108" s="10"/>
      <c r="BZ108" s="10">
        <v>267</v>
      </c>
      <c r="CA108" s="10">
        <f t="shared" si="118"/>
        <v>53560</v>
      </c>
      <c r="CB108" s="10">
        <f t="shared" si="108"/>
        <v>107120</v>
      </c>
      <c r="CC108" s="10">
        <f t="shared" si="109"/>
        <v>642.72</v>
      </c>
      <c r="CD108" s="10">
        <f t="shared" si="110"/>
        <v>596.811428571429</v>
      </c>
      <c r="CE108" s="10">
        <f t="shared" si="111"/>
        <v>113.735560085725</v>
      </c>
      <c r="CF108" s="10"/>
      <c r="CG108" s="10">
        <v>267</v>
      </c>
      <c r="CH108" s="10">
        <f t="shared" si="145"/>
        <v>39605</v>
      </c>
      <c r="CI108" s="10">
        <v>0</v>
      </c>
      <c r="CJ108" s="10">
        <f t="shared" si="112"/>
        <v>316.84</v>
      </c>
      <c r="CK108" s="10">
        <f t="shared" si="113"/>
        <v>823.784</v>
      </c>
      <c r="CL108" s="10">
        <f t="shared" si="114"/>
        <v>171.621666666667</v>
      </c>
      <c r="CM108" s="10"/>
      <c r="CN108" s="10"/>
      <c r="CO108" s="10"/>
      <c r="CP108" s="10"/>
      <c r="CQ108" s="10"/>
      <c r="CR108" s="10"/>
      <c r="CS108" s="10"/>
      <c r="CT108" s="10"/>
      <c r="CU108" s="10">
        <v>267</v>
      </c>
      <c r="CV108" s="10">
        <v>454050</v>
      </c>
      <c r="CW108" s="10">
        <v>0</v>
      </c>
      <c r="CX108" s="10">
        <f t="shared" si="115"/>
        <v>908.1</v>
      </c>
      <c r="CY108" s="10">
        <f t="shared" si="116"/>
        <v>1967.55</v>
      </c>
      <c r="CZ108" s="10"/>
      <c r="DA108" s="10"/>
      <c r="DB108" s="10"/>
      <c r="DC108" s="10"/>
    </row>
    <row r="109" spans="47:160">
      <c r="AU109">
        <v>107</v>
      </c>
      <c r="AV109">
        <v>1135645</v>
      </c>
      <c r="AW109">
        <v>107</v>
      </c>
      <c r="AX109">
        <v>3346658</v>
      </c>
      <c r="AY109">
        <v>107</v>
      </c>
      <c r="AZ109">
        <v>3346658</v>
      </c>
      <c r="BR109" s="10"/>
      <c r="BS109" s="10"/>
      <c r="BT109" s="10"/>
      <c r="BU109" s="10"/>
      <c r="BV109" s="10"/>
      <c r="BW109" s="10"/>
      <c r="BX109" s="10"/>
      <c r="BY109" s="10"/>
      <c r="BZ109" s="10">
        <v>268</v>
      </c>
      <c r="CA109" s="10">
        <f t="shared" si="118"/>
        <v>53820</v>
      </c>
      <c r="CB109" s="10">
        <f t="shared" si="108"/>
        <v>107640</v>
      </c>
      <c r="CC109" s="10">
        <f t="shared" si="109"/>
        <v>645.84</v>
      </c>
      <c r="CD109" s="10">
        <f t="shared" si="110"/>
        <v>599.708571428571</v>
      </c>
      <c r="CE109" s="10">
        <f t="shared" si="111"/>
        <v>114.287674455073</v>
      </c>
      <c r="CF109" s="10"/>
      <c r="CG109" s="10">
        <v>268</v>
      </c>
      <c r="CH109" s="10">
        <f t="shared" si="146"/>
        <v>39795</v>
      </c>
      <c r="CI109" s="10">
        <v>0</v>
      </c>
      <c r="CJ109" s="10">
        <f t="shared" si="112"/>
        <v>318.36</v>
      </c>
      <c r="CK109" s="10">
        <f t="shared" si="113"/>
        <v>827.736</v>
      </c>
      <c r="CL109" s="10">
        <f t="shared" si="114"/>
        <v>172.445</v>
      </c>
      <c r="CM109" s="10"/>
      <c r="CN109" s="10"/>
      <c r="CO109" s="10"/>
      <c r="CP109" s="10"/>
      <c r="CQ109" s="10"/>
      <c r="CR109" s="10"/>
      <c r="CS109" s="10"/>
      <c r="CT109" s="10"/>
      <c r="CU109" s="10">
        <v>268</v>
      </c>
      <c r="CV109" s="10">
        <v>455850</v>
      </c>
      <c r="CW109" s="10">
        <v>0</v>
      </c>
      <c r="CX109" s="10">
        <f t="shared" si="115"/>
        <v>911.7</v>
      </c>
      <c r="CY109" s="10">
        <f t="shared" si="116"/>
        <v>1975.35</v>
      </c>
      <c r="CZ109" s="10"/>
      <c r="DA109" s="10"/>
      <c r="DB109" s="10"/>
      <c r="DC109" s="10"/>
    </row>
    <row r="110" spans="47:160">
      <c r="AU110">
        <v>108</v>
      </c>
      <c r="AV110">
        <v>1174997</v>
      </c>
      <c r="AW110">
        <v>108</v>
      </c>
      <c r="AX110">
        <v>3389858</v>
      </c>
      <c r="AY110">
        <v>108</v>
      </c>
      <c r="AZ110">
        <v>3389858</v>
      </c>
      <c r="BR110" s="10"/>
      <c r="BS110" s="10"/>
      <c r="BT110" s="10"/>
      <c r="BU110" s="10"/>
      <c r="BV110" s="10"/>
      <c r="BW110" s="10"/>
      <c r="BX110" s="10"/>
      <c r="BY110" s="10"/>
      <c r="BZ110" s="10">
        <v>269</v>
      </c>
      <c r="CA110" s="10">
        <f t="shared" si="118"/>
        <v>54080</v>
      </c>
      <c r="CB110" s="10">
        <f t="shared" si="108"/>
        <v>108160</v>
      </c>
      <c r="CC110" s="10">
        <f t="shared" si="109"/>
        <v>648.96</v>
      </c>
      <c r="CD110" s="10">
        <f t="shared" si="110"/>
        <v>602.605714285714</v>
      </c>
      <c r="CE110" s="10">
        <f t="shared" si="111"/>
        <v>114.839788824421</v>
      </c>
      <c r="CF110" s="10"/>
      <c r="CG110" s="10">
        <v>269</v>
      </c>
      <c r="CH110" s="10">
        <f t="shared" ref="CH110:CH114" si="147">CH109+195</f>
        <v>39990</v>
      </c>
      <c r="CI110" s="10">
        <v>0</v>
      </c>
      <c r="CJ110" s="10">
        <f t="shared" si="112"/>
        <v>319.92</v>
      </c>
      <c r="CK110" s="10">
        <f t="shared" si="113"/>
        <v>831.792</v>
      </c>
      <c r="CL110" s="10">
        <f t="shared" si="114"/>
        <v>173.29</v>
      </c>
      <c r="CM110" s="10"/>
      <c r="CN110" s="10"/>
      <c r="CO110" s="10"/>
      <c r="CP110" s="10"/>
      <c r="CQ110" s="10"/>
      <c r="CR110" s="10"/>
      <c r="CS110" s="10"/>
      <c r="CT110" s="10"/>
      <c r="CU110" s="10">
        <v>269</v>
      </c>
      <c r="CV110" s="10">
        <v>457600</v>
      </c>
      <c r="CW110" s="10">
        <v>0</v>
      </c>
      <c r="CX110" s="10">
        <f t="shared" si="115"/>
        <v>915.2</v>
      </c>
      <c r="CY110" s="10">
        <f t="shared" si="116"/>
        <v>1982.93333333333</v>
      </c>
      <c r="CZ110" s="10"/>
      <c r="DA110" s="10"/>
      <c r="DB110" s="10"/>
      <c r="DC110" s="10"/>
    </row>
    <row r="111" spans="47:160">
      <c r="AU111">
        <v>109</v>
      </c>
      <c r="AV111">
        <v>1214584</v>
      </c>
      <c r="AW111">
        <v>109</v>
      </c>
      <c r="AX111">
        <v>3548753</v>
      </c>
      <c r="AY111">
        <v>109</v>
      </c>
      <c r="AZ111">
        <v>3548753</v>
      </c>
      <c r="BR111" s="10"/>
      <c r="BS111" s="10"/>
      <c r="BT111" s="10"/>
      <c r="BU111" s="10"/>
      <c r="BV111" s="10"/>
      <c r="BW111" s="10"/>
      <c r="BX111" s="10"/>
      <c r="BY111" s="10"/>
      <c r="BZ111" s="10">
        <v>270</v>
      </c>
      <c r="CA111" s="10">
        <f t="shared" si="118"/>
        <v>54340</v>
      </c>
      <c r="CB111" s="10">
        <f t="shared" si="108"/>
        <v>108680</v>
      </c>
      <c r="CC111" s="10">
        <f t="shared" si="109"/>
        <v>652.08</v>
      </c>
      <c r="CD111" s="10">
        <f t="shared" si="110"/>
        <v>605.502857142857</v>
      </c>
      <c r="CE111" s="10">
        <f t="shared" si="111"/>
        <v>115.391903193769</v>
      </c>
      <c r="CF111" s="10"/>
      <c r="CG111" s="10">
        <v>270</v>
      </c>
      <c r="CH111" s="10">
        <f t="shared" ref="CH111:CH115" si="148">CH110+190</f>
        <v>40180</v>
      </c>
      <c r="CI111" s="10">
        <v>0</v>
      </c>
      <c r="CJ111" s="10">
        <f t="shared" si="112"/>
        <v>321.44</v>
      </c>
      <c r="CK111" s="10">
        <f t="shared" si="113"/>
        <v>835.744</v>
      </c>
      <c r="CL111" s="10">
        <f t="shared" si="114"/>
        <v>174.113333333333</v>
      </c>
      <c r="CM111" s="10"/>
      <c r="CN111" s="10"/>
      <c r="CO111" s="10"/>
      <c r="CP111" s="10"/>
      <c r="CQ111" s="10"/>
      <c r="CR111" s="10"/>
      <c r="CS111" s="10"/>
      <c r="CT111" s="10"/>
      <c r="CU111" s="10">
        <v>270</v>
      </c>
      <c r="CV111" s="10">
        <v>459400</v>
      </c>
      <c r="CW111" s="10">
        <v>0</v>
      </c>
      <c r="CX111" s="10">
        <f t="shared" si="115"/>
        <v>918.8</v>
      </c>
      <c r="CY111" s="10">
        <f t="shared" si="116"/>
        <v>1990.73333333333</v>
      </c>
      <c r="CZ111" s="10"/>
      <c r="DA111" s="10"/>
      <c r="DB111" s="10"/>
      <c r="DC111" s="10"/>
    </row>
    <row r="112" spans="47:160">
      <c r="AU112">
        <v>110</v>
      </c>
      <c r="AV112">
        <v>1258533</v>
      </c>
      <c r="AW112">
        <v>110</v>
      </c>
      <c r="AX112">
        <v>3631694</v>
      </c>
      <c r="AY112">
        <v>110</v>
      </c>
      <c r="AZ112">
        <v>3631694</v>
      </c>
      <c r="BR112" s="10"/>
      <c r="BS112" s="10"/>
      <c r="BT112" s="10"/>
      <c r="BU112" s="10"/>
      <c r="BV112" s="10"/>
      <c r="BW112" s="10"/>
      <c r="BX112" s="10"/>
      <c r="BY112" s="10"/>
      <c r="BZ112" s="10">
        <v>271</v>
      </c>
      <c r="CA112" s="10">
        <f t="shared" si="118"/>
        <v>54600</v>
      </c>
      <c r="CB112" s="10">
        <f t="shared" si="108"/>
        <v>109200</v>
      </c>
      <c r="CC112" s="10">
        <f t="shared" si="109"/>
        <v>655.2</v>
      </c>
      <c r="CD112" s="10">
        <f t="shared" si="110"/>
        <v>608.4</v>
      </c>
      <c r="CE112" s="10">
        <f t="shared" si="111"/>
        <v>115.944017563117</v>
      </c>
      <c r="CF112" s="10"/>
      <c r="CG112" s="10">
        <v>271</v>
      </c>
      <c r="CH112" s="10">
        <f t="shared" si="147"/>
        <v>40375</v>
      </c>
      <c r="CI112" s="10">
        <v>0</v>
      </c>
      <c r="CJ112" s="10">
        <f t="shared" si="112"/>
        <v>323</v>
      </c>
      <c r="CK112" s="10">
        <f t="shared" si="113"/>
        <v>839.8</v>
      </c>
      <c r="CL112" s="10">
        <f t="shared" si="114"/>
        <v>174.958333333333</v>
      </c>
      <c r="CM112" s="10"/>
      <c r="CN112" s="10"/>
      <c r="CO112" s="10"/>
      <c r="CP112" s="10"/>
      <c r="CQ112" s="10"/>
      <c r="CR112" s="10"/>
      <c r="CS112" s="10"/>
      <c r="CT112" s="10"/>
      <c r="CU112" s="10">
        <v>271</v>
      </c>
      <c r="CV112" s="10">
        <v>461150</v>
      </c>
      <c r="CW112" s="10">
        <v>0</v>
      </c>
      <c r="CX112" s="10">
        <f t="shared" si="115"/>
        <v>922.3</v>
      </c>
      <c r="CY112" s="10">
        <f t="shared" si="116"/>
        <v>1998.31666666667</v>
      </c>
      <c r="CZ112" s="10"/>
      <c r="DA112" s="10"/>
      <c r="DB112" s="10"/>
      <c r="DC112" s="10"/>
    </row>
    <row r="113" spans="47:113">
      <c r="AU113">
        <v>111</v>
      </c>
      <c r="AV113">
        <v>1303677</v>
      </c>
      <c r="AW113">
        <v>111</v>
      </c>
      <c r="AX113">
        <v>3771824</v>
      </c>
      <c r="AY113">
        <v>111</v>
      </c>
      <c r="AZ113">
        <v>3771824</v>
      </c>
      <c r="BR113" s="10"/>
      <c r="BS113" s="10"/>
      <c r="BT113" s="10"/>
      <c r="BU113" s="10"/>
      <c r="BV113" s="10"/>
      <c r="BW113" s="10"/>
      <c r="BX113" s="10"/>
      <c r="BY113" s="10"/>
      <c r="BZ113" s="10">
        <v>272</v>
      </c>
      <c r="CA113" s="10">
        <f t="shared" si="118"/>
        <v>54860</v>
      </c>
      <c r="CB113" s="10">
        <f t="shared" si="108"/>
        <v>109720</v>
      </c>
      <c r="CC113" s="10">
        <f t="shared" si="109"/>
        <v>658.32</v>
      </c>
      <c r="CD113" s="10">
        <f t="shared" si="110"/>
        <v>611.297142857143</v>
      </c>
      <c r="CE113" s="10">
        <f t="shared" si="111"/>
        <v>116.496131932466</v>
      </c>
      <c r="CF113" s="10"/>
      <c r="CG113" s="10">
        <v>272</v>
      </c>
      <c r="CH113" s="10">
        <f t="shared" si="148"/>
        <v>40565</v>
      </c>
      <c r="CI113" s="10">
        <v>0</v>
      </c>
      <c r="CJ113" s="10">
        <f t="shared" si="112"/>
        <v>324.52</v>
      </c>
      <c r="CK113" s="10">
        <f t="shared" si="113"/>
        <v>843.752</v>
      </c>
      <c r="CL113" s="10">
        <f t="shared" si="114"/>
        <v>175.781666666667</v>
      </c>
      <c r="CM113" s="10"/>
      <c r="CN113" s="10"/>
      <c r="CO113" s="10"/>
      <c r="CP113" s="10"/>
      <c r="CQ113" s="10"/>
      <c r="CR113" s="10"/>
      <c r="CS113" s="10"/>
      <c r="CT113" s="10"/>
      <c r="CU113" s="10">
        <v>272</v>
      </c>
      <c r="CV113" s="10">
        <v>462950</v>
      </c>
      <c r="CW113" s="10">
        <v>0</v>
      </c>
      <c r="CX113" s="10">
        <f t="shared" si="115"/>
        <v>925.9</v>
      </c>
      <c r="CY113" s="10">
        <f t="shared" si="116"/>
        <v>2006.11666666667</v>
      </c>
      <c r="CZ113" s="10"/>
      <c r="DA113" s="10"/>
      <c r="DB113" s="10"/>
      <c r="DC113" s="10"/>
    </row>
    <row r="114" spans="47:113">
      <c r="AU114">
        <v>112</v>
      </c>
      <c r="AV114">
        <v>1348574</v>
      </c>
      <c r="AW114">
        <v>112</v>
      </c>
      <c r="AX114">
        <v>3796167</v>
      </c>
      <c r="AY114">
        <v>112</v>
      </c>
      <c r="AZ114">
        <v>3796167</v>
      </c>
      <c r="BR114" s="10"/>
      <c r="BS114" s="10"/>
      <c r="BT114" s="10"/>
      <c r="BU114" s="10"/>
      <c r="BV114" s="10"/>
      <c r="BW114" s="10"/>
      <c r="BX114" s="10"/>
      <c r="BY114" s="10"/>
      <c r="BZ114" s="10">
        <v>273</v>
      </c>
      <c r="CA114" s="10">
        <f t="shared" si="118"/>
        <v>55120</v>
      </c>
      <c r="CB114" s="10">
        <f t="shared" si="108"/>
        <v>110240</v>
      </c>
      <c r="CC114" s="10">
        <f t="shared" si="109"/>
        <v>661.44</v>
      </c>
      <c r="CD114" s="10">
        <f t="shared" si="110"/>
        <v>614.194285714286</v>
      </c>
      <c r="CE114" s="10">
        <f t="shared" si="111"/>
        <v>117.048246301814</v>
      </c>
      <c r="CF114" s="10"/>
      <c r="CG114" s="10">
        <v>273</v>
      </c>
      <c r="CH114" s="10">
        <f t="shared" si="147"/>
        <v>40760</v>
      </c>
      <c r="CI114" s="10">
        <v>0</v>
      </c>
      <c r="CJ114" s="10">
        <f t="shared" si="112"/>
        <v>326.08</v>
      </c>
      <c r="CK114" s="10">
        <f t="shared" si="113"/>
        <v>847.808</v>
      </c>
      <c r="CL114" s="10">
        <f t="shared" si="114"/>
        <v>176.626666666667</v>
      </c>
      <c r="CM114" s="10"/>
      <c r="CN114" s="10"/>
      <c r="CO114" s="10"/>
      <c r="CP114" s="10"/>
      <c r="CQ114" s="10"/>
      <c r="CR114" s="10"/>
      <c r="CS114" s="10"/>
      <c r="CT114" s="10"/>
      <c r="CU114" s="10">
        <v>273</v>
      </c>
      <c r="CV114" s="10">
        <v>464700</v>
      </c>
      <c r="CW114" s="10">
        <v>0</v>
      </c>
      <c r="CX114" s="10">
        <f t="shared" si="115"/>
        <v>929.4</v>
      </c>
      <c r="CY114" s="10">
        <f t="shared" si="116"/>
        <v>2013.7</v>
      </c>
      <c r="CZ114" s="10"/>
      <c r="DA114" s="10"/>
      <c r="DB114" s="10"/>
      <c r="DC114" s="10"/>
    </row>
    <row r="115" spans="47:113">
      <c r="AU115">
        <v>113</v>
      </c>
      <c r="AV115">
        <v>1393941</v>
      </c>
      <c r="AW115">
        <v>113</v>
      </c>
      <c r="AX115">
        <v>3866624</v>
      </c>
      <c r="AY115">
        <v>113</v>
      </c>
      <c r="AZ115">
        <v>3866624</v>
      </c>
      <c r="BR115" s="10"/>
      <c r="BS115" s="10"/>
      <c r="BT115" s="10"/>
      <c r="BU115" s="10"/>
      <c r="BV115" s="10"/>
      <c r="BW115" s="10"/>
      <c r="BX115" s="10"/>
      <c r="BY115" s="10"/>
      <c r="BZ115" s="10">
        <v>274</v>
      </c>
      <c r="CA115" s="10">
        <f t="shared" si="118"/>
        <v>55380</v>
      </c>
      <c r="CB115" s="10">
        <f t="shared" si="108"/>
        <v>110760</v>
      </c>
      <c r="CC115" s="10">
        <f t="shared" si="109"/>
        <v>664.56</v>
      </c>
      <c r="CD115" s="10">
        <f t="shared" si="110"/>
        <v>617.091428571429</v>
      </c>
      <c r="CE115" s="10">
        <f t="shared" si="111"/>
        <v>117.600360671162</v>
      </c>
      <c r="CF115" s="10"/>
      <c r="CG115" s="10">
        <v>274</v>
      </c>
      <c r="CH115" s="10">
        <f t="shared" si="148"/>
        <v>40950</v>
      </c>
      <c r="CI115" s="10">
        <v>0</v>
      </c>
      <c r="CJ115" s="10">
        <f t="shared" si="112"/>
        <v>327.6</v>
      </c>
      <c r="CK115" s="10">
        <f t="shared" si="113"/>
        <v>851.76</v>
      </c>
      <c r="CL115" s="10">
        <f t="shared" si="114"/>
        <v>177.45</v>
      </c>
      <c r="CM115" s="10"/>
      <c r="CN115" s="10"/>
      <c r="CO115" s="10"/>
      <c r="CP115" s="10"/>
      <c r="CQ115" s="10"/>
      <c r="CR115" s="10"/>
      <c r="CS115" s="10"/>
      <c r="CT115" s="10"/>
      <c r="CU115" s="10">
        <v>274</v>
      </c>
      <c r="CV115" s="10">
        <v>466500</v>
      </c>
      <c r="CW115" s="10">
        <v>0</v>
      </c>
      <c r="CX115" s="10">
        <f t="shared" si="115"/>
        <v>933</v>
      </c>
      <c r="CY115" s="10">
        <f t="shared" si="116"/>
        <v>2021.5</v>
      </c>
      <c r="CZ115" s="10"/>
      <c r="DA115" s="10"/>
      <c r="DB115" s="10"/>
      <c r="DC115" s="10"/>
    </row>
    <row r="116" spans="47:113">
      <c r="AU116">
        <v>114</v>
      </c>
      <c r="AV116">
        <v>1439780</v>
      </c>
      <c r="AW116">
        <v>114</v>
      </c>
      <c r="AX116">
        <v>3924404</v>
      </c>
      <c r="AY116">
        <v>114</v>
      </c>
      <c r="AZ116">
        <v>3924404</v>
      </c>
      <c r="BR116" s="10"/>
      <c r="BS116" s="10"/>
      <c r="BT116" s="10"/>
      <c r="BU116" s="10"/>
      <c r="BV116" s="10"/>
      <c r="BW116" s="10"/>
      <c r="BX116" s="10"/>
      <c r="BY116" s="10"/>
      <c r="BZ116" s="10">
        <v>275</v>
      </c>
      <c r="CA116" s="10">
        <f t="shared" si="118"/>
        <v>55640</v>
      </c>
      <c r="CB116" s="10">
        <f t="shared" si="108"/>
        <v>111280</v>
      </c>
      <c r="CC116" s="10">
        <f t="shared" si="109"/>
        <v>667.68</v>
      </c>
      <c r="CD116" s="10">
        <f t="shared" si="110"/>
        <v>619.988571428571</v>
      </c>
      <c r="CE116" s="10">
        <f t="shared" si="111"/>
        <v>118.15247504051</v>
      </c>
      <c r="CF116" s="10"/>
      <c r="CG116" s="10">
        <v>275</v>
      </c>
      <c r="CH116" s="10">
        <f t="shared" ref="CH116:CH120" si="149">CH115+195</f>
        <v>41145</v>
      </c>
      <c r="CI116" s="10">
        <v>0</v>
      </c>
      <c r="CJ116" s="10">
        <f t="shared" si="112"/>
        <v>329.16</v>
      </c>
      <c r="CK116" s="10">
        <f t="shared" si="113"/>
        <v>855.816</v>
      </c>
      <c r="CL116" s="10">
        <f t="shared" si="114"/>
        <v>178.295</v>
      </c>
      <c r="CM116" s="10"/>
      <c r="CN116" s="10"/>
      <c r="CO116" s="10"/>
      <c r="CP116" s="10"/>
      <c r="CQ116" s="10"/>
      <c r="CR116" s="10"/>
      <c r="CS116" s="10"/>
      <c r="CT116" s="10"/>
      <c r="CU116" s="10">
        <v>275</v>
      </c>
      <c r="CV116" s="10">
        <v>468250</v>
      </c>
      <c r="CW116" s="10">
        <v>0</v>
      </c>
      <c r="CX116" s="10">
        <f t="shared" si="115"/>
        <v>936.5</v>
      </c>
      <c r="CY116" s="10">
        <f t="shared" si="116"/>
        <v>2029.08333333333</v>
      </c>
      <c r="CZ116" s="10"/>
      <c r="DA116" s="10"/>
      <c r="DB116" s="10"/>
      <c r="DC116" s="10"/>
    </row>
    <row r="117" spans="47:113">
      <c r="AU117">
        <v>115</v>
      </c>
      <c r="AV117">
        <v>1486091</v>
      </c>
      <c r="AW117">
        <v>115</v>
      </c>
      <c r="AX117">
        <v>4029348</v>
      </c>
      <c r="AY117">
        <v>115</v>
      </c>
      <c r="AZ117">
        <v>4029348</v>
      </c>
      <c r="BR117" s="10"/>
      <c r="BS117" s="10"/>
      <c r="BT117" s="10"/>
      <c r="BU117" s="10"/>
      <c r="BV117" s="10"/>
      <c r="BW117" s="10"/>
      <c r="BX117" s="10"/>
      <c r="BY117" s="10"/>
      <c r="BZ117" s="10">
        <v>276</v>
      </c>
      <c r="CA117" s="10">
        <f t="shared" si="118"/>
        <v>55900</v>
      </c>
      <c r="CB117" s="10">
        <f t="shared" si="108"/>
        <v>111800</v>
      </c>
      <c r="CC117" s="10">
        <f t="shared" si="109"/>
        <v>670.8</v>
      </c>
      <c r="CD117" s="10">
        <f t="shared" si="110"/>
        <v>622.885714285714</v>
      </c>
      <c r="CE117" s="10">
        <f t="shared" si="111"/>
        <v>118.704589409858</v>
      </c>
      <c r="CF117" s="10"/>
      <c r="CG117" s="10">
        <v>276</v>
      </c>
      <c r="CH117" s="10">
        <f t="shared" ref="CH117:CH121" si="150">CH116+190</f>
        <v>41335</v>
      </c>
      <c r="CI117" s="10">
        <v>0</v>
      </c>
      <c r="CJ117" s="10">
        <f t="shared" si="112"/>
        <v>330.68</v>
      </c>
      <c r="CK117" s="10">
        <f t="shared" si="113"/>
        <v>859.768</v>
      </c>
      <c r="CL117" s="10">
        <f t="shared" si="114"/>
        <v>179.118333333333</v>
      </c>
      <c r="CM117" s="10"/>
      <c r="CN117" s="10"/>
      <c r="CO117" s="10"/>
      <c r="CP117" s="10"/>
      <c r="CQ117" s="10"/>
      <c r="CR117" s="10"/>
      <c r="CS117" s="10"/>
      <c r="CT117" s="10"/>
      <c r="CU117" s="10">
        <v>276</v>
      </c>
      <c r="CV117" s="10">
        <v>470050</v>
      </c>
      <c r="CW117" s="10">
        <v>0</v>
      </c>
      <c r="CX117" s="10">
        <f t="shared" si="115"/>
        <v>940.1</v>
      </c>
      <c r="CY117" s="10">
        <f t="shared" si="116"/>
        <v>2036.88333333333</v>
      </c>
      <c r="CZ117" s="10"/>
      <c r="DA117" s="10"/>
      <c r="DB117" s="10"/>
      <c r="DC117" s="10"/>
    </row>
    <row r="118" spans="47:113">
      <c r="AU118">
        <v>116</v>
      </c>
      <c r="AV118">
        <v>1532872</v>
      </c>
      <c r="AW118">
        <v>116</v>
      </c>
      <c r="AX118">
        <v>4101565</v>
      </c>
      <c r="AY118">
        <v>116</v>
      </c>
      <c r="AZ118">
        <v>4101565</v>
      </c>
      <c r="BR118" s="10"/>
      <c r="BS118" s="10"/>
      <c r="BT118" s="10"/>
      <c r="BU118" s="10"/>
      <c r="BV118" s="10"/>
      <c r="BW118" s="10"/>
      <c r="BX118" s="10"/>
      <c r="BY118" s="10"/>
      <c r="BZ118" s="10">
        <v>277</v>
      </c>
      <c r="CA118" s="10">
        <f t="shared" si="118"/>
        <v>56160</v>
      </c>
      <c r="CB118" s="10">
        <f t="shared" si="108"/>
        <v>112320</v>
      </c>
      <c r="CC118" s="10">
        <f t="shared" si="109"/>
        <v>673.92</v>
      </c>
      <c r="CD118" s="10">
        <f t="shared" si="110"/>
        <v>625.782857142857</v>
      </c>
      <c r="CE118" s="10">
        <f t="shared" si="111"/>
        <v>119.256703779207</v>
      </c>
      <c r="CF118" s="10"/>
      <c r="CG118" s="10">
        <v>277</v>
      </c>
      <c r="CH118" s="10">
        <f t="shared" si="149"/>
        <v>41530</v>
      </c>
      <c r="CI118" s="10">
        <v>0</v>
      </c>
      <c r="CJ118" s="10">
        <f t="shared" si="112"/>
        <v>332.24</v>
      </c>
      <c r="CK118" s="10">
        <f t="shared" si="113"/>
        <v>863.824</v>
      </c>
      <c r="CL118" s="10">
        <f t="shared" si="114"/>
        <v>179.963333333333</v>
      </c>
      <c r="CM118" s="10"/>
      <c r="CN118" s="10"/>
      <c r="CO118" s="10"/>
      <c r="CP118" s="10"/>
      <c r="CQ118" s="10"/>
      <c r="CR118" s="10"/>
      <c r="CS118" s="10"/>
      <c r="CT118" s="10"/>
      <c r="CU118" s="10">
        <v>277</v>
      </c>
      <c r="CV118" s="10">
        <v>471800</v>
      </c>
      <c r="CW118" s="10">
        <v>0</v>
      </c>
      <c r="CX118" s="10">
        <f t="shared" si="115"/>
        <v>943.6</v>
      </c>
      <c r="CY118" s="10">
        <f t="shared" si="116"/>
        <v>2044.46666666667</v>
      </c>
      <c r="CZ118" s="10"/>
      <c r="DA118" s="10"/>
      <c r="DB118" s="10"/>
      <c r="DC118" s="10"/>
      <c r="DG118" s="29"/>
    </row>
    <row r="119" spans="47:113">
      <c r="AU119">
        <v>117</v>
      </c>
      <c r="AV119">
        <v>1580125</v>
      </c>
      <c r="AW119">
        <v>117</v>
      </c>
      <c r="AX119">
        <v>4245434</v>
      </c>
      <c r="AY119">
        <v>117</v>
      </c>
      <c r="AZ119">
        <v>4245434</v>
      </c>
      <c r="BR119" s="10"/>
      <c r="BS119" s="10"/>
      <c r="BT119" s="10"/>
      <c r="BU119" s="10"/>
      <c r="BV119" s="10"/>
      <c r="BW119" s="10"/>
      <c r="BX119" s="10"/>
      <c r="BY119" s="10"/>
      <c r="BZ119" s="10">
        <v>278</v>
      </c>
      <c r="CA119" s="10">
        <f t="shared" si="118"/>
        <v>56420</v>
      </c>
      <c r="CB119" s="10">
        <f t="shared" si="108"/>
        <v>112840</v>
      </c>
      <c r="CC119" s="10">
        <f t="shared" si="109"/>
        <v>677.04</v>
      </c>
      <c r="CD119" s="10">
        <f t="shared" si="110"/>
        <v>628.68</v>
      </c>
      <c r="CE119" s="10">
        <f t="shared" si="111"/>
        <v>119.808818148555</v>
      </c>
      <c r="CF119" s="10"/>
      <c r="CG119" s="10">
        <v>278</v>
      </c>
      <c r="CH119" s="10">
        <f t="shared" si="150"/>
        <v>41720</v>
      </c>
      <c r="CI119" s="10">
        <v>0</v>
      </c>
      <c r="CJ119" s="10">
        <f t="shared" si="112"/>
        <v>333.76</v>
      </c>
      <c r="CK119" s="10">
        <f t="shared" si="113"/>
        <v>867.776</v>
      </c>
      <c r="CL119" s="10">
        <f t="shared" si="114"/>
        <v>180.786666666667</v>
      </c>
      <c r="CM119" s="10"/>
      <c r="CN119" s="10"/>
      <c r="CO119" s="10"/>
      <c r="CP119" s="10"/>
      <c r="CQ119" s="10"/>
      <c r="CR119" s="10"/>
      <c r="CS119" s="10"/>
      <c r="CT119" s="10"/>
      <c r="CU119" s="10">
        <v>278</v>
      </c>
      <c r="CV119" s="10">
        <v>473600</v>
      </c>
      <c r="CW119" s="10">
        <v>0</v>
      </c>
      <c r="CX119" s="10">
        <f t="shared" si="115"/>
        <v>947.2</v>
      </c>
      <c r="CY119" s="10">
        <f t="shared" si="116"/>
        <v>2052.26666666667</v>
      </c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</row>
    <row r="120" spans="47:113">
      <c r="AU120">
        <v>118</v>
      </c>
      <c r="AV120">
        <v>1627849</v>
      </c>
      <c r="AW120">
        <v>118</v>
      </c>
      <c r="AX120">
        <v>4245686</v>
      </c>
      <c r="AY120">
        <v>118</v>
      </c>
      <c r="AZ120">
        <v>4245686</v>
      </c>
      <c r="BR120" s="10"/>
      <c r="BS120" s="10"/>
      <c r="BT120" s="10"/>
      <c r="BU120" s="10"/>
      <c r="BV120" s="10"/>
      <c r="BW120" s="10"/>
      <c r="BX120" s="10"/>
      <c r="BY120" s="10"/>
      <c r="BZ120" s="10">
        <v>279</v>
      </c>
      <c r="CA120" s="10">
        <f t="shared" si="118"/>
        <v>56680</v>
      </c>
      <c r="CB120" s="10">
        <f t="shared" si="108"/>
        <v>113360</v>
      </c>
      <c r="CC120" s="10">
        <f t="shared" si="109"/>
        <v>680.16</v>
      </c>
      <c r="CD120" s="10">
        <f t="shared" si="110"/>
        <v>631.577142857143</v>
      </c>
      <c r="CE120" s="10">
        <f t="shared" si="111"/>
        <v>120.360932517903</v>
      </c>
      <c r="CF120" s="10"/>
      <c r="CG120" s="10">
        <v>279</v>
      </c>
      <c r="CH120" s="10">
        <f t="shared" si="149"/>
        <v>41915</v>
      </c>
      <c r="CI120" s="10">
        <v>0</v>
      </c>
      <c r="CJ120" s="10">
        <f t="shared" si="112"/>
        <v>335.32</v>
      </c>
      <c r="CK120" s="10">
        <f t="shared" si="113"/>
        <v>871.832</v>
      </c>
      <c r="CL120" s="10">
        <f t="shared" si="114"/>
        <v>181.631666666667</v>
      </c>
      <c r="CM120" s="10"/>
      <c r="CN120" s="10"/>
      <c r="CO120" s="10"/>
      <c r="CP120" s="10"/>
      <c r="CQ120" s="10"/>
      <c r="CR120" s="10"/>
      <c r="CS120" s="10"/>
      <c r="CT120" s="10"/>
      <c r="CU120" s="10">
        <v>279</v>
      </c>
      <c r="CV120" s="10">
        <v>475350</v>
      </c>
      <c r="CW120" s="10">
        <v>0</v>
      </c>
      <c r="CX120" s="10">
        <f t="shared" si="115"/>
        <v>950.7</v>
      </c>
      <c r="CY120" s="10">
        <f t="shared" si="116"/>
        <v>2059.85</v>
      </c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</row>
    <row r="121" spans="47:113">
      <c r="AU121">
        <v>119</v>
      </c>
      <c r="AV121">
        <v>1676044</v>
      </c>
      <c r="AW121">
        <v>119</v>
      </c>
      <c r="AX121">
        <v>4514881</v>
      </c>
      <c r="AY121">
        <v>119</v>
      </c>
      <c r="AZ121">
        <v>4514881</v>
      </c>
      <c r="BR121" s="10"/>
      <c r="BS121" s="10"/>
      <c r="BT121" s="10"/>
      <c r="BU121" s="10"/>
      <c r="BV121" s="10"/>
      <c r="BW121" s="10"/>
      <c r="BX121" s="10"/>
      <c r="BY121" s="10"/>
      <c r="BZ121" s="10">
        <v>280</v>
      </c>
      <c r="CA121" s="10">
        <f t="shared" si="118"/>
        <v>56940</v>
      </c>
      <c r="CB121" s="10">
        <f t="shared" si="108"/>
        <v>113880</v>
      </c>
      <c r="CC121" s="10">
        <f t="shared" si="109"/>
        <v>683.28</v>
      </c>
      <c r="CD121" s="10">
        <f t="shared" si="110"/>
        <v>634.474285714286</v>
      </c>
      <c r="CE121" s="10">
        <f t="shared" si="111"/>
        <v>120.913046887251</v>
      </c>
      <c r="CF121" s="10"/>
      <c r="CG121" s="10">
        <v>280</v>
      </c>
      <c r="CH121" s="10">
        <f t="shared" si="150"/>
        <v>42105</v>
      </c>
      <c r="CI121" s="10">
        <v>0</v>
      </c>
      <c r="CJ121" s="10">
        <f t="shared" si="112"/>
        <v>336.84</v>
      </c>
      <c r="CK121" s="10">
        <f t="shared" si="113"/>
        <v>875.784</v>
      </c>
      <c r="CL121" s="10">
        <f t="shared" si="114"/>
        <v>182.455</v>
      </c>
      <c r="CM121" s="10"/>
      <c r="CN121" s="10"/>
      <c r="CO121" s="10"/>
      <c r="CP121" s="10"/>
      <c r="CQ121" s="10"/>
      <c r="CR121" s="10"/>
      <c r="CS121" s="10"/>
      <c r="CT121" s="10"/>
      <c r="CU121" s="10">
        <v>280</v>
      </c>
      <c r="CV121" s="10">
        <v>477150</v>
      </c>
      <c r="CW121" s="10">
        <v>0</v>
      </c>
      <c r="CX121" s="10">
        <f t="shared" si="115"/>
        <v>954.3</v>
      </c>
      <c r="CY121" s="10">
        <f t="shared" si="116"/>
        <v>2067.65</v>
      </c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</row>
    <row r="122" spans="47:113">
      <c r="AU122">
        <v>120</v>
      </c>
      <c r="AV122">
        <v>1730017</v>
      </c>
      <c r="AW122">
        <v>120</v>
      </c>
      <c r="AX122">
        <v>4566377</v>
      </c>
      <c r="AY122">
        <v>120</v>
      </c>
      <c r="AZ122">
        <v>4566377</v>
      </c>
      <c r="BR122" s="10"/>
      <c r="BS122" s="10"/>
      <c r="BT122" s="10"/>
      <c r="BU122" s="10"/>
      <c r="BV122" s="10"/>
      <c r="BW122" s="10"/>
      <c r="BX122" s="10"/>
      <c r="BY122" s="10"/>
      <c r="BZ122" s="10">
        <v>281</v>
      </c>
      <c r="CA122" s="10">
        <f t="shared" si="118"/>
        <v>57200</v>
      </c>
      <c r="CB122" s="10">
        <f t="shared" si="108"/>
        <v>114400</v>
      </c>
      <c r="CC122" s="10">
        <f t="shared" si="109"/>
        <v>686.4</v>
      </c>
      <c r="CD122" s="10">
        <f t="shared" si="110"/>
        <v>637.371428571429</v>
      </c>
      <c r="CE122" s="10">
        <f t="shared" si="111"/>
        <v>121.465161256599</v>
      </c>
      <c r="CF122" s="10"/>
      <c r="CG122" s="10">
        <v>281</v>
      </c>
      <c r="CH122" s="10">
        <f>CH121+195-5</f>
        <v>42295</v>
      </c>
      <c r="CI122" s="10">
        <v>0</v>
      </c>
      <c r="CJ122" s="10">
        <f t="shared" si="112"/>
        <v>338.36</v>
      </c>
      <c r="CK122" s="10">
        <f t="shared" si="113"/>
        <v>879.736</v>
      </c>
      <c r="CL122" s="10">
        <f t="shared" si="114"/>
        <v>183.278333333333</v>
      </c>
      <c r="CM122" s="10"/>
      <c r="CN122" s="10"/>
      <c r="CO122" s="10"/>
      <c r="CP122" s="10"/>
      <c r="CQ122" s="10"/>
      <c r="CR122" s="10"/>
      <c r="CS122" s="10"/>
      <c r="CT122" s="10"/>
      <c r="CU122" s="10">
        <v>281</v>
      </c>
      <c r="CV122" s="10">
        <v>478900</v>
      </c>
      <c r="CW122" s="10">
        <v>0</v>
      </c>
      <c r="CX122" s="10">
        <f t="shared" si="115"/>
        <v>957.8</v>
      </c>
      <c r="CY122" s="10">
        <f t="shared" si="116"/>
        <v>2075.23333333333</v>
      </c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</row>
    <row r="123" spans="47:113">
      <c r="AU123">
        <v>121</v>
      </c>
      <c r="AV123">
        <v>1783360</v>
      </c>
      <c r="AW123">
        <v>121</v>
      </c>
      <c r="AX123">
        <v>4752888</v>
      </c>
      <c r="AY123">
        <v>121</v>
      </c>
      <c r="AZ123">
        <v>4752888</v>
      </c>
      <c r="BR123" s="10"/>
      <c r="BS123" s="10"/>
      <c r="BT123" s="10"/>
      <c r="BU123" s="10"/>
      <c r="BV123" s="10"/>
      <c r="BW123" s="10"/>
      <c r="BX123" s="10"/>
      <c r="BY123" s="10"/>
      <c r="BZ123" s="10">
        <v>282</v>
      </c>
      <c r="CA123" s="10">
        <f t="shared" si="118"/>
        <v>57460</v>
      </c>
      <c r="CB123" s="10">
        <f t="shared" si="108"/>
        <v>114920</v>
      </c>
      <c r="CC123" s="10">
        <f t="shared" si="109"/>
        <v>689.52</v>
      </c>
      <c r="CD123" s="10">
        <f t="shared" si="110"/>
        <v>640.268571428571</v>
      </c>
      <c r="CE123" s="10">
        <f t="shared" si="111"/>
        <v>122.017275625947</v>
      </c>
      <c r="CF123" s="10"/>
      <c r="CG123" s="10">
        <v>282</v>
      </c>
      <c r="CH123" s="10">
        <f t="shared" ref="CH123:CH127" si="151">CH122+190</f>
        <v>42485</v>
      </c>
      <c r="CI123" s="10">
        <v>0</v>
      </c>
      <c r="CJ123" s="10">
        <f t="shared" si="112"/>
        <v>339.88</v>
      </c>
      <c r="CK123" s="10">
        <f t="shared" si="113"/>
        <v>883.688</v>
      </c>
      <c r="CL123" s="10">
        <f t="shared" si="114"/>
        <v>184.101666666667</v>
      </c>
      <c r="CM123" s="10"/>
      <c r="CN123" s="10"/>
      <c r="CO123" s="10"/>
      <c r="CP123" s="10"/>
      <c r="CQ123" s="10"/>
      <c r="CR123" s="10"/>
      <c r="CS123" s="10"/>
      <c r="CT123" s="10"/>
      <c r="CU123" s="10">
        <v>282</v>
      </c>
      <c r="CV123" s="10">
        <v>480700</v>
      </c>
      <c r="CW123" s="10">
        <v>0</v>
      </c>
      <c r="CX123" s="10">
        <f t="shared" si="115"/>
        <v>961.4</v>
      </c>
      <c r="CY123" s="10">
        <f t="shared" si="116"/>
        <v>2083.03333333333</v>
      </c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</row>
    <row r="124" spans="47:113">
      <c r="AU124">
        <v>122</v>
      </c>
      <c r="AV124">
        <v>1833196</v>
      </c>
      <c r="AW124">
        <v>122</v>
      </c>
      <c r="AX124">
        <v>4860000</v>
      </c>
      <c r="AY124">
        <v>122</v>
      </c>
      <c r="AZ124">
        <v>4866448</v>
      </c>
      <c r="BR124" s="10"/>
      <c r="BS124" s="10"/>
      <c r="BT124" s="10"/>
      <c r="BU124" s="10"/>
      <c r="BV124" s="10"/>
      <c r="BW124" s="10"/>
      <c r="BX124" s="10"/>
      <c r="BY124" s="10"/>
      <c r="BZ124" s="10">
        <v>283</v>
      </c>
      <c r="CA124" s="10">
        <f t="shared" si="118"/>
        <v>57720</v>
      </c>
      <c r="CB124" s="10">
        <f t="shared" si="108"/>
        <v>115440</v>
      </c>
      <c r="CC124" s="10">
        <f t="shared" si="109"/>
        <v>692.64</v>
      </c>
      <c r="CD124" s="10">
        <f t="shared" si="110"/>
        <v>643.165714285714</v>
      </c>
      <c r="CE124" s="10">
        <f t="shared" si="111"/>
        <v>122.569389995296</v>
      </c>
      <c r="CF124" s="10"/>
      <c r="CG124" s="10">
        <v>283</v>
      </c>
      <c r="CH124" s="10">
        <f t="shared" ref="CH124:CH128" si="152">CH123+195</f>
        <v>42680</v>
      </c>
      <c r="CI124" s="10">
        <v>0</v>
      </c>
      <c r="CJ124" s="10">
        <f t="shared" si="112"/>
        <v>341.44</v>
      </c>
      <c r="CK124" s="10">
        <f t="shared" si="113"/>
        <v>887.744</v>
      </c>
      <c r="CL124" s="10">
        <f t="shared" si="114"/>
        <v>184.946666666667</v>
      </c>
      <c r="CM124" s="10"/>
      <c r="CN124" s="10"/>
      <c r="CO124" s="10"/>
      <c r="CP124" s="10"/>
      <c r="CQ124" s="10"/>
      <c r="CR124" s="10"/>
      <c r="CS124" s="10"/>
      <c r="CT124" s="10"/>
      <c r="CU124" s="10">
        <v>283</v>
      </c>
      <c r="CV124" s="10">
        <v>482450</v>
      </c>
      <c r="CW124" s="10">
        <v>0</v>
      </c>
      <c r="CX124" s="10">
        <f t="shared" si="115"/>
        <v>964.9</v>
      </c>
      <c r="CY124" s="10">
        <f t="shared" si="116"/>
        <v>2090.61666666667</v>
      </c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</row>
    <row r="125" spans="47:113">
      <c r="AU125">
        <v>123</v>
      </c>
      <c r="AV125">
        <v>1833196</v>
      </c>
      <c r="AW125">
        <v>123</v>
      </c>
      <c r="AX125">
        <v>5012377</v>
      </c>
      <c r="AY125">
        <v>123</v>
      </c>
      <c r="AZ125">
        <v>5012377</v>
      </c>
      <c r="BR125" s="10"/>
      <c r="BS125" s="10"/>
      <c r="BT125" s="10"/>
      <c r="BU125" s="10"/>
      <c r="BV125" s="10"/>
      <c r="BW125" s="10"/>
      <c r="BX125" s="10"/>
      <c r="BY125" s="10"/>
      <c r="BZ125" s="10">
        <v>284</v>
      </c>
      <c r="CA125" s="10">
        <f t="shared" si="118"/>
        <v>57980</v>
      </c>
      <c r="CB125" s="10">
        <f t="shared" si="108"/>
        <v>115960</v>
      </c>
      <c r="CC125" s="10">
        <f t="shared" si="109"/>
        <v>695.76</v>
      </c>
      <c r="CD125" s="10">
        <f t="shared" si="110"/>
        <v>646.062857142857</v>
      </c>
      <c r="CE125" s="10">
        <f t="shared" si="111"/>
        <v>123.121504364644</v>
      </c>
      <c r="CF125" s="10"/>
      <c r="CG125" s="10">
        <v>284</v>
      </c>
      <c r="CH125" s="10">
        <f t="shared" si="151"/>
        <v>42870</v>
      </c>
      <c r="CI125" s="10">
        <v>0</v>
      </c>
      <c r="CJ125" s="10">
        <f t="shared" si="112"/>
        <v>342.96</v>
      </c>
      <c r="CK125" s="10">
        <f t="shared" si="113"/>
        <v>891.696</v>
      </c>
      <c r="CL125" s="10">
        <f t="shared" si="114"/>
        <v>185.77</v>
      </c>
      <c r="CM125" s="10"/>
      <c r="CN125" s="10"/>
      <c r="CO125" s="10"/>
      <c r="CP125" s="10"/>
      <c r="CQ125" s="10"/>
      <c r="CR125" s="10"/>
      <c r="CS125" s="10"/>
      <c r="CT125" s="10"/>
      <c r="CU125" s="10">
        <v>284</v>
      </c>
      <c r="CV125" s="10">
        <v>484250</v>
      </c>
      <c r="CW125" s="10">
        <v>0</v>
      </c>
      <c r="CX125" s="10">
        <f t="shared" si="115"/>
        <v>968.5</v>
      </c>
      <c r="CY125" s="10">
        <f t="shared" si="116"/>
        <v>2098.41666666667</v>
      </c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</row>
    <row r="126" spans="47:113">
      <c r="AU126">
        <v>124</v>
      </c>
      <c r="AV126">
        <v>1833196</v>
      </c>
      <c r="AW126">
        <v>124</v>
      </c>
      <c r="AX126">
        <v>5016341</v>
      </c>
      <c r="AY126">
        <v>124</v>
      </c>
      <c r="AZ126">
        <v>5016341</v>
      </c>
      <c r="BR126" s="10"/>
      <c r="BS126" s="10"/>
      <c r="BT126" s="10"/>
      <c r="BU126" s="10"/>
      <c r="BV126" s="10"/>
      <c r="BW126" s="10"/>
      <c r="BX126" s="10"/>
      <c r="BY126" s="10"/>
      <c r="BZ126" s="10">
        <v>285</v>
      </c>
      <c r="CA126" s="10">
        <f t="shared" si="118"/>
        <v>58240</v>
      </c>
      <c r="CB126" s="10">
        <f t="shared" si="108"/>
        <v>116480</v>
      </c>
      <c r="CC126" s="10">
        <f t="shared" si="109"/>
        <v>698.88</v>
      </c>
      <c r="CD126" s="10">
        <f t="shared" si="110"/>
        <v>648.96</v>
      </c>
      <c r="CE126" s="10">
        <f t="shared" si="111"/>
        <v>123.673618733992</v>
      </c>
      <c r="CF126" s="10"/>
      <c r="CG126" s="10">
        <v>285</v>
      </c>
      <c r="CH126" s="10">
        <f t="shared" si="152"/>
        <v>43065</v>
      </c>
      <c r="CI126" s="10">
        <v>0</v>
      </c>
      <c r="CJ126" s="10">
        <f t="shared" si="112"/>
        <v>344.52</v>
      </c>
      <c r="CK126" s="10">
        <f t="shared" si="113"/>
        <v>895.752</v>
      </c>
      <c r="CL126" s="10">
        <f t="shared" si="114"/>
        <v>186.615</v>
      </c>
      <c r="CM126" s="10"/>
      <c r="CN126" s="10"/>
      <c r="CO126" s="10"/>
      <c r="CP126" s="10"/>
      <c r="CQ126" s="10"/>
      <c r="CR126" s="10"/>
      <c r="CS126" s="10"/>
      <c r="CT126" s="10"/>
      <c r="CU126" s="10">
        <v>285</v>
      </c>
      <c r="CV126" s="10">
        <v>486000</v>
      </c>
      <c r="CW126" s="10">
        <v>0</v>
      </c>
      <c r="CX126" s="10">
        <f t="shared" si="115"/>
        <v>972</v>
      </c>
      <c r="CY126" s="10">
        <f t="shared" si="116"/>
        <v>2106</v>
      </c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</row>
    <row r="127" spans="47:113">
      <c r="AU127">
        <v>125</v>
      </c>
      <c r="AV127">
        <v>1833196</v>
      </c>
      <c r="AW127">
        <v>125</v>
      </c>
      <c r="AX127">
        <v>5178619</v>
      </c>
      <c r="AY127">
        <v>125</v>
      </c>
      <c r="AZ127">
        <v>5178619</v>
      </c>
      <c r="BR127" s="10"/>
      <c r="BS127" s="10"/>
      <c r="BT127" s="10"/>
      <c r="BU127" s="10"/>
      <c r="BV127" s="10"/>
      <c r="BW127" s="10"/>
      <c r="BX127" s="10"/>
      <c r="BY127" s="10"/>
      <c r="BZ127" s="10">
        <v>286</v>
      </c>
      <c r="CA127" s="10">
        <f t="shared" si="118"/>
        <v>58500</v>
      </c>
      <c r="CB127" s="10">
        <f t="shared" si="108"/>
        <v>117000</v>
      </c>
      <c r="CC127" s="10">
        <f t="shared" si="109"/>
        <v>702</v>
      </c>
      <c r="CD127" s="10">
        <f t="shared" si="110"/>
        <v>651.857142857143</v>
      </c>
      <c r="CE127" s="10">
        <f t="shared" si="111"/>
        <v>124.22573310334</v>
      </c>
      <c r="CF127" s="10"/>
      <c r="CG127" s="10">
        <v>286</v>
      </c>
      <c r="CH127" s="10">
        <f t="shared" si="151"/>
        <v>43255</v>
      </c>
      <c r="CI127" s="10">
        <v>0</v>
      </c>
      <c r="CJ127" s="10">
        <f t="shared" si="112"/>
        <v>346.04</v>
      </c>
      <c r="CK127" s="10">
        <f t="shared" si="113"/>
        <v>899.704</v>
      </c>
      <c r="CL127" s="10">
        <f t="shared" si="114"/>
        <v>187.438333333333</v>
      </c>
      <c r="CM127" s="10"/>
      <c r="CN127" s="10"/>
      <c r="CO127" s="10"/>
      <c r="CP127" s="10"/>
      <c r="CQ127" s="10"/>
      <c r="CR127" s="10"/>
      <c r="CS127" s="10"/>
      <c r="CT127" s="10"/>
      <c r="CU127" s="10">
        <v>286</v>
      </c>
      <c r="CV127" s="10">
        <v>487800</v>
      </c>
      <c r="CW127" s="10">
        <v>0</v>
      </c>
      <c r="CX127" s="10">
        <f t="shared" si="115"/>
        <v>975.6</v>
      </c>
      <c r="CY127" s="10">
        <f t="shared" si="116"/>
        <v>2113.8</v>
      </c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</row>
    <row r="128" spans="47:113">
      <c r="AU128">
        <v>126</v>
      </c>
      <c r="AV128">
        <v>1833196</v>
      </c>
      <c r="AW128">
        <v>126</v>
      </c>
      <c r="AX128">
        <v>5229563</v>
      </c>
      <c r="AY128">
        <v>126</v>
      </c>
      <c r="AZ128">
        <v>5229563</v>
      </c>
      <c r="BR128" s="10"/>
      <c r="BS128" s="10"/>
      <c r="BT128" s="10"/>
      <c r="BU128" s="10"/>
      <c r="BV128" s="10"/>
      <c r="BW128" s="10"/>
      <c r="BX128" s="10"/>
      <c r="BY128" s="10"/>
      <c r="BZ128" s="10">
        <v>287</v>
      </c>
      <c r="CA128" s="10">
        <f t="shared" si="118"/>
        <v>58760</v>
      </c>
      <c r="CB128" s="10">
        <f t="shared" si="108"/>
        <v>117520</v>
      </c>
      <c r="CC128" s="10">
        <f t="shared" si="109"/>
        <v>705.12</v>
      </c>
      <c r="CD128" s="10">
        <f t="shared" si="110"/>
        <v>654.754285714286</v>
      </c>
      <c r="CE128" s="10">
        <f t="shared" si="111"/>
        <v>124.777847472688</v>
      </c>
      <c r="CF128" s="10"/>
      <c r="CG128" s="10">
        <v>287</v>
      </c>
      <c r="CH128" s="10">
        <f t="shared" si="152"/>
        <v>43450</v>
      </c>
      <c r="CI128" s="10">
        <v>0</v>
      </c>
      <c r="CJ128" s="10">
        <f t="shared" si="112"/>
        <v>347.6</v>
      </c>
      <c r="CK128" s="10">
        <f t="shared" si="113"/>
        <v>903.76</v>
      </c>
      <c r="CL128" s="10">
        <f t="shared" si="114"/>
        <v>188.283333333333</v>
      </c>
      <c r="CM128" s="10"/>
      <c r="CN128" s="10"/>
      <c r="CO128" s="10"/>
      <c r="CP128" s="10"/>
      <c r="CQ128" s="10"/>
      <c r="CR128" s="10"/>
      <c r="CS128" s="10"/>
      <c r="CT128" s="10"/>
      <c r="CU128" s="10">
        <v>287</v>
      </c>
      <c r="CV128" s="10">
        <v>489550</v>
      </c>
      <c r="CW128" s="10">
        <v>0</v>
      </c>
      <c r="CX128" s="10">
        <f t="shared" si="115"/>
        <v>979.1</v>
      </c>
      <c r="CY128" s="10">
        <f t="shared" si="116"/>
        <v>2121.38333333333</v>
      </c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</row>
    <row r="129" spans="47:113">
      <c r="AU129">
        <v>127</v>
      </c>
      <c r="AV129">
        <v>1833196</v>
      </c>
      <c r="AW129">
        <v>127</v>
      </c>
      <c r="AX129">
        <v>5423881</v>
      </c>
      <c r="AY129">
        <v>127</v>
      </c>
      <c r="AZ129">
        <v>5423881</v>
      </c>
      <c r="BR129" s="10"/>
      <c r="BS129" s="10"/>
      <c r="BT129" s="10"/>
      <c r="BU129" s="10"/>
      <c r="BV129" s="10"/>
      <c r="BW129" s="10"/>
      <c r="BX129" s="10"/>
      <c r="BY129" s="10"/>
      <c r="BZ129" s="10">
        <v>288</v>
      </c>
      <c r="CA129" s="10">
        <f t="shared" si="118"/>
        <v>59020</v>
      </c>
      <c r="CB129" s="10">
        <f t="shared" si="108"/>
        <v>118040</v>
      </c>
      <c r="CC129" s="10">
        <f t="shared" si="109"/>
        <v>708.24</v>
      </c>
      <c r="CD129" s="10">
        <f t="shared" si="110"/>
        <v>657.651428571429</v>
      </c>
      <c r="CE129" s="10">
        <f t="shared" si="111"/>
        <v>125.329961842036</v>
      </c>
      <c r="CF129" s="10"/>
      <c r="CG129" s="10">
        <v>288</v>
      </c>
      <c r="CH129" s="10">
        <f t="shared" ref="CH129:CH133" si="153">CH128+190</f>
        <v>43640</v>
      </c>
      <c r="CI129" s="10">
        <v>0</v>
      </c>
      <c r="CJ129" s="10">
        <f t="shared" si="112"/>
        <v>349.12</v>
      </c>
      <c r="CK129" s="10">
        <f t="shared" si="113"/>
        <v>907.712</v>
      </c>
      <c r="CL129" s="10">
        <f t="shared" si="114"/>
        <v>189.106666666667</v>
      </c>
      <c r="CM129" s="10"/>
      <c r="CN129" s="10"/>
      <c r="CO129" s="10"/>
      <c r="CP129" s="10"/>
      <c r="CQ129" s="10"/>
      <c r="CR129" s="10"/>
      <c r="CS129" s="10"/>
      <c r="CT129" s="10"/>
      <c r="CU129" s="10">
        <v>288</v>
      </c>
      <c r="CV129" s="10">
        <v>491350</v>
      </c>
      <c r="CW129" s="10">
        <v>0</v>
      </c>
      <c r="CX129" s="10">
        <f t="shared" si="115"/>
        <v>982.7</v>
      </c>
      <c r="CY129" s="10">
        <f t="shared" si="116"/>
        <v>2129.18333333333</v>
      </c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</row>
    <row r="130" spans="47:113">
      <c r="AU130">
        <v>128</v>
      </c>
      <c r="AV130">
        <v>1833196</v>
      </c>
      <c r="AW130">
        <v>128</v>
      </c>
      <c r="AX130">
        <v>5459728</v>
      </c>
      <c r="AY130">
        <v>128</v>
      </c>
      <c r="AZ130">
        <v>5459728</v>
      </c>
      <c r="BR130" s="10"/>
      <c r="BS130" s="10"/>
      <c r="BT130" s="10"/>
      <c r="BU130" s="10"/>
      <c r="BV130" s="10"/>
      <c r="BW130" s="10"/>
      <c r="BX130" s="10"/>
      <c r="BY130" s="10"/>
      <c r="BZ130" s="10">
        <v>289</v>
      </c>
      <c r="CA130" s="10">
        <f t="shared" si="118"/>
        <v>59280</v>
      </c>
      <c r="CB130" s="10">
        <f t="shared" ref="CB130:CB161" si="154">CA130*2</f>
        <v>118560</v>
      </c>
      <c r="CC130" s="10">
        <f t="shared" ref="CC130:CC161" si="155">CA130*$BT$5+CB130*$BS$2</f>
        <v>711.36</v>
      </c>
      <c r="CD130" s="10">
        <f t="shared" ref="CD130:CD161" si="156">CC130/14*13</f>
        <v>660.548571428572</v>
      </c>
      <c r="CE130" s="10">
        <f t="shared" ref="CE130:CE161" si="157">(CA130/$BS$14*5+CB130/$BS$13*5)/14*13</f>
        <v>125.882076211385</v>
      </c>
      <c r="CF130" s="10"/>
      <c r="CG130" s="10">
        <v>289</v>
      </c>
      <c r="CH130" s="10">
        <f t="shared" ref="CH130:CH134" si="158">CH129+195</f>
        <v>43835</v>
      </c>
      <c r="CI130" s="10">
        <v>0</v>
      </c>
      <c r="CJ130" s="10">
        <f t="shared" ref="CJ130:CJ161" si="159">CH130*$BT$6+CI130*$BS$2</f>
        <v>350.68</v>
      </c>
      <c r="CK130" s="10">
        <f t="shared" ref="CK130:CK161" si="160">CJ130/5*13</f>
        <v>911.768</v>
      </c>
      <c r="CL130" s="10">
        <f t="shared" ref="CL130:CL161" si="161">(CH130/$BS$15*5+CI130/$BS$13*5)/5*13</f>
        <v>189.951666666667</v>
      </c>
      <c r="CM130" s="10"/>
      <c r="CN130" s="10"/>
      <c r="CO130" s="10"/>
      <c r="CP130" s="10"/>
      <c r="CQ130" s="10"/>
      <c r="CR130" s="10"/>
      <c r="CS130" s="10"/>
      <c r="CT130" s="10"/>
      <c r="CU130" s="10">
        <v>289</v>
      </c>
      <c r="CV130" s="10">
        <v>493100</v>
      </c>
      <c r="CW130" s="10">
        <v>0</v>
      </c>
      <c r="CX130" s="10">
        <f t="shared" ref="CX130:CX141" si="162">CV130*$BT$8+CW130*$BS$2</f>
        <v>986.2</v>
      </c>
      <c r="CY130" s="10">
        <f t="shared" ref="CY130:CY141" si="163">CX130/6*13</f>
        <v>2136.76666666667</v>
      </c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</row>
    <row r="131" spans="47:113">
      <c r="AU131">
        <v>129</v>
      </c>
      <c r="AV131">
        <v>1833196</v>
      </c>
      <c r="AW131">
        <v>129</v>
      </c>
      <c r="AX131">
        <v>6335318</v>
      </c>
      <c r="AY131">
        <v>129</v>
      </c>
      <c r="AZ131">
        <v>6335318</v>
      </c>
      <c r="BR131" s="10"/>
      <c r="BS131" s="10"/>
      <c r="BT131" s="10"/>
      <c r="BU131" s="10"/>
      <c r="BV131" s="10"/>
      <c r="BW131" s="10"/>
      <c r="BX131" s="10"/>
      <c r="BY131" s="10"/>
      <c r="BZ131" s="10">
        <v>290</v>
      </c>
      <c r="CA131" s="10">
        <f t="shared" ref="CA131:CA151" si="164">CA130+260</f>
        <v>59540</v>
      </c>
      <c r="CB131" s="10">
        <f t="shared" si="154"/>
        <v>119080</v>
      </c>
      <c r="CC131" s="10">
        <f t="shared" si="155"/>
        <v>714.48</v>
      </c>
      <c r="CD131" s="10">
        <f t="shared" si="156"/>
        <v>663.445714285714</v>
      </c>
      <c r="CE131" s="10">
        <f t="shared" si="157"/>
        <v>126.434190580733</v>
      </c>
      <c r="CF131" s="10"/>
      <c r="CG131" s="10">
        <v>290</v>
      </c>
      <c r="CH131" s="10">
        <f t="shared" si="153"/>
        <v>44025</v>
      </c>
      <c r="CI131" s="10">
        <v>0</v>
      </c>
      <c r="CJ131" s="10">
        <f t="shared" si="159"/>
        <v>352.2</v>
      </c>
      <c r="CK131" s="10">
        <f t="shared" si="160"/>
        <v>915.72</v>
      </c>
      <c r="CL131" s="10">
        <f t="shared" si="161"/>
        <v>190.775</v>
      </c>
      <c r="CM131" s="10"/>
      <c r="CN131" s="10"/>
      <c r="CO131" s="10"/>
      <c r="CP131" s="10"/>
      <c r="CQ131" s="10"/>
      <c r="CR131" s="10"/>
      <c r="CS131" s="10"/>
      <c r="CT131" s="10"/>
      <c r="CU131" s="10">
        <v>290</v>
      </c>
      <c r="CV131" s="10">
        <v>494900</v>
      </c>
      <c r="CW131" s="10">
        <v>0</v>
      </c>
      <c r="CX131" s="10">
        <f t="shared" si="162"/>
        <v>989.8</v>
      </c>
      <c r="CY131" s="10">
        <f t="shared" si="163"/>
        <v>2144.56666666667</v>
      </c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</row>
    <row r="132" spans="47:113">
      <c r="AU132">
        <v>130</v>
      </c>
      <c r="AV132">
        <v>1833196</v>
      </c>
      <c r="AW132">
        <v>130</v>
      </c>
      <c r="AX132">
        <v>6342809</v>
      </c>
      <c r="AY132">
        <v>130</v>
      </c>
      <c r="AZ132">
        <v>22859655</v>
      </c>
      <c r="BR132" s="10"/>
      <c r="BS132" s="10"/>
      <c r="BT132" s="10"/>
      <c r="BU132" s="10"/>
      <c r="BV132" s="10"/>
      <c r="BW132" s="10"/>
      <c r="BX132" s="10"/>
      <c r="BY132" s="10"/>
      <c r="BZ132" s="10">
        <v>291</v>
      </c>
      <c r="CA132" s="10">
        <f t="shared" si="164"/>
        <v>59800</v>
      </c>
      <c r="CB132" s="10">
        <f t="shared" si="154"/>
        <v>119600</v>
      </c>
      <c r="CC132" s="10">
        <f t="shared" si="155"/>
        <v>717.6</v>
      </c>
      <c r="CD132" s="10">
        <f t="shared" si="156"/>
        <v>666.342857142857</v>
      </c>
      <c r="CE132" s="10">
        <f t="shared" si="157"/>
        <v>126.986304950081</v>
      </c>
      <c r="CF132" s="10"/>
      <c r="CG132" s="10">
        <v>291</v>
      </c>
      <c r="CH132" s="10">
        <f t="shared" si="158"/>
        <v>44220</v>
      </c>
      <c r="CI132" s="10">
        <v>0</v>
      </c>
      <c r="CJ132" s="10">
        <f t="shared" si="159"/>
        <v>353.76</v>
      </c>
      <c r="CK132" s="10">
        <f t="shared" si="160"/>
        <v>919.776</v>
      </c>
      <c r="CL132" s="10">
        <f t="shared" si="161"/>
        <v>191.62</v>
      </c>
      <c r="CM132" s="10"/>
      <c r="CN132" s="10"/>
      <c r="CO132" s="10"/>
      <c r="CP132" s="10"/>
      <c r="CQ132" s="10"/>
      <c r="CR132" s="10"/>
      <c r="CS132" s="10"/>
      <c r="CT132" s="10"/>
      <c r="CU132" s="10">
        <v>291</v>
      </c>
      <c r="CV132" s="10">
        <v>496650</v>
      </c>
      <c r="CW132" s="10">
        <v>0</v>
      </c>
      <c r="CX132" s="10">
        <f t="shared" si="162"/>
        <v>993.3</v>
      </c>
      <c r="CY132" s="10">
        <f t="shared" si="163"/>
        <v>2152.15</v>
      </c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</row>
    <row r="133" spans="47:113">
      <c r="AU133">
        <v>131</v>
      </c>
      <c r="AV133">
        <v>1833196</v>
      </c>
      <c r="AW133">
        <v>131</v>
      </c>
      <c r="AX133">
        <v>6791971</v>
      </c>
      <c r="AY133">
        <v>131</v>
      </c>
      <c r="AZ133">
        <v>23541185</v>
      </c>
      <c r="BR133" s="10"/>
      <c r="BS133" s="10"/>
      <c r="BT133" s="10"/>
      <c r="BU133" s="10"/>
      <c r="BV133" s="10"/>
      <c r="BW133" s="10"/>
      <c r="BX133" s="10"/>
      <c r="BY133" s="10"/>
      <c r="BZ133" s="10">
        <v>292</v>
      </c>
      <c r="CA133" s="10">
        <f t="shared" si="164"/>
        <v>60060</v>
      </c>
      <c r="CB133" s="10">
        <f t="shared" si="154"/>
        <v>120120</v>
      </c>
      <c r="CC133" s="10">
        <f t="shared" si="155"/>
        <v>720.72</v>
      </c>
      <c r="CD133" s="10">
        <f t="shared" si="156"/>
        <v>669.24</v>
      </c>
      <c r="CE133" s="10">
        <f t="shared" si="157"/>
        <v>127.538419319429</v>
      </c>
      <c r="CF133" s="10"/>
      <c r="CG133" s="10">
        <v>292</v>
      </c>
      <c r="CH133" s="10">
        <f t="shared" si="153"/>
        <v>44410</v>
      </c>
      <c r="CI133" s="10">
        <v>0</v>
      </c>
      <c r="CJ133" s="10">
        <f t="shared" si="159"/>
        <v>355.28</v>
      </c>
      <c r="CK133" s="10">
        <f t="shared" si="160"/>
        <v>923.728</v>
      </c>
      <c r="CL133" s="10">
        <f t="shared" si="161"/>
        <v>192.443333333333</v>
      </c>
      <c r="CM133" s="10"/>
      <c r="CN133" s="10"/>
      <c r="CO133" s="10"/>
      <c r="CP133" s="10"/>
      <c r="CQ133" s="10"/>
      <c r="CR133" s="10"/>
      <c r="CS133" s="10"/>
      <c r="CT133" s="10"/>
      <c r="CU133" s="10">
        <v>292</v>
      </c>
      <c r="CV133" s="10">
        <v>498450</v>
      </c>
      <c r="CW133" s="10">
        <v>0</v>
      </c>
      <c r="CX133" s="10">
        <f t="shared" si="162"/>
        <v>996.9</v>
      </c>
      <c r="CY133" s="10">
        <f t="shared" si="163"/>
        <v>2159.95</v>
      </c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</row>
    <row r="134" spans="47:113">
      <c r="AU134">
        <v>132</v>
      </c>
      <c r="AV134">
        <v>1833196</v>
      </c>
      <c r="AW134">
        <v>132</v>
      </c>
      <c r="AX134">
        <v>7349165</v>
      </c>
      <c r="AY134">
        <v>132</v>
      </c>
      <c r="AZ134">
        <v>23587156</v>
      </c>
      <c r="BR134" s="10"/>
      <c r="BS134" s="10"/>
      <c r="BT134" s="10"/>
      <c r="BU134" s="10"/>
      <c r="BV134" s="10"/>
      <c r="BW134" s="10"/>
      <c r="BX134" s="10"/>
      <c r="BY134" s="10"/>
      <c r="BZ134" s="10">
        <v>293</v>
      </c>
      <c r="CA134" s="10">
        <f t="shared" si="164"/>
        <v>60320</v>
      </c>
      <c r="CB134" s="10">
        <f t="shared" si="154"/>
        <v>120640</v>
      </c>
      <c r="CC134" s="10">
        <f t="shared" si="155"/>
        <v>723.84</v>
      </c>
      <c r="CD134" s="10">
        <f t="shared" si="156"/>
        <v>672.137142857143</v>
      </c>
      <c r="CE134" s="10">
        <f t="shared" si="157"/>
        <v>128.090533688777</v>
      </c>
      <c r="CF134" s="10"/>
      <c r="CG134" s="10">
        <v>293</v>
      </c>
      <c r="CH134" s="10">
        <f t="shared" si="158"/>
        <v>44605</v>
      </c>
      <c r="CI134" s="10">
        <v>0</v>
      </c>
      <c r="CJ134" s="10">
        <f t="shared" si="159"/>
        <v>356.84</v>
      </c>
      <c r="CK134" s="10">
        <f t="shared" si="160"/>
        <v>927.784</v>
      </c>
      <c r="CL134" s="10">
        <f t="shared" si="161"/>
        <v>193.288333333333</v>
      </c>
      <c r="CM134" s="10"/>
      <c r="CN134" s="10"/>
      <c r="CO134" s="10"/>
      <c r="CP134" s="10"/>
      <c r="CQ134" s="10"/>
      <c r="CR134" s="10"/>
      <c r="CS134" s="10"/>
      <c r="CT134" s="10"/>
      <c r="CU134" s="10">
        <v>293</v>
      </c>
      <c r="CV134" s="10">
        <v>500200</v>
      </c>
      <c r="CW134" s="10">
        <v>0</v>
      </c>
      <c r="CX134" s="10">
        <f t="shared" si="162"/>
        <v>1000.4</v>
      </c>
      <c r="CY134" s="10">
        <f t="shared" si="163"/>
        <v>2167.53333333333</v>
      </c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</row>
    <row r="135" spans="47:113">
      <c r="AU135">
        <v>133</v>
      </c>
      <c r="AV135">
        <v>1833196</v>
      </c>
      <c r="AW135">
        <v>133</v>
      </c>
      <c r="AX135">
        <v>7896724</v>
      </c>
      <c r="AY135">
        <v>133</v>
      </c>
      <c r="AZ135">
        <v>24290510</v>
      </c>
      <c r="BR135" s="10"/>
      <c r="BS135" s="10"/>
      <c r="BT135" s="10"/>
      <c r="BU135" s="10"/>
      <c r="BV135" s="10"/>
      <c r="BW135" s="10"/>
      <c r="BX135" s="10"/>
      <c r="BY135" s="10"/>
      <c r="BZ135" s="10">
        <v>294</v>
      </c>
      <c r="CA135" s="10">
        <f t="shared" si="164"/>
        <v>60580</v>
      </c>
      <c r="CB135" s="10">
        <f t="shared" si="154"/>
        <v>121160</v>
      </c>
      <c r="CC135" s="10">
        <f t="shared" si="155"/>
        <v>726.96</v>
      </c>
      <c r="CD135" s="10">
        <f t="shared" si="156"/>
        <v>675.034285714286</v>
      </c>
      <c r="CE135" s="10">
        <f t="shared" si="157"/>
        <v>128.642648058126</v>
      </c>
      <c r="CF135" s="10"/>
      <c r="CG135" s="10">
        <v>294</v>
      </c>
      <c r="CH135" s="10">
        <f t="shared" ref="CH135:CH139" si="165">CH134+190</f>
        <v>44795</v>
      </c>
      <c r="CI135" s="10">
        <v>0</v>
      </c>
      <c r="CJ135" s="10">
        <f t="shared" si="159"/>
        <v>358.36</v>
      </c>
      <c r="CK135" s="10">
        <f t="shared" si="160"/>
        <v>931.736</v>
      </c>
      <c r="CL135" s="10">
        <f t="shared" si="161"/>
        <v>194.111666666667</v>
      </c>
      <c r="CM135" s="10"/>
      <c r="CN135" s="10"/>
      <c r="CO135" s="10"/>
      <c r="CP135" s="10"/>
      <c r="CQ135" s="10"/>
      <c r="CR135" s="10"/>
      <c r="CS135" s="10"/>
      <c r="CT135" s="10"/>
      <c r="CU135" s="10">
        <v>294</v>
      </c>
      <c r="CV135" s="10">
        <v>502000</v>
      </c>
      <c r="CW135" s="10">
        <v>0</v>
      </c>
      <c r="CX135" s="10">
        <f t="shared" si="162"/>
        <v>1004</v>
      </c>
      <c r="CY135" s="10">
        <f t="shared" si="163"/>
        <v>2175.33333333333</v>
      </c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</row>
    <row r="136" spans="47:113">
      <c r="AU136">
        <v>134</v>
      </c>
      <c r="AV136">
        <v>1833196</v>
      </c>
      <c r="AW136">
        <v>134</v>
      </c>
      <c r="AX136">
        <v>8431041</v>
      </c>
      <c r="AY136">
        <v>134</v>
      </c>
      <c r="AZ136">
        <v>24337860</v>
      </c>
      <c r="BR136" s="10"/>
      <c r="BS136" s="10"/>
      <c r="BT136" s="10"/>
      <c r="BU136" s="10"/>
      <c r="BV136" s="10"/>
      <c r="BW136" s="10"/>
      <c r="BX136" s="10"/>
      <c r="BY136" s="10"/>
      <c r="BZ136" s="10">
        <v>295</v>
      </c>
      <c r="CA136" s="10">
        <f t="shared" si="164"/>
        <v>60840</v>
      </c>
      <c r="CB136" s="10">
        <f t="shared" si="154"/>
        <v>121680</v>
      </c>
      <c r="CC136" s="10">
        <f t="shared" si="155"/>
        <v>730.08</v>
      </c>
      <c r="CD136" s="10">
        <f t="shared" si="156"/>
        <v>677.931428571428</v>
      </c>
      <c r="CE136" s="10">
        <f t="shared" si="157"/>
        <v>129.194762427474</v>
      </c>
      <c r="CF136" s="10"/>
      <c r="CG136" s="10">
        <v>295</v>
      </c>
      <c r="CH136" s="10">
        <f t="shared" ref="CH136:CH140" si="166">CH135+195</f>
        <v>44990</v>
      </c>
      <c r="CI136" s="10">
        <v>0</v>
      </c>
      <c r="CJ136" s="10">
        <f t="shared" si="159"/>
        <v>359.92</v>
      </c>
      <c r="CK136" s="10">
        <f t="shared" si="160"/>
        <v>935.792</v>
      </c>
      <c r="CL136" s="10">
        <f t="shared" si="161"/>
        <v>194.956666666667</v>
      </c>
      <c r="CM136" s="10"/>
      <c r="CN136" s="10"/>
      <c r="CO136" s="10"/>
      <c r="CP136" s="10"/>
      <c r="CQ136" s="10"/>
      <c r="CR136" s="10"/>
      <c r="CS136" s="10"/>
      <c r="CT136" s="10"/>
      <c r="CU136" s="10">
        <v>295</v>
      </c>
      <c r="CV136" s="10">
        <v>503750</v>
      </c>
      <c r="CW136" s="10">
        <v>0</v>
      </c>
      <c r="CX136" s="10">
        <f t="shared" si="162"/>
        <v>1007.5</v>
      </c>
      <c r="CY136" s="10">
        <f t="shared" si="163"/>
        <v>2182.91666666667</v>
      </c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</row>
    <row r="137" spans="47:113">
      <c r="AU137">
        <v>135</v>
      </c>
      <c r="AV137">
        <v>1833196</v>
      </c>
      <c r="AW137">
        <v>135</v>
      </c>
      <c r="AX137">
        <v>8948504</v>
      </c>
      <c r="AY137">
        <v>135</v>
      </c>
      <c r="AZ137">
        <v>25112507</v>
      </c>
      <c r="BR137" s="10"/>
      <c r="BS137" s="10"/>
      <c r="BT137" s="10"/>
      <c r="BU137" s="10"/>
      <c r="BV137" s="10"/>
      <c r="BW137" s="10"/>
      <c r="BX137" s="10"/>
      <c r="BY137" s="10"/>
      <c r="BZ137" s="10">
        <v>296</v>
      </c>
      <c r="CA137" s="10">
        <f t="shared" si="164"/>
        <v>61100</v>
      </c>
      <c r="CB137" s="10">
        <f t="shared" si="154"/>
        <v>122200</v>
      </c>
      <c r="CC137" s="10">
        <f t="shared" si="155"/>
        <v>733.2</v>
      </c>
      <c r="CD137" s="10">
        <f t="shared" si="156"/>
        <v>680.828571428571</v>
      </c>
      <c r="CE137" s="10">
        <f t="shared" si="157"/>
        <v>129.746876796822</v>
      </c>
      <c r="CF137" s="10"/>
      <c r="CG137" s="10">
        <v>296</v>
      </c>
      <c r="CH137" s="10">
        <f t="shared" si="165"/>
        <v>45180</v>
      </c>
      <c r="CI137" s="10">
        <v>0</v>
      </c>
      <c r="CJ137" s="10">
        <f t="shared" si="159"/>
        <v>361.44</v>
      </c>
      <c r="CK137" s="10">
        <f t="shared" si="160"/>
        <v>939.744</v>
      </c>
      <c r="CL137" s="10">
        <f t="shared" si="161"/>
        <v>195.78</v>
      </c>
      <c r="CM137" s="10"/>
      <c r="CN137" s="10"/>
      <c r="CO137" s="10"/>
      <c r="CP137" s="10"/>
      <c r="CQ137" s="10"/>
      <c r="CR137" s="10"/>
      <c r="CS137" s="10"/>
      <c r="CT137" s="10"/>
      <c r="CU137" s="10">
        <v>296</v>
      </c>
      <c r="CV137" s="10">
        <v>505550</v>
      </c>
      <c r="CW137" s="10">
        <v>0</v>
      </c>
      <c r="CX137" s="10">
        <f t="shared" si="162"/>
        <v>1011.1</v>
      </c>
      <c r="CY137" s="10">
        <f t="shared" si="163"/>
        <v>2190.71666666667</v>
      </c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</row>
    <row r="138" spans="47:113">
      <c r="AU138">
        <v>136</v>
      </c>
      <c r="AV138">
        <v>1833196</v>
      </c>
      <c r="AW138">
        <v>136</v>
      </c>
      <c r="AX138">
        <v>9536985</v>
      </c>
      <c r="AY138">
        <v>136</v>
      </c>
      <c r="AZ138">
        <v>25161277</v>
      </c>
      <c r="BR138" s="10"/>
      <c r="BS138" s="10"/>
      <c r="BT138" s="10"/>
      <c r="BU138" s="10"/>
      <c r="BV138" s="10"/>
      <c r="BW138" s="10"/>
      <c r="BX138" s="10"/>
      <c r="BY138" s="10"/>
      <c r="BZ138" s="10">
        <v>297</v>
      </c>
      <c r="CA138" s="10">
        <f t="shared" si="164"/>
        <v>61360</v>
      </c>
      <c r="CB138" s="10">
        <f t="shared" si="154"/>
        <v>122720</v>
      </c>
      <c r="CC138" s="10">
        <f t="shared" si="155"/>
        <v>736.32</v>
      </c>
      <c r="CD138" s="10">
        <f t="shared" si="156"/>
        <v>683.725714285714</v>
      </c>
      <c r="CE138" s="10">
        <f t="shared" si="157"/>
        <v>130.29899116617</v>
      </c>
      <c r="CF138" s="10"/>
      <c r="CG138" s="10">
        <v>297</v>
      </c>
      <c r="CH138" s="10">
        <f t="shared" si="166"/>
        <v>45375</v>
      </c>
      <c r="CI138" s="10">
        <v>0</v>
      </c>
      <c r="CJ138" s="10">
        <f t="shared" si="159"/>
        <v>363</v>
      </c>
      <c r="CK138" s="10">
        <f t="shared" si="160"/>
        <v>943.8</v>
      </c>
      <c r="CL138" s="10">
        <f t="shared" si="161"/>
        <v>196.625</v>
      </c>
      <c r="CM138" s="10"/>
      <c r="CN138" s="10"/>
      <c r="CO138" s="10"/>
      <c r="CP138" s="10"/>
      <c r="CQ138" s="10"/>
      <c r="CR138" s="10"/>
      <c r="CS138" s="10"/>
      <c r="CT138" s="10"/>
      <c r="CU138" s="10">
        <v>297</v>
      </c>
      <c r="CV138" s="10">
        <v>507300</v>
      </c>
      <c r="CW138" s="10">
        <v>0</v>
      </c>
      <c r="CX138" s="10">
        <f t="shared" si="162"/>
        <v>1014.6</v>
      </c>
      <c r="CY138" s="10">
        <f t="shared" si="163"/>
        <v>2198.3</v>
      </c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</row>
    <row r="139" spans="47:113">
      <c r="AU139">
        <v>137</v>
      </c>
      <c r="AV139">
        <v>1833196</v>
      </c>
      <c r="AW139">
        <v>137</v>
      </c>
      <c r="AX139">
        <v>10062872</v>
      </c>
      <c r="AY139">
        <v>137</v>
      </c>
      <c r="AZ139">
        <v>25962089</v>
      </c>
      <c r="BR139" s="10"/>
      <c r="BS139" s="10"/>
      <c r="BT139" s="10"/>
      <c r="BU139" s="10"/>
      <c r="BV139" s="10"/>
      <c r="BW139" s="10"/>
      <c r="BX139" s="10"/>
      <c r="BY139" s="10"/>
      <c r="BZ139" s="10">
        <v>298</v>
      </c>
      <c r="CA139" s="10">
        <f t="shared" si="164"/>
        <v>61620</v>
      </c>
      <c r="CB139" s="10">
        <f t="shared" si="154"/>
        <v>123240</v>
      </c>
      <c r="CC139" s="10">
        <f t="shared" si="155"/>
        <v>739.44</v>
      </c>
      <c r="CD139" s="10">
        <f t="shared" si="156"/>
        <v>686.622857142857</v>
      </c>
      <c r="CE139" s="10">
        <f t="shared" si="157"/>
        <v>130.851105535518</v>
      </c>
      <c r="CF139" s="10"/>
      <c r="CG139" s="10">
        <v>298</v>
      </c>
      <c r="CH139" s="10">
        <f t="shared" si="165"/>
        <v>45565</v>
      </c>
      <c r="CI139" s="10">
        <v>0</v>
      </c>
      <c r="CJ139" s="10">
        <f t="shared" si="159"/>
        <v>364.52</v>
      </c>
      <c r="CK139" s="10">
        <f t="shared" si="160"/>
        <v>947.752</v>
      </c>
      <c r="CL139" s="10">
        <f t="shared" si="161"/>
        <v>197.448333333333</v>
      </c>
      <c r="CM139" s="10"/>
      <c r="CN139" s="10"/>
      <c r="CO139" s="10"/>
      <c r="CP139" s="10"/>
      <c r="CQ139" s="10"/>
      <c r="CR139" s="10"/>
      <c r="CS139" s="10"/>
      <c r="CT139" s="10"/>
      <c r="CU139" s="10">
        <v>298</v>
      </c>
      <c r="CV139" s="10">
        <v>509100</v>
      </c>
      <c r="CW139" s="10">
        <v>0</v>
      </c>
      <c r="CX139" s="10">
        <f t="shared" si="162"/>
        <v>1018.2</v>
      </c>
      <c r="CY139" s="10">
        <f t="shared" si="163"/>
        <v>2206.1</v>
      </c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</row>
    <row r="140" spans="47:113">
      <c r="AW140">
        <v>138</v>
      </c>
      <c r="AX140">
        <v>10591166</v>
      </c>
      <c r="AY140">
        <v>138</v>
      </c>
      <c r="AZ140">
        <v>26062556</v>
      </c>
      <c r="BR140" s="10"/>
      <c r="BS140" s="10"/>
      <c r="BT140" s="10"/>
      <c r="BU140" s="10"/>
      <c r="BV140" s="10"/>
      <c r="BW140" s="10"/>
      <c r="BX140" s="10"/>
      <c r="BY140" s="10"/>
      <c r="BZ140" s="10">
        <v>299</v>
      </c>
      <c r="CA140" s="10">
        <f t="shared" si="164"/>
        <v>61880</v>
      </c>
      <c r="CB140" s="10">
        <f t="shared" si="154"/>
        <v>123760</v>
      </c>
      <c r="CC140" s="10">
        <f t="shared" si="155"/>
        <v>742.56</v>
      </c>
      <c r="CD140" s="10">
        <f t="shared" si="156"/>
        <v>689.52</v>
      </c>
      <c r="CE140" s="10">
        <f t="shared" si="157"/>
        <v>131.403219904866</v>
      </c>
      <c r="CF140" s="10"/>
      <c r="CG140" s="10">
        <v>299</v>
      </c>
      <c r="CH140" s="10">
        <f t="shared" si="166"/>
        <v>45760</v>
      </c>
      <c r="CI140" s="10">
        <v>0</v>
      </c>
      <c r="CJ140" s="10">
        <f t="shared" si="159"/>
        <v>366.08</v>
      </c>
      <c r="CK140" s="10">
        <f t="shared" si="160"/>
        <v>951.808</v>
      </c>
      <c r="CL140" s="10">
        <f t="shared" si="161"/>
        <v>198.293333333333</v>
      </c>
      <c r="CM140" s="10"/>
      <c r="CN140" s="10"/>
      <c r="CO140" s="10"/>
      <c r="CP140" s="10"/>
      <c r="CQ140" s="10"/>
      <c r="CR140" s="10"/>
      <c r="CS140" s="10"/>
      <c r="CT140" s="10"/>
      <c r="CU140" s="10">
        <v>299</v>
      </c>
      <c r="CV140" s="10">
        <v>510850</v>
      </c>
      <c r="CW140" s="10">
        <v>0</v>
      </c>
      <c r="CX140" s="10">
        <f t="shared" si="162"/>
        <v>1021.7</v>
      </c>
      <c r="CY140" s="10">
        <f t="shared" si="163"/>
        <v>2213.68333333333</v>
      </c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</row>
    <row r="141" spans="47:113">
      <c r="AW141">
        <v>139</v>
      </c>
      <c r="AX141">
        <v>11201308</v>
      </c>
      <c r="AY141">
        <v>139</v>
      </c>
      <c r="AZ141">
        <v>26920314</v>
      </c>
      <c r="BR141" s="10"/>
      <c r="BS141" s="10"/>
      <c r="BT141" s="10"/>
      <c r="BU141" s="10"/>
      <c r="BV141" s="10"/>
      <c r="BW141" s="10"/>
      <c r="BX141" s="10"/>
      <c r="BY141" s="10"/>
      <c r="BZ141" s="10">
        <v>300</v>
      </c>
      <c r="CA141" s="10">
        <f t="shared" si="164"/>
        <v>62140</v>
      </c>
      <c r="CB141" s="10">
        <f t="shared" si="154"/>
        <v>124280</v>
      </c>
      <c r="CC141" s="10">
        <f t="shared" si="155"/>
        <v>745.68</v>
      </c>
      <c r="CD141" s="10">
        <f t="shared" si="156"/>
        <v>692.417142857143</v>
      </c>
      <c r="CE141" s="10">
        <f t="shared" si="157"/>
        <v>131.955334274215</v>
      </c>
      <c r="CF141" s="10"/>
      <c r="CG141" s="10">
        <v>300</v>
      </c>
      <c r="CH141" s="10">
        <f t="shared" ref="CH141:CH145" si="167">CH140+190</f>
        <v>45950</v>
      </c>
      <c r="CI141" s="10">
        <v>0</v>
      </c>
      <c r="CJ141" s="10">
        <f t="shared" si="159"/>
        <v>367.6</v>
      </c>
      <c r="CK141" s="10">
        <f t="shared" si="160"/>
        <v>955.76</v>
      </c>
      <c r="CL141" s="10">
        <f t="shared" si="161"/>
        <v>199.116666666667</v>
      </c>
      <c r="CM141" s="10"/>
      <c r="CN141" s="10"/>
      <c r="CO141" s="10"/>
      <c r="CP141" s="10"/>
      <c r="CQ141" s="10"/>
      <c r="CR141" s="10"/>
      <c r="CS141" s="10"/>
      <c r="CT141" s="10"/>
      <c r="CU141" s="10">
        <v>300</v>
      </c>
      <c r="CV141" s="10">
        <v>512650</v>
      </c>
      <c r="CW141" s="10">
        <v>0</v>
      </c>
      <c r="CX141" s="10">
        <f t="shared" si="162"/>
        <v>1025.3</v>
      </c>
      <c r="CY141" s="10">
        <f t="shared" si="163"/>
        <v>2221.48333333333</v>
      </c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</row>
    <row r="142" spans="47:113">
      <c r="AW142">
        <v>140</v>
      </c>
      <c r="AX142">
        <v>11280750</v>
      </c>
      <c r="AY142">
        <v>140</v>
      </c>
      <c r="AZ142">
        <v>27780149</v>
      </c>
      <c r="BR142" s="10"/>
      <c r="BS142" s="10"/>
      <c r="BT142" s="10"/>
      <c r="BU142" s="10"/>
      <c r="BV142" s="10"/>
      <c r="BW142" s="10"/>
      <c r="BX142" s="10"/>
      <c r="BY142" s="10"/>
      <c r="BZ142" s="10">
        <v>301</v>
      </c>
      <c r="CA142" s="10">
        <f t="shared" si="164"/>
        <v>62400</v>
      </c>
      <c r="CB142" s="10">
        <f t="shared" si="154"/>
        <v>124800</v>
      </c>
      <c r="CC142" s="10">
        <f t="shared" si="155"/>
        <v>748.8</v>
      </c>
      <c r="CD142" s="10">
        <f t="shared" si="156"/>
        <v>695.314285714286</v>
      </c>
      <c r="CE142" s="10">
        <f t="shared" si="157"/>
        <v>132.507448643563</v>
      </c>
      <c r="CF142" s="10"/>
      <c r="CG142" s="10">
        <v>301</v>
      </c>
      <c r="CH142" s="10">
        <f>CH141+195-5</f>
        <v>46140</v>
      </c>
      <c r="CI142" s="10">
        <v>0</v>
      </c>
      <c r="CJ142" s="10">
        <f t="shared" si="159"/>
        <v>369.12</v>
      </c>
      <c r="CK142" s="10">
        <f t="shared" si="160"/>
        <v>959.712</v>
      </c>
      <c r="CL142" s="10">
        <f t="shared" si="161"/>
        <v>199.94</v>
      </c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</row>
    <row r="143" spans="47:113">
      <c r="AW143">
        <v>141</v>
      </c>
      <c r="AX143">
        <v>11334730</v>
      </c>
      <c r="AY143">
        <v>141</v>
      </c>
      <c r="AZ143">
        <v>28608441</v>
      </c>
      <c r="BR143" s="10"/>
      <c r="BS143" s="10"/>
      <c r="BT143" s="10"/>
      <c r="BU143" s="10"/>
      <c r="BV143" s="10"/>
      <c r="BW143" s="10"/>
      <c r="BX143" s="10"/>
      <c r="BY143" s="10"/>
      <c r="BZ143" s="10">
        <v>302</v>
      </c>
      <c r="CA143" s="10">
        <f t="shared" si="164"/>
        <v>62660</v>
      </c>
      <c r="CB143" s="10">
        <f t="shared" si="154"/>
        <v>125320</v>
      </c>
      <c r="CC143" s="10">
        <f t="shared" si="155"/>
        <v>751.92</v>
      </c>
      <c r="CD143" s="10">
        <f t="shared" si="156"/>
        <v>698.211428571429</v>
      </c>
      <c r="CE143" s="10">
        <f t="shared" si="157"/>
        <v>133.059563012911</v>
      </c>
      <c r="CF143" s="10"/>
      <c r="CG143" s="10">
        <v>302</v>
      </c>
      <c r="CH143" s="10">
        <f t="shared" si="167"/>
        <v>46330</v>
      </c>
      <c r="CI143" s="10">
        <v>0</v>
      </c>
      <c r="CJ143" s="10">
        <f t="shared" si="159"/>
        <v>370.64</v>
      </c>
      <c r="CK143" s="10">
        <f t="shared" si="160"/>
        <v>963.664</v>
      </c>
      <c r="CL143" s="10">
        <f t="shared" si="161"/>
        <v>200.763333333333</v>
      </c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</row>
    <row r="144" spans="47:113">
      <c r="AW144">
        <v>142</v>
      </c>
      <c r="AX144">
        <v>11387696</v>
      </c>
      <c r="AY144">
        <v>142</v>
      </c>
      <c r="AZ144">
        <v>28773140</v>
      </c>
      <c r="BR144" s="10"/>
      <c r="BS144" s="10"/>
      <c r="BT144" s="10"/>
      <c r="BU144" s="10"/>
      <c r="BV144" s="10"/>
      <c r="BW144" s="10"/>
      <c r="BX144" s="10"/>
      <c r="BY144" s="10"/>
      <c r="BZ144" s="10">
        <v>303</v>
      </c>
      <c r="CA144" s="10">
        <f t="shared" si="164"/>
        <v>62920</v>
      </c>
      <c r="CB144" s="10">
        <f t="shared" si="154"/>
        <v>125840</v>
      </c>
      <c r="CC144" s="10">
        <f t="shared" si="155"/>
        <v>755.04</v>
      </c>
      <c r="CD144" s="10">
        <f t="shared" si="156"/>
        <v>701.108571428572</v>
      </c>
      <c r="CE144" s="10">
        <f t="shared" si="157"/>
        <v>133.611677382259</v>
      </c>
      <c r="CF144" s="10"/>
      <c r="CG144" s="10">
        <v>303</v>
      </c>
      <c r="CH144" s="10">
        <f t="shared" ref="CH144:CH148" si="168">CH143+195</f>
        <v>46525</v>
      </c>
      <c r="CI144" s="10">
        <v>0</v>
      </c>
      <c r="CJ144" s="10">
        <f t="shared" si="159"/>
        <v>372.2</v>
      </c>
      <c r="CK144" s="10">
        <f t="shared" si="160"/>
        <v>967.72</v>
      </c>
      <c r="CL144" s="10">
        <f t="shared" si="161"/>
        <v>201.608333333333</v>
      </c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</row>
    <row r="145" spans="49:113">
      <c r="AW145">
        <v>143</v>
      </c>
      <c r="AX145">
        <v>11440662</v>
      </c>
      <c r="AY145">
        <v>143</v>
      </c>
      <c r="AZ145">
        <v>29687769</v>
      </c>
      <c r="BR145" s="10"/>
      <c r="BS145" s="10"/>
      <c r="BT145" s="10"/>
      <c r="BU145" s="10"/>
      <c r="BV145" s="10"/>
      <c r="BW145" s="10"/>
      <c r="BX145" s="10"/>
      <c r="BY145" s="10"/>
      <c r="BZ145" s="10">
        <v>304</v>
      </c>
      <c r="CA145" s="10">
        <f t="shared" si="164"/>
        <v>63180</v>
      </c>
      <c r="CB145" s="10">
        <f t="shared" si="154"/>
        <v>126360</v>
      </c>
      <c r="CC145" s="10">
        <f t="shared" si="155"/>
        <v>758.16</v>
      </c>
      <c r="CD145" s="10">
        <f t="shared" si="156"/>
        <v>704.005714285714</v>
      </c>
      <c r="CE145" s="10">
        <f t="shared" si="157"/>
        <v>134.163791751607</v>
      </c>
      <c r="CF145" s="10"/>
      <c r="CG145" s="10">
        <v>304</v>
      </c>
      <c r="CH145" s="10">
        <f t="shared" si="167"/>
        <v>46715</v>
      </c>
      <c r="CI145" s="10">
        <v>0</v>
      </c>
      <c r="CJ145" s="10">
        <f t="shared" si="159"/>
        <v>373.72</v>
      </c>
      <c r="CK145" s="10">
        <f t="shared" si="160"/>
        <v>971.672</v>
      </c>
      <c r="CL145" s="10">
        <f t="shared" si="161"/>
        <v>202.431666666667</v>
      </c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</row>
    <row r="146" spans="49:113">
      <c r="AW146">
        <v>144</v>
      </c>
      <c r="AX146">
        <v>11493628</v>
      </c>
      <c r="AY146">
        <v>144</v>
      </c>
      <c r="AZ146">
        <v>29800863</v>
      </c>
      <c r="BR146" s="10"/>
      <c r="BS146" s="10"/>
      <c r="BT146" s="10"/>
      <c r="BU146" s="10"/>
      <c r="BV146" s="10"/>
      <c r="BW146" s="10"/>
      <c r="BX146" s="10"/>
      <c r="BY146" s="10"/>
      <c r="BZ146" s="10">
        <v>305</v>
      </c>
      <c r="CA146" s="10">
        <f t="shared" si="164"/>
        <v>63440</v>
      </c>
      <c r="CB146" s="10">
        <f t="shared" si="154"/>
        <v>126880</v>
      </c>
      <c r="CC146" s="10">
        <f t="shared" si="155"/>
        <v>761.28</v>
      </c>
      <c r="CD146" s="10">
        <f t="shared" si="156"/>
        <v>706.902857142857</v>
      </c>
      <c r="CE146" s="10">
        <f t="shared" si="157"/>
        <v>134.715906120956</v>
      </c>
      <c r="CF146" s="10"/>
      <c r="CG146" s="10">
        <v>305</v>
      </c>
      <c r="CH146" s="10">
        <f t="shared" si="168"/>
        <v>46910</v>
      </c>
      <c r="CI146" s="10">
        <v>0</v>
      </c>
      <c r="CJ146" s="10">
        <f t="shared" si="159"/>
        <v>375.28</v>
      </c>
      <c r="CK146" s="10">
        <f t="shared" si="160"/>
        <v>975.728</v>
      </c>
      <c r="CL146" s="10">
        <f t="shared" si="161"/>
        <v>203.276666666667</v>
      </c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</row>
    <row r="147" spans="49:113">
      <c r="AW147">
        <v>145</v>
      </c>
      <c r="AX147">
        <v>11546594</v>
      </c>
      <c r="AY147">
        <v>145</v>
      </c>
      <c r="AZ147">
        <v>30864506</v>
      </c>
      <c r="BR147" s="10"/>
      <c r="BS147" s="10"/>
      <c r="BT147" s="10"/>
      <c r="BU147" s="10"/>
      <c r="BV147" s="10"/>
      <c r="BW147" s="10"/>
      <c r="BX147" s="10"/>
      <c r="BY147" s="10"/>
      <c r="BZ147" s="10">
        <v>306</v>
      </c>
      <c r="CA147" s="10">
        <f t="shared" si="164"/>
        <v>63700</v>
      </c>
      <c r="CB147" s="10">
        <f t="shared" si="154"/>
        <v>127400</v>
      </c>
      <c r="CC147" s="10">
        <f t="shared" si="155"/>
        <v>764.4</v>
      </c>
      <c r="CD147" s="10">
        <f t="shared" si="156"/>
        <v>709.8</v>
      </c>
      <c r="CE147" s="10">
        <f t="shared" si="157"/>
        <v>135.268020490304</v>
      </c>
      <c r="CF147" s="10"/>
      <c r="CG147" s="10">
        <v>306</v>
      </c>
      <c r="CH147" s="10">
        <f t="shared" ref="CH147:CH151" si="169">CH146+190</f>
        <v>47100</v>
      </c>
      <c r="CI147" s="10">
        <v>0</v>
      </c>
      <c r="CJ147" s="10">
        <f t="shared" si="159"/>
        <v>376.8</v>
      </c>
      <c r="CK147" s="10">
        <f t="shared" si="160"/>
        <v>979.68</v>
      </c>
      <c r="CL147" s="10">
        <f t="shared" si="161"/>
        <v>204.1</v>
      </c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</row>
    <row r="148" spans="49:113">
      <c r="AW148">
        <v>146</v>
      </c>
      <c r="AX148">
        <v>11599560</v>
      </c>
      <c r="AY148">
        <v>146</v>
      </c>
      <c r="AZ148">
        <v>30980992</v>
      </c>
      <c r="BR148" s="10"/>
      <c r="BS148" s="10"/>
      <c r="BT148" s="10"/>
      <c r="BU148" s="10"/>
      <c r="BV148" s="10"/>
      <c r="BW148" s="10"/>
      <c r="BX148" s="10"/>
      <c r="BY148" s="10"/>
      <c r="BZ148" s="10">
        <v>307</v>
      </c>
      <c r="CA148" s="10">
        <f t="shared" si="164"/>
        <v>63960</v>
      </c>
      <c r="CB148" s="10">
        <f t="shared" si="154"/>
        <v>127920</v>
      </c>
      <c r="CC148" s="10">
        <f t="shared" si="155"/>
        <v>767.52</v>
      </c>
      <c r="CD148" s="10">
        <f t="shared" si="156"/>
        <v>712.697142857143</v>
      </c>
      <c r="CE148" s="10">
        <f t="shared" si="157"/>
        <v>135.820134859652</v>
      </c>
      <c r="CF148" s="10"/>
      <c r="CG148" s="10">
        <v>307</v>
      </c>
      <c r="CH148" s="10">
        <f t="shared" si="168"/>
        <v>47295</v>
      </c>
      <c r="CI148" s="10">
        <v>0</v>
      </c>
      <c r="CJ148" s="10">
        <f t="shared" si="159"/>
        <v>378.36</v>
      </c>
      <c r="CK148" s="10">
        <f t="shared" si="160"/>
        <v>983.736</v>
      </c>
      <c r="CL148" s="10">
        <f t="shared" si="161"/>
        <v>204.945</v>
      </c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</row>
    <row r="149" spans="49:113">
      <c r="AW149">
        <v>147</v>
      </c>
      <c r="AX149">
        <v>11652526</v>
      </c>
      <c r="AY149">
        <v>147</v>
      </c>
      <c r="AZ149">
        <v>32025290</v>
      </c>
      <c r="BR149" s="10"/>
      <c r="BS149" s="10"/>
      <c r="BT149" s="10"/>
      <c r="BU149" s="10"/>
      <c r="BV149" s="10"/>
      <c r="BW149" s="10"/>
      <c r="BX149" s="10"/>
      <c r="BY149" s="10"/>
      <c r="BZ149" s="10">
        <v>308</v>
      </c>
      <c r="CA149" s="10">
        <f t="shared" si="164"/>
        <v>64220</v>
      </c>
      <c r="CB149" s="10">
        <f t="shared" si="154"/>
        <v>128440</v>
      </c>
      <c r="CC149" s="10">
        <f t="shared" si="155"/>
        <v>770.64</v>
      </c>
      <c r="CD149" s="10">
        <f t="shared" si="156"/>
        <v>715.594285714286</v>
      </c>
      <c r="CE149" s="10">
        <f t="shared" si="157"/>
        <v>136.372249229</v>
      </c>
      <c r="CF149" s="10"/>
      <c r="CG149" s="10">
        <v>308</v>
      </c>
      <c r="CH149" s="10">
        <f t="shared" si="169"/>
        <v>47485</v>
      </c>
      <c r="CI149" s="10">
        <v>0</v>
      </c>
      <c r="CJ149" s="10">
        <f t="shared" si="159"/>
        <v>379.88</v>
      </c>
      <c r="CK149" s="10">
        <f t="shared" si="160"/>
        <v>987.688</v>
      </c>
      <c r="CL149" s="10">
        <f t="shared" si="161"/>
        <v>205.768333333333</v>
      </c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</row>
    <row r="150" spans="49:113">
      <c r="AW150">
        <v>148</v>
      </c>
      <c r="AX150">
        <v>11679009</v>
      </c>
      <c r="AY150">
        <v>148</v>
      </c>
      <c r="AZ150">
        <v>32205262</v>
      </c>
      <c r="BR150" s="10"/>
      <c r="BS150" s="10"/>
      <c r="BT150" s="10"/>
      <c r="BU150" s="10"/>
      <c r="BV150" s="10"/>
      <c r="BW150" s="10"/>
      <c r="BX150" s="10"/>
      <c r="BY150" s="10"/>
      <c r="BZ150" s="10">
        <v>309</v>
      </c>
      <c r="CA150" s="10">
        <f t="shared" si="164"/>
        <v>64480</v>
      </c>
      <c r="CB150" s="10">
        <f t="shared" si="154"/>
        <v>128960</v>
      </c>
      <c r="CC150" s="10">
        <f t="shared" si="155"/>
        <v>773.76</v>
      </c>
      <c r="CD150" s="10">
        <f t="shared" si="156"/>
        <v>718.491428571429</v>
      </c>
      <c r="CE150" s="10">
        <f t="shared" si="157"/>
        <v>136.924363598348</v>
      </c>
      <c r="CF150" s="10"/>
      <c r="CG150" s="10">
        <v>309</v>
      </c>
      <c r="CH150" s="10">
        <f t="shared" ref="CH150:CH154" si="170">CH149+195</f>
        <v>47680</v>
      </c>
      <c r="CI150" s="10">
        <v>0</v>
      </c>
      <c r="CJ150" s="10">
        <f t="shared" si="159"/>
        <v>381.44</v>
      </c>
      <c r="CK150" s="10">
        <f t="shared" si="160"/>
        <v>991.744</v>
      </c>
      <c r="CL150" s="10">
        <f t="shared" si="161"/>
        <v>206.613333333333</v>
      </c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</row>
    <row r="151" spans="49:113">
      <c r="AW151">
        <v>149</v>
      </c>
      <c r="AX151">
        <v>11731975</v>
      </c>
      <c r="AY151">
        <v>149</v>
      </c>
      <c r="AZ151">
        <v>33270698</v>
      </c>
      <c r="BR151" s="10"/>
      <c r="BS151" s="10"/>
      <c r="BT151" s="10"/>
      <c r="BU151" s="10"/>
      <c r="BV151" s="10"/>
      <c r="BW151" s="10"/>
      <c r="BX151" s="10"/>
      <c r="BY151" s="10"/>
      <c r="BZ151" s="10">
        <v>310</v>
      </c>
      <c r="CA151" s="10">
        <f t="shared" si="164"/>
        <v>64740</v>
      </c>
      <c r="CB151" s="10">
        <f t="shared" si="154"/>
        <v>129480</v>
      </c>
      <c r="CC151" s="10">
        <f t="shared" si="155"/>
        <v>776.88</v>
      </c>
      <c r="CD151" s="10">
        <f t="shared" si="156"/>
        <v>721.388571428571</v>
      </c>
      <c r="CE151" s="10">
        <f t="shared" si="157"/>
        <v>137.476477967696</v>
      </c>
      <c r="CF151" s="10"/>
      <c r="CG151" s="10">
        <v>310</v>
      </c>
      <c r="CH151" s="10">
        <f t="shared" si="169"/>
        <v>47870</v>
      </c>
      <c r="CI151" s="10">
        <v>0</v>
      </c>
      <c r="CJ151" s="10">
        <f t="shared" si="159"/>
        <v>382.96</v>
      </c>
      <c r="CK151" s="10">
        <f t="shared" si="160"/>
        <v>995.696</v>
      </c>
      <c r="CL151" s="10">
        <f t="shared" si="161"/>
        <v>207.436666666667</v>
      </c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</row>
    <row r="152" spans="49:113">
      <c r="AW152">
        <v>150</v>
      </c>
      <c r="AX152">
        <v>11784941</v>
      </c>
      <c r="AY152">
        <v>150</v>
      </c>
      <c r="AZ152">
        <v>34387276</v>
      </c>
      <c r="BR152" s="10"/>
      <c r="BS152" s="10"/>
      <c r="BT152" s="10"/>
      <c r="BU152" s="10"/>
      <c r="BV152" s="10"/>
      <c r="BW152" s="10"/>
      <c r="BX152" s="10"/>
      <c r="BY152" s="10"/>
      <c r="BZ152" s="10">
        <v>311</v>
      </c>
      <c r="CA152" s="10">
        <v>64740</v>
      </c>
      <c r="CB152" s="10">
        <f t="shared" si="154"/>
        <v>129480</v>
      </c>
      <c r="CC152" s="10">
        <f t="shared" si="155"/>
        <v>776.88</v>
      </c>
      <c r="CD152" s="10">
        <f t="shared" si="156"/>
        <v>721.388571428571</v>
      </c>
      <c r="CE152" s="10">
        <f t="shared" si="157"/>
        <v>137.476477967696</v>
      </c>
      <c r="CF152" s="10"/>
      <c r="CG152" s="10">
        <v>311</v>
      </c>
      <c r="CH152" s="10">
        <f t="shared" si="170"/>
        <v>48065</v>
      </c>
      <c r="CI152" s="10">
        <v>0</v>
      </c>
      <c r="CJ152" s="10">
        <f t="shared" si="159"/>
        <v>384.52</v>
      </c>
      <c r="CK152" s="10">
        <f t="shared" si="160"/>
        <v>999.752</v>
      </c>
      <c r="CL152" s="10">
        <f t="shared" si="161"/>
        <v>208.281666666667</v>
      </c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</row>
    <row r="153" spans="49:113">
      <c r="AW153">
        <v>151</v>
      </c>
      <c r="AX153">
        <v>11811613</v>
      </c>
      <c r="AY153">
        <v>151</v>
      </c>
      <c r="AZ153">
        <v>35609150</v>
      </c>
      <c r="BR153" s="10"/>
      <c r="BS153" s="10"/>
      <c r="BT153" s="10"/>
      <c r="BU153" s="10"/>
      <c r="BV153" s="10"/>
      <c r="BW153" s="10"/>
      <c r="BX153" s="10"/>
      <c r="BY153" s="10"/>
      <c r="BZ153" s="10">
        <v>312</v>
      </c>
      <c r="CA153" s="10">
        <v>64740</v>
      </c>
      <c r="CB153" s="10">
        <f t="shared" si="154"/>
        <v>129480</v>
      </c>
      <c r="CC153" s="10">
        <f t="shared" si="155"/>
        <v>776.88</v>
      </c>
      <c r="CD153" s="10">
        <f t="shared" si="156"/>
        <v>721.388571428571</v>
      </c>
      <c r="CE153" s="10">
        <f t="shared" si="157"/>
        <v>137.476477967696</v>
      </c>
      <c r="CF153" s="10"/>
      <c r="CG153" s="10">
        <v>312</v>
      </c>
      <c r="CH153" s="10">
        <f t="shared" ref="CH153:CH157" si="171">CH152+190</f>
        <v>48255</v>
      </c>
      <c r="CI153" s="10">
        <v>0</v>
      </c>
      <c r="CJ153" s="10">
        <f t="shared" si="159"/>
        <v>386.04</v>
      </c>
      <c r="CK153" s="10">
        <f t="shared" si="160"/>
        <v>1003.704</v>
      </c>
      <c r="CL153" s="10">
        <f t="shared" si="161"/>
        <v>209.105</v>
      </c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</row>
    <row r="154" spans="49:113">
      <c r="AW154">
        <v>152</v>
      </c>
      <c r="AX154">
        <v>11838097</v>
      </c>
      <c r="AY154">
        <v>152</v>
      </c>
      <c r="AZ154">
        <v>35871344</v>
      </c>
      <c r="BR154" s="10"/>
      <c r="BS154" s="10"/>
      <c r="BT154" s="10"/>
      <c r="BU154" s="10"/>
      <c r="BV154" s="10"/>
      <c r="BW154" s="10"/>
      <c r="BX154" s="10"/>
      <c r="BY154" s="10"/>
      <c r="BZ154" s="10">
        <v>313</v>
      </c>
      <c r="CA154" s="10">
        <v>64740</v>
      </c>
      <c r="CB154" s="10">
        <f t="shared" si="154"/>
        <v>129480</v>
      </c>
      <c r="CC154" s="10">
        <f t="shared" si="155"/>
        <v>776.88</v>
      </c>
      <c r="CD154" s="10">
        <f t="shared" si="156"/>
        <v>721.388571428571</v>
      </c>
      <c r="CE154" s="10">
        <f t="shared" si="157"/>
        <v>137.476477967696</v>
      </c>
      <c r="CF154" s="10"/>
      <c r="CG154" s="10">
        <v>313</v>
      </c>
      <c r="CH154" s="10">
        <f t="shared" si="170"/>
        <v>48450</v>
      </c>
      <c r="CI154" s="10">
        <v>0</v>
      </c>
      <c r="CJ154" s="10">
        <f t="shared" si="159"/>
        <v>387.6</v>
      </c>
      <c r="CK154" s="10">
        <f t="shared" si="160"/>
        <v>1007.76</v>
      </c>
      <c r="CL154" s="10">
        <f t="shared" si="161"/>
        <v>209.95</v>
      </c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</row>
    <row r="155" spans="49:113">
      <c r="AW155">
        <v>153</v>
      </c>
      <c r="AX155">
        <v>11864580</v>
      </c>
      <c r="AY155">
        <v>153</v>
      </c>
      <c r="AZ155">
        <v>37143639</v>
      </c>
      <c r="BR155" s="10"/>
      <c r="BS155" s="10"/>
      <c r="BT155" s="10"/>
      <c r="BU155" s="10"/>
      <c r="BV155" s="10"/>
      <c r="BW155" s="10"/>
      <c r="BX155" s="10"/>
      <c r="BY155" s="10"/>
      <c r="BZ155" s="10">
        <v>314</v>
      </c>
      <c r="CA155" s="10">
        <v>64740</v>
      </c>
      <c r="CB155" s="10">
        <f t="shared" si="154"/>
        <v>129480</v>
      </c>
      <c r="CC155" s="10">
        <f t="shared" si="155"/>
        <v>776.88</v>
      </c>
      <c r="CD155" s="10">
        <f t="shared" si="156"/>
        <v>721.388571428571</v>
      </c>
      <c r="CE155" s="10">
        <f t="shared" si="157"/>
        <v>137.476477967696</v>
      </c>
      <c r="CF155" s="10"/>
      <c r="CG155" s="10">
        <v>314</v>
      </c>
      <c r="CH155" s="10">
        <f t="shared" si="171"/>
        <v>48640</v>
      </c>
      <c r="CI155" s="10">
        <v>0</v>
      </c>
      <c r="CJ155" s="10">
        <f t="shared" si="159"/>
        <v>389.12</v>
      </c>
      <c r="CK155" s="10">
        <f t="shared" si="160"/>
        <v>1011.712</v>
      </c>
      <c r="CL155" s="10">
        <f t="shared" si="161"/>
        <v>210.773333333333</v>
      </c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</row>
    <row r="156" spans="49:113">
      <c r="AW156">
        <v>154</v>
      </c>
      <c r="AX156">
        <v>11917547</v>
      </c>
      <c r="AY156">
        <v>154</v>
      </c>
      <c r="AZ156">
        <v>37211154</v>
      </c>
      <c r="BR156" s="10"/>
      <c r="BS156" s="10"/>
      <c r="BT156" s="10"/>
      <c r="BU156" s="10"/>
      <c r="BV156" s="10"/>
      <c r="BW156" s="10"/>
      <c r="BX156" s="10"/>
      <c r="BY156" s="10"/>
      <c r="BZ156" s="10">
        <v>315</v>
      </c>
      <c r="CA156" s="10">
        <v>64740</v>
      </c>
      <c r="CB156" s="10">
        <f t="shared" si="154"/>
        <v>129480</v>
      </c>
      <c r="CC156" s="10">
        <f t="shared" si="155"/>
        <v>776.88</v>
      </c>
      <c r="CD156" s="10">
        <f t="shared" si="156"/>
        <v>721.388571428571</v>
      </c>
      <c r="CE156" s="10">
        <f t="shared" si="157"/>
        <v>137.476477967696</v>
      </c>
      <c r="CF156" s="10"/>
      <c r="CG156" s="10">
        <v>315</v>
      </c>
      <c r="CH156" s="10">
        <f t="shared" ref="CH156:CH160" si="172">CH155+195</f>
        <v>48835</v>
      </c>
      <c r="CI156" s="10">
        <v>0</v>
      </c>
      <c r="CJ156" s="10">
        <f t="shared" si="159"/>
        <v>390.68</v>
      </c>
      <c r="CK156" s="10">
        <f t="shared" si="160"/>
        <v>1015.768</v>
      </c>
      <c r="CL156" s="10">
        <f t="shared" si="161"/>
        <v>211.618333333333</v>
      </c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</row>
    <row r="157" spans="49:113">
      <c r="AW157">
        <v>155</v>
      </c>
      <c r="AX157">
        <v>11970514</v>
      </c>
      <c r="AY157">
        <v>155</v>
      </c>
      <c r="AZ157">
        <v>38460179</v>
      </c>
      <c r="BR157" s="10"/>
      <c r="BS157" s="10"/>
      <c r="BT157" s="10"/>
      <c r="BU157" s="10"/>
      <c r="BV157" s="10"/>
      <c r="BW157" s="10"/>
      <c r="BX157" s="10"/>
      <c r="BY157" s="10"/>
      <c r="BZ157" s="10">
        <v>316</v>
      </c>
      <c r="CA157" s="10">
        <v>64740</v>
      </c>
      <c r="CB157" s="10">
        <f t="shared" si="154"/>
        <v>129480</v>
      </c>
      <c r="CC157" s="10">
        <f t="shared" si="155"/>
        <v>776.88</v>
      </c>
      <c r="CD157" s="10">
        <f t="shared" si="156"/>
        <v>721.388571428571</v>
      </c>
      <c r="CE157" s="10">
        <f t="shared" si="157"/>
        <v>137.476477967696</v>
      </c>
      <c r="CF157" s="10"/>
      <c r="CG157" s="10">
        <v>316</v>
      </c>
      <c r="CH157" s="10">
        <f t="shared" si="171"/>
        <v>49025</v>
      </c>
      <c r="CI157" s="10">
        <v>0</v>
      </c>
      <c r="CJ157" s="10">
        <f t="shared" si="159"/>
        <v>392.2</v>
      </c>
      <c r="CK157" s="10">
        <f t="shared" si="160"/>
        <v>1019.72</v>
      </c>
      <c r="CL157" s="10">
        <f t="shared" si="161"/>
        <v>212.441666666667</v>
      </c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</row>
    <row r="158" spans="49:113">
      <c r="AW158">
        <v>156</v>
      </c>
      <c r="AX158">
        <v>12049964</v>
      </c>
      <c r="AY158">
        <v>156</v>
      </c>
      <c r="AZ158">
        <v>38529719</v>
      </c>
      <c r="BR158" s="10"/>
      <c r="BS158" s="10"/>
      <c r="BT158" s="10"/>
      <c r="BU158" s="10"/>
      <c r="BV158" s="10"/>
      <c r="BW158" s="10"/>
      <c r="BX158" s="10"/>
      <c r="BY158" s="10"/>
      <c r="BZ158" s="10">
        <v>317</v>
      </c>
      <c r="CA158" s="10">
        <v>64740</v>
      </c>
      <c r="CB158" s="10">
        <f t="shared" si="154"/>
        <v>129480</v>
      </c>
      <c r="CC158" s="10">
        <f t="shared" si="155"/>
        <v>776.88</v>
      </c>
      <c r="CD158" s="10">
        <f t="shared" si="156"/>
        <v>721.388571428571</v>
      </c>
      <c r="CE158" s="10">
        <f t="shared" si="157"/>
        <v>137.476477967696</v>
      </c>
      <c r="CF158" s="10"/>
      <c r="CG158" s="10">
        <v>317</v>
      </c>
      <c r="CH158" s="10">
        <f t="shared" si="172"/>
        <v>49220</v>
      </c>
      <c r="CI158" s="10">
        <v>0</v>
      </c>
      <c r="CJ158" s="10">
        <f t="shared" si="159"/>
        <v>393.76</v>
      </c>
      <c r="CK158" s="10">
        <f t="shared" si="160"/>
        <v>1023.776</v>
      </c>
      <c r="CL158" s="10">
        <f t="shared" si="161"/>
        <v>213.286666666667</v>
      </c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</row>
    <row r="159" spans="49:113">
      <c r="AW159">
        <v>157</v>
      </c>
      <c r="AX159">
        <v>12155898</v>
      </c>
      <c r="AY159">
        <v>157</v>
      </c>
      <c r="AZ159">
        <v>39822474</v>
      </c>
      <c r="BR159" s="10"/>
      <c r="BS159" s="10"/>
      <c r="BT159" s="10"/>
      <c r="BU159" s="10"/>
      <c r="BV159" s="10"/>
      <c r="BW159" s="10"/>
      <c r="BX159" s="10"/>
      <c r="BY159" s="10"/>
      <c r="BZ159" s="10">
        <v>318</v>
      </c>
      <c r="CA159" s="10">
        <v>64740</v>
      </c>
      <c r="CB159" s="10">
        <f t="shared" si="154"/>
        <v>129480</v>
      </c>
      <c r="CC159" s="10">
        <f t="shared" si="155"/>
        <v>776.88</v>
      </c>
      <c r="CD159" s="10">
        <f t="shared" si="156"/>
        <v>721.388571428571</v>
      </c>
      <c r="CE159" s="10">
        <f t="shared" si="157"/>
        <v>137.476477967696</v>
      </c>
      <c r="CF159" s="10"/>
      <c r="CG159" s="10">
        <v>318</v>
      </c>
      <c r="CH159" s="10">
        <f>CH158+190</f>
        <v>49410</v>
      </c>
      <c r="CI159" s="10">
        <v>0</v>
      </c>
      <c r="CJ159" s="10">
        <f t="shared" si="159"/>
        <v>395.28</v>
      </c>
      <c r="CK159" s="10">
        <f t="shared" si="160"/>
        <v>1027.728</v>
      </c>
      <c r="CL159" s="10">
        <f t="shared" si="161"/>
        <v>214.11</v>
      </c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</row>
    <row r="160" spans="49:113">
      <c r="AW160">
        <v>158</v>
      </c>
      <c r="AX160">
        <v>12208865</v>
      </c>
      <c r="AY160">
        <v>158</v>
      </c>
      <c r="AZ160">
        <v>40037353</v>
      </c>
      <c r="BR160" s="10"/>
      <c r="BS160" s="10"/>
      <c r="BT160" s="10"/>
      <c r="BU160" s="10"/>
      <c r="BV160" s="10"/>
      <c r="BW160" s="10"/>
      <c r="BX160" s="10"/>
      <c r="BY160" s="10"/>
      <c r="BZ160" s="10">
        <v>319</v>
      </c>
      <c r="CA160" s="10">
        <v>64740</v>
      </c>
      <c r="CB160" s="10">
        <f t="shared" si="154"/>
        <v>129480</v>
      </c>
      <c r="CC160" s="10">
        <f t="shared" si="155"/>
        <v>776.88</v>
      </c>
      <c r="CD160" s="10">
        <f t="shared" si="156"/>
        <v>721.388571428571</v>
      </c>
      <c r="CE160" s="10">
        <f t="shared" si="157"/>
        <v>137.476477967696</v>
      </c>
      <c r="CF160" s="10"/>
      <c r="CG160" s="10">
        <v>319</v>
      </c>
      <c r="CH160" s="10">
        <f t="shared" si="172"/>
        <v>49605</v>
      </c>
      <c r="CI160" s="10">
        <v>0</v>
      </c>
      <c r="CJ160" s="10">
        <f t="shared" si="159"/>
        <v>396.84</v>
      </c>
      <c r="CK160" s="10">
        <f t="shared" si="160"/>
        <v>1031.784</v>
      </c>
      <c r="CL160" s="10">
        <f t="shared" si="161"/>
        <v>214.955</v>
      </c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</row>
    <row r="161" spans="49:113">
      <c r="AW161">
        <v>159</v>
      </c>
      <c r="AX161">
        <v>12261832</v>
      </c>
      <c r="AY161">
        <v>159</v>
      </c>
      <c r="AZ161">
        <v>43248083</v>
      </c>
      <c r="BR161" s="10"/>
      <c r="BS161" s="10"/>
      <c r="BT161" s="10"/>
      <c r="BU161" s="10"/>
      <c r="BV161" s="10"/>
      <c r="BW161" s="10"/>
      <c r="BX161" s="10"/>
      <c r="BY161" s="10"/>
      <c r="BZ161" s="10">
        <v>320</v>
      </c>
      <c r="CA161" s="10">
        <v>64740</v>
      </c>
      <c r="CB161" s="10">
        <f t="shared" si="154"/>
        <v>129480</v>
      </c>
      <c r="CC161" s="10">
        <f t="shared" si="155"/>
        <v>776.88</v>
      </c>
      <c r="CD161" s="10">
        <f t="shared" si="156"/>
        <v>721.388571428571</v>
      </c>
      <c r="CE161" s="10">
        <f t="shared" si="157"/>
        <v>137.476477967696</v>
      </c>
      <c r="CF161" s="10"/>
      <c r="CG161" s="10">
        <v>320</v>
      </c>
      <c r="CH161" s="10">
        <f>CH160+190</f>
        <v>49795</v>
      </c>
      <c r="CI161" s="10">
        <v>0</v>
      </c>
      <c r="CJ161" s="10">
        <f t="shared" si="159"/>
        <v>398.36</v>
      </c>
      <c r="CK161" s="10">
        <f t="shared" si="160"/>
        <v>1035.736</v>
      </c>
      <c r="CL161" s="10">
        <f t="shared" si="161"/>
        <v>215.778333333333</v>
      </c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</row>
    <row r="162" spans="49:113">
      <c r="AW162">
        <v>160</v>
      </c>
      <c r="AX162">
        <v>12314799</v>
      </c>
      <c r="AY162">
        <v>160</v>
      </c>
      <c r="AZ162">
        <v>44969859</v>
      </c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</row>
    <row r="163" spans="49:113">
      <c r="AW163">
        <v>161</v>
      </c>
      <c r="AX163">
        <v>12394079</v>
      </c>
      <c r="AY163">
        <v>161</v>
      </c>
      <c r="AZ163">
        <v>48762878</v>
      </c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</row>
    <row r="164" spans="49:113">
      <c r="AW164">
        <v>162</v>
      </c>
      <c r="AX164">
        <v>12447046</v>
      </c>
      <c r="AY164">
        <v>162</v>
      </c>
      <c r="AZ164">
        <v>52604320</v>
      </c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</row>
    <row r="165" spans="49:113">
      <c r="AW165">
        <v>163</v>
      </c>
      <c r="AX165">
        <v>12500012</v>
      </c>
      <c r="AY165">
        <v>163</v>
      </c>
      <c r="AZ165">
        <v>56396556</v>
      </c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</row>
    <row r="166" spans="49:113">
      <c r="AW166">
        <v>164</v>
      </c>
      <c r="AX166">
        <v>12500012</v>
      </c>
      <c r="AY166">
        <v>164</v>
      </c>
      <c r="AZ166">
        <v>60225668</v>
      </c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</row>
    <row r="167" spans="49:113">
      <c r="AW167">
        <v>165</v>
      </c>
      <c r="AX167">
        <v>12526495</v>
      </c>
      <c r="AY167">
        <v>165</v>
      </c>
      <c r="AZ167">
        <v>63980989</v>
      </c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</row>
    <row r="168" spans="49:113">
      <c r="AW168">
        <v>166</v>
      </c>
      <c r="AX168">
        <v>12579461</v>
      </c>
      <c r="AY168">
        <v>166</v>
      </c>
      <c r="AZ168">
        <v>67994521</v>
      </c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</row>
    <row r="169" spans="49:113">
      <c r="AW169">
        <v>167</v>
      </c>
      <c r="AX169">
        <v>12632427</v>
      </c>
      <c r="AY169">
        <v>167</v>
      </c>
      <c r="AZ169">
        <v>71934262</v>
      </c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</row>
    <row r="170" spans="49:113">
      <c r="AW170">
        <v>168</v>
      </c>
      <c r="AX170">
        <v>12658910</v>
      </c>
      <c r="AY170">
        <v>168</v>
      </c>
      <c r="AZ170">
        <v>76039985</v>
      </c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</row>
    <row r="171" spans="49:113">
      <c r="AW171">
        <v>169</v>
      </c>
      <c r="AX171">
        <v>12711876</v>
      </c>
      <c r="AY171">
        <v>169</v>
      </c>
      <c r="AZ171">
        <v>80194876</v>
      </c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</row>
    <row r="172" spans="49:113">
      <c r="AW172">
        <v>170</v>
      </c>
      <c r="AX172">
        <v>12764842</v>
      </c>
      <c r="AY172">
        <v>170</v>
      </c>
      <c r="AZ172">
        <v>80600630</v>
      </c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</row>
    <row r="173" spans="49:113">
      <c r="AW173">
        <v>171</v>
      </c>
      <c r="AX173">
        <v>12817637</v>
      </c>
      <c r="AY173">
        <v>171</v>
      </c>
      <c r="AZ173">
        <v>81009637</v>
      </c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</row>
    <row r="174" spans="49:113">
      <c r="AW174">
        <v>172</v>
      </c>
      <c r="AX174">
        <v>12870602</v>
      </c>
      <c r="AY174">
        <v>172</v>
      </c>
      <c r="AZ174">
        <v>81415408</v>
      </c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</row>
    <row r="175" spans="49:113">
      <c r="AW175">
        <v>173</v>
      </c>
      <c r="AX175">
        <v>12950050</v>
      </c>
      <c r="AY175">
        <v>173</v>
      </c>
      <c r="AZ175">
        <v>81685922</v>
      </c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</row>
    <row r="176" spans="49:113">
      <c r="AW176">
        <v>174</v>
      </c>
      <c r="AX176">
        <v>13029499</v>
      </c>
      <c r="AY176">
        <v>174</v>
      </c>
      <c r="AZ176">
        <v>81821179</v>
      </c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</row>
    <row r="177" spans="49:113">
      <c r="AW177">
        <v>175</v>
      </c>
      <c r="AX177">
        <v>13082464</v>
      </c>
      <c r="AY177">
        <v>175</v>
      </c>
      <c r="AZ177">
        <v>82226950</v>
      </c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</row>
    <row r="178" spans="49:113">
      <c r="AW178">
        <v>176</v>
      </c>
      <c r="AX178">
        <v>13135429</v>
      </c>
      <c r="AY178">
        <v>176</v>
      </c>
      <c r="AZ178">
        <v>82632720</v>
      </c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</row>
    <row r="179" spans="49:113">
      <c r="AW179">
        <v>177</v>
      </c>
      <c r="AX179">
        <v>13188395</v>
      </c>
      <c r="AY179">
        <v>177</v>
      </c>
      <c r="AZ179">
        <v>82903234</v>
      </c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</row>
    <row r="180" spans="49:113">
      <c r="AW180">
        <v>178</v>
      </c>
      <c r="AX180">
        <v>13214878</v>
      </c>
      <c r="AY180">
        <v>178</v>
      </c>
      <c r="AZ180">
        <v>83309005</v>
      </c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</row>
    <row r="181" spans="49:113">
      <c r="AW181">
        <v>179</v>
      </c>
      <c r="AX181">
        <v>13267843</v>
      </c>
      <c r="AY181">
        <v>179</v>
      </c>
      <c r="AZ181">
        <v>83714776</v>
      </c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</row>
    <row r="182" spans="49:113">
      <c r="AW182">
        <v>180</v>
      </c>
      <c r="AX182">
        <v>13320809</v>
      </c>
      <c r="AY182">
        <v>180</v>
      </c>
      <c r="AZ182">
        <v>83985290</v>
      </c>
    </row>
    <row r="183" spans="49:113">
      <c r="AW183">
        <v>181</v>
      </c>
      <c r="AX183">
        <v>13372809</v>
      </c>
      <c r="AY183">
        <v>181</v>
      </c>
      <c r="AZ183">
        <v>84388130</v>
      </c>
    </row>
    <row r="184" spans="49:113">
      <c r="AW184">
        <v>182</v>
      </c>
      <c r="AX184">
        <v>13399290</v>
      </c>
      <c r="AY184">
        <v>182</v>
      </c>
      <c r="AZ184">
        <v>84658635</v>
      </c>
    </row>
    <row r="185" spans="49:113">
      <c r="AW185">
        <v>183</v>
      </c>
      <c r="AX185">
        <v>13425771</v>
      </c>
      <c r="AY185">
        <v>183</v>
      </c>
      <c r="AZ185">
        <v>84929139</v>
      </c>
    </row>
    <row r="186" spans="49:113">
      <c r="AW186">
        <v>184</v>
      </c>
      <c r="AX186">
        <v>13452251</v>
      </c>
      <c r="AY186">
        <v>184</v>
      </c>
      <c r="AZ186">
        <v>85334896</v>
      </c>
    </row>
    <row r="187" spans="49:113">
      <c r="AW187">
        <v>185</v>
      </c>
      <c r="AX187">
        <v>13478732</v>
      </c>
      <c r="AY187">
        <v>185</v>
      </c>
      <c r="AZ187">
        <v>85605400</v>
      </c>
    </row>
    <row r="188" spans="49:113">
      <c r="AW188">
        <v>186</v>
      </c>
      <c r="AX188">
        <v>13478732</v>
      </c>
      <c r="AY188">
        <v>186</v>
      </c>
      <c r="AZ188">
        <v>85875905</v>
      </c>
    </row>
    <row r="189" spans="49:113">
      <c r="AW189">
        <v>187</v>
      </c>
      <c r="AX189">
        <v>13478732</v>
      </c>
      <c r="AY189">
        <v>187</v>
      </c>
      <c r="AZ189">
        <v>86281661</v>
      </c>
    </row>
    <row r="190" spans="49:113">
      <c r="AW190">
        <v>188</v>
      </c>
      <c r="AX190">
        <v>13478732</v>
      </c>
      <c r="AY190">
        <v>188</v>
      </c>
      <c r="AZ190">
        <v>86552166</v>
      </c>
    </row>
    <row r="191" spans="49:113">
      <c r="AW191">
        <v>189</v>
      </c>
      <c r="AX191">
        <v>13478732</v>
      </c>
      <c r="AY191">
        <v>189</v>
      </c>
      <c r="AZ191">
        <v>86822670</v>
      </c>
    </row>
    <row r="192" spans="49:113">
      <c r="AW192">
        <v>190</v>
      </c>
      <c r="AX192">
        <v>13478732</v>
      </c>
      <c r="AY192">
        <v>190</v>
      </c>
      <c r="AZ192">
        <v>86957923</v>
      </c>
    </row>
    <row r="193" spans="49:52">
      <c r="AW193">
        <v>191</v>
      </c>
      <c r="AX193">
        <v>13478732</v>
      </c>
      <c r="AY193">
        <v>191</v>
      </c>
      <c r="AZ193">
        <v>87237117</v>
      </c>
    </row>
    <row r="194" spans="49:52">
      <c r="AW194">
        <v>192</v>
      </c>
      <c r="AX194">
        <v>13478732</v>
      </c>
      <c r="AY194">
        <v>192</v>
      </c>
      <c r="AZ194">
        <v>87507648</v>
      </c>
    </row>
    <row r="195" spans="49:52">
      <c r="AW195">
        <v>193</v>
      </c>
      <c r="AX195">
        <v>13478732</v>
      </c>
      <c r="AY195">
        <v>193</v>
      </c>
      <c r="AZ195">
        <v>87913445</v>
      </c>
    </row>
    <row r="196" spans="49:52">
      <c r="AW196">
        <v>194</v>
      </c>
      <c r="AX196">
        <v>13478732</v>
      </c>
      <c r="AY196">
        <v>194</v>
      </c>
      <c r="AZ196">
        <v>88183977</v>
      </c>
    </row>
    <row r="197" spans="49:52">
      <c r="AW197">
        <v>195</v>
      </c>
      <c r="AX197">
        <v>13478732</v>
      </c>
      <c r="AY197">
        <v>195</v>
      </c>
      <c r="AZ197">
        <v>88319242</v>
      </c>
    </row>
    <row r="198" spans="49:52">
      <c r="AW198">
        <v>196</v>
      </c>
      <c r="AX198">
        <v>13478732</v>
      </c>
      <c r="AY198">
        <v>196</v>
      </c>
      <c r="AZ198">
        <v>88725039</v>
      </c>
    </row>
    <row r="199" spans="49:52">
      <c r="AW199">
        <v>197</v>
      </c>
      <c r="AX199">
        <v>13478732</v>
      </c>
      <c r="AY199">
        <v>197</v>
      </c>
      <c r="AZ199">
        <v>88995571</v>
      </c>
    </row>
    <row r="200" spans="49:52">
      <c r="AW200">
        <v>198</v>
      </c>
      <c r="AX200">
        <v>13478732</v>
      </c>
      <c r="AY200">
        <v>198</v>
      </c>
      <c r="AZ200">
        <v>89130837</v>
      </c>
    </row>
    <row r="201" spans="49:52">
      <c r="AW201">
        <v>199</v>
      </c>
      <c r="AX201">
        <v>13478732</v>
      </c>
      <c r="AY201">
        <v>199</v>
      </c>
      <c r="AZ201">
        <v>89536634</v>
      </c>
    </row>
    <row r="202" spans="49:52">
      <c r="AW202">
        <v>200</v>
      </c>
      <c r="AX202">
        <v>13478732</v>
      </c>
      <c r="AY202">
        <v>200</v>
      </c>
      <c r="AZ202">
        <v>89807165</v>
      </c>
    </row>
    <row r="203" spans="49:52">
      <c r="AW203">
        <v>201</v>
      </c>
      <c r="AX203">
        <v>13478732</v>
      </c>
      <c r="AY203">
        <v>201</v>
      </c>
      <c r="AZ203">
        <v>90068724</v>
      </c>
    </row>
    <row r="204" spans="49:52">
      <c r="AW204">
        <v>202</v>
      </c>
      <c r="AX204">
        <v>13478732</v>
      </c>
      <c r="AY204">
        <v>202</v>
      </c>
      <c r="AZ204">
        <v>90339228</v>
      </c>
    </row>
    <row r="205" spans="49:52">
      <c r="AW205">
        <v>203</v>
      </c>
      <c r="AX205">
        <v>13478732</v>
      </c>
      <c r="AY205">
        <v>203</v>
      </c>
      <c r="AZ205">
        <v>90609732</v>
      </c>
    </row>
    <row r="206" spans="49:52">
      <c r="AW206">
        <v>204</v>
      </c>
      <c r="AX206">
        <v>13478732</v>
      </c>
      <c r="AY206">
        <v>204</v>
      </c>
      <c r="AZ206">
        <v>90880237</v>
      </c>
    </row>
    <row r="207" spans="49:52">
      <c r="AW207">
        <v>205</v>
      </c>
      <c r="AX207">
        <v>13478732</v>
      </c>
      <c r="AY207">
        <v>205</v>
      </c>
      <c r="AZ207">
        <v>91150741</v>
      </c>
    </row>
    <row r="208" spans="49:52">
      <c r="AW208">
        <v>206</v>
      </c>
      <c r="AX208">
        <v>13478732</v>
      </c>
      <c r="AY208">
        <v>206</v>
      </c>
      <c r="AZ208">
        <v>91421246</v>
      </c>
    </row>
    <row r="209" spans="49:52">
      <c r="AW209">
        <v>207</v>
      </c>
      <c r="AX209">
        <v>13478732</v>
      </c>
      <c r="AY209">
        <v>207</v>
      </c>
      <c r="AZ209">
        <v>91691750</v>
      </c>
    </row>
    <row r="210" spans="49:52">
      <c r="AW210">
        <v>208</v>
      </c>
      <c r="AX210">
        <v>13478732</v>
      </c>
      <c r="AY210">
        <v>208</v>
      </c>
      <c r="AZ210">
        <v>91962255</v>
      </c>
    </row>
    <row r="211" spans="49:52">
      <c r="AW211">
        <v>209</v>
      </c>
      <c r="AX211">
        <v>13478732</v>
      </c>
      <c r="AY211">
        <v>209</v>
      </c>
      <c r="AZ211">
        <v>92232759</v>
      </c>
    </row>
    <row r="212" spans="49:52">
      <c r="AW212">
        <v>210</v>
      </c>
      <c r="AX212">
        <v>13478732</v>
      </c>
      <c r="AY212">
        <v>210</v>
      </c>
      <c r="AZ212">
        <v>92503264</v>
      </c>
    </row>
    <row r="213" spans="49:52">
      <c r="AY213">
        <v>211</v>
      </c>
      <c r="AZ213">
        <v>92777498</v>
      </c>
    </row>
    <row r="214" spans="49:52">
      <c r="AY214">
        <v>212</v>
      </c>
      <c r="AZ214">
        <v>93048013</v>
      </c>
    </row>
    <row r="215" spans="49:52">
      <c r="AY215">
        <v>213</v>
      </c>
      <c r="AZ215">
        <v>93318529</v>
      </c>
    </row>
    <row r="216" spans="49:52">
      <c r="AY216">
        <v>214</v>
      </c>
      <c r="AZ216">
        <v>93589044</v>
      </c>
    </row>
    <row r="217" spans="49:52">
      <c r="AY217">
        <v>215</v>
      </c>
      <c r="AZ217">
        <v>93859559</v>
      </c>
    </row>
    <row r="218" spans="49:52">
      <c r="AY218">
        <v>216</v>
      </c>
      <c r="AZ218">
        <v>94130075</v>
      </c>
    </row>
    <row r="219" spans="49:52">
      <c r="AY219">
        <v>217</v>
      </c>
      <c r="AZ219">
        <v>94400590</v>
      </c>
    </row>
    <row r="220" spans="49:52">
      <c r="AY220">
        <v>218</v>
      </c>
      <c r="AZ220">
        <v>94671105</v>
      </c>
    </row>
    <row r="221" spans="49:52">
      <c r="AY221">
        <v>219</v>
      </c>
      <c r="AZ221">
        <v>94941621</v>
      </c>
    </row>
    <row r="222" spans="49:52">
      <c r="AY222">
        <v>220</v>
      </c>
      <c r="AZ222">
        <v>95212136</v>
      </c>
    </row>
    <row r="223" spans="49:52">
      <c r="AY223">
        <v>221</v>
      </c>
      <c r="AZ223">
        <v>95484480</v>
      </c>
    </row>
    <row r="224" spans="49:52">
      <c r="AY224">
        <v>222</v>
      </c>
      <c r="AZ224">
        <v>95619740</v>
      </c>
    </row>
    <row r="225" spans="51:52">
      <c r="AY225">
        <v>223</v>
      </c>
      <c r="AZ225">
        <v>95755001</v>
      </c>
    </row>
    <row r="226" spans="51:52">
      <c r="AY226">
        <v>224</v>
      </c>
      <c r="AZ226">
        <v>96025521</v>
      </c>
    </row>
    <row r="227" spans="51:52">
      <c r="AY227">
        <v>225</v>
      </c>
      <c r="AZ227">
        <v>96296042</v>
      </c>
    </row>
    <row r="228" spans="51:52">
      <c r="AY228">
        <v>226</v>
      </c>
      <c r="AZ228">
        <v>96566562</v>
      </c>
    </row>
    <row r="229" spans="51:52">
      <c r="AY229">
        <v>227</v>
      </c>
      <c r="AZ229">
        <v>96837083</v>
      </c>
    </row>
    <row r="230" spans="51:52">
      <c r="AY230">
        <v>228</v>
      </c>
      <c r="AZ230">
        <v>97107603</v>
      </c>
    </row>
    <row r="231" spans="51:52">
      <c r="AY231">
        <v>229</v>
      </c>
      <c r="AZ231">
        <v>97378124</v>
      </c>
    </row>
    <row r="232" spans="51:52">
      <c r="AY232">
        <v>230</v>
      </c>
      <c r="AZ232">
        <v>97648644</v>
      </c>
    </row>
    <row r="233" spans="51:52">
      <c r="AY233">
        <v>231</v>
      </c>
      <c r="AZ233">
        <v>97782337</v>
      </c>
    </row>
    <row r="234" spans="51:52">
      <c r="AY234">
        <v>232</v>
      </c>
      <c r="AZ234">
        <v>98052853</v>
      </c>
    </row>
    <row r="235" spans="51:52">
      <c r="AY235">
        <v>233</v>
      </c>
      <c r="AZ235">
        <v>98323369</v>
      </c>
    </row>
    <row r="236" spans="51:52">
      <c r="AY236">
        <v>234</v>
      </c>
      <c r="AZ236">
        <v>98593885</v>
      </c>
    </row>
    <row r="237" spans="51:52">
      <c r="AY237">
        <v>235</v>
      </c>
      <c r="AZ237">
        <v>98864402</v>
      </c>
    </row>
    <row r="238" spans="51:52">
      <c r="AY238">
        <v>236</v>
      </c>
      <c r="AZ238">
        <v>99134918</v>
      </c>
    </row>
    <row r="239" spans="51:52">
      <c r="AY239">
        <v>237</v>
      </c>
      <c r="AZ239">
        <v>99405434</v>
      </c>
    </row>
    <row r="240" spans="51:52">
      <c r="AY240">
        <v>238</v>
      </c>
      <c r="AZ240">
        <v>99675950</v>
      </c>
    </row>
    <row r="241" spans="51:52">
      <c r="AY241">
        <v>239</v>
      </c>
      <c r="AZ241">
        <v>99946466</v>
      </c>
    </row>
    <row r="242" spans="51:52">
      <c r="AY242">
        <v>240</v>
      </c>
      <c r="AZ242">
        <v>100216982</v>
      </c>
    </row>
    <row r="243" spans="51:52">
      <c r="AY243">
        <v>241</v>
      </c>
      <c r="AZ243">
        <v>100486625</v>
      </c>
    </row>
    <row r="244" spans="51:52">
      <c r="AY244">
        <v>242</v>
      </c>
      <c r="AZ244">
        <v>100757139</v>
      </c>
    </row>
    <row r="245" spans="51:52">
      <c r="AY245">
        <v>243</v>
      </c>
      <c r="AZ245">
        <v>101027652</v>
      </c>
    </row>
    <row r="246" spans="51:52">
      <c r="AY246">
        <v>244</v>
      </c>
      <c r="AZ246">
        <v>101298166</v>
      </c>
    </row>
    <row r="247" spans="51:52">
      <c r="AY247">
        <v>245</v>
      </c>
      <c r="AZ247">
        <v>101568680</v>
      </c>
    </row>
    <row r="248" spans="51:52">
      <c r="AY248">
        <v>246</v>
      </c>
      <c r="AZ248">
        <v>101839194</v>
      </c>
    </row>
    <row r="249" spans="51:52">
      <c r="AY249">
        <v>247</v>
      </c>
      <c r="AZ249">
        <v>102109708</v>
      </c>
    </row>
    <row r="250" spans="51:52">
      <c r="AY250">
        <v>248</v>
      </c>
      <c r="AZ250">
        <v>102380221</v>
      </c>
    </row>
    <row r="251" spans="51:52">
      <c r="AY251">
        <v>249</v>
      </c>
      <c r="AZ251">
        <v>102650735</v>
      </c>
    </row>
    <row r="252" spans="51:52">
      <c r="AY252">
        <v>250</v>
      </c>
      <c r="AZ252">
        <v>102921249</v>
      </c>
    </row>
    <row r="253" spans="51:52">
      <c r="AY253">
        <v>251</v>
      </c>
      <c r="AZ253">
        <v>103174919</v>
      </c>
    </row>
    <row r="254" spans="51:52">
      <c r="AY254">
        <v>252</v>
      </c>
      <c r="AZ254">
        <v>103445389</v>
      </c>
    </row>
    <row r="255" spans="51:52">
      <c r="AY255">
        <v>253</v>
      </c>
      <c r="AZ255">
        <v>103715858</v>
      </c>
    </row>
    <row r="256" spans="51:52">
      <c r="AY256">
        <v>254</v>
      </c>
      <c r="AZ256">
        <v>103715858</v>
      </c>
    </row>
    <row r="257" spans="51:52">
      <c r="AY257">
        <v>255</v>
      </c>
      <c r="AZ257">
        <v>103715858</v>
      </c>
    </row>
    <row r="258" spans="51:52">
      <c r="AY258">
        <v>256</v>
      </c>
      <c r="AZ258">
        <v>103715858</v>
      </c>
    </row>
    <row r="259" spans="51:52">
      <c r="AY259">
        <v>257</v>
      </c>
      <c r="AZ259">
        <v>103715858</v>
      </c>
    </row>
    <row r="260" spans="51:52">
      <c r="AY260">
        <v>258</v>
      </c>
      <c r="AZ260">
        <v>103715858</v>
      </c>
    </row>
    <row r="261" spans="51:52">
      <c r="AY261">
        <v>259</v>
      </c>
      <c r="AZ261">
        <v>103715858</v>
      </c>
    </row>
    <row r="262" spans="51:52">
      <c r="AY262">
        <v>260</v>
      </c>
      <c r="AZ262">
        <v>103715858</v>
      </c>
    </row>
    <row r="263" spans="51:52">
      <c r="AY263">
        <v>261</v>
      </c>
      <c r="AZ263">
        <v>103715858</v>
      </c>
    </row>
    <row r="264" spans="51:52">
      <c r="AY264">
        <v>262</v>
      </c>
      <c r="AZ264">
        <v>103715858</v>
      </c>
    </row>
    <row r="265" spans="51:52">
      <c r="AY265">
        <v>263</v>
      </c>
      <c r="AZ265">
        <v>103715858</v>
      </c>
    </row>
    <row r="266" spans="51:52">
      <c r="AY266">
        <v>264</v>
      </c>
      <c r="AZ266">
        <v>103715858</v>
      </c>
    </row>
    <row r="267" spans="51:52">
      <c r="AY267">
        <v>265</v>
      </c>
      <c r="AZ267">
        <v>103715858</v>
      </c>
    </row>
    <row r="268" spans="51:52">
      <c r="AY268">
        <v>266</v>
      </c>
      <c r="AZ268">
        <v>103715858</v>
      </c>
    </row>
    <row r="269" spans="51:52">
      <c r="AY269">
        <v>267</v>
      </c>
      <c r="AZ269">
        <v>103715858</v>
      </c>
    </row>
    <row r="270" spans="51:52">
      <c r="AY270">
        <v>268</v>
      </c>
      <c r="AZ270">
        <v>103715858</v>
      </c>
    </row>
    <row r="271" spans="51:52">
      <c r="AY271">
        <v>269</v>
      </c>
      <c r="AZ271">
        <v>103715858</v>
      </c>
    </row>
    <row r="272" spans="51:52">
      <c r="AY272">
        <v>270</v>
      </c>
      <c r="AZ272">
        <v>103715858</v>
      </c>
    </row>
    <row r="273" spans="51:52">
      <c r="AY273">
        <v>271</v>
      </c>
      <c r="AZ273">
        <v>103715858</v>
      </c>
    </row>
    <row r="274" spans="51:52">
      <c r="AY274">
        <v>272</v>
      </c>
      <c r="AZ274">
        <v>103715858</v>
      </c>
    </row>
    <row r="275" spans="51:52">
      <c r="AY275">
        <v>273</v>
      </c>
      <c r="AZ275">
        <v>103715858</v>
      </c>
    </row>
    <row r="276" spans="51:52">
      <c r="AY276">
        <v>274</v>
      </c>
      <c r="AZ276">
        <v>103715858</v>
      </c>
    </row>
    <row r="277" spans="51:52">
      <c r="AY277">
        <v>275</v>
      </c>
      <c r="AZ277">
        <v>103715858</v>
      </c>
    </row>
    <row r="278" spans="51:52">
      <c r="AY278">
        <v>276</v>
      </c>
      <c r="AZ278">
        <v>103715858</v>
      </c>
    </row>
    <row r="279" spans="51:52">
      <c r="AY279">
        <v>277</v>
      </c>
      <c r="AZ279">
        <v>103715858</v>
      </c>
    </row>
    <row r="280" spans="51:52">
      <c r="AY280">
        <v>278</v>
      </c>
      <c r="AZ280">
        <v>103715858</v>
      </c>
    </row>
    <row r="281" spans="51:52">
      <c r="AY281">
        <v>279</v>
      </c>
      <c r="AZ281">
        <v>103715858</v>
      </c>
    </row>
    <row r="282" spans="51:52">
      <c r="AY282">
        <v>280</v>
      </c>
      <c r="AZ282">
        <v>103715858</v>
      </c>
    </row>
    <row r="283" spans="51:52">
      <c r="AY283">
        <v>281</v>
      </c>
      <c r="AZ283">
        <v>103715858</v>
      </c>
    </row>
    <row r="284" spans="51:52">
      <c r="AY284">
        <v>282</v>
      </c>
      <c r="AZ284">
        <v>103715858</v>
      </c>
    </row>
    <row r="285" spans="51:52">
      <c r="AY285">
        <v>283</v>
      </c>
      <c r="AZ285">
        <v>103715858</v>
      </c>
    </row>
    <row r="286" spans="51:52">
      <c r="AY286">
        <v>284</v>
      </c>
      <c r="AZ286">
        <v>103715858</v>
      </c>
    </row>
    <row r="287" spans="51:52">
      <c r="AY287">
        <v>285</v>
      </c>
      <c r="AZ287">
        <v>103715858</v>
      </c>
    </row>
    <row r="288" spans="51:52">
      <c r="AY288">
        <v>286</v>
      </c>
      <c r="AZ288">
        <v>103715858</v>
      </c>
    </row>
    <row r="289" spans="51:52">
      <c r="AY289">
        <v>287</v>
      </c>
      <c r="AZ289">
        <v>103715858</v>
      </c>
    </row>
    <row r="290" spans="51:52">
      <c r="AY290">
        <v>288</v>
      </c>
      <c r="AZ290">
        <v>103715858</v>
      </c>
    </row>
    <row r="291" spans="51:52">
      <c r="AY291">
        <v>289</v>
      </c>
      <c r="AZ291">
        <v>103715858</v>
      </c>
    </row>
    <row r="292" spans="51:52">
      <c r="AY292">
        <v>290</v>
      </c>
      <c r="AZ292">
        <v>103715858</v>
      </c>
    </row>
    <row r="293" spans="51:52">
      <c r="AY293">
        <v>291</v>
      </c>
      <c r="AZ293">
        <v>103715858</v>
      </c>
    </row>
    <row r="294" spans="51:52">
      <c r="AY294">
        <v>292</v>
      </c>
      <c r="AZ294">
        <v>103715858</v>
      </c>
    </row>
    <row r="295" spans="51:52">
      <c r="AY295">
        <v>293</v>
      </c>
      <c r="AZ295">
        <v>103715858</v>
      </c>
    </row>
    <row r="296" spans="51:52">
      <c r="AY296">
        <v>294</v>
      </c>
      <c r="AZ296">
        <v>103715858</v>
      </c>
    </row>
    <row r="297" spans="51:52">
      <c r="AY297">
        <v>295</v>
      </c>
      <c r="AZ297">
        <v>103715858</v>
      </c>
    </row>
    <row r="298" spans="51:52">
      <c r="AY298">
        <v>296</v>
      </c>
      <c r="AZ298">
        <v>103715858</v>
      </c>
    </row>
    <row r="299" spans="51:52">
      <c r="AY299">
        <v>297</v>
      </c>
      <c r="AZ299">
        <v>103715858</v>
      </c>
    </row>
    <row r="300" spans="51:52">
      <c r="AY300">
        <v>298</v>
      </c>
      <c r="AZ300">
        <v>103715858</v>
      </c>
    </row>
    <row r="301" spans="51:52">
      <c r="AY301">
        <v>299</v>
      </c>
      <c r="AZ301">
        <v>103715858</v>
      </c>
    </row>
    <row r="302" spans="51:52">
      <c r="AY302">
        <v>300</v>
      </c>
      <c r="AZ302">
        <v>103715858</v>
      </c>
    </row>
  </sheetData>
  <sheetProtection selectLockedCells="1" selectUnlockedCells="1"/>
  <mergeCells count="10">
    <mergeCell ref="FB1:FD1"/>
    <mergeCell ref="DJ2:DK2"/>
    <mergeCell ref="FF13:FH13"/>
    <mergeCell ref="FF15:FH15"/>
    <mergeCell ref="FF16:FI16"/>
    <mergeCell ref="FF17:FI17"/>
    <mergeCell ref="FF18:FG18"/>
    <mergeCell ref="FH18:FI18"/>
    <mergeCell ref="EC25:EC28"/>
    <mergeCell ref="EC30:EC33"/>
  </mergeCells>
  <pageMargins left="0.75" right="0.75" top="1" bottom="1" header="0.5" footer="0.5"/>
  <pageSetup paperSize="9" orientation="portrait"/>
  <headerFooter/>
  <ignoredErrors>
    <ignoredError sqref="AS27:DC32 AB40:AN40 AB24:AN37 AU24:DC26 AQ40:DC40 AQ33:DC37 DU1:EY1" formula="1"/>
    <ignoredError sqref="A110:EY302 A90:DC109 AU23:DC23 AF62:DC64 AJ66:DC89 A38:AN39 A41:AN43 AP43:DC43 A44:DC44 A3:DH3 DJ3 A1:AT1 A2:DJ2 A6:DJ8 A5:BR5 A4:DJ4 A9:DC9 AL19:DC19 X45:DC45 AG65:DC65 A46:DC61 AB14:DC18 AC12:DC13 DM8:EY8 A23:U37 AB23:AM23 A11:U20 AV1:DP1 BT5:DJ5 DM2:DP7 A10:AJ10 AB19:AJ20 AT20:DC20 A45:V45 A62:AD64 A40:Z40 EA9:EY11 AQ10:DC11 AC11:AJ11 A65:AC89 AQ41:DC42 AQ38:DC39 DU2:EY7" formula="1" formulaRange="1"/>
    <ignoredError sqref="A2:DL2 FA41:FI109 AU21:DC21 FA19:FI20 AB21:AK21 FA22:FI23 FH14:FI14 FG17:FI17 FI18 EZ1:FI11 FA12:FF12 FA13:FI13 FA14:FF14 FA15:FH15 FA16:FI16 FA17:FE17 FA18:FG18 DQ2:DS5 FA21:FH21 FA38:FI39 EZ110:FI302 DI3:DJ3 A4:DJ4 A21:U21 DQ1:DR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Z97"/>
  <sheetViews>
    <sheetView zoomScale="85" zoomScaleNormal="85" topLeftCell="B1" workbookViewId="0">
      <pane ySplit="3" topLeftCell="A88" activePane="bottomLeft" state="frozen"/>
      <selection/>
      <selection pane="bottomLeft" activeCell="F76" sqref="F76"/>
    </sheetView>
  </sheetViews>
  <sheetFormatPr defaultColWidth="10" defaultRowHeight="13.5"/>
  <cols>
    <col min="8" max="10" width="8.88333333333333" style="103"/>
    <col min="11" max="11" width="8.88333333333333" style="104"/>
    <col min="12" max="14" width="8.88333333333333" style="103"/>
    <col min="16" max="18" width="8.88333333333333" style="103"/>
    <col min="20" max="22" width="8.88333333333333" style="103"/>
    <col min="24" max="26" width="8.88333333333333" style="103"/>
  </cols>
  <sheetData>
    <row r="1" spans="1:26">
      <c r="C1" t="s">
        <v>7</v>
      </c>
      <c r="D1" s="105">
        <v>45930</v>
      </c>
      <c r="E1" t="s">
        <v>0</v>
      </c>
      <c r="F1" t="s">
        <v>2</v>
      </c>
      <c r="G1">
        <v>0</v>
      </c>
      <c r="H1" t="s">
        <v>3</v>
      </c>
      <c r="I1">
        <v>-1</v>
      </c>
      <c r="J1" t="s">
        <v>4</v>
      </c>
      <c r="K1">
        <v>-1</v>
      </c>
      <c r="L1" t="s">
        <v>5</v>
      </c>
      <c r="M1">
        <v>-14</v>
      </c>
      <c r="N1"/>
      <c r="P1"/>
      <c r="Q1"/>
      <c r="R1"/>
    </row>
    <row r="2" spans="1:26">
      <c r="C2" s="43" t="s">
        <v>367</v>
      </c>
      <c r="D2" s="43"/>
      <c r="G2" t="s">
        <v>368</v>
      </c>
      <c r="K2" s="104" t="s">
        <v>369</v>
      </c>
      <c r="O2" t="s">
        <v>370</v>
      </c>
      <c r="S2" t="s">
        <v>371</v>
      </c>
      <c r="W2" t="s">
        <v>372</v>
      </c>
    </row>
    <row r="3" spans="1:26">
      <c r="C3" s="43"/>
      <c r="D3" s="43"/>
      <c r="E3" t="s">
        <v>373</v>
      </c>
      <c r="F3" t="s">
        <v>374</v>
      </c>
      <c r="G3" t="s">
        <v>375</v>
      </c>
      <c r="H3" s="103" t="s">
        <v>376</v>
      </c>
      <c r="I3" s="103" t="s">
        <v>377</v>
      </c>
      <c r="J3" s="103" t="s">
        <v>378</v>
      </c>
      <c r="K3" t="s">
        <v>375</v>
      </c>
      <c r="L3" s="103" t="s">
        <v>376</v>
      </c>
      <c r="M3" s="103" t="s">
        <v>377</v>
      </c>
      <c r="N3" s="103" t="s">
        <v>378</v>
      </c>
      <c r="O3" t="s">
        <v>375</v>
      </c>
      <c r="P3" s="103" t="s">
        <v>376</v>
      </c>
      <c r="Q3" s="103" t="s">
        <v>377</v>
      </c>
      <c r="R3" s="103" t="s">
        <v>378</v>
      </c>
      <c r="S3" t="s">
        <v>375</v>
      </c>
      <c r="T3" s="103" t="s">
        <v>376</v>
      </c>
      <c r="U3" s="103" t="s">
        <v>377</v>
      </c>
      <c r="V3" s="103" t="s">
        <v>378</v>
      </c>
      <c r="W3" t="s">
        <v>375</v>
      </c>
      <c r="X3" s="103" t="s">
        <v>376</v>
      </c>
      <c r="Y3" s="103" t="s">
        <v>377</v>
      </c>
      <c r="Z3" s="103" t="s">
        <v>378</v>
      </c>
    </row>
    <row r="4" spans="1:26">
      <c r="A4" t="s">
        <v>160</v>
      </c>
      <c r="B4" t="s">
        <v>379</v>
      </c>
      <c r="C4" t="s">
        <v>380</v>
      </c>
      <c r="D4" s="105">
        <f>D1</f>
        <v>45930</v>
      </c>
      <c r="E4" t="s">
        <v>381</v>
      </c>
      <c r="F4" t="s">
        <v>382</v>
      </c>
    </row>
    <row r="5" spans="1:26">
      <c r="D5" s="105"/>
      <c r="E5" s="104" t="s">
        <v>383</v>
      </c>
      <c r="F5" s="104" t="s">
        <v>384</v>
      </c>
    </row>
    <row r="6" spans="1:26">
      <c r="A6" t="s">
        <v>1</v>
      </c>
      <c r="B6" t="s">
        <v>385</v>
      </c>
      <c r="C6" t="s">
        <v>386</v>
      </c>
      <c r="D6" s="105">
        <f>D1+3</f>
        <v>45933</v>
      </c>
      <c r="E6" t="s">
        <v>381</v>
      </c>
      <c r="F6" t="s">
        <v>382</v>
      </c>
      <c r="G6">
        <v>4</v>
      </c>
      <c r="H6" s="103">
        <v>0.034</v>
      </c>
      <c r="K6" s="104">
        <v>5</v>
      </c>
      <c r="L6" s="103">
        <v>0.038</v>
      </c>
      <c r="O6">
        <v>6</v>
      </c>
      <c r="P6" s="103">
        <v>0.042</v>
      </c>
      <c r="S6">
        <v>7</v>
      </c>
      <c r="T6" s="103">
        <v>0.046</v>
      </c>
      <c r="W6">
        <v>8</v>
      </c>
      <c r="X6" s="103">
        <v>0.05</v>
      </c>
    </row>
    <row r="7" spans="1:26">
      <c r="D7" s="105"/>
      <c r="E7" s="104" t="s">
        <v>383</v>
      </c>
      <c r="F7" s="104" t="s">
        <v>387</v>
      </c>
      <c r="G7">
        <v>7</v>
      </c>
      <c r="H7" s="103">
        <v>0.035</v>
      </c>
      <c r="K7" s="104">
        <v>8</v>
      </c>
      <c r="L7" s="103">
        <v>0.045</v>
      </c>
      <c r="O7">
        <v>9</v>
      </c>
      <c r="P7" s="103">
        <v>0.055</v>
      </c>
      <c r="S7">
        <v>11</v>
      </c>
      <c r="T7" s="103">
        <v>0.065</v>
      </c>
      <c r="W7">
        <v>12</v>
      </c>
      <c r="X7" s="103">
        <v>0.075</v>
      </c>
    </row>
    <row r="8" spans="1:26">
      <c r="A8" t="s">
        <v>2</v>
      </c>
      <c r="B8" t="s">
        <v>388</v>
      </c>
      <c r="C8" t="s">
        <v>389</v>
      </c>
      <c r="D8" s="105">
        <f>D1+11</f>
        <v>45941</v>
      </c>
      <c r="E8" t="s">
        <v>381</v>
      </c>
      <c r="F8" t="s">
        <v>382</v>
      </c>
      <c r="G8">
        <v>6</v>
      </c>
      <c r="H8" s="103">
        <v>0.011</v>
      </c>
      <c r="K8" s="104">
        <v>6</v>
      </c>
      <c r="L8" s="103">
        <v>0.013</v>
      </c>
      <c r="O8">
        <v>7</v>
      </c>
      <c r="P8" s="103">
        <v>0.015</v>
      </c>
      <c r="S8">
        <v>7</v>
      </c>
      <c r="T8" s="103">
        <v>0.017</v>
      </c>
      <c r="W8">
        <v>8</v>
      </c>
      <c r="X8" s="103">
        <v>0.02</v>
      </c>
    </row>
    <row r="9" spans="1:26">
      <c r="D9" s="105"/>
      <c r="E9" s="104" t="s">
        <v>383</v>
      </c>
      <c r="F9" s="104" t="s">
        <v>390</v>
      </c>
      <c r="G9">
        <v>8</v>
      </c>
      <c r="H9" s="103">
        <v>0.017</v>
      </c>
      <c r="K9" s="104">
        <v>8</v>
      </c>
      <c r="L9" s="103">
        <v>0.02</v>
      </c>
      <c r="O9">
        <v>9</v>
      </c>
      <c r="P9" s="103">
        <v>0.023</v>
      </c>
      <c r="S9">
        <v>9</v>
      </c>
      <c r="T9" s="103">
        <v>0.026</v>
      </c>
      <c r="W9">
        <v>10</v>
      </c>
      <c r="X9" s="103">
        <v>0.028</v>
      </c>
    </row>
    <row r="10" spans="1:26">
      <c r="B10" t="s">
        <v>391</v>
      </c>
      <c r="C10" t="s">
        <v>392</v>
      </c>
      <c r="D10" s="105">
        <f>D8+12</f>
        <v>45953</v>
      </c>
      <c r="E10" t="s">
        <v>381</v>
      </c>
      <c r="F10" t="s">
        <v>393</v>
      </c>
      <c r="G10">
        <v>6</v>
      </c>
      <c r="H10" s="103">
        <v>0.011</v>
      </c>
      <c r="K10" s="104">
        <v>6</v>
      </c>
      <c r="L10" s="103">
        <v>0.013</v>
      </c>
      <c r="O10">
        <v>7</v>
      </c>
      <c r="P10" s="103">
        <v>0.015</v>
      </c>
      <c r="S10">
        <v>7</v>
      </c>
      <c r="T10" s="103">
        <v>0.017</v>
      </c>
      <c r="W10">
        <v>8</v>
      </c>
      <c r="X10" s="103">
        <v>0.02</v>
      </c>
    </row>
    <row r="11" spans="1:26">
      <c r="D11" s="105"/>
      <c r="E11" s="104" t="s">
        <v>383</v>
      </c>
      <c r="F11" s="104" t="s">
        <v>394</v>
      </c>
      <c r="G11">
        <v>8</v>
      </c>
      <c r="H11" s="103">
        <v>0.017</v>
      </c>
      <c r="I11" s="103">
        <v>0.003</v>
      </c>
      <c r="K11" s="104">
        <v>8</v>
      </c>
      <c r="L11" s="103">
        <v>0.02</v>
      </c>
      <c r="M11" s="103">
        <v>0.005</v>
      </c>
      <c r="O11">
        <v>9</v>
      </c>
      <c r="P11" s="103">
        <v>0.023</v>
      </c>
      <c r="Q11" s="103">
        <v>0.007</v>
      </c>
      <c r="S11">
        <v>9</v>
      </c>
      <c r="T11" s="103">
        <v>0.026</v>
      </c>
      <c r="U11" s="103">
        <v>0.009</v>
      </c>
      <c r="W11">
        <v>10</v>
      </c>
      <c r="X11" s="103">
        <v>0.028</v>
      </c>
      <c r="Y11" s="103">
        <v>0.011</v>
      </c>
    </row>
    <row r="12" spans="1:26">
      <c r="D12" s="105"/>
      <c r="E12" t="s">
        <v>395</v>
      </c>
      <c r="F12" t="s">
        <v>396</v>
      </c>
      <c r="G12">
        <v>6</v>
      </c>
      <c r="I12" s="103">
        <v>0.011</v>
      </c>
      <c r="K12" s="104">
        <v>6</v>
      </c>
      <c r="M12" s="103">
        <v>0.013</v>
      </c>
      <c r="O12">
        <v>7</v>
      </c>
      <c r="Q12" s="103">
        <v>0.015</v>
      </c>
      <c r="S12">
        <v>7</v>
      </c>
      <c r="U12" s="103">
        <v>0.017</v>
      </c>
      <c r="W12">
        <v>8</v>
      </c>
      <c r="Y12" s="103">
        <v>0.02</v>
      </c>
    </row>
    <row r="13" spans="1:26">
      <c r="B13" t="s">
        <v>397</v>
      </c>
      <c r="C13" t="s">
        <v>398</v>
      </c>
      <c r="D13" s="105">
        <f>D10+9</f>
        <v>45962</v>
      </c>
      <c r="E13" t="s">
        <v>381</v>
      </c>
      <c r="F13" t="s">
        <v>399</v>
      </c>
      <c r="G13">
        <v>6</v>
      </c>
      <c r="H13" s="103">
        <v>0.011</v>
      </c>
      <c r="K13" s="104">
        <v>6</v>
      </c>
      <c r="L13" s="103">
        <v>0.013</v>
      </c>
      <c r="O13">
        <v>7</v>
      </c>
      <c r="P13" s="103">
        <v>0.015</v>
      </c>
      <c r="S13">
        <v>7</v>
      </c>
      <c r="T13" s="103">
        <v>0.017</v>
      </c>
      <c r="W13">
        <v>8</v>
      </c>
      <c r="X13" s="103">
        <v>0.02</v>
      </c>
    </row>
    <row r="14" spans="1:26">
      <c r="D14" s="105"/>
      <c r="E14" s="104" t="s">
        <v>383</v>
      </c>
      <c r="F14" s="104" t="s">
        <v>400</v>
      </c>
      <c r="G14">
        <v>8</v>
      </c>
      <c r="H14" s="103">
        <v>0.017</v>
      </c>
      <c r="I14" s="103">
        <v>0.003</v>
      </c>
      <c r="K14" s="104">
        <v>8</v>
      </c>
      <c r="L14" s="103">
        <v>0.02</v>
      </c>
      <c r="M14" s="103">
        <v>0.005</v>
      </c>
      <c r="O14">
        <v>9</v>
      </c>
      <c r="P14" s="103">
        <v>0.023</v>
      </c>
      <c r="Q14" s="103">
        <v>0.007</v>
      </c>
      <c r="S14">
        <v>9</v>
      </c>
      <c r="T14" s="103">
        <v>0.026</v>
      </c>
      <c r="U14" s="103">
        <v>0.009</v>
      </c>
      <c r="W14">
        <v>10</v>
      </c>
      <c r="X14" s="103">
        <v>0.028</v>
      </c>
      <c r="Y14" s="103">
        <v>0.011</v>
      </c>
    </row>
    <row r="15" spans="1:26">
      <c r="D15" s="105"/>
      <c r="E15" t="s">
        <v>395</v>
      </c>
      <c r="F15" t="s">
        <v>401</v>
      </c>
      <c r="G15">
        <v>6</v>
      </c>
      <c r="I15" s="103">
        <v>0.011</v>
      </c>
      <c r="K15" s="104">
        <v>6</v>
      </c>
      <c r="M15" s="103">
        <v>0.013</v>
      </c>
      <c r="O15">
        <v>7</v>
      </c>
      <c r="Q15" s="103">
        <v>0.015</v>
      </c>
      <c r="S15">
        <v>7</v>
      </c>
      <c r="U15" s="103">
        <v>0.017</v>
      </c>
      <c r="W15">
        <v>8</v>
      </c>
      <c r="Y15" s="103">
        <v>0.02</v>
      </c>
    </row>
    <row r="16" spans="1:26">
      <c r="D16" s="105"/>
      <c r="E16" t="s">
        <v>402</v>
      </c>
      <c r="F16" t="s">
        <v>403</v>
      </c>
      <c r="G16">
        <v>8</v>
      </c>
      <c r="I16" s="103">
        <v>0.017</v>
      </c>
      <c r="K16" s="104">
        <v>8</v>
      </c>
      <c r="M16" s="103">
        <v>0.02</v>
      </c>
      <c r="O16">
        <v>9</v>
      </c>
      <c r="Q16" s="103">
        <v>0.02</v>
      </c>
      <c r="R16" s="103">
        <v>0.003</v>
      </c>
      <c r="S16">
        <v>9</v>
      </c>
      <c r="U16" s="103">
        <v>0.02</v>
      </c>
      <c r="V16" s="103">
        <v>0.006</v>
      </c>
      <c r="W16">
        <v>10</v>
      </c>
      <c r="Y16" s="103">
        <v>0.02</v>
      </c>
      <c r="Z16" s="103">
        <v>0.01</v>
      </c>
    </row>
    <row r="17" spans="1:26">
      <c r="A17" t="s">
        <v>3</v>
      </c>
      <c r="B17" t="s">
        <v>404</v>
      </c>
      <c r="C17" t="s">
        <v>405</v>
      </c>
      <c r="D17" s="105">
        <f>D13+14+I1</f>
        <v>45975</v>
      </c>
      <c r="E17" t="s">
        <v>381</v>
      </c>
      <c r="F17" t="s">
        <v>382</v>
      </c>
      <c r="G17">
        <v>6</v>
      </c>
      <c r="H17" s="103">
        <v>0.011</v>
      </c>
      <c r="K17" s="104">
        <v>6</v>
      </c>
      <c r="L17" s="103">
        <v>0.013</v>
      </c>
      <c r="O17">
        <v>7</v>
      </c>
      <c r="P17" s="103">
        <v>0.015</v>
      </c>
      <c r="S17">
        <v>7</v>
      </c>
      <c r="T17" s="103">
        <v>0.017</v>
      </c>
      <c r="W17">
        <v>8</v>
      </c>
      <c r="X17" s="103">
        <v>0.02</v>
      </c>
    </row>
    <row r="18" spans="1:26">
      <c r="D18" s="105"/>
      <c r="E18" s="104" t="s">
        <v>383</v>
      </c>
      <c r="F18" s="104" t="s">
        <v>406</v>
      </c>
      <c r="G18">
        <v>8</v>
      </c>
      <c r="H18" s="103">
        <v>0.017</v>
      </c>
      <c r="K18" s="104">
        <v>8</v>
      </c>
      <c r="L18" s="103">
        <v>0.02</v>
      </c>
      <c r="O18">
        <v>9</v>
      </c>
      <c r="P18" s="103">
        <v>0.023</v>
      </c>
      <c r="S18">
        <v>9</v>
      </c>
      <c r="T18" s="103">
        <v>0.026</v>
      </c>
      <c r="W18">
        <v>10</v>
      </c>
      <c r="X18" s="103">
        <v>0.028</v>
      </c>
    </row>
    <row r="19" spans="1:26">
      <c r="B19" t="s">
        <v>407</v>
      </c>
      <c r="C19" t="s">
        <v>408</v>
      </c>
      <c r="D19" s="105">
        <f>D17+13</f>
        <v>45988</v>
      </c>
      <c r="E19" t="s">
        <v>381</v>
      </c>
      <c r="F19" t="s">
        <v>409</v>
      </c>
      <c r="G19">
        <v>6</v>
      </c>
      <c r="H19" s="103">
        <v>0.011</v>
      </c>
      <c r="K19" s="104">
        <v>6</v>
      </c>
      <c r="L19" s="103">
        <v>0.013</v>
      </c>
      <c r="O19">
        <v>7</v>
      </c>
      <c r="P19" s="103">
        <v>0.015</v>
      </c>
      <c r="S19">
        <v>7</v>
      </c>
      <c r="T19" s="103">
        <v>0.017</v>
      </c>
      <c r="W19">
        <v>8</v>
      </c>
      <c r="X19" s="103">
        <v>0.02</v>
      </c>
    </row>
    <row r="20" spans="1:26">
      <c r="D20" s="105"/>
      <c r="E20" s="104" t="s">
        <v>383</v>
      </c>
      <c r="F20" s="104" t="s">
        <v>410</v>
      </c>
      <c r="G20">
        <v>8</v>
      </c>
      <c r="H20" s="103">
        <v>0.017</v>
      </c>
      <c r="I20" s="103">
        <v>0.003</v>
      </c>
      <c r="K20" s="104">
        <v>8</v>
      </c>
      <c r="L20" s="103">
        <v>0.02</v>
      </c>
      <c r="M20" s="103">
        <v>0.005</v>
      </c>
      <c r="O20">
        <v>9</v>
      </c>
      <c r="P20" s="103">
        <v>0.023</v>
      </c>
      <c r="Q20" s="103">
        <v>0.007</v>
      </c>
      <c r="S20">
        <v>9</v>
      </c>
      <c r="T20" s="103">
        <v>0.026</v>
      </c>
      <c r="U20" s="103">
        <v>0.009</v>
      </c>
      <c r="W20">
        <v>10</v>
      </c>
      <c r="X20" s="103">
        <v>0.028</v>
      </c>
      <c r="Y20" s="103">
        <v>0.011</v>
      </c>
    </row>
    <row r="21" spans="1:26">
      <c r="D21" s="105"/>
      <c r="E21" t="s">
        <v>395</v>
      </c>
      <c r="F21" t="s">
        <v>411</v>
      </c>
      <c r="G21">
        <v>6</v>
      </c>
      <c r="I21" s="103">
        <v>0.011</v>
      </c>
      <c r="K21" s="104">
        <v>6</v>
      </c>
      <c r="M21" s="103">
        <v>0.013</v>
      </c>
      <c r="O21">
        <v>7</v>
      </c>
      <c r="Q21" s="103">
        <v>0.015</v>
      </c>
      <c r="S21">
        <v>7</v>
      </c>
      <c r="U21" s="103">
        <v>0.017</v>
      </c>
      <c r="W21">
        <v>8</v>
      </c>
      <c r="Y21" s="103">
        <v>0.02</v>
      </c>
    </row>
    <row r="22" spans="1:26">
      <c r="B22" t="s">
        <v>412</v>
      </c>
      <c r="C22" t="s">
        <v>413</v>
      </c>
      <c r="D22" s="105">
        <f>D19+13</f>
        <v>46001</v>
      </c>
      <c r="E22" t="s">
        <v>381</v>
      </c>
      <c r="F22" t="s">
        <v>403</v>
      </c>
      <c r="G22">
        <v>6</v>
      </c>
      <c r="H22" s="103">
        <v>0.011</v>
      </c>
      <c r="K22" s="104">
        <v>6</v>
      </c>
      <c r="L22" s="103">
        <v>0.013</v>
      </c>
      <c r="O22">
        <v>7</v>
      </c>
      <c r="P22" s="103">
        <v>0.015</v>
      </c>
      <c r="S22">
        <v>7</v>
      </c>
      <c r="T22" s="103">
        <v>0.017</v>
      </c>
      <c r="W22">
        <v>8</v>
      </c>
      <c r="X22" s="103">
        <v>0.02</v>
      </c>
    </row>
    <row r="23" spans="1:26">
      <c r="D23" s="105"/>
      <c r="E23" s="104" t="s">
        <v>383</v>
      </c>
      <c r="F23" s="104" t="s">
        <v>414</v>
      </c>
      <c r="G23">
        <v>8</v>
      </c>
      <c r="H23" s="103">
        <v>0.017</v>
      </c>
      <c r="I23" s="103">
        <v>0.003</v>
      </c>
      <c r="K23" s="104">
        <v>8</v>
      </c>
      <c r="L23" s="103">
        <v>0.02</v>
      </c>
      <c r="M23" s="103">
        <v>0.005</v>
      </c>
      <c r="O23">
        <v>9</v>
      </c>
      <c r="P23" s="103">
        <v>0.023</v>
      </c>
      <c r="Q23" s="103">
        <v>0.007</v>
      </c>
      <c r="S23">
        <v>9</v>
      </c>
      <c r="T23" s="103">
        <v>0.026</v>
      </c>
      <c r="U23" s="103">
        <v>0.009</v>
      </c>
      <c r="W23">
        <v>10</v>
      </c>
      <c r="X23" s="103">
        <v>0.028</v>
      </c>
      <c r="Y23" s="103">
        <v>0.011</v>
      </c>
    </row>
    <row r="24" spans="1:26">
      <c r="D24" s="105"/>
      <c r="E24" t="s">
        <v>395</v>
      </c>
      <c r="F24" t="s">
        <v>415</v>
      </c>
      <c r="G24">
        <v>6</v>
      </c>
      <c r="I24" s="103">
        <v>0.011</v>
      </c>
      <c r="K24" s="104">
        <v>6</v>
      </c>
      <c r="M24" s="103">
        <v>0.013</v>
      </c>
      <c r="O24">
        <v>7</v>
      </c>
      <c r="Q24" s="103">
        <v>0.015</v>
      </c>
      <c r="S24">
        <v>7</v>
      </c>
      <c r="U24" s="103">
        <v>0.017</v>
      </c>
      <c r="W24">
        <v>8</v>
      </c>
      <c r="Y24" s="103">
        <v>0.02</v>
      </c>
    </row>
    <row r="25" spans="1:26">
      <c r="B25" t="s">
        <v>416</v>
      </c>
      <c r="C25" t="s">
        <v>417</v>
      </c>
      <c r="D25" s="105">
        <f>D22+13</f>
        <v>46014</v>
      </c>
      <c r="E25" t="s">
        <v>381</v>
      </c>
      <c r="F25" t="s">
        <v>418</v>
      </c>
      <c r="G25">
        <v>6</v>
      </c>
      <c r="H25" s="103">
        <v>0.011</v>
      </c>
      <c r="K25" s="104">
        <v>6</v>
      </c>
      <c r="L25" s="103">
        <v>0.013</v>
      </c>
      <c r="O25">
        <v>7</v>
      </c>
      <c r="P25" s="103">
        <v>0.015</v>
      </c>
      <c r="S25">
        <v>7</v>
      </c>
      <c r="T25" s="103">
        <v>0.017</v>
      </c>
      <c r="W25">
        <v>8</v>
      </c>
      <c r="X25" s="103">
        <v>0.02</v>
      </c>
    </row>
    <row r="26" spans="1:26">
      <c r="D26" s="105"/>
      <c r="E26" s="104" t="s">
        <v>383</v>
      </c>
      <c r="F26" s="104" t="s">
        <v>419</v>
      </c>
      <c r="G26">
        <v>8</v>
      </c>
      <c r="H26" s="103">
        <v>0.017</v>
      </c>
      <c r="I26" s="103">
        <v>0.003</v>
      </c>
      <c r="K26" s="104">
        <v>8</v>
      </c>
      <c r="L26" s="103">
        <v>0.02</v>
      </c>
      <c r="M26" s="103">
        <v>0.005</v>
      </c>
      <c r="O26">
        <v>9</v>
      </c>
      <c r="P26" s="103">
        <v>0.023</v>
      </c>
      <c r="Q26" s="103">
        <v>0.007</v>
      </c>
      <c r="S26">
        <v>9</v>
      </c>
      <c r="T26" s="103">
        <v>0.026</v>
      </c>
      <c r="U26" s="103">
        <v>0.009</v>
      </c>
      <c r="W26">
        <v>10</v>
      </c>
      <c r="X26" s="103">
        <v>0.028</v>
      </c>
      <c r="Y26" s="103">
        <v>0.011</v>
      </c>
    </row>
    <row r="27" spans="1:26">
      <c r="D27" s="105"/>
      <c r="E27" t="s">
        <v>395</v>
      </c>
      <c r="F27" t="s">
        <v>420</v>
      </c>
      <c r="G27">
        <v>6</v>
      </c>
      <c r="I27" s="103">
        <v>0.011</v>
      </c>
      <c r="K27" s="104">
        <v>6</v>
      </c>
      <c r="M27" s="103">
        <v>0.013</v>
      </c>
      <c r="O27">
        <v>7</v>
      </c>
      <c r="Q27" s="103">
        <v>0.015</v>
      </c>
      <c r="S27">
        <v>7</v>
      </c>
      <c r="U27" s="103">
        <v>0.017</v>
      </c>
      <c r="W27">
        <v>8</v>
      </c>
      <c r="Y27" s="103">
        <v>0.02</v>
      </c>
    </row>
    <row r="28" spans="1:26">
      <c r="B28" t="s">
        <v>421</v>
      </c>
      <c r="C28" t="s">
        <v>422</v>
      </c>
      <c r="D28" s="105">
        <f>D25+13</f>
        <v>46027</v>
      </c>
      <c r="E28" t="s">
        <v>381</v>
      </c>
      <c r="F28" t="s">
        <v>423</v>
      </c>
      <c r="G28">
        <v>6</v>
      </c>
      <c r="H28" s="103">
        <v>0.011</v>
      </c>
      <c r="K28" s="104">
        <v>6</v>
      </c>
      <c r="L28" s="103">
        <v>0.013</v>
      </c>
      <c r="O28">
        <v>7</v>
      </c>
      <c r="P28" s="103">
        <v>0.015</v>
      </c>
      <c r="S28">
        <v>7</v>
      </c>
      <c r="T28" s="103">
        <v>0.017</v>
      </c>
      <c r="W28">
        <v>8</v>
      </c>
      <c r="X28" s="103">
        <v>0.02</v>
      </c>
    </row>
    <row r="29" spans="1:26">
      <c r="D29" s="105"/>
      <c r="E29" s="104" t="s">
        <v>383</v>
      </c>
      <c r="F29" s="104" t="s">
        <v>424</v>
      </c>
      <c r="G29">
        <v>8</v>
      </c>
      <c r="H29" s="103">
        <v>0.017</v>
      </c>
      <c r="I29" s="103">
        <v>0.003</v>
      </c>
      <c r="K29" s="104">
        <v>8</v>
      </c>
      <c r="L29" s="103">
        <v>0.02</v>
      </c>
      <c r="M29" s="103">
        <v>0.005</v>
      </c>
      <c r="O29">
        <v>9</v>
      </c>
      <c r="P29" s="103">
        <v>0.023</v>
      </c>
      <c r="Q29" s="103">
        <v>0.007</v>
      </c>
      <c r="S29">
        <v>9</v>
      </c>
      <c r="T29" s="103">
        <v>0.026</v>
      </c>
      <c r="U29" s="103">
        <v>0.009</v>
      </c>
      <c r="W29">
        <v>10</v>
      </c>
      <c r="X29" s="103">
        <v>0.028</v>
      </c>
      <c r="Y29" s="103">
        <v>0.011</v>
      </c>
    </row>
    <row r="30" spans="1:26">
      <c r="D30" s="105"/>
      <c r="E30" t="s">
        <v>395</v>
      </c>
      <c r="F30" t="s">
        <v>425</v>
      </c>
      <c r="G30">
        <v>6</v>
      </c>
      <c r="I30" s="103">
        <v>0.011</v>
      </c>
      <c r="K30" s="104">
        <v>6</v>
      </c>
      <c r="M30" s="103">
        <v>0.013</v>
      </c>
      <c r="O30">
        <v>7</v>
      </c>
      <c r="Q30" s="103">
        <v>0.015</v>
      </c>
      <c r="S30">
        <v>7</v>
      </c>
      <c r="U30" s="103">
        <v>0.017</v>
      </c>
      <c r="W30">
        <v>8</v>
      </c>
      <c r="Y30" s="103">
        <v>0.02</v>
      </c>
    </row>
    <row r="31" spans="1:26">
      <c r="D31" s="105"/>
      <c r="E31" t="s">
        <v>402</v>
      </c>
      <c r="F31" t="s">
        <v>426</v>
      </c>
      <c r="G31">
        <v>8</v>
      </c>
      <c r="I31" s="103">
        <v>0.017</v>
      </c>
      <c r="K31" s="104">
        <v>8</v>
      </c>
      <c r="M31" s="103">
        <v>0.02</v>
      </c>
      <c r="O31">
        <v>9</v>
      </c>
      <c r="Q31" s="103">
        <v>0.02</v>
      </c>
      <c r="R31" s="103">
        <v>0.003</v>
      </c>
      <c r="S31">
        <v>9</v>
      </c>
      <c r="U31" s="103">
        <v>0.02</v>
      </c>
      <c r="V31" s="103">
        <v>0.006</v>
      </c>
      <c r="W31">
        <v>10</v>
      </c>
      <c r="Y31" s="103">
        <v>0.02</v>
      </c>
      <c r="Z31" s="103">
        <v>0.01</v>
      </c>
    </row>
    <row r="32" spans="1:26">
      <c r="A32" t="s">
        <v>4</v>
      </c>
      <c r="B32" t="s">
        <v>427</v>
      </c>
      <c r="C32" t="s">
        <v>428</v>
      </c>
      <c r="D32" s="105">
        <f>D28+15+K1</f>
        <v>46041</v>
      </c>
      <c r="E32" t="s">
        <v>381</v>
      </c>
      <c r="F32" t="s">
        <v>382</v>
      </c>
      <c r="G32">
        <v>6</v>
      </c>
      <c r="H32" s="103">
        <v>0.011</v>
      </c>
      <c r="K32" s="104">
        <v>6</v>
      </c>
      <c r="L32" s="103">
        <v>0.013</v>
      </c>
      <c r="O32">
        <v>7</v>
      </c>
      <c r="P32" s="103">
        <v>0.015</v>
      </c>
      <c r="S32">
        <v>7</v>
      </c>
      <c r="T32" s="103">
        <v>0.017</v>
      </c>
      <c r="W32">
        <v>8</v>
      </c>
      <c r="X32" s="103">
        <v>0.02</v>
      </c>
    </row>
    <row r="33" spans="2:25">
      <c r="D33" s="105"/>
      <c r="E33" s="104" t="s">
        <v>383</v>
      </c>
      <c r="F33" s="104" t="s">
        <v>429</v>
      </c>
      <c r="G33">
        <v>8</v>
      </c>
      <c r="H33" s="103">
        <v>0.017</v>
      </c>
      <c r="K33" s="104">
        <v>8</v>
      </c>
      <c r="L33" s="103">
        <v>0.02</v>
      </c>
      <c r="O33">
        <v>9</v>
      </c>
      <c r="P33" s="103">
        <v>0.023</v>
      </c>
      <c r="S33">
        <v>9</v>
      </c>
      <c r="T33" s="103">
        <v>0.026</v>
      </c>
      <c r="W33">
        <v>10</v>
      </c>
      <c r="X33" s="103">
        <v>0.028</v>
      </c>
    </row>
    <row r="34" spans="2:25">
      <c r="B34" t="s">
        <v>430</v>
      </c>
      <c r="C34" t="s">
        <v>431</v>
      </c>
      <c r="D34" s="105">
        <f>D32+13</f>
        <v>46054</v>
      </c>
      <c r="E34" t="s">
        <v>381</v>
      </c>
      <c r="F34" t="s">
        <v>419</v>
      </c>
      <c r="G34">
        <v>6</v>
      </c>
      <c r="H34" s="103">
        <v>0.011</v>
      </c>
      <c r="K34" s="104">
        <v>6</v>
      </c>
      <c r="L34" s="103">
        <v>0.013</v>
      </c>
      <c r="O34">
        <v>7</v>
      </c>
      <c r="P34" s="103">
        <v>0.015</v>
      </c>
      <c r="S34">
        <v>7</v>
      </c>
      <c r="T34" s="103">
        <v>0.017</v>
      </c>
      <c r="W34">
        <v>8</v>
      </c>
      <c r="X34" s="103">
        <v>0.02</v>
      </c>
    </row>
    <row r="35" spans="2:25">
      <c r="D35" s="105"/>
      <c r="E35" s="104" t="s">
        <v>383</v>
      </c>
      <c r="F35" s="104" t="s">
        <v>432</v>
      </c>
      <c r="G35">
        <v>8</v>
      </c>
      <c r="H35" s="103">
        <v>0.017</v>
      </c>
      <c r="I35" s="103">
        <v>0.003</v>
      </c>
      <c r="K35" s="104">
        <v>8</v>
      </c>
      <c r="L35" s="103">
        <v>0.02</v>
      </c>
      <c r="M35" s="103">
        <v>0.005</v>
      </c>
      <c r="O35">
        <v>9</v>
      </c>
      <c r="P35" s="103">
        <v>0.023</v>
      </c>
      <c r="Q35" s="103">
        <v>0.007</v>
      </c>
      <c r="S35">
        <v>9</v>
      </c>
      <c r="T35" s="103">
        <v>0.026</v>
      </c>
      <c r="U35" s="103">
        <v>0.009</v>
      </c>
      <c r="W35">
        <v>10</v>
      </c>
      <c r="X35" s="103">
        <v>0.028</v>
      </c>
      <c r="Y35" s="103">
        <v>0.011</v>
      </c>
    </row>
    <row r="36" spans="2:25">
      <c r="D36" s="105"/>
      <c r="E36" t="s">
        <v>395</v>
      </c>
      <c r="F36" t="s">
        <v>433</v>
      </c>
      <c r="G36">
        <v>6</v>
      </c>
      <c r="I36" s="103">
        <v>0.011</v>
      </c>
      <c r="K36" s="104">
        <v>6</v>
      </c>
      <c r="M36" s="103">
        <v>0.013</v>
      </c>
      <c r="O36">
        <v>7</v>
      </c>
      <c r="Q36" s="103">
        <v>0.015</v>
      </c>
      <c r="S36">
        <v>7</v>
      </c>
      <c r="U36" s="103">
        <v>0.017</v>
      </c>
      <c r="W36">
        <v>8</v>
      </c>
      <c r="Y36" s="103">
        <v>0.02</v>
      </c>
    </row>
    <row r="37" spans="2:25">
      <c r="D37" s="105"/>
      <c r="E37" t="s">
        <v>402</v>
      </c>
      <c r="F37" t="s">
        <v>434</v>
      </c>
      <c r="G37">
        <v>8</v>
      </c>
      <c r="I37" s="103">
        <v>0.017</v>
      </c>
      <c r="K37" s="104">
        <v>8</v>
      </c>
      <c r="M37" s="103">
        <v>0.02</v>
      </c>
      <c r="O37">
        <v>9</v>
      </c>
      <c r="Q37" s="103">
        <v>0.023</v>
      </c>
      <c r="S37">
        <v>9</v>
      </c>
      <c r="U37" s="103">
        <v>0.026</v>
      </c>
      <c r="W37">
        <v>10</v>
      </c>
      <c r="Y37" s="103">
        <v>0.028</v>
      </c>
    </row>
    <row r="38" spans="2:25">
      <c r="B38" t="s">
        <v>435</v>
      </c>
      <c r="C38" t="s">
        <v>436</v>
      </c>
      <c r="D38" s="105">
        <f>D34+14</f>
        <v>46068</v>
      </c>
      <c r="E38" t="s">
        <v>381</v>
      </c>
      <c r="F38" t="s">
        <v>424</v>
      </c>
      <c r="G38">
        <v>6</v>
      </c>
      <c r="H38" s="103">
        <v>0.011</v>
      </c>
      <c r="K38" s="104">
        <v>6</v>
      </c>
      <c r="L38" s="103">
        <v>0.013</v>
      </c>
      <c r="O38">
        <v>7</v>
      </c>
      <c r="P38" s="103">
        <v>0.015</v>
      </c>
      <c r="S38">
        <v>7</v>
      </c>
      <c r="T38" s="103">
        <v>0.017</v>
      </c>
      <c r="W38">
        <v>8</v>
      </c>
      <c r="X38" s="103">
        <v>0.02</v>
      </c>
    </row>
    <row r="39" spans="2:25">
      <c r="D39" s="105"/>
      <c r="E39" s="104" t="s">
        <v>383</v>
      </c>
      <c r="F39" s="104" t="s">
        <v>437</v>
      </c>
      <c r="G39">
        <v>8</v>
      </c>
      <c r="H39" s="103">
        <v>0.017</v>
      </c>
      <c r="I39" s="103">
        <v>0.003</v>
      </c>
      <c r="K39" s="104">
        <v>8</v>
      </c>
      <c r="L39" s="103">
        <v>0.02</v>
      </c>
      <c r="M39" s="103">
        <v>0.005</v>
      </c>
      <c r="O39">
        <v>9</v>
      </c>
      <c r="P39" s="103">
        <v>0.023</v>
      </c>
      <c r="Q39" s="103">
        <v>0.007</v>
      </c>
      <c r="S39">
        <v>9</v>
      </c>
      <c r="T39" s="103">
        <v>0.026</v>
      </c>
      <c r="U39" s="103">
        <v>0.009</v>
      </c>
      <c r="W39">
        <v>10</v>
      </c>
      <c r="X39" s="103">
        <v>0.028</v>
      </c>
      <c r="Y39" s="103">
        <v>0.011</v>
      </c>
    </row>
    <row r="40" spans="2:25">
      <c r="D40" s="105"/>
      <c r="E40" t="s">
        <v>395</v>
      </c>
      <c r="F40" t="s">
        <v>438</v>
      </c>
      <c r="G40">
        <v>6</v>
      </c>
      <c r="I40" s="103">
        <v>0.011</v>
      </c>
      <c r="K40" s="104">
        <v>6</v>
      </c>
      <c r="M40" s="103">
        <v>0.013</v>
      </c>
      <c r="O40">
        <v>7</v>
      </c>
      <c r="Q40" s="103">
        <v>0.015</v>
      </c>
      <c r="S40">
        <v>7</v>
      </c>
      <c r="U40" s="103">
        <v>0.017</v>
      </c>
      <c r="W40">
        <v>8</v>
      </c>
      <c r="Y40" s="103">
        <v>0.02</v>
      </c>
    </row>
    <row r="41" spans="2:25">
      <c r="D41" s="105"/>
      <c r="E41" t="s">
        <v>402</v>
      </c>
      <c r="F41" t="s">
        <v>439</v>
      </c>
      <c r="G41">
        <v>8</v>
      </c>
      <c r="I41" s="103">
        <v>0.017</v>
      </c>
      <c r="K41" s="104">
        <v>8</v>
      </c>
      <c r="M41" s="103">
        <v>0.02</v>
      </c>
      <c r="O41">
        <v>9</v>
      </c>
      <c r="Q41" s="103">
        <v>0.023</v>
      </c>
      <c r="S41">
        <v>9</v>
      </c>
      <c r="U41" s="103">
        <v>0.026</v>
      </c>
      <c r="W41">
        <v>10</v>
      </c>
      <c r="Y41" s="103">
        <v>0.028</v>
      </c>
    </row>
    <row r="42" spans="2:25">
      <c r="B42" t="s">
        <v>440</v>
      </c>
      <c r="C42" t="s">
        <v>441</v>
      </c>
      <c r="D42" s="105">
        <f>D38+14</f>
        <v>46082</v>
      </c>
      <c r="E42" t="s">
        <v>381</v>
      </c>
      <c r="F42" t="s">
        <v>442</v>
      </c>
      <c r="G42">
        <v>6</v>
      </c>
      <c r="H42" s="103">
        <v>0.011</v>
      </c>
      <c r="K42" s="104">
        <v>6</v>
      </c>
      <c r="L42" s="103">
        <v>0.013</v>
      </c>
      <c r="O42">
        <v>7</v>
      </c>
      <c r="P42" s="103">
        <v>0.015</v>
      </c>
      <c r="S42">
        <v>7</v>
      </c>
      <c r="T42" s="103">
        <v>0.017</v>
      </c>
      <c r="W42">
        <v>8</v>
      </c>
      <c r="X42" s="103">
        <v>0.02</v>
      </c>
    </row>
    <row r="43" spans="2:25">
      <c r="D43" s="105"/>
      <c r="E43" s="104" t="s">
        <v>383</v>
      </c>
      <c r="F43" t="s">
        <v>443</v>
      </c>
      <c r="G43">
        <v>8</v>
      </c>
      <c r="H43" s="103">
        <v>0.017</v>
      </c>
      <c r="I43" s="103">
        <v>0.003</v>
      </c>
      <c r="K43" s="104">
        <v>8</v>
      </c>
      <c r="L43" s="103">
        <v>0.02</v>
      </c>
      <c r="M43" s="103">
        <v>0.005</v>
      </c>
      <c r="O43">
        <v>9</v>
      </c>
      <c r="P43" s="103">
        <v>0.023</v>
      </c>
      <c r="Q43" s="103">
        <v>0.007</v>
      </c>
      <c r="S43">
        <v>9</v>
      </c>
      <c r="T43" s="103">
        <v>0.026</v>
      </c>
      <c r="U43" s="103">
        <v>0.009</v>
      </c>
      <c r="W43">
        <v>10</v>
      </c>
      <c r="X43" s="103">
        <v>0.028</v>
      </c>
      <c r="Y43" s="103">
        <v>0.011</v>
      </c>
    </row>
    <row r="44" spans="2:25">
      <c r="D44" s="105"/>
      <c r="E44" t="s">
        <v>395</v>
      </c>
      <c r="F44" t="s">
        <v>444</v>
      </c>
      <c r="G44">
        <v>6</v>
      </c>
      <c r="I44" s="103">
        <v>0.011</v>
      </c>
      <c r="K44" s="104">
        <v>6</v>
      </c>
      <c r="M44" s="103">
        <v>0.013</v>
      </c>
      <c r="O44">
        <v>7</v>
      </c>
      <c r="Q44" s="103">
        <v>0.015</v>
      </c>
      <c r="S44">
        <v>7</v>
      </c>
      <c r="U44" s="103">
        <v>0.017</v>
      </c>
      <c r="W44">
        <v>8</v>
      </c>
      <c r="Y44" s="103">
        <v>0.02</v>
      </c>
    </row>
    <row r="45" spans="2:25">
      <c r="D45" s="105"/>
      <c r="E45" t="s">
        <v>402</v>
      </c>
      <c r="F45" t="s">
        <v>445</v>
      </c>
      <c r="G45">
        <v>8</v>
      </c>
      <c r="I45" s="103">
        <v>0.017</v>
      </c>
      <c r="K45" s="104">
        <v>8</v>
      </c>
      <c r="M45" s="103">
        <v>0.02</v>
      </c>
      <c r="O45">
        <v>9</v>
      </c>
      <c r="Q45" s="103">
        <v>0.023</v>
      </c>
      <c r="S45">
        <v>9</v>
      </c>
      <c r="U45" s="103">
        <v>0.026</v>
      </c>
      <c r="W45">
        <v>10</v>
      </c>
      <c r="Y45" s="103">
        <v>0.028</v>
      </c>
    </row>
    <row r="46" spans="2:25">
      <c r="B46" t="s">
        <v>446</v>
      </c>
      <c r="C46" t="s">
        <v>447</v>
      </c>
      <c r="D46" s="105">
        <f>D42+14</f>
        <v>46096</v>
      </c>
      <c r="E46" t="s">
        <v>381</v>
      </c>
      <c r="F46" t="s">
        <v>448</v>
      </c>
      <c r="G46">
        <v>6</v>
      </c>
      <c r="H46" s="103">
        <v>0.011</v>
      </c>
      <c r="K46" s="104">
        <v>6</v>
      </c>
      <c r="L46" s="103">
        <v>0.013</v>
      </c>
      <c r="O46">
        <v>7</v>
      </c>
      <c r="P46" s="103">
        <v>0.015</v>
      </c>
      <c r="S46">
        <v>7</v>
      </c>
      <c r="T46" s="103">
        <v>0.017</v>
      </c>
      <c r="W46">
        <v>8</v>
      </c>
      <c r="X46" s="103">
        <v>0.02</v>
      </c>
    </row>
    <row r="47" spans="2:25">
      <c r="D47" s="105"/>
      <c r="E47" s="104" t="s">
        <v>383</v>
      </c>
      <c r="F47" t="s">
        <v>449</v>
      </c>
      <c r="G47">
        <v>8</v>
      </c>
      <c r="H47" s="103">
        <v>0.017</v>
      </c>
      <c r="I47" s="103">
        <v>0.003</v>
      </c>
      <c r="K47" s="104">
        <v>8</v>
      </c>
      <c r="L47" s="103">
        <v>0.02</v>
      </c>
      <c r="M47" s="103">
        <v>0.005</v>
      </c>
      <c r="O47">
        <v>9</v>
      </c>
      <c r="P47" s="103">
        <v>0.023</v>
      </c>
      <c r="Q47" s="103">
        <v>0.007</v>
      </c>
      <c r="S47">
        <v>9</v>
      </c>
      <c r="T47" s="103">
        <v>0.026</v>
      </c>
      <c r="U47" s="103">
        <v>0.009</v>
      </c>
      <c r="W47">
        <v>10</v>
      </c>
      <c r="X47" s="103">
        <v>0.028</v>
      </c>
      <c r="Y47" s="103">
        <v>0.011</v>
      </c>
    </row>
    <row r="48" spans="2:25">
      <c r="D48" s="105"/>
      <c r="E48" t="s">
        <v>395</v>
      </c>
      <c r="F48" t="s">
        <v>450</v>
      </c>
      <c r="G48">
        <v>6</v>
      </c>
      <c r="I48" s="103">
        <v>0.011</v>
      </c>
      <c r="K48" s="104">
        <v>6</v>
      </c>
      <c r="M48" s="103">
        <v>0.013</v>
      </c>
      <c r="O48">
        <v>7</v>
      </c>
      <c r="Q48" s="103">
        <v>0.015</v>
      </c>
      <c r="S48">
        <v>7</v>
      </c>
      <c r="U48" s="103">
        <v>0.017</v>
      </c>
      <c r="W48">
        <v>8</v>
      </c>
      <c r="Y48" s="103">
        <v>0.02</v>
      </c>
    </row>
    <row r="49" spans="2:26">
      <c r="D49" s="105"/>
      <c r="E49" t="s">
        <v>402</v>
      </c>
      <c r="F49" t="s">
        <v>451</v>
      </c>
      <c r="G49">
        <v>8</v>
      </c>
      <c r="I49" s="103">
        <v>0.017</v>
      </c>
      <c r="K49" s="104">
        <v>8</v>
      </c>
      <c r="M49" s="103">
        <v>0.02</v>
      </c>
      <c r="O49">
        <v>9</v>
      </c>
      <c r="Q49" s="103">
        <v>0.023</v>
      </c>
      <c r="S49">
        <v>9</v>
      </c>
      <c r="U49" s="103">
        <v>0.026</v>
      </c>
      <c r="W49">
        <v>10</v>
      </c>
      <c r="Y49" s="103">
        <v>0.028</v>
      </c>
    </row>
    <row r="50" spans="2:26">
      <c r="B50" t="s">
        <v>452</v>
      </c>
      <c r="C50" t="s">
        <v>453</v>
      </c>
      <c r="D50" s="105">
        <f>D46+14</f>
        <v>46110</v>
      </c>
      <c r="E50" t="s">
        <v>381</v>
      </c>
      <c r="F50" t="s">
        <v>454</v>
      </c>
      <c r="G50">
        <v>6</v>
      </c>
      <c r="H50" s="103">
        <v>0.011</v>
      </c>
      <c r="K50" s="104">
        <v>6</v>
      </c>
      <c r="L50" s="103">
        <v>0.013</v>
      </c>
      <c r="O50">
        <v>7</v>
      </c>
      <c r="P50" s="103">
        <v>0.015</v>
      </c>
      <c r="S50">
        <v>7</v>
      </c>
      <c r="T50" s="103">
        <v>0.017</v>
      </c>
      <c r="W50">
        <v>8</v>
      </c>
      <c r="X50" s="103">
        <v>0.02</v>
      </c>
    </row>
    <row r="51" spans="2:26">
      <c r="D51" s="105"/>
      <c r="E51" s="104" t="s">
        <v>383</v>
      </c>
      <c r="F51" t="s">
        <v>455</v>
      </c>
      <c r="G51">
        <v>8</v>
      </c>
      <c r="H51" s="103">
        <v>0.017</v>
      </c>
      <c r="I51" s="103">
        <v>0.003</v>
      </c>
      <c r="K51" s="104">
        <v>8</v>
      </c>
      <c r="L51" s="103">
        <v>0.02</v>
      </c>
      <c r="M51" s="103">
        <v>0.005</v>
      </c>
      <c r="O51">
        <v>9</v>
      </c>
      <c r="P51" s="103">
        <v>0.023</v>
      </c>
      <c r="Q51" s="103">
        <v>0.007</v>
      </c>
      <c r="S51">
        <v>9</v>
      </c>
      <c r="T51" s="103">
        <v>0.026</v>
      </c>
      <c r="U51" s="103">
        <v>0.009</v>
      </c>
      <c r="W51">
        <v>10</v>
      </c>
      <c r="X51" s="103">
        <v>0.028</v>
      </c>
      <c r="Y51" s="103">
        <v>0.011</v>
      </c>
    </row>
    <row r="52" spans="2:26">
      <c r="D52" s="105"/>
      <c r="E52" t="s">
        <v>395</v>
      </c>
      <c r="F52" t="s">
        <v>456</v>
      </c>
      <c r="G52">
        <v>6</v>
      </c>
      <c r="I52" s="103">
        <v>0.011</v>
      </c>
      <c r="K52" s="104">
        <v>6</v>
      </c>
      <c r="M52" s="103">
        <v>0.013</v>
      </c>
      <c r="O52">
        <v>7</v>
      </c>
      <c r="Q52" s="103">
        <v>0.015</v>
      </c>
      <c r="S52">
        <v>7</v>
      </c>
      <c r="U52" s="103">
        <v>0.017</v>
      </c>
      <c r="W52">
        <v>8</v>
      </c>
      <c r="Y52" s="103">
        <v>0.02</v>
      </c>
    </row>
    <row r="53" spans="2:26">
      <c r="D53" s="105"/>
      <c r="E53" t="s">
        <v>402</v>
      </c>
      <c r="F53" t="s">
        <v>457</v>
      </c>
      <c r="G53">
        <v>8</v>
      </c>
      <c r="I53" s="103">
        <v>0.017</v>
      </c>
      <c r="K53" s="104">
        <v>8</v>
      </c>
      <c r="M53" s="103">
        <v>0.02</v>
      </c>
      <c r="O53">
        <v>9</v>
      </c>
      <c r="Q53" s="103">
        <v>0.023</v>
      </c>
      <c r="S53">
        <v>9</v>
      </c>
      <c r="U53" s="103">
        <v>0.026</v>
      </c>
      <c r="W53">
        <v>10</v>
      </c>
      <c r="Y53" s="103">
        <v>0.028</v>
      </c>
    </row>
    <row r="54" spans="2:26">
      <c r="B54" t="s">
        <v>458</v>
      </c>
      <c r="C54" t="s">
        <v>459</v>
      </c>
      <c r="D54" s="105">
        <f>D50+14</f>
        <v>46124</v>
      </c>
      <c r="E54" t="s">
        <v>381</v>
      </c>
      <c r="F54" t="s">
        <v>460</v>
      </c>
      <c r="G54">
        <v>6</v>
      </c>
      <c r="H54" s="103">
        <v>0.011</v>
      </c>
      <c r="K54" s="104">
        <v>6</v>
      </c>
      <c r="L54" s="103">
        <v>0.013</v>
      </c>
      <c r="O54">
        <v>7</v>
      </c>
      <c r="P54" s="103">
        <v>0.015</v>
      </c>
      <c r="S54">
        <v>7</v>
      </c>
      <c r="T54" s="103">
        <v>0.017</v>
      </c>
      <c r="W54">
        <v>8</v>
      </c>
      <c r="X54" s="103">
        <v>0.02</v>
      </c>
    </row>
    <row r="55" spans="2:26">
      <c r="D55" s="105"/>
      <c r="E55" s="104" t="s">
        <v>383</v>
      </c>
      <c r="F55" t="s">
        <v>461</v>
      </c>
      <c r="G55">
        <v>8</v>
      </c>
      <c r="H55" s="103">
        <v>0.017</v>
      </c>
      <c r="I55" s="103">
        <v>0.003</v>
      </c>
      <c r="K55" s="104">
        <v>8</v>
      </c>
      <c r="L55" s="103">
        <v>0.02</v>
      </c>
      <c r="M55" s="103">
        <v>0.005</v>
      </c>
      <c r="O55">
        <v>9</v>
      </c>
      <c r="P55" s="103">
        <v>0.023</v>
      </c>
      <c r="Q55" s="103">
        <v>0.007</v>
      </c>
      <c r="S55">
        <v>9</v>
      </c>
      <c r="T55" s="103">
        <v>0.026</v>
      </c>
      <c r="U55" s="103">
        <v>0.009</v>
      </c>
      <c r="W55">
        <v>10</v>
      </c>
      <c r="X55" s="103">
        <v>0.028</v>
      </c>
      <c r="Y55" s="103">
        <v>0.011</v>
      </c>
    </row>
    <row r="56" spans="2:26">
      <c r="D56" s="105"/>
      <c r="E56" t="s">
        <v>395</v>
      </c>
      <c r="F56" t="s">
        <v>457</v>
      </c>
      <c r="G56">
        <v>6</v>
      </c>
      <c r="I56" s="103">
        <v>0.011</v>
      </c>
      <c r="K56" s="104">
        <v>6</v>
      </c>
      <c r="M56" s="103">
        <v>0.013</v>
      </c>
      <c r="O56">
        <v>7</v>
      </c>
      <c r="Q56" s="103">
        <v>0.015</v>
      </c>
      <c r="S56">
        <v>7</v>
      </c>
      <c r="U56" s="103">
        <v>0.017</v>
      </c>
      <c r="W56">
        <v>8</v>
      </c>
      <c r="Y56" s="103">
        <v>0.02</v>
      </c>
    </row>
    <row r="57" spans="2:26">
      <c r="D57" s="105"/>
      <c r="E57" t="s">
        <v>402</v>
      </c>
      <c r="F57" t="s">
        <v>462</v>
      </c>
      <c r="G57">
        <v>8</v>
      </c>
      <c r="I57" s="103">
        <v>0.017</v>
      </c>
      <c r="K57" s="104">
        <v>8</v>
      </c>
      <c r="M57" s="103">
        <v>0.02</v>
      </c>
      <c r="O57">
        <v>9</v>
      </c>
      <c r="Q57" s="103">
        <v>0.02</v>
      </c>
      <c r="R57" s="103">
        <v>0.003</v>
      </c>
      <c r="S57">
        <v>9</v>
      </c>
      <c r="U57" s="103">
        <v>0.02</v>
      </c>
      <c r="V57" s="103">
        <v>0.006</v>
      </c>
      <c r="W57">
        <v>10</v>
      </c>
      <c r="Y57" s="103">
        <v>0.02</v>
      </c>
      <c r="Z57" s="103">
        <v>0.01</v>
      </c>
    </row>
    <row r="58" spans="2:26">
      <c r="C58" t="s">
        <v>463</v>
      </c>
      <c r="D58" s="105">
        <f>D54+7</f>
        <v>46131</v>
      </c>
      <c r="E58" t="s">
        <v>464</v>
      </c>
      <c r="F58" t="s">
        <v>465</v>
      </c>
      <c r="G58">
        <v>9</v>
      </c>
      <c r="I58" s="103">
        <v>0.02</v>
      </c>
      <c r="J58" s="103">
        <v>0.006</v>
      </c>
      <c r="K58" s="104">
        <v>10</v>
      </c>
      <c r="M58" s="103">
        <v>0.02</v>
      </c>
      <c r="N58" s="103">
        <v>0.01</v>
      </c>
      <c r="O58">
        <v>3</v>
      </c>
      <c r="Q58" s="103">
        <v>0.02</v>
      </c>
      <c r="R58" s="103">
        <v>0.012</v>
      </c>
      <c r="S58">
        <v>3</v>
      </c>
      <c r="U58" s="103">
        <v>0.02</v>
      </c>
      <c r="V58" s="103">
        <v>0.014</v>
      </c>
      <c r="W58">
        <v>3</v>
      </c>
      <c r="Y58" s="103">
        <v>0.02</v>
      </c>
      <c r="Z58" s="103">
        <v>0.016</v>
      </c>
    </row>
    <row r="59" spans="2:26">
      <c r="B59" t="s">
        <v>466</v>
      </c>
      <c r="C59" t="s">
        <v>467</v>
      </c>
      <c r="D59" s="105">
        <f>D54+32+M1</f>
        <v>46142</v>
      </c>
      <c r="E59" t="s">
        <v>381</v>
      </c>
      <c r="F59" t="s">
        <v>382</v>
      </c>
      <c r="G59">
        <v>6</v>
      </c>
      <c r="H59" s="103">
        <v>0.011</v>
      </c>
      <c r="K59" s="104">
        <v>6</v>
      </c>
      <c r="L59" s="103">
        <v>0.013</v>
      </c>
      <c r="O59">
        <v>7</v>
      </c>
      <c r="P59" s="103">
        <v>0.015</v>
      </c>
      <c r="S59">
        <v>7</v>
      </c>
      <c r="T59" s="103">
        <v>0.017</v>
      </c>
      <c r="W59">
        <v>8</v>
      </c>
      <c r="X59" s="103">
        <v>0.02</v>
      </c>
    </row>
    <row r="60" spans="2:26">
      <c r="D60" s="105"/>
      <c r="E60" s="104" t="s">
        <v>383</v>
      </c>
      <c r="F60" t="s">
        <v>468</v>
      </c>
      <c r="G60">
        <v>8</v>
      </c>
      <c r="H60" s="103">
        <v>0.017</v>
      </c>
      <c r="K60" s="104">
        <v>8</v>
      </c>
      <c r="L60" s="103">
        <v>0.02</v>
      </c>
      <c r="O60">
        <v>9</v>
      </c>
      <c r="P60" s="103">
        <v>0.023</v>
      </c>
      <c r="S60">
        <v>9</v>
      </c>
      <c r="T60" s="103">
        <v>0.026</v>
      </c>
      <c r="W60">
        <v>10</v>
      </c>
      <c r="X60" s="103">
        <v>0.028</v>
      </c>
    </row>
    <row r="61" spans="2:26">
      <c r="B61" t="s">
        <v>469</v>
      </c>
      <c r="C61" t="s">
        <v>470</v>
      </c>
      <c r="D61" s="105">
        <f>D59+13</f>
        <v>46155</v>
      </c>
      <c r="E61" t="s">
        <v>381</v>
      </c>
      <c r="F61" t="s">
        <v>471</v>
      </c>
      <c r="G61">
        <v>6</v>
      </c>
      <c r="H61" s="103">
        <v>0.011</v>
      </c>
      <c r="K61" s="104">
        <v>6</v>
      </c>
      <c r="L61" s="103">
        <v>0.013</v>
      </c>
      <c r="O61">
        <v>7</v>
      </c>
      <c r="P61" s="103">
        <v>0.015</v>
      </c>
      <c r="S61">
        <v>7</v>
      </c>
      <c r="T61" s="103">
        <v>0.017</v>
      </c>
      <c r="W61">
        <v>8</v>
      </c>
      <c r="X61" s="103">
        <v>0.02</v>
      </c>
    </row>
    <row r="62" spans="2:26">
      <c r="D62" s="105"/>
      <c r="E62" s="104" t="s">
        <v>383</v>
      </c>
      <c r="F62" t="s">
        <v>472</v>
      </c>
      <c r="G62">
        <v>8</v>
      </c>
      <c r="H62" s="103">
        <v>0.017</v>
      </c>
      <c r="I62" s="103">
        <v>0.003</v>
      </c>
      <c r="K62" s="104">
        <v>8</v>
      </c>
      <c r="L62" s="103">
        <v>0.02</v>
      </c>
      <c r="M62" s="103">
        <v>0.005</v>
      </c>
      <c r="O62">
        <v>9</v>
      </c>
      <c r="P62" s="103">
        <v>0.023</v>
      </c>
      <c r="Q62" s="103">
        <v>0.007</v>
      </c>
      <c r="S62">
        <v>9</v>
      </c>
      <c r="T62" s="103">
        <v>0.026</v>
      </c>
      <c r="U62" s="103">
        <v>0.009</v>
      </c>
      <c r="W62">
        <v>10</v>
      </c>
      <c r="X62" s="103">
        <v>0.028</v>
      </c>
      <c r="Y62" s="103">
        <v>0.011</v>
      </c>
    </row>
    <row r="63" spans="2:26">
      <c r="D63" s="105"/>
      <c r="E63" t="s">
        <v>395</v>
      </c>
      <c r="F63" t="s">
        <v>473</v>
      </c>
      <c r="G63">
        <v>6</v>
      </c>
      <c r="I63" s="103">
        <v>0.011</v>
      </c>
      <c r="K63" s="104">
        <v>6</v>
      </c>
      <c r="M63" s="103">
        <v>0.013</v>
      </c>
      <c r="O63">
        <v>7</v>
      </c>
      <c r="Q63" s="103">
        <v>0.015</v>
      </c>
      <c r="S63">
        <v>7</v>
      </c>
      <c r="U63" s="103">
        <v>0.017</v>
      </c>
      <c r="W63">
        <v>8</v>
      </c>
      <c r="Y63" s="103">
        <v>0.02</v>
      </c>
    </row>
    <row r="64" spans="2:26">
      <c r="D64" s="105"/>
      <c r="E64" t="s">
        <v>402</v>
      </c>
      <c r="F64" t="s">
        <v>474</v>
      </c>
      <c r="G64">
        <v>8</v>
      </c>
      <c r="I64" s="103">
        <v>0.017</v>
      </c>
      <c r="K64" s="104">
        <v>8</v>
      </c>
      <c r="M64" s="103">
        <v>0.02</v>
      </c>
      <c r="O64">
        <v>9</v>
      </c>
      <c r="Q64" s="103">
        <v>0.023</v>
      </c>
      <c r="S64">
        <v>9</v>
      </c>
      <c r="U64" s="103">
        <v>0.026</v>
      </c>
      <c r="W64">
        <v>10</v>
      </c>
      <c r="Y64" s="103">
        <v>0.028</v>
      </c>
    </row>
    <row r="65" spans="2:25">
      <c r="B65" t="s">
        <v>475</v>
      </c>
      <c r="C65" t="s">
        <v>476</v>
      </c>
      <c r="D65" s="105">
        <f>D61+14</f>
        <v>46169</v>
      </c>
      <c r="E65" t="s">
        <v>381</v>
      </c>
      <c r="F65" t="s">
        <v>477</v>
      </c>
      <c r="G65">
        <v>6</v>
      </c>
      <c r="H65" s="103">
        <v>0.011</v>
      </c>
      <c r="K65" s="104">
        <v>6</v>
      </c>
      <c r="L65" s="103">
        <v>0.013</v>
      </c>
      <c r="O65">
        <v>7</v>
      </c>
      <c r="P65" s="103">
        <v>0.015</v>
      </c>
      <c r="S65">
        <v>7</v>
      </c>
      <c r="T65" s="103">
        <v>0.017</v>
      </c>
      <c r="W65">
        <v>8</v>
      </c>
      <c r="X65" s="103">
        <v>0.02</v>
      </c>
    </row>
    <row r="66" spans="2:25">
      <c r="D66" s="105"/>
      <c r="E66" s="104" t="s">
        <v>383</v>
      </c>
      <c r="F66" t="s">
        <v>478</v>
      </c>
      <c r="G66">
        <v>8</v>
      </c>
      <c r="H66" s="103">
        <v>0.017</v>
      </c>
      <c r="I66" s="103">
        <v>0.003</v>
      </c>
      <c r="K66" s="104">
        <v>8</v>
      </c>
      <c r="L66" s="103">
        <v>0.02</v>
      </c>
      <c r="M66" s="103">
        <v>0.005</v>
      </c>
      <c r="O66">
        <v>9</v>
      </c>
      <c r="P66" s="103">
        <v>0.023</v>
      </c>
      <c r="Q66" s="103">
        <v>0.007</v>
      </c>
      <c r="S66">
        <v>9</v>
      </c>
      <c r="T66" s="103">
        <v>0.026</v>
      </c>
      <c r="U66" s="103">
        <v>0.009</v>
      </c>
      <c r="W66">
        <v>10</v>
      </c>
      <c r="X66" s="103">
        <v>0.028</v>
      </c>
      <c r="Y66" s="103">
        <v>0.011</v>
      </c>
    </row>
    <row r="67" spans="2:25">
      <c r="D67" s="105"/>
      <c r="E67" t="s">
        <v>395</v>
      </c>
      <c r="F67" t="s">
        <v>479</v>
      </c>
      <c r="G67">
        <v>6</v>
      </c>
      <c r="I67" s="103">
        <v>0.011</v>
      </c>
      <c r="K67" s="104">
        <v>6</v>
      </c>
      <c r="M67" s="103">
        <v>0.013</v>
      </c>
      <c r="O67">
        <v>7</v>
      </c>
      <c r="Q67" s="103">
        <v>0.015</v>
      </c>
      <c r="S67">
        <v>7</v>
      </c>
      <c r="U67" s="103">
        <v>0.017</v>
      </c>
      <c r="W67">
        <v>8</v>
      </c>
      <c r="Y67" s="103">
        <v>0.02</v>
      </c>
    </row>
    <row r="68" spans="2:25">
      <c r="D68" s="105"/>
      <c r="E68" t="s">
        <v>402</v>
      </c>
      <c r="F68" t="s">
        <v>480</v>
      </c>
      <c r="G68">
        <v>8</v>
      </c>
      <c r="I68" s="103">
        <v>0.017</v>
      </c>
      <c r="K68" s="104">
        <v>8</v>
      </c>
      <c r="M68" s="103">
        <v>0.02</v>
      </c>
      <c r="O68">
        <v>9</v>
      </c>
      <c r="Q68" s="103">
        <v>0.023</v>
      </c>
      <c r="S68">
        <v>9</v>
      </c>
      <c r="U68" s="103">
        <v>0.026</v>
      </c>
      <c r="W68">
        <v>10</v>
      </c>
      <c r="Y68" s="103">
        <v>0.028</v>
      </c>
    </row>
    <row r="69" spans="2:25">
      <c r="B69" t="s">
        <v>481</v>
      </c>
      <c r="C69" t="s">
        <v>482</v>
      </c>
      <c r="D69" s="105">
        <f>D65+14</f>
        <v>46183</v>
      </c>
      <c r="E69" t="s">
        <v>381</v>
      </c>
      <c r="F69" t="s">
        <v>483</v>
      </c>
      <c r="G69">
        <v>6</v>
      </c>
      <c r="H69" s="103">
        <v>0.011</v>
      </c>
      <c r="K69" s="104">
        <v>6</v>
      </c>
      <c r="L69" s="103">
        <v>0.013</v>
      </c>
      <c r="O69">
        <v>7</v>
      </c>
      <c r="P69" s="103">
        <v>0.015</v>
      </c>
      <c r="S69">
        <v>7</v>
      </c>
      <c r="T69" s="103">
        <v>0.017</v>
      </c>
      <c r="W69">
        <v>8</v>
      </c>
      <c r="X69" s="103">
        <v>0.02</v>
      </c>
    </row>
    <row r="70" spans="2:25">
      <c r="D70" s="105"/>
      <c r="E70" s="104" t="s">
        <v>383</v>
      </c>
      <c r="F70" t="s">
        <v>484</v>
      </c>
      <c r="G70">
        <v>8</v>
      </c>
      <c r="H70" s="103">
        <v>0.017</v>
      </c>
      <c r="I70" s="103">
        <v>0.003</v>
      </c>
      <c r="K70" s="104">
        <v>8</v>
      </c>
      <c r="L70" s="103">
        <v>0.02</v>
      </c>
      <c r="M70" s="103">
        <v>0.005</v>
      </c>
      <c r="O70">
        <v>9</v>
      </c>
      <c r="P70" s="103">
        <v>0.023</v>
      </c>
      <c r="Q70" s="103">
        <v>0.007</v>
      </c>
      <c r="S70">
        <v>9</v>
      </c>
      <c r="T70" s="103">
        <v>0.026</v>
      </c>
      <c r="U70" s="103">
        <v>0.009</v>
      </c>
      <c r="W70">
        <v>10</v>
      </c>
      <c r="X70" s="103">
        <v>0.028</v>
      </c>
      <c r="Y70" s="103">
        <v>0.011</v>
      </c>
    </row>
    <row r="71" spans="2:25">
      <c r="D71" s="105"/>
      <c r="E71" t="s">
        <v>395</v>
      </c>
      <c r="F71" t="s">
        <v>480</v>
      </c>
      <c r="G71">
        <v>6</v>
      </c>
      <c r="I71" s="103">
        <v>0.011</v>
      </c>
      <c r="K71" s="104">
        <v>6</v>
      </c>
      <c r="M71" s="103">
        <v>0.013</v>
      </c>
      <c r="O71">
        <v>7</v>
      </c>
      <c r="Q71" s="103">
        <v>0.015</v>
      </c>
      <c r="S71">
        <v>7</v>
      </c>
      <c r="U71" s="103">
        <v>0.017</v>
      </c>
      <c r="W71">
        <v>8</v>
      </c>
      <c r="Y71" s="103">
        <v>0.02</v>
      </c>
    </row>
    <row r="72" spans="2:25">
      <c r="D72" s="105"/>
      <c r="E72" t="s">
        <v>402</v>
      </c>
      <c r="F72" t="s">
        <v>485</v>
      </c>
      <c r="G72">
        <v>8</v>
      </c>
      <c r="I72" s="103">
        <v>0.017</v>
      </c>
      <c r="K72" s="104">
        <v>8</v>
      </c>
      <c r="M72" s="103">
        <v>0.02</v>
      </c>
      <c r="O72">
        <v>9</v>
      </c>
      <c r="Q72" s="103">
        <v>0.023</v>
      </c>
      <c r="S72">
        <v>9</v>
      </c>
      <c r="U72" s="103">
        <v>0.026</v>
      </c>
      <c r="W72">
        <v>10</v>
      </c>
      <c r="Y72" s="103">
        <v>0.028</v>
      </c>
    </row>
    <row r="73" spans="2:25">
      <c r="B73" t="s">
        <v>486</v>
      </c>
      <c r="C73" t="s">
        <v>487</v>
      </c>
      <c r="D73" s="105">
        <f>D69+14</f>
        <v>46197</v>
      </c>
      <c r="E73" t="s">
        <v>381</v>
      </c>
      <c r="F73" t="s">
        <v>488</v>
      </c>
      <c r="G73">
        <v>6</v>
      </c>
      <c r="H73" s="103">
        <v>0.011</v>
      </c>
      <c r="K73" s="104">
        <v>6</v>
      </c>
      <c r="L73" s="103">
        <v>0.013</v>
      </c>
      <c r="O73">
        <v>7</v>
      </c>
      <c r="P73" s="103">
        <v>0.015</v>
      </c>
      <c r="S73">
        <v>7</v>
      </c>
      <c r="T73" s="103">
        <v>0.017</v>
      </c>
      <c r="W73">
        <v>8</v>
      </c>
      <c r="X73" s="103">
        <v>0.02</v>
      </c>
    </row>
    <row r="74" spans="2:25">
      <c r="D74" s="105"/>
      <c r="E74" s="104" t="s">
        <v>383</v>
      </c>
      <c r="F74" t="s">
        <v>489</v>
      </c>
      <c r="G74">
        <v>8</v>
      </c>
      <c r="H74" s="103">
        <v>0.017</v>
      </c>
      <c r="I74" s="103">
        <v>0.003</v>
      </c>
      <c r="K74" s="104">
        <v>8</v>
      </c>
      <c r="L74" s="103">
        <v>0.02</v>
      </c>
      <c r="M74" s="103">
        <v>0.005</v>
      </c>
      <c r="O74">
        <v>9</v>
      </c>
      <c r="P74" s="103">
        <v>0.023</v>
      </c>
      <c r="Q74" s="103">
        <v>0.007</v>
      </c>
      <c r="S74">
        <v>9</v>
      </c>
      <c r="T74" s="103">
        <v>0.026</v>
      </c>
      <c r="U74" s="103">
        <v>0.009</v>
      </c>
      <c r="W74">
        <v>10</v>
      </c>
      <c r="X74" s="103">
        <v>0.028</v>
      </c>
      <c r="Y74" s="103">
        <v>0.011</v>
      </c>
    </row>
    <row r="75" spans="2:25">
      <c r="D75" s="105"/>
      <c r="E75" t="s">
        <v>395</v>
      </c>
      <c r="F75" t="s">
        <v>490</v>
      </c>
      <c r="G75">
        <v>6</v>
      </c>
      <c r="I75" s="103">
        <v>0.011</v>
      </c>
      <c r="K75" s="104">
        <v>6</v>
      </c>
      <c r="M75" s="103">
        <v>0.013</v>
      </c>
      <c r="O75">
        <v>7</v>
      </c>
      <c r="Q75" s="103">
        <v>0.015</v>
      </c>
      <c r="S75">
        <v>7</v>
      </c>
      <c r="U75" s="103">
        <v>0.017</v>
      </c>
      <c r="W75">
        <v>8</v>
      </c>
      <c r="Y75" s="103">
        <v>0.02</v>
      </c>
    </row>
    <row r="76" spans="2:25">
      <c r="D76" s="105"/>
      <c r="E76" t="s">
        <v>402</v>
      </c>
      <c r="F76" t="s">
        <v>491</v>
      </c>
      <c r="G76">
        <v>8</v>
      </c>
      <c r="I76" s="103">
        <v>0.017</v>
      </c>
      <c r="K76" s="104">
        <v>8</v>
      </c>
      <c r="M76" s="103">
        <v>0.02</v>
      </c>
      <c r="O76">
        <v>9</v>
      </c>
      <c r="Q76" s="103">
        <v>0.023</v>
      </c>
      <c r="S76">
        <v>9</v>
      </c>
      <c r="U76" s="103">
        <v>0.026</v>
      </c>
      <c r="W76">
        <v>10</v>
      </c>
      <c r="Y76" s="103">
        <v>0.028</v>
      </c>
    </row>
    <row r="77" spans="2:25">
      <c r="B77" t="s">
        <v>492</v>
      </c>
      <c r="C77" t="s">
        <v>493</v>
      </c>
      <c r="D77" s="105">
        <f>D73+14</f>
        <v>46211</v>
      </c>
      <c r="E77" t="s">
        <v>381</v>
      </c>
      <c r="F77" t="s">
        <v>494</v>
      </c>
      <c r="G77">
        <v>6</v>
      </c>
      <c r="H77" s="103">
        <v>0.011</v>
      </c>
      <c r="K77" s="104">
        <v>6</v>
      </c>
      <c r="L77" s="103">
        <v>0.013</v>
      </c>
      <c r="O77">
        <v>7</v>
      </c>
      <c r="P77" s="103">
        <v>0.015</v>
      </c>
      <c r="S77">
        <v>7</v>
      </c>
      <c r="T77" s="103">
        <v>0.017</v>
      </c>
      <c r="W77">
        <v>8</v>
      </c>
      <c r="X77" s="103">
        <v>0.02</v>
      </c>
    </row>
    <row r="78" spans="2:25">
      <c r="D78" s="105"/>
      <c r="E78" s="104" t="s">
        <v>383</v>
      </c>
      <c r="F78" t="s">
        <v>462</v>
      </c>
      <c r="G78">
        <v>8</v>
      </c>
      <c r="H78" s="103">
        <v>0.017</v>
      </c>
      <c r="I78" s="103">
        <v>0.003</v>
      </c>
      <c r="K78" s="104">
        <v>8</v>
      </c>
      <c r="L78" s="103">
        <v>0.02</v>
      </c>
      <c r="M78" s="103">
        <v>0.005</v>
      </c>
      <c r="O78">
        <v>9</v>
      </c>
      <c r="P78" s="103">
        <v>0.023</v>
      </c>
      <c r="Q78" s="103">
        <v>0.007</v>
      </c>
      <c r="S78">
        <v>9</v>
      </c>
      <c r="T78" s="103">
        <v>0.026</v>
      </c>
      <c r="U78" s="103">
        <v>0.009</v>
      </c>
      <c r="W78">
        <v>10</v>
      </c>
      <c r="X78" s="103">
        <v>0.028</v>
      </c>
      <c r="Y78" s="103">
        <v>0.011</v>
      </c>
    </row>
    <row r="79" spans="2:25">
      <c r="D79" s="105"/>
      <c r="E79" t="s">
        <v>395</v>
      </c>
      <c r="F79" t="s">
        <v>491</v>
      </c>
      <c r="G79">
        <v>6</v>
      </c>
      <c r="I79" s="103">
        <v>0.011</v>
      </c>
      <c r="K79" s="104">
        <v>6</v>
      </c>
      <c r="M79" s="103">
        <v>0.013</v>
      </c>
      <c r="O79">
        <v>7</v>
      </c>
      <c r="Q79" s="103">
        <v>0.015</v>
      </c>
      <c r="S79">
        <v>7</v>
      </c>
      <c r="U79" s="103">
        <v>0.017</v>
      </c>
      <c r="W79">
        <v>8</v>
      </c>
      <c r="Y79" s="103">
        <v>0.02</v>
      </c>
    </row>
    <row r="80" spans="2:25">
      <c r="D80" s="105"/>
      <c r="E80" t="s">
        <v>402</v>
      </c>
      <c r="F80" t="s">
        <v>495</v>
      </c>
      <c r="G80">
        <v>8</v>
      </c>
      <c r="I80" s="103">
        <v>0.017</v>
      </c>
      <c r="K80" s="104">
        <v>8</v>
      </c>
      <c r="M80" s="103">
        <v>0.02</v>
      </c>
      <c r="O80">
        <v>9</v>
      </c>
      <c r="Q80" s="103">
        <v>0.023</v>
      </c>
      <c r="S80">
        <v>9</v>
      </c>
      <c r="U80" s="103">
        <v>0.026</v>
      </c>
      <c r="W80">
        <v>10</v>
      </c>
      <c r="Y80" s="103">
        <v>0.028</v>
      </c>
    </row>
    <row r="81" spans="2:26">
      <c r="B81" t="s">
        <v>496</v>
      </c>
      <c r="C81" t="s">
        <v>497</v>
      </c>
      <c r="D81" s="105">
        <f>D77+14</f>
        <v>46225</v>
      </c>
      <c r="E81" t="s">
        <v>381</v>
      </c>
      <c r="F81" t="s">
        <v>498</v>
      </c>
      <c r="G81">
        <v>6</v>
      </c>
      <c r="H81" s="103">
        <v>0.011</v>
      </c>
      <c r="K81" s="104">
        <v>6</v>
      </c>
      <c r="L81" s="103">
        <v>0.013</v>
      </c>
      <c r="O81">
        <v>7</v>
      </c>
      <c r="P81" s="103">
        <v>0.015</v>
      </c>
      <c r="S81">
        <v>7</v>
      </c>
      <c r="T81" s="103">
        <v>0.017</v>
      </c>
      <c r="W81">
        <v>8</v>
      </c>
      <c r="X81" s="103">
        <v>0.02</v>
      </c>
    </row>
    <row r="82" spans="2:26">
      <c r="D82" s="105"/>
      <c r="E82" s="104" t="s">
        <v>383</v>
      </c>
      <c r="F82" t="s">
        <v>499</v>
      </c>
      <c r="G82">
        <v>8</v>
      </c>
      <c r="H82" s="103">
        <v>0.017</v>
      </c>
      <c r="I82" s="103">
        <v>0.003</v>
      </c>
      <c r="K82" s="104">
        <v>8</v>
      </c>
      <c r="L82" s="103">
        <v>0.02</v>
      </c>
      <c r="M82" s="103">
        <v>0.005</v>
      </c>
      <c r="O82">
        <v>9</v>
      </c>
      <c r="P82" s="103">
        <v>0.023</v>
      </c>
      <c r="Q82" s="103">
        <v>0.007</v>
      </c>
      <c r="S82">
        <v>9</v>
      </c>
      <c r="T82" s="103">
        <v>0.026</v>
      </c>
      <c r="U82" s="103">
        <v>0.009</v>
      </c>
      <c r="W82">
        <v>10</v>
      </c>
      <c r="X82" s="103">
        <v>0.028</v>
      </c>
      <c r="Y82" s="103">
        <v>0.011</v>
      </c>
    </row>
    <row r="83" spans="2:26">
      <c r="D83" s="105"/>
      <c r="E83" t="s">
        <v>395</v>
      </c>
      <c r="F83" t="s">
        <v>500</v>
      </c>
      <c r="G83">
        <v>6</v>
      </c>
      <c r="I83" s="103">
        <v>0.011</v>
      </c>
      <c r="K83" s="104">
        <v>6</v>
      </c>
      <c r="M83" s="103">
        <v>0.013</v>
      </c>
      <c r="O83">
        <v>7</v>
      </c>
      <c r="Q83" s="103">
        <v>0.015</v>
      </c>
      <c r="S83">
        <v>7</v>
      </c>
      <c r="U83" s="103">
        <v>0.017</v>
      </c>
      <c r="W83">
        <v>8</v>
      </c>
      <c r="Y83" s="103">
        <v>0.02</v>
      </c>
    </row>
    <row r="84" spans="2:26">
      <c r="D84" s="105"/>
      <c r="E84" t="s">
        <v>402</v>
      </c>
      <c r="F84" t="s">
        <v>501</v>
      </c>
      <c r="G84">
        <v>8</v>
      </c>
      <c r="I84" s="103">
        <v>0.017</v>
      </c>
      <c r="K84" s="104">
        <v>8</v>
      </c>
      <c r="M84" s="103">
        <v>0.02</v>
      </c>
      <c r="O84">
        <v>9</v>
      </c>
      <c r="Q84" s="103">
        <v>0.02</v>
      </c>
      <c r="R84" s="103">
        <v>0.003</v>
      </c>
      <c r="S84">
        <v>9</v>
      </c>
      <c r="U84" s="103">
        <v>0.02</v>
      </c>
      <c r="V84" s="103">
        <v>0.006</v>
      </c>
      <c r="W84">
        <v>10</v>
      </c>
      <c r="Y84" s="103">
        <v>0.02</v>
      </c>
      <c r="Z84" s="103">
        <v>0.01</v>
      </c>
    </row>
    <row r="85" spans="2:26">
      <c r="C85" t="s">
        <v>502</v>
      </c>
      <c r="D85" s="105">
        <f>D81+7</f>
        <v>46232</v>
      </c>
      <c r="E85" t="s">
        <v>464</v>
      </c>
      <c r="F85" t="s">
        <v>503</v>
      </c>
      <c r="G85">
        <v>9</v>
      </c>
      <c r="I85" s="103">
        <v>0.02</v>
      </c>
      <c r="J85" s="103">
        <v>0.006</v>
      </c>
      <c r="K85" s="104">
        <v>10</v>
      </c>
      <c r="M85" s="103">
        <v>0.02</v>
      </c>
      <c r="N85" s="103">
        <v>0.01</v>
      </c>
      <c r="O85">
        <v>3</v>
      </c>
      <c r="Q85" s="103">
        <v>0.02</v>
      </c>
      <c r="R85" s="103">
        <v>0.012</v>
      </c>
      <c r="S85">
        <v>3</v>
      </c>
      <c r="U85" s="103">
        <v>0.02</v>
      </c>
      <c r="V85" s="103">
        <v>0.014</v>
      </c>
      <c r="W85">
        <v>3</v>
      </c>
      <c r="Y85" s="103">
        <v>0.02</v>
      </c>
      <c r="Z85" s="103">
        <v>0.016</v>
      </c>
    </row>
    <row r="86" spans="2:26">
      <c r="D86" s="105"/>
    </row>
    <row r="87" spans="2:26">
      <c r="D87" s="105"/>
    </row>
    <row r="88" spans="2:26">
      <c r="D88" s="105"/>
    </row>
    <row r="89" spans="2:26">
      <c r="D89" s="105"/>
    </row>
    <row r="90" spans="2:26">
      <c r="D90" s="105"/>
    </row>
    <row r="91" spans="2:26">
      <c r="D91" s="105"/>
    </row>
    <row r="92" spans="2:26">
      <c r="D92" s="105"/>
    </row>
    <row r="93" spans="2:26">
      <c r="D93" s="105"/>
    </row>
    <row r="94" spans="2:26">
      <c r="D94" s="105"/>
    </row>
    <row r="95" spans="2:26">
      <c r="D95" s="105"/>
    </row>
    <row r="96" spans="2:26">
      <c r="D96" s="105"/>
    </row>
    <row r="97" spans="4:4">
      <c r="D97" s="105"/>
    </row>
  </sheetData>
  <mergeCells count="1">
    <mergeCell ref="C2:D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40"/>
  <sheetViews>
    <sheetView workbookViewId="0">
      <selection activeCell="I60" sqref="I60"/>
    </sheetView>
  </sheetViews>
  <sheetFormatPr defaultColWidth="10" defaultRowHeight="13.5"/>
  <cols>
    <col min="1" max="1" width="14.775" style="38" customWidth="1"/>
    <col min="2" max="3" width="14.1" style="38" customWidth="1"/>
    <col min="4" max="4" width="16.4416666666667" style="38" customWidth="1"/>
    <col min="5" max="5" width="9.66666666666667" style="38" customWidth="1"/>
    <col min="7" max="8" width="14.1" customWidth="1"/>
    <col min="9" max="9" width="20.8833333333333" customWidth="1"/>
    <col min="10" max="11" width="23.1" customWidth="1"/>
    <col min="12" max="12" width="26.5583333333333" customWidth="1"/>
    <col min="13" max="13" width="14.1" customWidth="1"/>
    <col min="15" max="15" width="9.66666666666667" style="38" customWidth="1"/>
    <col min="16" max="16" width="23.1" customWidth="1"/>
    <col min="17" max="17" width="7.66666666666667" style="69" customWidth="1"/>
    <col min="18" max="18" width="26.5583333333333" style="70" customWidth="1"/>
  </cols>
  <sheetData>
    <row r="1" ht="14.25" spans="1:12">
      <c r="A1" s="38" t="s">
        <v>504</v>
      </c>
      <c r="H1" s="41" t="s">
        <v>505</v>
      </c>
      <c r="I1" s="41" t="s">
        <v>114</v>
      </c>
      <c r="J1" s="41" t="s">
        <v>115</v>
      </c>
      <c r="K1" s="41" t="s">
        <v>116</v>
      </c>
      <c r="L1" s="41" t="s">
        <v>117</v>
      </c>
    </row>
    <row r="2" ht="27.75" spans="1:12">
      <c r="A2" s="71" t="s">
        <v>506</v>
      </c>
      <c r="B2" s="72">
        <v>123.04</v>
      </c>
      <c r="C2" s="73" t="s">
        <v>507</v>
      </c>
      <c r="D2" s="74"/>
      <c r="E2" s="75"/>
      <c r="H2" s="76">
        <v>200</v>
      </c>
      <c r="I2" s="77">
        <f>数据计算表!AM2</f>
        <v>0.09</v>
      </c>
      <c r="J2" s="77">
        <f>数据计算表!AN2</f>
        <v>0.15</v>
      </c>
      <c r="K2" s="77">
        <f>数据计算表!AO2</f>
        <v>0.06</v>
      </c>
      <c r="L2" s="77">
        <f>数据计算表!AP2</f>
        <v>0.06</v>
      </c>
    </row>
    <row r="3" ht="14.25"/>
    <row r="4" spans="1:12">
      <c r="A4" s="78" t="s">
        <v>508</v>
      </c>
      <c r="B4" s="98">
        <v>124</v>
      </c>
      <c r="C4" s="80">
        <v>124</v>
      </c>
      <c r="I4" s="41" t="s">
        <v>291</v>
      </c>
      <c r="J4" s="41" t="s">
        <v>109</v>
      </c>
      <c r="K4" s="77" t="s">
        <v>110</v>
      </c>
      <c r="L4" s="77" t="s">
        <v>111</v>
      </c>
    </row>
    <row r="5" spans="1:12">
      <c r="A5" s="81"/>
      <c r="B5" s="99"/>
      <c r="C5" s="100">
        <v>124</v>
      </c>
      <c r="I5" s="41">
        <f>数据计算表!AF2</f>
        <v>10</v>
      </c>
      <c r="J5" s="41" t="str">
        <f>数据计算表!AG2</f>
        <v>副本掉落装备升华率</v>
      </c>
      <c r="K5" s="77">
        <f>数据计算表!AH2</f>
        <v>0.03</v>
      </c>
      <c r="L5" s="84" t="str">
        <f>J5&amp;COUNTIF(J$4:J5,J5)*K5*100&amp;"%"</f>
        <v>副本掉落装备升华率3%</v>
      </c>
    </row>
    <row r="6" ht="14.25" spans="1:12">
      <c r="A6" s="85"/>
      <c r="B6" s="101">
        <v>124</v>
      </c>
      <c r="C6" s="102">
        <v>124</v>
      </c>
      <c r="I6" s="41">
        <f>数据计算表!AF3</f>
        <v>20</v>
      </c>
      <c r="J6" s="41" t="str">
        <f>数据计算表!AG3</f>
        <v>宝石获取率</v>
      </c>
      <c r="K6" s="77">
        <f>数据计算表!AH3</f>
        <v>0.05</v>
      </c>
      <c r="L6" s="84" t="str">
        <f>J6&amp;COUNTIF(J$4:J6,J6)*K6*100&amp;"%"</f>
        <v>宝石获取率5%</v>
      </c>
    </row>
    <row r="7" ht="14.25" spans="1:12">
      <c r="I7" s="41">
        <f>数据计算表!AF4</f>
        <v>30</v>
      </c>
      <c r="J7" s="41" t="str">
        <f>数据计算表!AG4</f>
        <v>副本评价奖励翻倍概率</v>
      </c>
      <c r="K7" s="77">
        <f>数据计算表!AH4</f>
        <v>0.02</v>
      </c>
      <c r="L7" s="84" t="str">
        <f>J7&amp;COUNTIF(J$4:J7,J7)*K7*100&amp;"%"</f>
        <v>副本评价奖励翻倍概率2%</v>
      </c>
    </row>
    <row r="8" spans="1:12">
      <c r="A8" s="78" t="s">
        <v>509</v>
      </c>
      <c r="B8" s="88">
        <v>118</v>
      </c>
      <c r="C8" s="80">
        <v>118</v>
      </c>
      <c r="I8" s="41">
        <f>数据计算表!AF5</f>
        <v>40</v>
      </c>
      <c r="J8" s="41" t="str">
        <f>数据计算表!AG5</f>
        <v>经验获取加成</v>
      </c>
      <c r="K8" s="77">
        <f>数据计算表!AH5</f>
        <v>0.02</v>
      </c>
      <c r="L8" s="84" t="str">
        <f>J8&amp;COUNTIF(J$4:J8,J8)*K8*100&amp;"%"</f>
        <v>经验获取加成2%</v>
      </c>
    </row>
    <row r="9" spans="1:12">
      <c r="A9" s="81"/>
      <c r="B9" s="89">
        <v>118</v>
      </c>
      <c r="C9" s="83">
        <v>118</v>
      </c>
      <c r="I9" s="41">
        <f>数据计算表!AF6</f>
        <v>56</v>
      </c>
      <c r="J9" s="41" t="str">
        <f>数据计算表!AG6</f>
        <v>副本掉落装备升华率</v>
      </c>
      <c r="K9" s="77">
        <f>数据计算表!AH6</f>
        <v>0.03</v>
      </c>
      <c r="L9" s="84" t="str">
        <f>J9&amp;COUNTIF(J$4:J9,J9)*K9*100&amp;"%"</f>
        <v>副本掉落装备升华率6%</v>
      </c>
    </row>
    <row r="10" spans="1:12">
      <c r="A10" s="81"/>
      <c r="B10" s="89">
        <v>118</v>
      </c>
      <c r="C10" s="83">
        <v>118</v>
      </c>
      <c r="I10" s="41">
        <f>数据计算表!AF7</f>
        <v>72</v>
      </c>
      <c r="J10" s="41" t="str">
        <f>数据计算表!AG7</f>
        <v>宝石获取率</v>
      </c>
      <c r="K10" s="77">
        <f>数据计算表!AH7</f>
        <v>0.05</v>
      </c>
      <c r="L10" s="84" t="str">
        <f>J10&amp;COUNTIF(J$4:J10,J10)*K10*100&amp;"%"</f>
        <v>宝石获取率10%</v>
      </c>
    </row>
    <row r="11" ht="14.25" spans="1:12">
      <c r="A11" s="85"/>
      <c r="B11" s="86">
        <v>118</v>
      </c>
      <c r="C11" s="87">
        <v>118</v>
      </c>
      <c r="I11" s="41">
        <f>数据计算表!AF8</f>
        <v>88</v>
      </c>
      <c r="J11" s="41" t="str">
        <f>数据计算表!AG8</f>
        <v>副本评价奖励翻倍概率</v>
      </c>
      <c r="K11" s="77">
        <f>数据计算表!AH8</f>
        <v>0.02</v>
      </c>
      <c r="L11" s="84" t="str">
        <f>J11&amp;COUNTIF(J$4:J11,J11)*K11*100&amp;"%"</f>
        <v>副本评价奖励翻倍概率4%</v>
      </c>
    </row>
    <row r="12" ht="14.25" spans="1:12">
      <c r="I12" s="41">
        <f>数据计算表!AF9</f>
        <v>104</v>
      </c>
      <c r="J12" s="41" t="str">
        <f>数据计算表!AG9</f>
        <v>经验获取加成</v>
      </c>
      <c r="K12" s="77">
        <f>数据计算表!AH9</f>
        <v>0.02</v>
      </c>
      <c r="L12" s="84" t="str">
        <f>J12&amp;COUNTIF(J$4:J12,J12)*K12*100&amp;"%"</f>
        <v>经验获取加成4%</v>
      </c>
    </row>
    <row r="13" spans="1:12">
      <c r="A13" s="78" t="s">
        <v>510</v>
      </c>
      <c r="B13" s="88">
        <v>13</v>
      </c>
      <c r="C13" s="90">
        <v>13</v>
      </c>
      <c r="D13" s="90">
        <v>13</v>
      </c>
      <c r="E13" s="80">
        <v>12</v>
      </c>
      <c r="I13" s="41">
        <f>数据计算表!AF10</f>
        <v>128</v>
      </c>
      <c r="J13" s="41" t="str">
        <f>数据计算表!AG10</f>
        <v>副本掉落装备升华率</v>
      </c>
      <c r="K13" s="77">
        <f>数据计算表!AH10</f>
        <v>0.03</v>
      </c>
      <c r="L13" s="84" t="str">
        <f>J13&amp;COUNTIF(J$4:J13,J13)*K13*100&amp;"%"</f>
        <v>副本掉落装备升华率9%</v>
      </c>
    </row>
    <row r="14" spans="1:12">
      <c r="A14" s="81"/>
      <c r="B14" s="89">
        <v>12</v>
      </c>
      <c r="C14" s="76">
        <v>12</v>
      </c>
      <c r="D14" s="76">
        <v>12</v>
      </c>
      <c r="E14" s="83">
        <v>12</v>
      </c>
      <c r="I14" s="41">
        <f>数据计算表!AF11</f>
        <v>152</v>
      </c>
      <c r="J14" s="41" t="str">
        <f>数据计算表!AG11</f>
        <v>宝石获取率</v>
      </c>
      <c r="K14" s="77">
        <f>数据计算表!AH11</f>
        <v>0.05</v>
      </c>
      <c r="L14" s="84" t="str">
        <f>J14&amp;COUNTIF(J$4:J14,J14)*K14*100&amp;"%"</f>
        <v>宝石获取率15%</v>
      </c>
    </row>
    <row r="15" spans="1:12">
      <c r="A15" s="81"/>
      <c r="B15" s="89">
        <v>12</v>
      </c>
      <c r="C15" s="76">
        <v>12</v>
      </c>
      <c r="D15" s="76">
        <v>12</v>
      </c>
      <c r="E15" s="83">
        <v>12</v>
      </c>
      <c r="I15" s="41">
        <f>数据计算表!AF12</f>
        <v>176</v>
      </c>
      <c r="J15" s="41" t="str">
        <f>数据计算表!AG12</f>
        <v>副本评价奖励翻倍概率</v>
      </c>
      <c r="K15" s="77">
        <f>数据计算表!AH12</f>
        <v>0.02</v>
      </c>
      <c r="L15" s="84" t="str">
        <f>J15&amp;COUNTIF(J$4:J15,J15)*K15*100&amp;"%"</f>
        <v>副本评价奖励翻倍概率6%</v>
      </c>
    </row>
    <row r="16" spans="1:12">
      <c r="A16" s="81"/>
      <c r="B16" s="89">
        <v>12</v>
      </c>
      <c r="C16" s="76">
        <v>12</v>
      </c>
      <c r="D16" s="76">
        <v>12</v>
      </c>
      <c r="E16" s="83">
        <v>12</v>
      </c>
      <c r="I16" s="41">
        <f>数据计算表!AF13</f>
        <v>200</v>
      </c>
      <c r="J16" s="41" t="str">
        <f>数据计算表!AG13</f>
        <v>经验获取加成</v>
      </c>
      <c r="K16" s="77">
        <f>数据计算表!AH13</f>
        <v>0.02</v>
      </c>
      <c r="L16" s="84" t="str">
        <f>J16&amp;COUNTIF(J$4:J16,J16)*K16*100&amp;"%"</f>
        <v>经验获取加成6%</v>
      </c>
    </row>
    <row r="17" ht="14.25" spans="1:12">
      <c r="A17" s="85"/>
      <c r="B17" s="86">
        <v>12</v>
      </c>
      <c r="C17" s="91">
        <v>12</v>
      </c>
      <c r="D17" s="91">
        <v>12</v>
      </c>
      <c r="E17" s="87">
        <v>12</v>
      </c>
      <c r="I17" s="41">
        <f>数据计算表!AF14</f>
        <v>230</v>
      </c>
      <c r="J17" s="41" t="str">
        <f>数据计算表!AG14</f>
        <v>副本掉落装备升华率</v>
      </c>
      <c r="K17" s="77">
        <f>数据计算表!AH14</f>
        <v>0.03</v>
      </c>
      <c r="L17" s="84" t="str">
        <f>J17&amp;COUNTIF(J$4:J17,J17)*K17*100&amp;"%"</f>
        <v>副本掉落装备升华率12%</v>
      </c>
    </row>
    <row r="18" ht="14.25" spans="1:12">
      <c r="I18" s="41">
        <f>数据计算表!AF15</f>
        <v>260</v>
      </c>
      <c r="J18" s="41" t="str">
        <f>数据计算表!AG15</f>
        <v>宝石获取率</v>
      </c>
      <c r="K18" s="77">
        <f>数据计算表!AH15</f>
        <v>0.05</v>
      </c>
      <c r="L18" s="84" t="str">
        <f>J18&amp;COUNTIF(J$4:J18,J18)*K18*100&amp;"%"</f>
        <v>宝石获取率20%</v>
      </c>
    </row>
    <row r="19" ht="27.75" spans="1:12">
      <c r="A19" s="71" t="s">
        <v>511</v>
      </c>
      <c r="B19" s="92">
        <v>111</v>
      </c>
      <c r="C19" s="93">
        <v>111</v>
      </c>
      <c r="D19" s="93">
        <v>111</v>
      </c>
      <c r="E19" s="94">
        <v>111</v>
      </c>
      <c r="I19" s="41">
        <f>数据计算表!AF16</f>
        <v>290</v>
      </c>
      <c r="J19" s="41" t="str">
        <f>数据计算表!AG16</f>
        <v>副本评价奖励翻倍概率</v>
      </c>
      <c r="K19" s="77">
        <f>数据计算表!AH16</f>
        <v>0.02</v>
      </c>
      <c r="L19" s="84" t="str">
        <f>J19&amp;COUNTIF(J$4:J19,J19)*K19*100&amp;"%"</f>
        <v>副本评价奖励翻倍概率8%</v>
      </c>
    </row>
    <row r="20" ht="14.25" spans="1:12">
      <c r="I20" s="41">
        <f>数据计算表!AF17</f>
        <v>320</v>
      </c>
      <c r="J20" s="41" t="str">
        <f>数据计算表!AG17</f>
        <v>经验获取加成</v>
      </c>
      <c r="K20" s="77">
        <f>数据计算表!AH17</f>
        <v>0.02</v>
      </c>
      <c r="L20" s="84" t="str">
        <f>J20&amp;COUNTIF(J$4:J20,J20)*K20*100&amp;"%"</f>
        <v>经验获取加成8%</v>
      </c>
    </row>
    <row r="21" ht="14.25" spans="1:12">
      <c r="A21" s="73" t="s">
        <v>512</v>
      </c>
      <c r="B21" s="95">
        <f>数据计算表!AB4</f>
        <v>10</v>
      </c>
      <c r="I21" s="41">
        <f>数据计算表!AF18</f>
        <v>360</v>
      </c>
      <c r="J21" s="41" t="str">
        <f>数据计算表!AG18</f>
        <v>副本掉落装备升华率</v>
      </c>
      <c r="K21" s="77">
        <f>数据计算表!AH18</f>
        <v>0.03</v>
      </c>
      <c r="L21" s="84" t="str">
        <f>J21&amp;COUNTIF(J$4:J21,J21)*K21*100&amp;"%"</f>
        <v>副本掉落装备升华率15%</v>
      </c>
    </row>
    <row r="22" ht="14.25" spans="1:12">
      <c r="I22" s="41">
        <f>数据计算表!AF19</f>
        <v>400</v>
      </c>
      <c r="J22" s="41" t="str">
        <f>数据计算表!AG19</f>
        <v>宝石获取率</v>
      </c>
      <c r="K22" s="77">
        <f>数据计算表!AH19</f>
        <v>0.05</v>
      </c>
      <c r="L22" s="84" t="str">
        <f>J22&amp;COUNTIF(J$4:J22,J22)*K22*100&amp;"%"</f>
        <v>宝石获取率25%</v>
      </c>
    </row>
    <row r="23" ht="14.25" spans="1:12">
      <c r="A23" s="73" t="s">
        <v>513</v>
      </c>
      <c r="B23" s="95">
        <f>数据计算表!AA17</f>
        <v>11803</v>
      </c>
      <c r="I23" s="41">
        <f>数据计算表!AF20</f>
        <v>440</v>
      </c>
      <c r="J23" s="41" t="str">
        <f>数据计算表!AG20</f>
        <v>副本评价奖励翻倍概率</v>
      </c>
      <c r="K23" s="77">
        <f>数据计算表!AH20</f>
        <v>0.02</v>
      </c>
      <c r="L23" s="84" t="str">
        <f>J23&amp;COUNTIF(J$4:J23,J23)*K23*100&amp;"%"</f>
        <v>副本评价奖励翻倍概率10%</v>
      </c>
    </row>
    <row r="24" ht="14.25" spans="1:12">
      <c r="A24" s="73" t="s">
        <v>291</v>
      </c>
      <c r="B24" s="95">
        <f>数据计算表!Z19</f>
        <v>128</v>
      </c>
      <c r="I24" s="41">
        <f>数据计算表!AF21</f>
        <v>480</v>
      </c>
      <c r="J24" s="41" t="str">
        <f>数据计算表!AG21</f>
        <v>经验获取加成</v>
      </c>
      <c r="K24" s="77">
        <f>数据计算表!AH21</f>
        <v>0.02</v>
      </c>
      <c r="L24" s="84" t="str">
        <f>J24&amp;COUNTIF(J$4:J24,J24)*K24*100&amp;"%"</f>
        <v>经验获取加成10%</v>
      </c>
    </row>
    <row r="25" ht="14.25" spans="1:12">
      <c r="A25" s="96" t="s">
        <v>292</v>
      </c>
      <c r="B25" s="97">
        <f>数据计算表!AA19</f>
        <v>7197</v>
      </c>
      <c r="I25" s="41">
        <f>数据计算表!AF22</f>
        <v>530</v>
      </c>
      <c r="J25" s="41" t="str">
        <f>数据计算表!AG22</f>
        <v>副本掉落装备升华率</v>
      </c>
      <c r="K25" s="77">
        <f>数据计算表!AH22</f>
        <v>0.03</v>
      </c>
      <c r="L25" s="84" t="str">
        <f>J25&amp;COUNTIF(J$4:J25,J25)*K25*100&amp;"%"</f>
        <v>副本掉落装备升华率18%</v>
      </c>
    </row>
    <row r="26" spans="1:12">
      <c r="A26"/>
      <c r="B26"/>
      <c r="C26"/>
      <c r="D26"/>
      <c r="E26"/>
      <c r="I26" s="41">
        <f>数据计算表!AF23</f>
        <v>580</v>
      </c>
      <c r="J26" s="41" t="str">
        <f>数据计算表!AG23</f>
        <v>宝石获取率</v>
      </c>
      <c r="K26" s="77">
        <f>数据计算表!AH23</f>
        <v>0.05</v>
      </c>
      <c r="L26" s="84" t="str">
        <f>J26&amp;COUNTIF(J$4:J26,J26)*K26*100&amp;"%"</f>
        <v>宝石获取率30%</v>
      </c>
    </row>
    <row r="27" spans="1:12">
      <c r="A27"/>
      <c r="B27"/>
      <c r="C27"/>
      <c r="D27"/>
      <c r="E27"/>
      <c r="I27" s="41">
        <f>数据计算表!AF24</f>
        <v>630</v>
      </c>
      <c r="J27" s="41" t="str">
        <f>数据计算表!AG24</f>
        <v>副本评价奖励翻倍概率</v>
      </c>
      <c r="K27" s="77">
        <f>数据计算表!AH24</f>
        <v>0.02</v>
      </c>
      <c r="L27" s="84" t="str">
        <f>J27&amp;COUNTIF(J$4:J27,J27)*K27*100&amp;"%"</f>
        <v>副本评价奖励翻倍概率12%</v>
      </c>
    </row>
    <row r="28" spans="1:12">
      <c r="A28"/>
      <c r="B28"/>
      <c r="C28"/>
      <c r="D28"/>
      <c r="E28"/>
      <c r="I28" s="41">
        <f>数据计算表!AF25</f>
        <v>680</v>
      </c>
      <c r="J28" s="41" t="str">
        <f>数据计算表!AG25</f>
        <v>经验获取加成</v>
      </c>
      <c r="K28" s="77">
        <f>数据计算表!AH25</f>
        <v>0.02</v>
      </c>
      <c r="L28" s="84" t="str">
        <f>J28&amp;COUNTIF(J$4:J28,J28)*K28*100&amp;"%"</f>
        <v>经验获取加成12%</v>
      </c>
    </row>
    <row r="29" spans="1:12">
      <c r="I29" s="41">
        <f>数据计算表!AF26</f>
        <v>740</v>
      </c>
      <c r="J29" s="41" t="str">
        <f>数据计算表!AG26</f>
        <v>副本掉落装备升华率</v>
      </c>
      <c r="K29" s="77">
        <f>数据计算表!AH26</f>
        <v>0.03</v>
      </c>
      <c r="L29" s="84" t="str">
        <f>J29&amp;COUNTIF(J$4:J29,J29)*K29*100&amp;"%"</f>
        <v>副本掉落装备升华率21%</v>
      </c>
    </row>
    <row r="30" spans="1:12">
      <c r="I30" s="41">
        <f>数据计算表!AF27</f>
        <v>800</v>
      </c>
      <c r="J30" s="41" t="str">
        <f>数据计算表!AG27</f>
        <v>宝石获取率</v>
      </c>
      <c r="K30" s="77">
        <f>数据计算表!AH27</f>
        <v>0.05</v>
      </c>
      <c r="L30" s="84" t="str">
        <f>J30&amp;COUNTIF(J$4:J30,J30)*K30*100&amp;"%"</f>
        <v>宝石获取率35%</v>
      </c>
    </row>
    <row r="31" spans="1:12">
      <c r="I31" s="41">
        <f>数据计算表!AF28</f>
        <v>860</v>
      </c>
      <c r="J31" s="41" t="str">
        <f>数据计算表!AG28</f>
        <v>副本评价奖励翻倍概率</v>
      </c>
      <c r="K31" s="77">
        <f>数据计算表!AH28</f>
        <v>0.02</v>
      </c>
      <c r="L31" s="84" t="str">
        <f>J31&amp;COUNTIF(J$4:J31,J31)*K31*100&amp;"%"</f>
        <v>副本评价奖励翻倍概率14%</v>
      </c>
    </row>
    <row r="32" spans="1:12">
      <c r="I32" s="41">
        <f>数据计算表!AF29</f>
        <v>920</v>
      </c>
      <c r="J32" s="41" t="str">
        <f>数据计算表!AG29</f>
        <v>经验获取加成</v>
      </c>
      <c r="K32" s="77">
        <f>数据计算表!AH29</f>
        <v>0.02</v>
      </c>
      <c r="L32" s="84" t="str">
        <f>J32&amp;COUNTIF(J$4:J32,J32)*K32*100&amp;"%"</f>
        <v>经验获取加成14%</v>
      </c>
    </row>
    <row r="33" spans="9:12">
      <c r="I33" s="41">
        <f>数据计算表!AF30</f>
        <v>990</v>
      </c>
      <c r="J33" s="41" t="str">
        <f>数据计算表!AG30</f>
        <v>副本掉落装备升华率</v>
      </c>
      <c r="K33" s="77">
        <f>数据计算表!AH30</f>
        <v>0.03</v>
      </c>
      <c r="L33" s="84" t="str">
        <f>J33&amp;COUNTIF(J$4:J33,J33)*K33*100&amp;"%"</f>
        <v>副本掉落装备升华率24%</v>
      </c>
    </row>
    <row r="34" spans="9:12">
      <c r="I34" s="41">
        <f>数据计算表!AF31</f>
        <v>1060</v>
      </c>
      <c r="J34" s="41" t="str">
        <f>数据计算表!AG31</f>
        <v>宝石获取率</v>
      </c>
      <c r="K34" s="77">
        <f>数据计算表!AH31</f>
        <v>0.05</v>
      </c>
      <c r="L34" s="84" t="str">
        <f>J34&amp;COUNTIF(J$4:J34,J34)*K34*100&amp;"%"</f>
        <v>宝石获取率40%</v>
      </c>
    </row>
    <row r="35" spans="9:12">
      <c r="I35" s="41">
        <f>数据计算表!AF32</f>
        <v>1130</v>
      </c>
      <c r="J35" s="41" t="str">
        <f>数据计算表!AG32</f>
        <v>副本评价奖励翻倍概率</v>
      </c>
      <c r="K35" s="77">
        <f>数据计算表!AH32</f>
        <v>0.02</v>
      </c>
      <c r="L35" s="84" t="str">
        <f>J35&amp;COUNTIF(J$4:J35,J35)*K35*100&amp;"%"</f>
        <v>副本评价奖励翻倍概率16%</v>
      </c>
    </row>
    <row r="36" spans="9:12">
      <c r="I36" s="41">
        <f>数据计算表!AF33</f>
        <v>1200</v>
      </c>
      <c r="J36" s="41" t="str">
        <f>数据计算表!AG33</f>
        <v>经验获取加成</v>
      </c>
      <c r="K36" s="77">
        <f>数据计算表!AH33</f>
        <v>0.02</v>
      </c>
      <c r="L36" s="84" t="str">
        <f>J36&amp;COUNTIF(J$4:J36,J36)*K36*100&amp;"%"</f>
        <v>经验获取加成16%</v>
      </c>
    </row>
    <row r="37" spans="9:12">
      <c r="I37" s="41">
        <f>数据计算表!AF34</f>
        <v>1280</v>
      </c>
      <c r="J37" s="41" t="str">
        <f>数据计算表!AG34</f>
        <v>副本掉落装备升华率</v>
      </c>
      <c r="K37" s="77">
        <f>数据计算表!AH34</f>
        <v>0.03</v>
      </c>
      <c r="L37" s="84" t="str">
        <f>J37&amp;COUNTIF(J$4:J37,J37)*K37*100&amp;"%"</f>
        <v>副本掉落装备升华率27%</v>
      </c>
    </row>
    <row r="38" spans="9:12">
      <c r="I38" s="41">
        <f>数据计算表!AF35</f>
        <v>1360</v>
      </c>
      <c r="J38" s="41" t="str">
        <f>数据计算表!AG35</f>
        <v>宝石获取率</v>
      </c>
      <c r="K38" s="77">
        <f>数据计算表!AH35</f>
        <v>0.05</v>
      </c>
      <c r="L38" s="84" t="str">
        <f>J38&amp;COUNTIF(J$4:J38,J38)*K38*100&amp;"%"</f>
        <v>宝石获取率45%</v>
      </c>
    </row>
    <row r="39" spans="9:12">
      <c r="I39" s="41">
        <f>数据计算表!AF36</f>
        <v>1440</v>
      </c>
      <c r="J39" s="41" t="str">
        <f>数据计算表!AG36</f>
        <v>副本评价奖励翻倍概率</v>
      </c>
      <c r="K39" s="77">
        <f>数据计算表!AH36</f>
        <v>0.02</v>
      </c>
      <c r="L39" s="84" t="str">
        <f>J39&amp;COUNTIF(J$4:J39,J39)*K39*100&amp;"%"</f>
        <v>副本评价奖励翻倍概率18%</v>
      </c>
    </row>
    <row r="40" spans="9:12">
      <c r="I40" s="41">
        <f>数据计算表!AF37</f>
        <v>1520</v>
      </c>
      <c r="J40" s="41" t="str">
        <f>数据计算表!AG37</f>
        <v>经验获取加成</v>
      </c>
      <c r="K40" s="77">
        <f>数据计算表!AH37</f>
        <v>0.02</v>
      </c>
      <c r="L40" s="84" t="str">
        <f>J40&amp;COUNTIF(J$4:J40,J40)*K40*100&amp;"%"</f>
        <v>经验获取加成18%</v>
      </c>
    </row>
  </sheetData>
  <sheetProtection algorithmName="SHA-512" hashValue="VjEMzHG5P+iDKU3GS4HnhY2pSMQvOG+GiRxk40qFPwlpynL+yGA9PqSCdESuODbEs+RxBQVgfRd4MslEcOXWpg==" saltValue="kaMh1oRGXUowg6N9JFlyXw==" spinCount="100000" sheet="1" objects="1"/>
  <mergeCells count="6">
    <mergeCell ref="A1:E1"/>
    <mergeCell ref="C2:E2"/>
    <mergeCell ref="A4:A6"/>
    <mergeCell ref="A8:A11"/>
    <mergeCell ref="A13:A17"/>
    <mergeCell ref="B4:B5"/>
  </mergeCells>
  <conditionalFormatting sqref="I5:L40">
    <cfRule type="expression" dxfId="6" priority="1">
      <formula>AND(ROW(I5)&gt;=MATCH($H$2,$I:$I,0)-3,ROW(I5)&lt;=MATCH($H$2,$I:$I,0))</formula>
    </cfRule>
  </conditionalFormatting>
  <dataValidations count="1">
    <dataValidation type="list" allowBlank="1" showInputMessage="1" showErrorMessage="1" sqref="H2">
      <formula1>$I$5:$I$40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R51"/>
  <sheetViews>
    <sheetView workbookViewId="0">
      <selection activeCell="A63" sqref="A63"/>
    </sheetView>
  </sheetViews>
  <sheetFormatPr defaultColWidth="10" defaultRowHeight="13.5"/>
  <cols>
    <col min="1" max="1" width="14.775" style="38" customWidth="1"/>
    <col min="2" max="3" width="14.1" style="38" customWidth="1"/>
    <col min="4" max="4" width="16.4416666666667" style="38" customWidth="1"/>
    <col min="5" max="5" width="9.66666666666667" style="38" customWidth="1"/>
    <col min="7" max="8" width="14.1" customWidth="1"/>
    <col min="9" max="9" width="20.8833333333333" customWidth="1"/>
    <col min="10" max="11" width="23.1" customWidth="1"/>
    <col min="12" max="12" width="26.5583333333333" customWidth="1"/>
    <col min="13" max="13" width="14.1" customWidth="1"/>
    <col min="15" max="15" width="9.66666666666667" style="38" customWidth="1"/>
    <col min="16" max="16" width="23.1" customWidth="1"/>
    <col min="17" max="17" width="7.66666666666667" style="69" customWidth="1"/>
    <col min="18" max="18" width="26.5583333333333" style="70" customWidth="1"/>
  </cols>
  <sheetData>
    <row r="1" customFormat="1" ht="14.25" spans="1:18">
      <c r="A1" s="38" t="s">
        <v>514</v>
      </c>
      <c r="B1" s="38"/>
      <c r="C1" s="38"/>
      <c r="D1" s="38"/>
      <c r="E1" s="38"/>
      <c r="G1" s="41" t="s">
        <v>515</v>
      </c>
      <c r="H1" s="41" t="s">
        <v>505</v>
      </c>
      <c r="I1" s="41" t="s">
        <v>114</v>
      </c>
      <c r="J1" s="41" t="s">
        <v>115</v>
      </c>
      <c r="K1" s="41" t="s">
        <v>116</v>
      </c>
      <c r="L1" s="41" t="s">
        <v>117</v>
      </c>
      <c r="O1" s="38"/>
      <c r="Q1" s="69"/>
      <c r="R1" s="70"/>
    </row>
    <row r="2" customFormat="1" ht="27.75" spans="1:18">
      <c r="A2" s="71" t="s">
        <v>506</v>
      </c>
      <c r="B2" s="72">
        <v>199.95</v>
      </c>
      <c r="C2" s="73" t="s">
        <v>507</v>
      </c>
      <c r="D2" s="74"/>
      <c r="E2" s="75"/>
      <c r="G2" s="76">
        <v>220</v>
      </c>
      <c r="H2" s="76">
        <v>1130</v>
      </c>
      <c r="I2" s="77">
        <f>数据计算表!AM5</f>
        <v>0.24</v>
      </c>
      <c r="J2" s="77">
        <f>数据计算表!AN5</f>
        <v>0.4</v>
      </c>
      <c r="K2" s="77">
        <f>数据计算表!AO5</f>
        <v>0.16</v>
      </c>
      <c r="L2" s="77">
        <f>数据计算表!AP5</f>
        <v>0.14</v>
      </c>
      <c r="O2" s="38"/>
      <c r="Q2" s="69"/>
      <c r="R2" s="70"/>
    </row>
    <row r="3" ht="14.25"/>
    <row r="4" customFormat="1" spans="1:18">
      <c r="A4" s="78" t="s">
        <v>516</v>
      </c>
      <c r="B4" s="79">
        <v>205</v>
      </c>
      <c r="C4" s="80">
        <v>202</v>
      </c>
      <c r="D4" s="38"/>
      <c r="E4" s="38"/>
      <c r="I4" s="41" t="s">
        <v>291</v>
      </c>
      <c r="J4" s="41" t="s">
        <v>109</v>
      </c>
      <c r="K4" s="77" t="s">
        <v>110</v>
      </c>
      <c r="L4" s="77" t="s">
        <v>111</v>
      </c>
      <c r="O4" s="38"/>
      <c r="Q4" s="69"/>
      <c r="R4" s="70"/>
    </row>
    <row r="5" customFormat="1" spans="1:18">
      <c r="A5" s="81"/>
      <c r="B5" s="82"/>
      <c r="C5" s="83">
        <v>205</v>
      </c>
      <c r="D5" s="38"/>
      <c r="E5" s="38"/>
      <c r="I5" s="41">
        <f>数据计算表!AF2</f>
        <v>10</v>
      </c>
      <c r="J5" s="41" t="str">
        <f>数据计算表!AG2</f>
        <v>副本掉落装备升华率</v>
      </c>
      <c r="K5" s="77">
        <f>数据计算表!AH2</f>
        <v>0.03</v>
      </c>
      <c r="L5" s="84" t="str">
        <f>J5&amp;COUNTIF(J$4:J5,J5)*K5*100&amp;"%"</f>
        <v>副本掉落装备升华率3%</v>
      </c>
      <c r="O5" s="38"/>
      <c r="Q5" s="69"/>
      <c r="R5" s="70"/>
    </row>
    <row r="6" customFormat="1" ht="14.25" spans="1:18">
      <c r="A6" s="85"/>
      <c r="B6" s="86">
        <v>200</v>
      </c>
      <c r="C6" s="87">
        <v>205</v>
      </c>
      <c r="D6" s="38"/>
      <c r="E6" s="38"/>
      <c r="I6" s="41">
        <f>数据计算表!AF3</f>
        <v>20</v>
      </c>
      <c r="J6" s="41" t="str">
        <f>数据计算表!AG3</f>
        <v>宝石获取率</v>
      </c>
      <c r="K6" s="77">
        <f>数据计算表!AH3</f>
        <v>0.05</v>
      </c>
      <c r="L6" s="84" t="str">
        <f>J6&amp;COUNTIF(J$4:J6,J6)*K6*100&amp;"%"</f>
        <v>宝石获取率5%</v>
      </c>
      <c r="O6" s="38"/>
      <c r="Q6" s="69"/>
      <c r="R6" s="70"/>
    </row>
    <row r="7" customFormat="1" ht="14.25" spans="1:18">
      <c r="A7" s="38"/>
      <c r="B7" s="38"/>
      <c r="C7" s="38"/>
      <c r="D7" s="38"/>
      <c r="E7" s="38"/>
      <c r="I7" s="41">
        <f>数据计算表!AF4</f>
        <v>30</v>
      </c>
      <c r="J7" s="41" t="str">
        <f>数据计算表!AG4</f>
        <v>副本评价奖励翻倍概率</v>
      </c>
      <c r="K7" s="77">
        <f>数据计算表!AH4</f>
        <v>0.02</v>
      </c>
      <c r="L7" s="84" t="str">
        <f>J7&amp;COUNTIF(J$4:J7,J7)*K7*100&amp;"%"</f>
        <v>副本评价奖励翻倍概率2%</v>
      </c>
      <c r="O7" s="38"/>
      <c r="Q7" s="69"/>
      <c r="R7" s="70"/>
    </row>
    <row r="8" customFormat="1" spans="1:18">
      <c r="A8" s="78" t="s">
        <v>517</v>
      </c>
      <c r="B8" s="88">
        <v>185</v>
      </c>
      <c r="C8" s="80">
        <v>190</v>
      </c>
      <c r="D8" s="38"/>
      <c r="E8" s="38"/>
      <c r="I8" s="41">
        <f>数据计算表!AF5</f>
        <v>40</v>
      </c>
      <c r="J8" s="41" t="str">
        <f>数据计算表!AG5</f>
        <v>经验获取加成</v>
      </c>
      <c r="K8" s="77">
        <f>数据计算表!AH5</f>
        <v>0.02</v>
      </c>
      <c r="L8" s="84" t="str">
        <f>J8&amp;COUNTIF(J$4:J8,J8)*K8*100&amp;"%"</f>
        <v>经验获取加成2%</v>
      </c>
      <c r="O8" s="38"/>
      <c r="Q8" s="69"/>
      <c r="R8" s="70"/>
    </row>
    <row r="9" customFormat="1" spans="1:18">
      <c r="A9" s="81"/>
      <c r="B9" s="89">
        <v>185</v>
      </c>
      <c r="C9" s="83">
        <v>184</v>
      </c>
      <c r="D9" s="38"/>
      <c r="E9" s="38"/>
      <c r="I9" s="41">
        <f>数据计算表!AF6</f>
        <v>56</v>
      </c>
      <c r="J9" s="41" t="str">
        <f>数据计算表!AG6</f>
        <v>副本掉落装备升华率</v>
      </c>
      <c r="K9" s="77">
        <f>数据计算表!AH6</f>
        <v>0.03</v>
      </c>
      <c r="L9" s="84" t="str">
        <f>J9&amp;COUNTIF(J$4:J9,J9)*K9*100&amp;"%"</f>
        <v>副本掉落装备升华率6%</v>
      </c>
      <c r="O9" s="38"/>
      <c r="Q9" s="69"/>
      <c r="R9" s="70"/>
    </row>
    <row r="10" customFormat="1" spans="1:18">
      <c r="A10" s="81"/>
      <c r="B10" s="89">
        <v>185</v>
      </c>
      <c r="C10" s="83">
        <v>184</v>
      </c>
      <c r="D10" s="38"/>
      <c r="E10" s="38"/>
      <c r="I10" s="41">
        <f>数据计算表!AF7</f>
        <v>72</v>
      </c>
      <c r="J10" s="41" t="str">
        <f>数据计算表!AG7</f>
        <v>宝石获取率</v>
      </c>
      <c r="K10" s="77">
        <f>数据计算表!AH7</f>
        <v>0.05</v>
      </c>
      <c r="L10" s="84" t="str">
        <f>J10&amp;COUNTIF(J$4:J10,J10)*K10*100&amp;"%"</f>
        <v>宝石获取率10%</v>
      </c>
      <c r="O10" s="38"/>
      <c r="Q10" s="69"/>
      <c r="R10" s="70"/>
    </row>
    <row r="11" customFormat="1" ht="14.25" spans="1:18">
      <c r="A11" s="85"/>
      <c r="B11" s="86">
        <v>184</v>
      </c>
      <c r="C11" s="87">
        <v>184</v>
      </c>
      <c r="D11" s="38"/>
      <c r="E11" s="38"/>
      <c r="I11" s="41">
        <f>数据计算表!AF8</f>
        <v>88</v>
      </c>
      <c r="J11" s="41" t="str">
        <f>数据计算表!AG8</f>
        <v>副本评价奖励翻倍概率</v>
      </c>
      <c r="K11" s="77">
        <f>数据计算表!AH8</f>
        <v>0.02</v>
      </c>
      <c r="L11" s="84" t="str">
        <f>J11&amp;COUNTIF(J$4:J11,J11)*K11*100&amp;"%"</f>
        <v>副本评价奖励翻倍概率4%</v>
      </c>
      <c r="O11" s="38"/>
      <c r="Q11" s="69"/>
      <c r="R11" s="70"/>
    </row>
    <row r="12" customFormat="1" ht="14.25" spans="1:18">
      <c r="A12" s="38"/>
      <c r="B12" s="38"/>
      <c r="C12" s="38"/>
      <c r="D12" s="38"/>
      <c r="E12" s="38"/>
      <c r="I12" s="41">
        <f>数据计算表!AF9</f>
        <v>104</v>
      </c>
      <c r="J12" s="41" t="str">
        <f>数据计算表!AG9</f>
        <v>经验获取加成</v>
      </c>
      <c r="K12" s="77">
        <f>数据计算表!AH9</f>
        <v>0.02</v>
      </c>
      <c r="L12" s="84" t="str">
        <f>J12&amp;COUNTIF(J$4:J12,J12)*K12*100&amp;"%"</f>
        <v>经验获取加成4%</v>
      </c>
      <c r="O12" s="38"/>
      <c r="Q12" s="69"/>
      <c r="R12" s="70"/>
    </row>
    <row r="13" customFormat="1" spans="1:18">
      <c r="A13" s="78" t="s">
        <v>518</v>
      </c>
      <c r="B13" s="88">
        <v>21</v>
      </c>
      <c r="C13" s="90">
        <v>21</v>
      </c>
      <c r="D13" s="90">
        <v>21</v>
      </c>
      <c r="E13" s="80">
        <v>21</v>
      </c>
      <c r="I13" s="41">
        <f>数据计算表!AF10</f>
        <v>128</v>
      </c>
      <c r="J13" s="41" t="str">
        <f>数据计算表!AG10</f>
        <v>副本掉落装备升华率</v>
      </c>
      <c r="K13" s="77">
        <f>数据计算表!AH10</f>
        <v>0.03</v>
      </c>
      <c r="L13" s="84" t="str">
        <f>J13&amp;COUNTIF(J$4:J13,J13)*K13*100&amp;"%"</f>
        <v>副本掉落装备升华率9%</v>
      </c>
      <c r="O13" s="38"/>
      <c r="Q13" s="69"/>
      <c r="R13" s="70"/>
    </row>
    <row r="14" customFormat="1" spans="1:18">
      <c r="A14" s="81"/>
      <c r="B14" s="89">
        <v>21</v>
      </c>
      <c r="C14" s="76">
        <v>21</v>
      </c>
      <c r="D14" s="76">
        <v>21</v>
      </c>
      <c r="E14" s="83">
        <v>21</v>
      </c>
      <c r="I14" s="41">
        <f>数据计算表!AF11</f>
        <v>152</v>
      </c>
      <c r="J14" s="41" t="str">
        <f>数据计算表!AG11</f>
        <v>宝石获取率</v>
      </c>
      <c r="K14" s="77">
        <f>数据计算表!AH11</f>
        <v>0.05</v>
      </c>
      <c r="L14" s="84" t="str">
        <f>J14&amp;COUNTIF(J$4:J14,J14)*K14*100&amp;"%"</f>
        <v>宝石获取率15%</v>
      </c>
      <c r="O14" s="38"/>
      <c r="Q14" s="69"/>
      <c r="R14" s="70"/>
    </row>
    <row r="15" customFormat="1" spans="1:18">
      <c r="A15" s="81"/>
      <c r="B15" s="89">
        <v>21</v>
      </c>
      <c r="C15" s="76">
        <v>21</v>
      </c>
      <c r="D15" s="76">
        <v>21</v>
      </c>
      <c r="E15" s="83">
        <v>21</v>
      </c>
      <c r="I15" s="41">
        <f>数据计算表!AF12</f>
        <v>176</v>
      </c>
      <c r="J15" s="41" t="str">
        <f>数据计算表!AG12</f>
        <v>副本评价奖励翻倍概率</v>
      </c>
      <c r="K15" s="77">
        <f>数据计算表!AH12</f>
        <v>0.02</v>
      </c>
      <c r="L15" s="84" t="str">
        <f>J15&amp;COUNTIF(J$4:J15,J15)*K15*100&amp;"%"</f>
        <v>副本评价奖励翻倍概率6%</v>
      </c>
      <c r="O15" s="38"/>
      <c r="Q15" s="69"/>
      <c r="R15" s="70"/>
    </row>
    <row r="16" customFormat="1" spans="1:18">
      <c r="A16" s="81"/>
      <c r="B16" s="89">
        <v>21</v>
      </c>
      <c r="C16" s="76">
        <v>21</v>
      </c>
      <c r="D16" s="76">
        <v>21</v>
      </c>
      <c r="E16" s="83">
        <v>21</v>
      </c>
      <c r="I16" s="41">
        <f>数据计算表!AF13</f>
        <v>200</v>
      </c>
      <c r="J16" s="41" t="str">
        <f>数据计算表!AG13</f>
        <v>经验获取加成</v>
      </c>
      <c r="K16" s="77">
        <f>数据计算表!AH13</f>
        <v>0.02</v>
      </c>
      <c r="L16" s="84" t="str">
        <f>J16&amp;COUNTIF(J$4:J16,J16)*K16*100&amp;"%"</f>
        <v>经验获取加成6%</v>
      </c>
      <c r="O16" s="38"/>
      <c r="Q16" s="69"/>
      <c r="R16" s="70"/>
    </row>
    <row r="17" customFormat="1" ht="14.25" spans="1:18">
      <c r="A17" s="85"/>
      <c r="B17" s="86">
        <v>21</v>
      </c>
      <c r="C17" s="91">
        <v>21</v>
      </c>
      <c r="D17" s="91">
        <v>21</v>
      </c>
      <c r="E17" s="87">
        <v>21</v>
      </c>
      <c r="I17" s="41">
        <f>数据计算表!AF14</f>
        <v>230</v>
      </c>
      <c r="J17" s="41" t="str">
        <f>数据计算表!AG14</f>
        <v>副本掉落装备升华率</v>
      </c>
      <c r="K17" s="77">
        <f>数据计算表!AH14</f>
        <v>0.03</v>
      </c>
      <c r="L17" s="84" t="str">
        <f>J17&amp;COUNTIF(J$4:J17,J17)*K17*100&amp;"%"</f>
        <v>副本掉落装备升华率12%</v>
      </c>
      <c r="O17" s="38"/>
      <c r="Q17" s="69"/>
      <c r="R17" s="70"/>
    </row>
    <row r="18" customFormat="1" ht="14.25" spans="1:18">
      <c r="A18" s="38"/>
      <c r="B18" s="38"/>
      <c r="C18" s="38"/>
      <c r="D18" s="38"/>
      <c r="E18" s="38"/>
      <c r="I18" s="41">
        <f>数据计算表!AF15</f>
        <v>260</v>
      </c>
      <c r="J18" s="41" t="str">
        <f>数据计算表!AG15</f>
        <v>宝石获取率</v>
      </c>
      <c r="K18" s="77">
        <f>数据计算表!AH15</f>
        <v>0.05</v>
      </c>
      <c r="L18" s="84" t="str">
        <f>J18&amp;COUNTIF(J$4:J18,J18)*K18*100&amp;"%"</f>
        <v>宝石获取率20%</v>
      </c>
      <c r="O18" s="38"/>
      <c r="Q18" s="69"/>
      <c r="R18" s="70"/>
    </row>
    <row r="19" customFormat="1" ht="27.75" spans="1:18">
      <c r="A19" s="71" t="s">
        <v>519</v>
      </c>
      <c r="B19" s="92">
        <v>180</v>
      </c>
      <c r="C19" s="93">
        <v>171</v>
      </c>
      <c r="D19" s="93">
        <v>171</v>
      </c>
      <c r="E19" s="94">
        <v>171</v>
      </c>
      <c r="I19" s="41">
        <f>数据计算表!AF16</f>
        <v>290</v>
      </c>
      <c r="J19" s="41" t="str">
        <f>数据计算表!AG16</f>
        <v>副本评价奖励翻倍概率</v>
      </c>
      <c r="K19" s="77">
        <f>数据计算表!AH16</f>
        <v>0.02</v>
      </c>
      <c r="L19" s="84" t="str">
        <f>J19&amp;COUNTIF(J$4:J19,J19)*K19*100&amp;"%"</f>
        <v>副本评价奖励翻倍概率8%</v>
      </c>
      <c r="O19" s="38"/>
      <c r="Q19" s="69"/>
      <c r="R19" s="70"/>
    </row>
    <row r="20" customFormat="1" ht="14.25" spans="1:18">
      <c r="A20" s="38"/>
      <c r="B20" s="38"/>
      <c r="C20" s="38"/>
      <c r="D20" s="38"/>
      <c r="E20" s="38"/>
      <c r="I20" s="41">
        <f>数据计算表!AF17</f>
        <v>320</v>
      </c>
      <c r="J20" s="41" t="str">
        <f>数据计算表!AG17</f>
        <v>经验获取加成</v>
      </c>
      <c r="K20" s="77">
        <f>数据计算表!AH17</f>
        <v>0.02</v>
      </c>
      <c r="L20" s="84" t="str">
        <f>J20&amp;COUNTIF(J$4:J20,J20)*K20*100&amp;"%"</f>
        <v>经验获取加成8%</v>
      </c>
      <c r="O20" s="38"/>
      <c r="Q20" s="69"/>
      <c r="R20" s="70"/>
    </row>
    <row r="21" customFormat="1" ht="14.25" spans="1:18">
      <c r="A21" s="73" t="s">
        <v>512</v>
      </c>
      <c r="B21" s="95">
        <f>数据计算表!AB7</f>
        <v>45</v>
      </c>
      <c r="C21" s="38"/>
      <c r="D21" s="38"/>
      <c r="E21" s="38"/>
      <c r="I21" s="41">
        <f>数据计算表!AF18</f>
        <v>360</v>
      </c>
      <c r="J21" s="41" t="str">
        <f>数据计算表!AG18</f>
        <v>副本掉落装备升华率</v>
      </c>
      <c r="K21" s="77">
        <f>数据计算表!AH18</f>
        <v>0.03</v>
      </c>
      <c r="L21" s="84" t="str">
        <f>J21&amp;COUNTIF(J$4:J21,J21)*K21*100&amp;"%"</f>
        <v>副本掉落装备升华率15%</v>
      </c>
      <c r="O21" s="38"/>
      <c r="Q21" s="69"/>
      <c r="R21" s="70"/>
    </row>
    <row r="22" customFormat="1" ht="14.25" spans="1:18">
      <c r="A22" s="38"/>
      <c r="B22" s="38"/>
      <c r="C22" s="38"/>
      <c r="D22" s="38"/>
      <c r="E22" s="38"/>
      <c r="I22" s="41">
        <f>数据计算表!AF19</f>
        <v>400</v>
      </c>
      <c r="J22" s="41" t="str">
        <f>数据计算表!AG19</f>
        <v>宝石获取率</v>
      </c>
      <c r="K22" s="77">
        <f>数据计算表!AH19</f>
        <v>0.05</v>
      </c>
      <c r="L22" s="84" t="str">
        <f>J22&amp;COUNTIF(J$4:J22,J22)*K22*100&amp;"%"</f>
        <v>宝石获取率25%</v>
      </c>
      <c r="O22" s="38"/>
      <c r="Q22" s="69"/>
      <c r="R22" s="70"/>
    </row>
    <row r="23" customFormat="1" ht="14.25" spans="1:18">
      <c r="A23" s="73" t="s">
        <v>513</v>
      </c>
      <c r="B23" s="95">
        <f>数据计算表!AA23</f>
        <v>23352</v>
      </c>
      <c r="C23" s="38"/>
      <c r="D23" s="38"/>
      <c r="E23" s="38"/>
      <c r="I23" s="41">
        <f>数据计算表!AF20</f>
        <v>440</v>
      </c>
      <c r="J23" s="41" t="str">
        <f>数据计算表!AG20</f>
        <v>副本评价奖励翻倍概率</v>
      </c>
      <c r="K23" s="77">
        <f>数据计算表!AH20</f>
        <v>0.02</v>
      </c>
      <c r="L23" s="84" t="str">
        <f>J23&amp;COUNTIF(J$4:J23,J23)*K23*100&amp;"%"</f>
        <v>副本评价奖励翻倍概率10%</v>
      </c>
      <c r="O23" s="38"/>
      <c r="Q23" s="69"/>
      <c r="R23" s="70"/>
    </row>
    <row r="24" customFormat="1" ht="14.25" spans="1:18">
      <c r="A24" s="73" t="s">
        <v>291</v>
      </c>
      <c r="B24" s="95">
        <f>数据计算表!Z25</f>
        <v>909</v>
      </c>
      <c r="C24" s="38"/>
      <c r="D24" s="38"/>
      <c r="E24" s="38"/>
      <c r="I24" s="41">
        <f>数据计算表!AF21</f>
        <v>480</v>
      </c>
      <c r="J24" s="41" t="str">
        <f>数据计算表!AG21</f>
        <v>经验获取加成</v>
      </c>
      <c r="K24" s="77">
        <f>数据计算表!AH21</f>
        <v>0.02</v>
      </c>
      <c r="L24" s="84" t="str">
        <f>J24&amp;COUNTIF(J$4:J24,J24)*K24*100&amp;"%"</f>
        <v>经验获取加成10%</v>
      </c>
      <c r="O24" s="38"/>
      <c r="Q24" s="69"/>
      <c r="R24" s="70"/>
    </row>
    <row r="25" customFormat="1" ht="14.25" spans="1:18">
      <c r="A25" s="96" t="s">
        <v>292</v>
      </c>
      <c r="B25" s="97">
        <f>数据计算表!AA25</f>
        <v>3</v>
      </c>
      <c r="I25" s="41">
        <f>数据计算表!AF22</f>
        <v>530</v>
      </c>
      <c r="J25" s="41" t="str">
        <f>数据计算表!AG22</f>
        <v>副本掉落装备升华率</v>
      </c>
      <c r="K25" s="77">
        <f>数据计算表!AH22</f>
        <v>0.03</v>
      </c>
      <c r="L25" s="84" t="str">
        <f>J25&amp;COUNTIF(J$4:J25,J25)*K25*100&amp;"%"</f>
        <v>副本掉落装备升华率18%</v>
      </c>
      <c r="O25" s="38"/>
      <c r="Q25" s="69"/>
      <c r="R25" s="70"/>
    </row>
    <row r="26" customFormat="1" spans="1:18">
      <c r="I26" s="41">
        <f>数据计算表!AF23</f>
        <v>580</v>
      </c>
      <c r="J26" s="41" t="str">
        <f>数据计算表!AG23</f>
        <v>宝石获取率</v>
      </c>
      <c r="K26" s="77">
        <f>数据计算表!AH23</f>
        <v>0.05</v>
      </c>
      <c r="L26" s="84" t="str">
        <f>J26&amp;COUNTIF(J$4:J26,J26)*K26*100&amp;"%"</f>
        <v>宝石获取率30%</v>
      </c>
      <c r="O26" s="38"/>
      <c r="Q26" s="69"/>
      <c r="R26" s="70"/>
    </row>
    <row r="27" customFormat="1" spans="1:18">
      <c r="I27" s="41">
        <f>数据计算表!AF24</f>
        <v>630</v>
      </c>
      <c r="J27" s="41" t="str">
        <f>数据计算表!AG24</f>
        <v>副本评价奖励翻倍概率</v>
      </c>
      <c r="K27" s="77">
        <f>数据计算表!AH24</f>
        <v>0.02</v>
      </c>
      <c r="L27" s="84" t="str">
        <f>J27&amp;COUNTIF(J$4:J27,J27)*K27*100&amp;"%"</f>
        <v>副本评价奖励翻倍概率12%</v>
      </c>
      <c r="O27" s="38"/>
      <c r="Q27" s="69"/>
      <c r="R27" s="70"/>
    </row>
    <row r="28" customFormat="1" spans="1:18">
      <c r="I28" s="41">
        <f>数据计算表!AF25</f>
        <v>680</v>
      </c>
      <c r="J28" s="41" t="str">
        <f>数据计算表!AG25</f>
        <v>经验获取加成</v>
      </c>
      <c r="K28" s="77">
        <f>数据计算表!AH25</f>
        <v>0.02</v>
      </c>
      <c r="L28" s="84" t="str">
        <f>J28&amp;COUNTIF(J$4:J28,J28)*K28*100&amp;"%"</f>
        <v>经验获取加成12%</v>
      </c>
      <c r="O28" s="38"/>
      <c r="Q28" s="69"/>
      <c r="R28" s="70"/>
    </row>
    <row r="29" customFormat="1" spans="1:18">
      <c r="A29" s="38"/>
      <c r="B29" s="38"/>
      <c r="C29" s="38"/>
      <c r="D29" s="38"/>
      <c r="E29" s="38"/>
      <c r="I29" s="41">
        <f>数据计算表!AF26</f>
        <v>740</v>
      </c>
      <c r="J29" s="41" t="str">
        <f>数据计算表!AG26</f>
        <v>副本掉落装备升华率</v>
      </c>
      <c r="K29" s="77">
        <f>数据计算表!AH26</f>
        <v>0.03</v>
      </c>
      <c r="L29" s="84" t="str">
        <f>J29&amp;COUNTIF(J$4:J29,J29)*K29*100&amp;"%"</f>
        <v>副本掉落装备升华率21%</v>
      </c>
      <c r="O29" s="38"/>
      <c r="Q29" s="69"/>
      <c r="R29" s="70"/>
    </row>
    <row r="30" customFormat="1" spans="1:18">
      <c r="A30" s="38"/>
      <c r="B30" s="38"/>
      <c r="C30" s="38"/>
      <c r="D30" s="38"/>
      <c r="E30" s="38"/>
      <c r="I30" s="41">
        <f>数据计算表!AF27</f>
        <v>800</v>
      </c>
      <c r="J30" s="41" t="str">
        <f>数据计算表!AG27</f>
        <v>宝石获取率</v>
      </c>
      <c r="K30" s="77">
        <f>数据计算表!AH27</f>
        <v>0.05</v>
      </c>
      <c r="L30" s="84" t="str">
        <f>J30&amp;COUNTIF(J$4:J30,J30)*K30*100&amp;"%"</f>
        <v>宝石获取率35%</v>
      </c>
      <c r="O30" s="38"/>
      <c r="Q30" s="69"/>
      <c r="R30" s="70"/>
    </row>
    <row r="31" customFormat="1" spans="1:18">
      <c r="A31" s="38"/>
      <c r="B31" s="38"/>
      <c r="C31" s="38"/>
      <c r="D31" s="38"/>
      <c r="E31" s="38"/>
      <c r="I31" s="41">
        <f>数据计算表!AF28</f>
        <v>860</v>
      </c>
      <c r="J31" s="41" t="str">
        <f>数据计算表!AG28</f>
        <v>副本评价奖励翻倍概率</v>
      </c>
      <c r="K31" s="77">
        <f>数据计算表!AH28</f>
        <v>0.02</v>
      </c>
      <c r="L31" s="84" t="str">
        <f>J31&amp;COUNTIF(J$4:J31,J31)*K31*100&amp;"%"</f>
        <v>副本评价奖励翻倍概率14%</v>
      </c>
      <c r="O31" s="38"/>
      <c r="Q31" s="69"/>
      <c r="R31" s="70"/>
    </row>
    <row r="32" customFormat="1" spans="1:18">
      <c r="A32" s="38"/>
      <c r="B32" s="38"/>
      <c r="C32" s="38"/>
      <c r="D32" s="38"/>
      <c r="E32" s="38"/>
      <c r="I32" s="41">
        <f>数据计算表!AF29</f>
        <v>920</v>
      </c>
      <c r="J32" s="41" t="str">
        <f>数据计算表!AG29</f>
        <v>经验获取加成</v>
      </c>
      <c r="K32" s="77">
        <f>数据计算表!AH29</f>
        <v>0.02</v>
      </c>
      <c r="L32" s="84" t="str">
        <f>J32&amp;COUNTIF(J$4:J32,J32)*K32*100&amp;"%"</f>
        <v>经验获取加成14%</v>
      </c>
      <c r="O32" s="38"/>
      <c r="Q32" s="69"/>
      <c r="R32" s="70"/>
    </row>
    <row r="33" customFormat="1" spans="1:18">
      <c r="A33" s="38"/>
      <c r="B33" s="38"/>
      <c r="C33" s="38"/>
      <c r="D33" s="38"/>
      <c r="E33" s="38"/>
      <c r="I33" s="41">
        <f>数据计算表!AF30</f>
        <v>990</v>
      </c>
      <c r="J33" s="41" t="str">
        <f>数据计算表!AG30</f>
        <v>副本掉落装备升华率</v>
      </c>
      <c r="K33" s="77">
        <f>数据计算表!AH30</f>
        <v>0.03</v>
      </c>
      <c r="L33" s="84" t="str">
        <f>J33&amp;COUNTIF(J$4:J33,J33)*K33*100&amp;"%"</f>
        <v>副本掉落装备升华率24%</v>
      </c>
      <c r="O33" s="38"/>
      <c r="Q33" s="69"/>
      <c r="R33" s="70"/>
    </row>
    <row r="34" customFormat="1" spans="1:18">
      <c r="A34" s="38"/>
      <c r="B34" s="38"/>
      <c r="C34" s="38"/>
      <c r="D34" s="38"/>
      <c r="E34" s="38"/>
      <c r="I34" s="41">
        <f>数据计算表!AF31</f>
        <v>1060</v>
      </c>
      <c r="J34" s="41" t="str">
        <f>数据计算表!AG31</f>
        <v>宝石获取率</v>
      </c>
      <c r="K34" s="77">
        <f>数据计算表!AH31</f>
        <v>0.05</v>
      </c>
      <c r="L34" s="84" t="str">
        <f>J34&amp;COUNTIF(J$4:J34,J34)*K34*100&amp;"%"</f>
        <v>宝石获取率40%</v>
      </c>
      <c r="O34" s="38"/>
      <c r="Q34" s="69"/>
      <c r="R34" s="70"/>
    </row>
    <row r="35" customFormat="1" spans="1:18">
      <c r="A35" s="38"/>
      <c r="B35" s="38"/>
      <c r="C35" s="38"/>
      <c r="D35" s="38"/>
      <c r="E35" s="38"/>
      <c r="I35" s="41">
        <f>数据计算表!AF32</f>
        <v>1130</v>
      </c>
      <c r="J35" s="41" t="str">
        <f>数据计算表!AG32</f>
        <v>副本评价奖励翻倍概率</v>
      </c>
      <c r="K35" s="77">
        <f>数据计算表!AH32</f>
        <v>0.02</v>
      </c>
      <c r="L35" s="84" t="str">
        <f>J35&amp;COUNTIF(J$4:J35,J35)*K35*100&amp;"%"</f>
        <v>副本评价奖励翻倍概率16%</v>
      </c>
      <c r="O35" s="38"/>
      <c r="Q35" s="69"/>
      <c r="R35" s="70"/>
    </row>
    <row r="36" customFormat="1" spans="1:18">
      <c r="A36" s="38"/>
      <c r="B36" s="38"/>
      <c r="C36" s="38"/>
      <c r="D36" s="38"/>
      <c r="E36" s="38"/>
      <c r="I36" s="41">
        <f>数据计算表!AF33</f>
        <v>1200</v>
      </c>
      <c r="J36" s="41" t="str">
        <f>数据计算表!AG33</f>
        <v>经验获取加成</v>
      </c>
      <c r="K36" s="77">
        <f>数据计算表!AH33</f>
        <v>0.02</v>
      </c>
      <c r="L36" s="84" t="str">
        <f>J36&amp;COUNTIF(J$4:J36,J36)*K36*100&amp;"%"</f>
        <v>经验获取加成16%</v>
      </c>
      <c r="O36" s="38"/>
      <c r="Q36" s="69"/>
      <c r="R36" s="70"/>
    </row>
    <row r="37" customFormat="1" spans="1:18">
      <c r="A37" s="38"/>
      <c r="B37" s="38"/>
      <c r="C37" s="38"/>
      <c r="D37" s="38"/>
      <c r="E37" s="38"/>
      <c r="I37" s="41">
        <f>数据计算表!AF34</f>
        <v>1280</v>
      </c>
      <c r="J37" s="41" t="str">
        <f>数据计算表!AG34</f>
        <v>副本掉落装备升华率</v>
      </c>
      <c r="K37" s="77">
        <f>数据计算表!AH34</f>
        <v>0.03</v>
      </c>
      <c r="L37" s="84" t="str">
        <f>J37&amp;COUNTIF(J$4:J37,J37)*K37*100&amp;"%"</f>
        <v>副本掉落装备升华率27%</v>
      </c>
      <c r="O37" s="38"/>
      <c r="Q37" s="69"/>
      <c r="R37" s="70"/>
    </row>
    <row r="38" customFormat="1" spans="1:18">
      <c r="A38" s="38"/>
      <c r="B38" s="38"/>
      <c r="C38" s="38"/>
      <c r="D38" s="38"/>
      <c r="E38" s="38"/>
      <c r="I38" s="41">
        <f>数据计算表!AF35</f>
        <v>1360</v>
      </c>
      <c r="J38" s="41" t="str">
        <f>数据计算表!AG35</f>
        <v>宝石获取率</v>
      </c>
      <c r="K38" s="77">
        <f>数据计算表!AH35</f>
        <v>0.05</v>
      </c>
      <c r="L38" s="84" t="str">
        <f>J38&amp;COUNTIF(J$4:J38,J38)*K38*100&amp;"%"</f>
        <v>宝石获取率45%</v>
      </c>
      <c r="O38" s="38"/>
      <c r="Q38" s="69"/>
      <c r="R38" s="70"/>
    </row>
    <row r="39" customFormat="1" spans="1:18">
      <c r="A39" s="38"/>
      <c r="B39" s="38"/>
      <c r="C39" s="38"/>
      <c r="D39" s="38"/>
      <c r="E39" s="38"/>
      <c r="I39" s="41">
        <f>数据计算表!AF36</f>
        <v>1440</v>
      </c>
      <c r="J39" s="41" t="str">
        <f>数据计算表!AG36</f>
        <v>副本评价奖励翻倍概率</v>
      </c>
      <c r="K39" s="77">
        <f>数据计算表!AH36</f>
        <v>0.02</v>
      </c>
      <c r="L39" s="84" t="str">
        <f>J39&amp;COUNTIF(J$4:J39,J39)*K39*100&amp;"%"</f>
        <v>副本评价奖励翻倍概率18%</v>
      </c>
      <c r="O39" s="38"/>
      <c r="Q39" s="69"/>
      <c r="R39" s="70"/>
    </row>
    <row r="40" customFormat="1" spans="1:18">
      <c r="A40" s="38"/>
      <c r="B40" s="38"/>
      <c r="C40" s="38"/>
      <c r="D40" s="38"/>
      <c r="E40" s="38"/>
      <c r="I40" s="41">
        <f>数据计算表!AF37</f>
        <v>1520</v>
      </c>
      <c r="J40" s="41" t="str">
        <f>数据计算表!AG37</f>
        <v>经验获取加成</v>
      </c>
      <c r="K40" s="77">
        <f>数据计算表!AH37</f>
        <v>0.02</v>
      </c>
      <c r="L40" s="84" t="str">
        <f>J40&amp;COUNTIF(J$4:J40,J40)*K40*100&amp;"%"</f>
        <v>经验获取加成18%</v>
      </c>
      <c r="O40" s="38"/>
      <c r="Q40" s="69"/>
      <c r="R40" s="70"/>
    </row>
    <row r="41" spans="1:18">
      <c r="I41" s="41">
        <f>数据计算表!AF38</f>
        <v>1610</v>
      </c>
      <c r="J41" s="41" t="str">
        <f>数据计算表!AG38</f>
        <v>副本掉落装备升华率</v>
      </c>
      <c r="K41" s="77">
        <f>数据计算表!AH38</f>
        <v>0.03</v>
      </c>
      <c r="L41" s="84" t="str">
        <f>J41&amp;COUNTIF(J$4:J41,J41)*K41*100&amp;"%"</f>
        <v>副本掉落装备升华率30%</v>
      </c>
    </row>
    <row r="42" spans="1:18">
      <c r="I42" s="41">
        <f>数据计算表!AF39</f>
        <v>1700</v>
      </c>
      <c r="J42" s="41" t="str">
        <f>数据计算表!AG39</f>
        <v>宝石获取率</v>
      </c>
      <c r="K42" s="77">
        <f>数据计算表!AH39</f>
        <v>0.05</v>
      </c>
      <c r="L42" s="84" t="str">
        <f>J42&amp;COUNTIF(J$4:J42,J42)*K42*100&amp;"%"</f>
        <v>宝石获取率50%</v>
      </c>
    </row>
    <row r="43" spans="1:18">
      <c r="I43" s="41">
        <f>数据计算表!AF40</f>
        <v>1790</v>
      </c>
      <c r="J43" s="41" t="str">
        <f>数据计算表!AG40</f>
        <v>副本评价奖励翻倍概率</v>
      </c>
      <c r="K43" s="77">
        <f>数据计算表!AH40</f>
        <v>0.02</v>
      </c>
      <c r="L43" s="84" t="str">
        <f>J43&amp;COUNTIF(J$4:J43,J43)*K43*100&amp;"%"</f>
        <v>副本评价奖励翻倍概率20%</v>
      </c>
    </row>
    <row r="44" spans="1:18">
      <c r="I44" s="41">
        <f>数据计算表!AF41</f>
        <v>1880</v>
      </c>
      <c r="J44" s="41" t="str">
        <f>数据计算表!AG41</f>
        <v>经验获取加成</v>
      </c>
      <c r="K44" s="77">
        <f>数据计算表!AH41</f>
        <v>0.02</v>
      </c>
      <c r="L44" s="84" t="str">
        <f>J44&amp;COUNTIF(J$4:J44,J44)*K44*100&amp;"%"</f>
        <v>经验获取加成20%</v>
      </c>
    </row>
    <row r="45" spans="1:18">
      <c r="I45" s="41">
        <f>数据计算表!AF42</f>
        <v>2000</v>
      </c>
      <c r="J45" s="41" t="str">
        <f>数据计算表!AG42</f>
        <v>副本掉落装备升华率</v>
      </c>
      <c r="K45" s="77">
        <f>数据计算表!AH42</f>
        <v>0.03</v>
      </c>
      <c r="L45" s="84" t="str">
        <f>J45&amp;COUNTIF(J$4:J45,J45)*K45*100&amp;"%"</f>
        <v>副本掉落装备升华率33%</v>
      </c>
    </row>
    <row r="46" spans="1:18">
      <c r="I46" s="41">
        <f>数据计算表!AF43</f>
        <v>2120</v>
      </c>
      <c r="J46" s="41" t="str">
        <f>数据计算表!AG43</f>
        <v>宝石获取率</v>
      </c>
      <c r="K46" s="77">
        <f>数据计算表!AH43</f>
        <v>0.05</v>
      </c>
      <c r="L46" s="84" t="str">
        <f>J46&amp;COUNTIF(J$4:J46,J46)*K46*100&amp;"%"</f>
        <v>宝石获取率55%</v>
      </c>
    </row>
    <row r="47" spans="1:18">
      <c r="I47" s="41">
        <f>数据计算表!AF44</f>
        <v>2240</v>
      </c>
      <c r="J47" s="41" t="str">
        <f>数据计算表!AG44</f>
        <v>副本评价奖励翻倍概率</v>
      </c>
      <c r="K47" s="77">
        <f>数据计算表!AH44</f>
        <v>0.02</v>
      </c>
      <c r="L47" s="84" t="str">
        <f>J47&amp;COUNTIF(J$4:J47,J47)*K47*100&amp;"%"</f>
        <v>副本评价奖励翻倍概率22%</v>
      </c>
    </row>
    <row r="48" spans="1:18">
      <c r="I48" s="41">
        <f>数据计算表!AF45</f>
        <v>2360</v>
      </c>
      <c r="J48" s="41" t="str">
        <f>数据计算表!AG45</f>
        <v>经验获取加成</v>
      </c>
      <c r="K48" s="77">
        <f>数据计算表!AH45</f>
        <v>0.02</v>
      </c>
      <c r="L48" s="84" t="str">
        <f>J48&amp;COUNTIF(J$4:J48,J48)*K48*100&amp;"%"</f>
        <v>经验获取加成22%</v>
      </c>
    </row>
    <row r="49" spans="9:12">
      <c r="I49" s="41">
        <f>数据计算表!AF46</f>
        <v>2490</v>
      </c>
      <c r="J49" s="41" t="str">
        <f>数据计算表!AG46</f>
        <v>副本掉落装备升华率</v>
      </c>
      <c r="K49" s="77">
        <f>数据计算表!AH46</f>
        <v>0.03</v>
      </c>
      <c r="L49" s="84" t="str">
        <f>J49&amp;COUNTIF(J$4:J49,J49)*K49*100&amp;"%"</f>
        <v>副本掉落装备升华率36%</v>
      </c>
    </row>
    <row r="50" spans="9:12">
      <c r="I50" s="41">
        <f>数据计算表!AF47</f>
        <v>2620</v>
      </c>
      <c r="J50" s="41" t="str">
        <f>数据计算表!AG47</f>
        <v>宝石获取率</v>
      </c>
      <c r="K50" s="77">
        <f>数据计算表!AH47</f>
        <v>0.05</v>
      </c>
      <c r="L50" s="84" t="str">
        <f>J50&amp;COUNTIF(J$4:J50,J50)*K50*100&amp;"%"</f>
        <v>宝石获取率60%</v>
      </c>
    </row>
    <row r="51" spans="9:12">
      <c r="I51" s="41">
        <f>数据计算表!AF48</f>
        <v>2750</v>
      </c>
      <c r="J51" s="41" t="str">
        <f>数据计算表!AG48</f>
        <v>副本评价奖励翻倍概率</v>
      </c>
      <c r="K51" s="77">
        <f>数据计算表!AH48</f>
        <v>0.02</v>
      </c>
      <c r="L51" s="84" t="str">
        <f>J51&amp;COUNTIF(J$4:J51,J51)*K51*100&amp;"%"</f>
        <v>副本评价奖励翻倍概率24%</v>
      </c>
    </row>
  </sheetData>
  <sheetProtection algorithmName="SHA-512" hashValue="H3EF9Y8BkJklIEXpbz2/Tp+Y/knNf3RrcZaI3b4TCyUZkBX80jwOrDmw3OlHoBhXU+T2aXya6u/LYI3HBodlLw==" saltValue="ut/+IGLJxGdW+OkooO3Kng==" spinCount="100000" sheet="1" objects="1"/>
  <mergeCells count="6">
    <mergeCell ref="A1:E1"/>
    <mergeCell ref="C2:E2"/>
    <mergeCell ref="A4:A6"/>
    <mergeCell ref="A8:A11"/>
    <mergeCell ref="A13:A17"/>
    <mergeCell ref="B4:B5"/>
  </mergeCells>
  <conditionalFormatting sqref="J41:J44">
    <cfRule type="expression" dxfId="7" priority="3">
      <formula>AND(ROW(J41)&gt;=MATCH($H$2,$I:$I,0)-3,ROW(J41)&lt;=MATCH($H$2,$I:$I,0))</formula>
    </cfRule>
  </conditionalFormatting>
  <conditionalFormatting sqref="J45:J48">
    <cfRule type="expression" dxfId="7" priority="2">
      <formula>AND(ROW(J45)&gt;=MATCH($H$2,$I:$I,0)-3,ROW(J45)&lt;=MATCH($H$2,$I:$I,0))</formula>
    </cfRule>
  </conditionalFormatting>
  <conditionalFormatting sqref="J49:J51">
    <cfRule type="expression" dxfId="7" priority="1">
      <formula>AND(ROW(J49)&gt;=MATCH($H$2,$I:$I,0)-3,ROW(J49)&lt;=MATCH($H$2,$I:$I,0))</formula>
    </cfRule>
  </conditionalFormatting>
  <conditionalFormatting sqref="I5:L40 I41:I51 K41:L51">
    <cfRule type="expression" dxfId="7" priority="4">
      <formula>AND(ROW(I5)&gt;=MATCH($H$2,$I:$I,0)-3,ROW(I5)&lt;=MATCH($H$2,$I:$I,0))</formula>
    </cfRule>
  </conditionalFormatting>
  <dataValidations count="1">
    <dataValidation type="list" allowBlank="1" showInputMessage="1" showErrorMessage="1" sqref="H2">
      <formula1>$I$5:$I$51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R64"/>
  <sheetViews>
    <sheetView zoomScale="85" zoomScaleNormal="85" workbookViewId="0">
      <selection activeCell="J73" sqref="J73"/>
    </sheetView>
  </sheetViews>
  <sheetFormatPr defaultColWidth="10" defaultRowHeight="13.5"/>
  <cols>
    <col min="1" max="1" width="14.775" style="38" customWidth="1"/>
    <col min="2" max="3" width="14.1" style="38" customWidth="1"/>
    <col min="4" max="4" width="16.4416666666667" style="38" customWidth="1"/>
    <col min="5" max="5" width="9.66666666666667" style="38" customWidth="1"/>
    <col min="7" max="8" width="14.1" customWidth="1"/>
    <col min="9" max="9" width="20.8833333333333" customWidth="1"/>
    <col min="10" max="11" width="23.1" customWidth="1"/>
    <col min="12" max="12" width="26.5583333333333" customWidth="1"/>
    <col min="13" max="13" width="14.1" customWidth="1"/>
    <col min="15" max="15" width="9.66666666666667" style="38" customWidth="1"/>
    <col min="16" max="16" width="23.1" customWidth="1"/>
    <col min="17" max="17" width="7.66666666666667" style="69" customWidth="1"/>
    <col min="18" max="18" width="26.5583333333333" style="70" customWidth="1"/>
  </cols>
  <sheetData>
    <row r="1" customFormat="1" ht="14.25" spans="1:18">
      <c r="A1" s="38" t="s">
        <v>520</v>
      </c>
      <c r="B1" s="38"/>
      <c r="C1" s="38"/>
      <c r="D1" s="38"/>
      <c r="E1" s="38"/>
      <c r="F1"/>
      <c r="G1" s="41" t="s">
        <v>515</v>
      </c>
      <c r="H1" s="41" t="s">
        <v>505</v>
      </c>
      <c r="I1" s="41" t="s">
        <v>114</v>
      </c>
      <c r="J1" s="41" t="s">
        <v>115</v>
      </c>
      <c r="K1" s="41" t="s">
        <v>116</v>
      </c>
      <c r="L1" s="41" t="s">
        <v>117</v>
      </c>
      <c r="M1"/>
      <c r="N1"/>
      <c r="O1" s="38"/>
      <c r="P1"/>
      <c r="Q1" s="69"/>
      <c r="R1" s="70"/>
    </row>
    <row r="2" customFormat="1" ht="27.75" spans="1:18">
      <c r="A2" s="71" t="s">
        <v>506</v>
      </c>
      <c r="B2" s="72">
        <v>270</v>
      </c>
      <c r="C2" s="73" t="s">
        <v>507</v>
      </c>
      <c r="D2" s="74"/>
      <c r="E2" s="75"/>
      <c r="F2"/>
      <c r="G2" s="76">
        <v>1138</v>
      </c>
      <c r="H2" s="76">
        <v>3440</v>
      </c>
      <c r="I2" s="77">
        <f>数据计算表!AM8</f>
        <v>0.39</v>
      </c>
      <c r="J2" s="77">
        <f>数据计算表!AN8</f>
        <v>0.65</v>
      </c>
      <c r="K2" s="77">
        <f>数据计算表!AO8</f>
        <v>0.26</v>
      </c>
      <c r="L2" s="77">
        <f>数据计算表!AP8</f>
        <v>0.26</v>
      </c>
      <c r="O2" s="38"/>
      <c r="P2"/>
      <c r="Q2" s="69"/>
      <c r="R2" s="70"/>
    </row>
    <row r="3" ht="14.25"/>
    <row r="4" customFormat="1" spans="1:18">
      <c r="A4" s="78" t="s">
        <v>521</v>
      </c>
      <c r="B4" s="79">
        <v>280</v>
      </c>
      <c r="C4" s="80">
        <v>280</v>
      </c>
      <c r="D4" s="38"/>
      <c r="E4" s="38"/>
      <c r="F4"/>
      <c r="G4"/>
      <c r="H4"/>
      <c r="I4" s="41" t="s">
        <v>291</v>
      </c>
      <c r="J4" s="41" t="s">
        <v>109</v>
      </c>
      <c r="K4" s="77" t="s">
        <v>110</v>
      </c>
      <c r="L4" s="77" t="s">
        <v>111</v>
      </c>
      <c r="M4"/>
      <c r="N4"/>
      <c r="O4" s="38"/>
      <c r="P4"/>
      <c r="Q4" s="69"/>
      <c r="R4" s="70"/>
    </row>
    <row r="5" customFormat="1" spans="1:18">
      <c r="A5" s="81"/>
      <c r="B5" s="82"/>
      <c r="C5" s="83">
        <v>280</v>
      </c>
      <c r="D5" s="38"/>
      <c r="E5" s="38"/>
      <c r="F5"/>
      <c r="G5"/>
      <c r="H5"/>
      <c r="I5" s="41">
        <f>数据计算表!AF2</f>
        <v>10</v>
      </c>
      <c r="J5" s="41" t="str">
        <f>数据计算表!AG2</f>
        <v>副本掉落装备升华率</v>
      </c>
      <c r="K5" s="77">
        <f>数据计算表!AH2</f>
        <v>0.03</v>
      </c>
      <c r="L5" s="84" t="str">
        <f>J5&amp;COUNTIF(J$4:J5,J5)*K5*100&amp;"%"</f>
        <v>副本掉落装备升华率3%</v>
      </c>
      <c r="O5" s="38"/>
      <c r="P5"/>
      <c r="Q5" s="69"/>
      <c r="R5" s="70"/>
    </row>
    <row r="6" customFormat="1" ht="14.25" spans="1:18">
      <c r="A6" s="85"/>
      <c r="B6" s="86">
        <v>280</v>
      </c>
      <c r="C6" s="87">
        <v>280</v>
      </c>
      <c r="D6" s="38"/>
      <c r="E6" s="38"/>
      <c r="F6"/>
      <c r="G6"/>
      <c r="H6"/>
      <c r="I6" s="41">
        <f>数据计算表!AF3</f>
        <v>20</v>
      </c>
      <c r="J6" s="41" t="str">
        <f>数据计算表!AG3</f>
        <v>宝石获取率</v>
      </c>
      <c r="K6" s="77">
        <f>数据计算表!AH3</f>
        <v>0.05</v>
      </c>
      <c r="L6" s="84" t="str">
        <f>J6&amp;COUNTIF(J$4:J6,J6)*K6*100&amp;"%"</f>
        <v>宝石获取率5%</v>
      </c>
      <c r="O6" s="38"/>
      <c r="P6"/>
      <c r="Q6" s="69"/>
      <c r="R6" s="70"/>
    </row>
    <row r="7" customFormat="1" ht="14.25" spans="1:18">
      <c r="A7" s="38"/>
      <c r="B7" s="38"/>
      <c r="C7" s="38"/>
      <c r="D7" s="38"/>
      <c r="E7" s="38"/>
      <c r="F7"/>
      <c r="G7"/>
      <c r="H7"/>
      <c r="I7" s="41">
        <f>数据计算表!AF4</f>
        <v>30</v>
      </c>
      <c r="J7" s="41" t="str">
        <f>数据计算表!AG4</f>
        <v>副本评价奖励翻倍概率</v>
      </c>
      <c r="K7" s="77">
        <f>数据计算表!AH4</f>
        <v>0.02</v>
      </c>
      <c r="L7" s="84" t="str">
        <f>J7&amp;COUNTIF(J$4:J7,J7)*K7*100&amp;"%"</f>
        <v>副本评价奖励翻倍概率2%</v>
      </c>
      <c r="O7" s="38"/>
      <c r="P7"/>
      <c r="Q7" s="69"/>
      <c r="R7" s="70"/>
    </row>
    <row r="8" customFormat="1" spans="1:18">
      <c r="A8" s="78" t="s">
        <v>522</v>
      </c>
      <c r="B8" s="88">
        <v>231</v>
      </c>
      <c r="C8" s="80">
        <v>240</v>
      </c>
      <c r="D8" s="38"/>
      <c r="E8" s="38"/>
      <c r="F8"/>
      <c r="G8"/>
      <c r="H8"/>
      <c r="I8" s="41">
        <f>数据计算表!AF5</f>
        <v>40</v>
      </c>
      <c r="J8" s="41" t="str">
        <f>数据计算表!AG5</f>
        <v>经验获取加成</v>
      </c>
      <c r="K8" s="77">
        <f>数据计算表!AH5</f>
        <v>0.02</v>
      </c>
      <c r="L8" s="84" t="str">
        <f>J8&amp;COUNTIF(J$4:J8,J8)*K8*100&amp;"%"</f>
        <v>经验获取加成2%</v>
      </c>
      <c r="O8" s="38"/>
      <c r="P8"/>
      <c r="Q8" s="69"/>
      <c r="R8" s="70"/>
    </row>
    <row r="9" customFormat="1" spans="1:18">
      <c r="A9" s="81"/>
      <c r="B9" s="89">
        <v>231</v>
      </c>
      <c r="C9" s="83">
        <v>230</v>
      </c>
      <c r="D9" s="38"/>
      <c r="E9" s="38"/>
      <c r="F9"/>
      <c r="G9"/>
      <c r="H9"/>
      <c r="I9" s="41">
        <f>数据计算表!AF6</f>
        <v>56</v>
      </c>
      <c r="J9" s="41" t="str">
        <f>数据计算表!AG6</f>
        <v>副本掉落装备升华率</v>
      </c>
      <c r="K9" s="77">
        <f>数据计算表!AH6</f>
        <v>0.03</v>
      </c>
      <c r="L9" s="84" t="str">
        <f>J9&amp;COUNTIF(J$4:J9,J9)*K9*100&amp;"%"</f>
        <v>副本掉落装备升华率6%</v>
      </c>
      <c r="O9" s="38"/>
      <c r="P9"/>
      <c r="Q9" s="69"/>
      <c r="R9" s="70"/>
    </row>
    <row r="10" customFormat="1" spans="1:18">
      <c r="A10" s="81"/>
      <c r="B10" s="89">
        <v>231</v>
      </c>
      <c r="C10" s="83">
        <v>230</v>
      </c>
      <c r="D10" s="38"/>
      <c r="E10" s="38"/>
      <c r="F10"/>
      <c r="G10"/>
      <c r="H10"/>
      <c r="I10" s="41">
        <f>数据计算表!AF7</f>
        <v>72</v>
      </c>
      <c r="J10" s="41" t="str">
        <f>数据计算表!AG7</f>
        <v>宝石获取率</v>
      </c>
      <c r="K10" s="77">
        <f>数据计算表!AH7</f>
        <v>0.05</v>
      </c>
      <c r="L10" s="84" t="str">
        <f>J10&amp;COUNTIF(J$4:J10,J10)*K10*100&amp;"%"</f>
        <v>宝石获取率10%</v>
      </c>
      <c r="O10" s="38"/>
      <c r="P10"/>
      <c r="Q10" s="69"/>
      <c r="R10" s="70"/>
    </row>
    <row r="11" customFormat="1" ht="14.25" spans="1:18">
      <c r="A11" s="85"/>
      <c r="B11" s="86">
        <v>230</v>
      </c>
      <c r="C11" s="87">
        <v>230</v>
      </c>
      <c r="D11" s="38"/>
      <c r="E11" s="38"/>
      <c r="F11"/>
      <c r="G11"/>
      <c r="H11"/>
      <c r="I11" s="41">
        <f>数据计算表!AF8</f>
        <v>88</v>
      </c>
      <c r="J11" s="41" t="str">
        <f>数据计算表!AG8</f>
        <v>副本评价奖励翻倍概率</v>
      </c>
      <c r="K11" s="77">
        <f>数据计算表!AH8</f>
        <v>0.02</v>
      </c>
      <c r="L11" s="84" t="str">
        <f>J11&amp;COUNTIF(J$4:J11,J11)*K11*100&amp;"%"</f>
        <v>副本评价奖励翻倍概率4%</v>
      </c>
      <c r="O11" s="38"/>
      <c r="P11"/>
      <c r="Q11" s="69"/>
      <c r="R11" s="70"/>
    </row>
    <row r="12" customFormat="1" ht="14.25" spans="1:18">
      <c r="A12" s="38"/>
      <c r="B12" s="38"/>
      <c r="C12" s="38"/>
      <c r="D12" s="38"/>
      <c r="E12" s="38"/>
      <c r="F12"/>
      <c r="G12"/>
      <c r="H12"/>
      <c r="I12" s="41">
        <f>数据计算表!AF9</f>
        <v>104</v>
      </c>
      <c r="J12" s="41" t="str">
        <f>数据计算表!AG9</f>
        <v>经验获取加成</v>
      </c>
      <c r="K12" s="77">
        <f>数据计算表!AH9</f>
        <v>0.02</v>
      </c>
      <c r="L12" s="84" t="str">
        <f>J12&amp;COUNTIF(J$4:J12,J12)*K12*100&amp;"%"</f>
        <v>经验获取加成4%</v>
      </c>
      <c r="O12" s="38"/>
      <c r="P12"/>
      <c r="Q12" s="69"/>
      <c r="R12" s="70"/>
    </row>
    <row r="13" customFormat="1" spans="1:18">
      <c r="A13" s="78" t="s">
        <v>523</v>
      </c>
      <c r="B13" s="88">
        <v>27</v>
      </c>
      <c r="C13" s="90">
        <v>27</v>
      </c>
      <c r="D13" s="90">
        <v>27</v>
      </c>
      <c r="E13" s="80">
        <v>27</v>
      </c>
      <c r="F13"/>
      <c r="G13"/>
      <c r="H13"/>
      <c r="I13" s="41">
        <f>数据计算表!AF10</f>
        <v>128</v>
      </c>
      <c r="J13" s="41" t="str">
        <f>数据计算表!AG10</f>
        <v>副本掉落装备升华率</v>
      </c>
      <c r="K13" s="77">
        <f>数据计算表!AH10</f>
        <v>0.03</v>
      </c>
      <c r="L13" s="84" t="str">
        <f>J13&amp;COUNTIF(J$4:J13,J13)*K13*100&amp;"%"</f>
        <v>副本掉落装备升华率9%</v>
      </c>
      <c r="O13" s="38"/>
      <c r="P13"/>
      <c r="Q13" s="69"/>
      <c r="R13" s="70"/>
    </row>
    <row r="14" customFormat="1" spans="1:18">
      <c r="A14" s="81"/>
      <c r="B14" s="89">
        <v>27</v>
      </c>
      <c r="C14" s="76">
        <v>27</v>
      </c>
      <c r="D14" s="76">
        <v>27</v>
      </c>
      <c r="E14" s="83">
        <v>27</v>
      </c>
      <c r="F14"/>
      <c r="G14"/>
      <c r="H14"/>
      <c r="I14" s="41">
        <f>数据计算表!AF11</f>
        <v>152</v>
      </c>
      <c r="J14" s="41" t="str">
        <f>数据计算表!AG11</f>
        <v>宝石获取率</v>
      </c>
      <c r="K14" s="77">
        <f>数据计算表!AH11</f>
        <v>0.05</v>
      </c>
      <c r="L14" s="84" t="str">
        <f>J14&amp;COUNTIF(J$4:J14,J14)*K14*100&amp;"%"</f>
        <v>宝石获取率15%</v>
      </c>
      <c r="O14" s="38"/>
      <c r="P14"/>
      <c r="Q14" s="69"/>
      <c r="R14" s="70"/>
    </row>
    <row r="15" customFormat="1" spans="1:18">
      <c r="A15" s="81"/>
      <c r="B15" s="89">
        <v>27</v>
      </c>
      <c r="C15" s="76">
        <v>27</v>
      </c>
      <c r="D15" s="76">
        <v>27</v>
      </c>
      <c r="E15" s="83">
        <v>27</v>
      </c>
      <c r="F15"/>
      <c r="G15"/>
      <c r="H15"/>
      <c r="I15" s="41">
        <f>数据计算表!AF12</f>
        <v>176</v>
      </c>
      <c r="J15" s="41" t="str">
        <f>数据计算表!AG12</f>
        <v>副本评价奖励翻倍概率</v>
      </c>
      <c r="K15" s="77">
        <f>数据计算表!AH12</f>
        <v>0.02</v>
      </c>
      <c r="L15" s="84" t="str">
        <f>J15&amp;COUNTIF(J$4:J15,J15)*K15*100&amp;"%"</f>
        <v>副本评价奖励翻倍概率6%</v>
      </c>
      <c r="O15" s="38"/>
      <c r="P15"/>
      <c r="Q15" s="69"/>
      <c r="R15" s="70"/>
    </row>
    <row r="16" customFormat="1" spans="1:18">
      <c r="A16" s="81"/>
      <c r="B16" s="89">
        <v>27</v>
      </c>
      <c r="C16" s="76">
        <v>27</v>
      </c>
      <c r="D16" s="76">
        <v>27</v>
      </c>
      <c r="E16" s="83">
        <v>27</v>
      </c>
      <c r="F16"/>
      <c r="G16"/>
      <c r="H16"/>
      <c r="I16" s="41">
        <f>数据计算表!AF13</f>
        <v>200</v>
      </c>
      <c r="J16" s="41" t="str">
        <f>数据计算表!AG13</f>
        <v>经验获取加成</v>
      </c>
      <c r="K16" s="77">
        <f>数据计算表!AH13</f>
        <v>0.02</v>
      </c>
      <c r="L16" s="84" t="str">
        <f>J16&amp;COUNTIF(J$4:J16,J16)*K16*100&amp;"%"</f>
        <v>经验获取加成6%</v>
      </c>
      <c r="O16" s="38"/>
      <c r="P16"/>
      <c r="Q16" s="69"/>
      <c r="R16" s="70"/>
    </row>
    <row r="17" customFormat="1" ht="14.25" spans="1:18">
      <c r="A17" s="85"/>
      <c r="B17" s="86">
        <v>27</v>
      </c>
      <c r="C17" s="91">
        <v>27</v>
      </c>
      <c r="D17" s="91">
        <v>27</v>
      </c>
      <c r="E17" s="87">
        <v>27</v>
      </c>
      <c r="F17"/>
      <c r="G17"/>
      <c r="H17"/>
      <c r="I17" s="41">
        <f>数据计算表!AF14</f>
        <v>230</v>
      </c>
      <c r="J17" s="41" t="str">
        <f>数据计算表!AG14</f>
        <v>副本掉落装备升华率</v>
      </c>
      <c r="K17" s="77">
        <f>数据计算表!AH14</f>
        <v>0.03</v>
      </c>
      <c r="L17" s="84" t="str">
        <f>J17&amp;COUNTIF(J$4:J17,J17)*K17*100&amp;"%"</f>
        <v>副本掉落装备升华率12%</v>
      </c>
      <c r="O17" s="38"/>
      <c r="P17"/>
      <c r="Q17" s="69"/>
      <c r="R17" s="70"/>
    </row>
    <row r="18" customFormat="1" ht="14.25" spans="1:18">
      <c r="A18" s="38"/>
      <c r="B18" s="38"/>
      <c r="C18" s="38"/>
      <c r="D18" s="38"/>
      <c r="E18" s="38"/>
      <c r="F18"/>
      <c r="G18"/>
      <c r="H18"/>
      <c r="I18" s="41">
        <f>数据计算表!AF15</f>
        <v>260</v>
      </c>
      <c r="J18" s="41" t="str">
        <f>数据计算表!AG15</f>
        <v>宝石获取率</v>
      </c>
      <c r="K18" s="77">
        <f>数据计算表!AH15</f>
        <v>0.05</v>
      </c>
      <c r="L18" s="84" t="str">
        <f>J18&amp;COUNTIF(J$4:J18,J18)*K18*100&amp;"%"</f>
        <v>宝石获取率20%</v>
      </c>
      <c r="O18" s="38"/>
      <c r="P18"/>
      <c r="Q18" s="69"/>
      <c r="R18" s="70"/>
    </row>
    <row r="19" customFormat="1" ht="27.75" spans="1:18">
      <c r="A19" s="71" t="s">
        <v>524</v>
      </c>
      <c r="B19" s="92">
        <v>220</v>
      </c>
      <c r="C19" s="93">
        <v>211</v>
      </c>
      <c r="D19" s="93">
        <v>211</v>
      </c>
      <c r="E19" s="94">
        <v>211</v>
      </c>
      <c r="F19"/>
      <c r="G19"/>
      <c r="H19"/>
      <c r="I19" s="41">
        <f>数据计算表!AF16</f>
        <v>290</v>
      </c>
      <c r="J19" s="41" t="str">
        <f>数据计算表!AG16</f>
        <v>副本评价奖励翻倍概率</v>
      </c>
      <c r="K19" s="77">
        <f>数据计算表!AH16</f>
        <v>0.02</v>
      </c>
      <c r="L19" s="84" t="str">
        <f>J19&amp;COUNTIF(J$4:J19,J19)*K19*100&amp;"%"</f>
        <v>副本评价奖励翻倍概率8%</v>
      </c>
      <c r="O19" s="38"/>
      <c r="P19"/>
      <c r="Q19" s="69"/>
      <c r="R19" s="70"/>
    </row>
    <row r="20" customFormat="1" ht="14.25" spans="1:18">
      <c r="A20" s="38"/>
      <c r="B20" s="38"/>
      <c r="C20" s="38"/>
      <c r="D20" s="38"/>
      <c r="E20" s="38"/>
      <c r="F20"/>
      <c r="G20"/>
      <c r="H20"/>
      <c r="I20" s="41">
        <f>数据计算表!AF17</f>
        <v>320</v>
      </c>
      <c r="J20" s="41" t="str">
        <f>数据计算表!AG17</f>
        <v>经验获取加成</v>
      </c>
      <c r="K20" s="77">
        <f>数据计算表!AH17</f>
        <v>0.02</v>
      </c>
      <c r="L20" s="84" t="str">
        <f>J20&amp;COUNTIF(J$4:J20,J20)*K20*100&amp;"%"</f>
        <v>经验获取加成8%</v>
      </c>
      <c r="O20" s="38"/>
      <c r="P20"/>
      <c r="Q20" s="69"/>
      <c r="R20" s="70"/>
    </row>
    <row r="21" customFormat="1" ht="14.25" spans="1:18">
      <c r="A21" s="73" t="s">
        <v>512</v>
      </c>
      <c r="B21" s="95">
        <f>数据计算表!AB10</f>
        <v>65</v>
      </c>
      <c r="C21" s="38"/>
      <c r="D21" s="38"/>
      <c r="E21" s="38"/>
      <c r="F21"/>
      <c r="G21"/>
      <c r="H21"/>
      <c r="I21" s="41">
        <f>数据计算表!AF18</f>
        <v>360</v>
      </c>
      <c r="J21" s="41" t="str">
        <f>数据计算表!AG18</f>
        <v>副本掉落装备升华率</v>
      </c>
      <c r="K21" s="77">
        <f>数据计算表!AH18</f>
        <v>0.03</v>
      </c>
      <c r="L21" s="84" t="str">
        <f>J21&amp;COUNTIF(J$4:J21,J21)*K21*100&amp;"%"</f>
        <v>副本掉落装备升华率15%</v>
      </c>
      <c r="O21" s="38"/>
      <c r="P21"/>
      <c r="Q21" s="69"/>
      <c r="R21" s="70"/>
    </row>
    <row r="22" customFormat="1" ht="14.25" spans="1:18">
      <c r="A22" s="38"/>
      <c r="B22" s="38"/>
      <c r="C22" s="38"/>
      <c r="D22" s="38"/>
      <c r="E22" s="38"/>
      <c r="F22"/>
      <c r="G22"/>
      <c r="H22"/>
      <c r="I22" s="41">
        <f>数据计算表!AF19</f>
        <v>400</v>
      </c>
      <c r="J22" s="41" t="str">
        <f>数据计算表!AG19</f>
        <v>宝石获取率</v>
      </c>
      <c r="K22" s="77">
        <f>数据计算表!AH19</f>
        <v>0.05</v>
      </c>
      <c r="L22" s="84" t="str">
        <f>J22&amp;COUNTIF(J$4:J22,J22)*K22*100&amp;"%"</f>
        <v>宝石获取率25%</v>
      </c>
      <c r="O22" s="38"/>
      <c r="P22"/>
      <c r="Q22" s="69"/>
      <c r="R22" s="70"/>
    </row>
    <row r="23" customFormat="1" ht="14.25" spans="1:18">
      <c r="A23" s="73" t="s">
        <v>513</v>
      </c>
      <c r="B23" s="95">
        <f>数据计算表!AA29</f>
        <v>29263</v>
      </c>
      <c r="C23" s="38"/>
      <c r="D23" s="38"/>
      <c r="E23" s="38"/>
      <c r="F23"/>
      <c r="G23"/>
      <c r="H23"/>
      <c r="I23" s="41">
        <f>数据计算表!AF20</f>
        <v>440</v>
      </c>
      <c r="J23" s="41" t="str">
        <f>数据计算表!AG20</f>
        <v>副本评价奖励翻倍概率</v>
      </c>
      <c r="K23" s="77">
        <f>数据计算表!AH20</f>
        <v>0.02</v>
      </c>
      <c r="L23" s="84" t="str">
        <f>J23&amp;COUNTIF(J$4:J23,J23)*K23*100&amp;"%"</f>
        <v>副本评价奖励翻倍概率10%</v>
      </c>
      <c r="O23" s="38"/>
      <c r="P23"/>
      <c r="Q23" s="69"/>
      <c r="R23" s="70"/>
    </row>
    <row r="24" customFormat="1" ht="14.25" spans="1:18">
      <c r="A24" s="73" t="s">
        <v>525</v>
      </c>
      <c r="B24" s="95">
        <f>数据计算表!Z31+G2</f>
        <v>3454</v>
      </c>
      <c r="C24" s="38"/>
      <c r="D24" s="38"/>
      <c r="E24" s="38"/>
      <c r="F24"/>
      <c r="G24"/>
      <c r="H24"/>
      <c r="I24" s="41">
        <f>数据计算表!AF21</f>
        <v>480</v>
      </c>
      <c r="J24" s="41" t="str">
        <f>数据计算表!AG21</f>
        <v>经验获取加成</v>
      </c>
      <c r="K24" s="77">
        <f>数据计算表!AH21</f>
        <v>0.02</v>
      </c>
      <c r="L24" s="84" t="str">
        <f>J24&amp;COUNTIF(J$4:J24,J24)*K24*100&amp;"%"</f>
        <v>经验获取加成10%</v>
      </c>
      <c r="O24" s="38"/>
      <c r="P24"/>
      <c r="Q24" s="69"/>
      <c r="R24" s="70"/>
    </row>
    <row r="25" customFormat="1" ht="14.25" spans="1:18">
      <c r="A25" s="96" t="s">
        <v>292</v>
      </c>
      <c r="B25" s="97">
        <f>数据计算表!AA31</f>
        <v>-182</v>
      </c>
      <c r="I25" s="41">
        <f>数据计算表!AF22</f>
        <v>530</v>
      </c>
      <c r="J25" s="41" t="str">
        <f>数据计算表!AG22</f>
        <v>副本掉落装备升华率</v>
      </c>
      <c r="K25" s="77">
        <f>数据计算表!AH22</f>
        <v>0.03</v>
      </c>
      <c r="L25" s="84" t="str">
        <f>J25&amp;COUNTIF(J$4:J25,J25)*K25*100&amp;"%"</f>
        <v>副本掉落装备升华率18%</v>
      </c>
      <c r="O25" s="38"/>
      <c r="P25"/>
      <c r="Q25" s="69"/>
      <c r="R25" s="70"/>
    </row>
    <row r="26" customFormat="1" spans="1:18">
      <c r="I26" s="41">
        <f>数据计算表!AF23</f>
        <v>580</v>
      </c>
      <c r="J26" s="41" t="str">
        <f>数据计算表!AG23</f>
        <v>宝石获取率</v>
      </c>
      <c r="K26" s="77">
        <f>数据计算表!AH23</f>
        <v>0.05</v>
      </c>
      <c r="L26" s="84" t="str">
        <f>J26&amp;COUNTIF(J$4:J26,J26)*K26*100&amp;"%"</f>
        <v>宝石获取率30%</v>
      </c>
      <c r="O26" s="38"/>
      <c r="P26"/>
      <c r="Q26" s="69"/>
      <c r="R26" s="70"/>
    </row>
    <row r="27" customFormat="1" spans="1:18">
      <c r="I27" s="41">
        <f>数据计算表!AF24</f>
        <v>630</v>
      </c>
      <c r="J27" s="41" t="str">
        <f>数据计算表!AG24</f>
        <v>副本评价奖励翻倍概率</v>
      </c>
      <c r="K27" s="77">
        <f>数据计算表!AH24</f>
        <v>0.02</v>
      </c>
      <c r="L27" s="84" t="str">
        <f>J27&amp;COUNTIF(J$4:J27,J27)*K27*100&amp;"%"</f>
        <v>副本评价奖励翻倍概率12%</v>
      </c>
      <c r="O27" s="38"/>
      <c r="P27"/>
      <c r="Q27" s="69"/>
      <c r="R27" s="70"/>
    </row>
    <row r="28" customFormat="1" spans="1:18">
      <c r="I28" s="41">
        <f>数据计算表!AF25</f>
        <v>680</v>
      </c>
      <c r="J28" s="41" t="str">
        <f>数据计算表!AG25</f>
        <v>经验获取加成</v>
      </c>
      <c r="K28" s="77">
        <f>数据计算表!AH25</f>
        <v>0.02</v>
      </c>
      <c r="L28" s="84" t="str">
        <f>J28&amp;COUNTIF(J$4:J28,J28)*K28*100&amp;"%"</f>
        <v>经验获取加成12%</v>
      </c>
      <c r="O28" s="38"/>
      <c r="P28"/>
      <c r="Q28" s="69"/>
      <c r="R28" s="70"/>
    </row>
    <row r="29" customFormat="1" spans="1:18">
      <c r="A29" s="38"/>
      <c r="B29" s="38"/>
      <c r="C29" s="38"/>
      <c r="D29" s="38"/>
      <c r="E29" s="38"/>
      <c r="F29"/>
      <c r="G29"/>
      <c r="H29"/>
      <c r="I29" s="41">
        <f>数据计算表!AF26</f>
        <v>740</v>
      </c>
      <c r="J29" s="41" t="str">
        <f>数据计算表!AG26</f>
        <v>副本掉落装备升华率</v>
      </c>
      <c r="K29" s="77">
        <f>数据计算表!AH26</f>
        <v>0.03</v>
      </c>
      <c r="L29" s="84" t="str">
        <f>J29&amp;COUNTIF(J$4:J29,J29)*K29*100&amp;"%"</f>
        <v>副本掉落装备升华率21%</v>
      </c>
      <c r="O29" s="38"/>
      <c r="P29"/>
      <c r="Q29" s="69"/>
      <c r="R29" s="70"/>
    </row>
    <row r="30" customFormat="1" spans="1:18">
      <c r="A30" s="38"/>
      <c r="B30" s="38"/>
      <c r="C30" s="38"/>
      <c r="D30" s="38"/>
      <c r="E30" s="38"/>
      <c r="I30" s="41">
        <f>数据计算表!AF27</f>
        <v>800</v>
      </c>
      <c r="J30" s="41" t="str">
        <f>数据计算表!AG27</f>
        <v>宝石获取率</v>
      </c>
      <c r="K30" s="77">
        <f>数据计算表!AH27</f>
        <v>0.05</v>
      </c>
      <c r="L30" s="84" t="str">
        <f>J30&amp;COUNTIF(J$4:J30,J30)*K30*100&amp;"%"</f>
        <v>宝石获取率35%</v>
      </c>
      <c r="O30" s="38"/>
      <c r="Q30" s="69"/>
      <c r="R30" s="70"/>
    </row>
    <row r="31" customFormat="1" spans="1:18">
      <c r="A31" s="38"/>
      <c r="B31" s="38"/>
      <c r="C31" s="38"/>
      <c r="D31" s="38"/>
      <c r="E31" s="38"/>
      <c r="I31" s="41">
        <f>数据计算表!AF28</f>
        <v>860</v>
      </c>
      <c r="J31" s="41" t="str">
        <f>数据计算表!AG28</f>
        <v>副本评价奖励翻倍概率</v>
      </c>
      <c r="K31" s="77">
        <f>数据计算表!AH28</f>
        <v>0.02</v>
      </c>
      <c r="L31" s="84" t="str">
        <f>J31&amp;COUNTIF(J$4:J31,J31)*K31*100&amp;"%"</f>
        <v>副本评价奖励翻倍概率14%</v>
      </c>
      <c r="O31" s="38"/>
      <c r="Q31" s="69"/>
      <c r="R31" s="70"/>
    </row>
    <row r="32" customFormat="1" spans="1:18">
      <c r="A32" s="38"/>
      <c r="B32" s="38"/>
      <c r="C32" s="38"/>
      <c r="D32" s="38"/>
      <c r="E32" s="38"/>
      <c r="I32" s="41">
        <f>数据计算表!AF29</f>
        <v>920</v>
      </c>
      <c r="J32" s="41" t="str">
        <f>数据计算表!AG29</f>
        <v>经验获取加成</v>
      </c>
      <c r="K32" s="77">
        <f>数据计算表!AH29</f>
        <v>0.02</v>
      </c>
      <c r="L32" s="84" t="str">
        <f>J32&amp;COUNTIF(J$4:J32,J32)*K32*100&amp;"%"</f>
        <v>经验获取加成14%</v>
      </c>
      <c r="O32" s="38"/>
      <c r="Q32" s="69"/>
      <c r="R32" s="70"/>
    </row>
    <row r="33" customFormat="1" spans="1:18">
      <c r="A33" s="38"/>
      <c r="B33" s="38"/>
      <c r="C33" s="38"/>
      <c r="D33" s="38"/>
      <c r="E33" s="38"/>
      <c r="I33" s="41">
        <f>数据计算表!AF30</f>
        <v>990</v>
      </c>
      <c r="J33" s="41" t="str">
        <f>数据计算表!AG30</f>
        <v>副本掉落装备升华率</v>
      </c>
      <c r="K33" s="77">
        <f>数据计算表!AH30</f>
        <v>0.03</v>
      </c>
      <c r="L33" s="84" t="str">
        <f>J33&amp;COUNTIF(J$4:J33,J33)*K33*100&amp;"%"</f>
        <v>副本掉落装备升华率24%</v>
      </c>
      <c r="O33" s="38"/>
      <c r="Q33" s="69"/>
      <c r="R33" s="70"/>
    </row>
    <row r="34" customFormat="1" spans="1:18">
      <c r="A34" s="38"/>
      <c r="B34" s="38"/>
      <c r="C34" s="38"/>
      <c r="D34" s="38"/>
      <c r="E34" s="38"/>
      <c r="I34" s="41">
        <f>数据计算表!AF31</f>
        <v>1060</v>
      </c>
      <c r="J34" s="41" t="str">
        <f>数据计算表!AG31</f>
        <v>宝石获取率</v>
      </c>
      <c r="K34" s="77">
        <f>数据计算表!AH31</f>
        <v>0.05</v>
      </c>
      <c r="L34" s="84" t="str">
        <f>J34&amp;COUNTIF(J$4:J34,J34)*K34*100&amp;"%"</f>
        <v>宝石获取率40%</v>
      </c>
      <c r="O34" s="38"/>
      <c r="Q34" s="69"/>
      <c r="R34" s="70"/>
    </row>
    <row r="35" customFormat="1" spans="1:18">
      <c r="A35" s="38"/>
      <c r="B35" s="38"/>
      <c r="C35" s="38"/>
      <c r="D35" s="38"/>
      <c r="E35" s="38"/>
      <c r="I35" s="41">
        <f>数据计算表!AF32</f>
        <v>1130</v>
      </c>
      <c r="J35" s="41" t="str">
        <f>数据计算表!AG32</f>
        <v>副本评价奖励翻倍概率</v>
      </c>
      <c r="K35" s="77">
        <f>数据计算表!AH32</f>
        <v>0.02</v>
      </c>
      <c r="L35" s="84" t="str">
        <f>J35&amp;COUNTIF(J$4:J35,J35)*K35*100&amp;"%"</f>
        <v>副本评价奖励翻倍概率16%</v>
      </c>
      <c r="O35" s="38"/>
      <c r="Q35" s="69"/>
      <c r="R35" s="70"/>
    </row>
    <row r="36" customFormat="1" spans="1:18">
      <c r="A36" s="38"/>
      <c r="B36" s="38"/>
      <c r="C36" s="38"/>
      <c r="D36" s="38"/>
      <c r="E36" s="38"/>
      <c r="I36" s="41">
        <f>数据计算表!AF33</f>
        <v>1200</v>
      </c>
      <c r="J36" s="41" t="str">
        <f>数据计算表!AG33</f>
        <v>经验获取加成</v>
      </c>
      <c r="K36" s="77">
        <f>数据计算表!AH33</f>
        <v>0.02</v>
      </c>
      <c r="L36" s="84" t="str">
        <f>J36&amp;COUNTIF(J$4:J36,J36)*K36*100&amp;"%"</f>
        <v>经验获取加成16%</v>
      </c>
      <c r="O36" s="38"/>
      <c r="Q36" s="69"/>
      <c r="R36" s="70"/>
    </row>
    <row r="37" customFormat="1" spans="1:18">
      <c r="A37" s="38"/>
      <c r="B37" s="38"/>
      <c r="C37" s="38"/>
      <c r="D37" s="38"/>
      <c r="E37" s="38"/>
      <c r="I37" s="41">
        <f>数据计算表!AF34</f>
        <v>1280</v>
      </c>
      <c r="J37" s="41" t="str">
        <f>数据计算表!AG34</f>
        <v>副本掉落装备升华率</v>
      </c>
      <c r="K37" s="77">
        <f>数据计算表!AH34</f>
        <v>0.03</v>
      </c>
      <c r="L37" s="84" t="str">
        <f>J37&amp;COUNTIF(J$4:J37,J37)*K37*100&amp;"%"</f>
        <v>副本掉落装备升华率27%</v>
      </c>
      <c r="O37" s="38"/>
      <c r="Q37" s="69"/>
      <c r="R37" s="70"/>
    </row>
    <row r="38" customFormat="1" spans="1:18">
      <c r="A38" s="38"/>
      <c r="B38" s="38"/>
      <c r="C38" s="38"/>
      <c r="D38" s="38"/>
      <c r="E38" s="38"/>
      <c r="I38" s="41">
        <f>数据计算表!AF35</f>
        <v>1360</v>
      </c>
      <c r="J38" s="41" t="str">
        <f>数据计算表!AG35</f>
        <v>宝石获取率</v>
      </c>
      <c r="K38" s="77">
        <f>数据计算表!AH35</f>
        <v>0.05</v>
      </c>
      <c r="L38" s="84" t="str">
        <f>J38&amp;COUNTIF(J$4:J38,J38)*K38*100&amp;"%"</f>
        <v>宝石获取率45%</v>
      </c>
      <c r="O38" s="38"/>
      <c r="Q38" s="69"/>
      <c r="R38" s="70"/>
    </row>
    <row r="39" customFormat="1" spans="1:18">
      <c r="A39" s="38"/>
      <c r="B39" s="38"/>
      <c r="C39" s="38"/>
      <c r="D39" s="38"/>
      <c r="E39" s="38"/>
      <c r="I39" s="41">
        <f>数据计算表!AF36</f>
        <v>1440</v>
      </c>
      <c r="J39" s="41" t="str">
        <f>数据计算表!AG36</f>
        <v>副本评价奖励翻倍概率</v>
      </c>
      <c r="K39" s="77">
        <f>数据计算表!AH36</f>
        <v>0.02</v>
      </c>
      <c r="L39" s="84" t="str">
        <f>J39&amp;COUNTIF(J$4:J39,J39)*K39*100&amp;"%"</f>
        <v>副本评价奖励翻倍概率18%</v>
      </c>
      <c r="O39" s="38"/>
      <c r="Q39" s="69"/>
      <c r="R39" s="70"/>
    </row>
    <row r="40" customFormat="1" spans="1:18">
      <c r="A40" s="38"/>
      <c r="B40" s="38"/>
      <c r="C40" s="38"/>
      <c r="D40" s="38"/>
      <c r="E40" s="38"/>
      <c r="I40" s="41">
        <f>数据计算表!AF37</f>
        <v>1520</v>
      </c>
      <c r="J40" s="41" t="str">
        <f>数据计算表!AG37</f>
        <v>经验获取加成</v>
      </c>
      <c r="K40" s="77">
        <f>数据计算表!AH37</f>
        <v>0.02</v>
      </c>
      <c r="L40" s="84" t="str">
        <f>J40&amp;COUNTIF(J$4:J40,J40)*K40*100&amp;"%"</f>
        <v>经验获取加成18%</v>
      </c>
      <c r="O40" s="38"/>
      <c r="Q40" s="69"/>
      <c r="R40" s="70"/>
    </row>
    <row r="41" customFormat="1" spans="1:18">
      <c r="A41" s="38"/>
      <c r="B41" s="38"/>
      <c r="C41" s="38"/>
      <c r="D41" s="38"/>
      <c r="E41" s="38"/>
      <c r="I41" s="41">
        <f>数据计算表!AF38</f>
        <v>1610</v>
      </c>
      <c r="J41" s="41" t="str">
        <f>数据计算表!AG38</f>
        <v>副本掉落装备升华率</v>
      </c>
      <c r="K41" s="77">
        <f>数据计算表!AH38</f>
        <v>0.03</v>
      </c>
      <c r="L41" s="84" t="str">
        <f>J41&amp;COUNTIF(J$4:J41,J41)*K41*100&amp;"%"</f>
        <v>副本掉落装备升华率30%</v>
      </c>
      <c r="O41" s="38"/>
      <c r="Q41" s="69"/>
      <c r="R41" s="70"/>
    </row>
    <row r="42" customFormat="1" spans="1:18">
      <c r="A42" s="38"/>
      <c r="B42" s="38"/>
      <c r="C42" s="38"/>
      <c r="D42" s="38"/>
      <c r="E42" s="38"/>
      <c r="I42" s="41">
        <f>数据计算表!AF39</f>
        <v>1700</v>
      </c>
      <c r="J42" s="41" t="str">
        <f>数据计算表!AG39</f>
        <v>宝石获取率</v>
      </c>
      <c r="K42" s="77">
        <f>数据计算表!AH39</f>
        <v>0.05</v>
      </c>
      <c r="L42" s="84" t="str">
        <f>J42&amp;COUNTIF(J$4:J42,J42)*K42*100&amp;"%"</f>
        <v>宝石获取率50%</v>
      </c>
      <c r="O42" s="38"/>
      <c r="Q42" s="69"/>
      <c r="R42" s="70"/>
    </row>
    <row r="43" customFormat="1" spans="1:18">
      <c r="A43" s="38"/>
      <c r="B43" s="38"/>
      <c r="C43" s="38"/>
      <c r="D43" s="38"/>
      <c r="E43" s="38"/>
      <c r="I43" s="41">
        <f>数据计算表!AF40</f>
        <v>1790</v>
      </c>
      <c r="J43" s="41" t="str">
        <f>数据计算表!AG40</f>
        <v>副本评价奖励翻倍概率</v>
      </c>
      <c r="K43" s="77">
        <f>数据计算表!AH40</f>
        <v>0.02</v>
      </c>
      <c r="L43" s="84" t="str">
        <f>J43&amp;COUNTIF(J$4:J43,J43)*K43*100&amp;"%"</f>
        <v>副本评价奖励翻倍概率20%</v>
      </c>
      <c r="O43" s="38"/>
      <c r="Q43" s="69"/>
      <c r="R43" s="70"/>
    </row>
    <row r="44" customFormat="1" spans="1:18">
      <c r="A44" s="38"/>
      <c r="B44" s="38"/>
      <c r="C44" s="38"/>
      <c r="D44" s="38"/>
      <c r="E44" s="38"/>
      <c r="I44" s="41">
        <f>数据计算表!AF41</f>
        <v>1880</v>
      </c>
      <c r="J44" s="41" t="str">
        <f>数据计算表!AG41</f>
        <v>经验获取加成</v>
      </c>
      <c r="K44" s="77">
        <f>数据计算表!AH41</f>
        <v>0.02</v>
      </c>
      <c r="L44" s="84" t="str">
        <f>J44&amp;COUNTIF(J$4:J44,J44)*K44*100&amp;"%"</f>
        <v>经验获取加成20%</v>
      </c>
      <c r="O44" s="38"/>
      <c r="Q44" s="69"/>
      <c r="R44" s="70"/>
    </row>
    <row r="45" customFormat="1" spans="1:18">
      <c r="A45" s="38"/>
      <c r="B45" s="38"/>
      <c r="C45" s="38"/>
      <c r="D45" s="38"/>
      <c r="E45" s="38"/>
      <c r="I45" s="41">
        <f>数据计算表!AF42</f>
        <v>2000</v>
      </c>
      <c r="J45" s="41" t="str">
        <f>数据计算表!AG42</f>
        <v>副本掉落装备升华率</v>
      </c>
      <c r="K45" s="77">
        <f>数据计算表!AH42</f>
        <v>0.03</v>
      </c>
      <c r="L45" s="84" t="str">
        <f>J45&amp;COUNTIF(J$4:J45,J45)*K45*100&amp;"%"</f>
        <v>副本掉落装备升华率33%</v>
      </c>
      <c r="O45" s="38"/>
      <c r="Q45" s="69"/>
      <c r="R45" s="70"/>
    </row>
    <row r="46" customFormat="1" spans="1:18">
      <c r="A46" s="38"/>
      <c r="B46" s="38"/>
      <c r="C46" s="38"/>
      <c r="D46" s="38"/>
      <c r="E46" s="38"/>
      <c r="I46" s="41">
        <f>数据计算表!AF43</f>
        <v>2120</v>
      </c>
      <c r="J46" s="41" t="str">
        <f>数据计算表!AG43</f>
        <v>宝石获取率</v>
      </c>
      <c r="K46" s="77">
        <f>数据计算表!AH43</f>
        <v>0.05</v>
      </c>
      <c r="L46" s="84" t="str">
        <f>J46&amp;COUNTIF(J$4:J46,J46)*K46*100&amp;"%"</f>
        <v>宝石获取率55%</v>
      </c>
      <c r="O46" s="38"/>
      <c r="Q46" s="69"/>
      <c r="R46" s="70"/>
    </row>
    <row r="47" customFormat="1" spans="1:18">
      <c r="A47" s="38"/>
      <c r="B47" s="38"/>
      <c r="C47" s="38"/>
      <c r="D47" s="38"/>
      <c r="E47" s="38"/>
      <c r="I47" s="41">
        <f>数据计算表!AF44</f>
        <v>2240</v>
      </c>
      <c r="J47" s="41" t="str">
        <f>数据计算表!AG44</f>
        <v>副本评价奖励翻倍概率</v>
      </c>
      <c r="K47" s="77">
        <f>数据计算表!AH44</f>
        <v>0.02</v>
      </c>
      <c r="L47" s="84" t="str">
        <f>J47&amp;COUNTIF(J$4:J47,J47)*K47*100&amp;"%"</f>
        <v>副本评价奖励翻倍概率22%</v>
      </c>
      <c r="O47" s="38"/>
      <c r="Q47" s="69"/>
      <c r="R47" s="70"/>
    </row>
    <row r="48" customFormat="1" spans="1:18">
      <c r="A48" s="38"/>
      <c r="B48" s="38"/>
      <c r="C48" s="38"/>
      <c r="D48" s="38"/>
      <c r="E48" s="38"/>
      <c r="I48" s="41">
        <f>数据计算表!AF45</f>
        <v>2360</v>
      </c>
      <c r="J48" s="41" t="str">
        <f>数据计算表!AG45</f>
        <v>经验获取加成</v>
      </c>
      <c r="K48" s="77">
        <f>数据计算表!AH45</f>
        <v>0.02</v>
      </c>
      <c r="L48" s="84" t="str">
        <f>J48&amp;COUNTIF(J$4:J48,J48)*K48*100&amp;"%"</f>
        <v>经验获取加成22%</v>
      </c>
      <c r="O48" s="38"/>
      <c r="Q48" s="69"/>
      <c r="R48" s="70"/>
    </row>
    <row r="49" customFormat="1" spans="1:18">
      <c r="A49" s="38"/>
      <c r="B49" s="38"/>
      <c r="C49" s="38"/>
      <c r="D49" s="38"/>
      <c r="E49" s="38"/>
      <c r="I49" s="41">
        <f>数据计算表!AF46</f>
        <v>2490</v>
      </c>
      <c r="J49" s="41" t="str">
        <f>数据计算表!AG46</f>
        <v>副本掉落装备升华率</v>
      </c>
      <c r="K49" s="77">
        <f>数据计算表!AH46</f>
        <v>0.03</v>
      </c>
      <c r="L49" s="84" t="str">
        <f>J49&amp;COUNTIF(J$4:J49,J49)*K49*100&amp;"%"</f>
        <v>副本掉落装备升华率36%</v>
      </c>
      <c r="O49" s="38"/>
      <c r="Q49" s="69"/>
      <c r="R49" s="70"/>
    </row>
    <row r="50" customFormat="1" spans="1:18">
      <c r="A50" s="38"/>
      <c r="B50" s="38"/>
      <c r="C50" s="38"/>
      <c r="D50" s="38"/>
      <c r="E50" s="38"/>
      <c r="I50" s="41">
        <f>数据计算表!AF47</f>
        <v>2620</v>
      </c>
      <c r="J50" s="41" t="str">
        <f>数据计算表!AG47</f>
        <v>宝石获取率</v>
      </c>
      <c r="K50" s="77">
        <f>数据计算表!AH47</f>
        <v>0.05</v>
      </c>
      <c r="L50" s="84" t="str">
        <f>J50&amp;COUNTIF(J$4:J50,J50)*K50*100&amp;"%"</f>
        <v>宝石获取率60%</v>
      </c>
      <c r="O50" s="38"/>
      <c r="Q50" s="69"/>
      <c r="R50" s="70"/>
    </row>
    <row r="51" customFormat="1" spans="1:18">
      <c r="A51" s="38"/>
      <c r="B51" s="38"/>
      <c r="C51" s="38"/>
      <c r="D51" s="38"/>
      <c r="E51" s="38"/>
      <c r="I51" s="41">
        <f>数据计算表!AF48</f>
        <v>2750</v>
      </c>
      <c r="J51" s="41" t="str">
        <f>数据计算表!AG48</f>
        <v>副本评价奖励翻倍概率</v>
      </c>
      <c r="K51" s="77">
        <f>数据计算表!AH48</f>
        <v>0.02</v>
      </c>
      <c r="L51" s="84" t="str">
        <f>J51&amp;COUNTIF(J$4:J51,J51)*K51*100&amp;"%"</f>
        <v>副本评价奖励翻倍概率24%</v>
      </c>
      <c r="O51" s="38"/>
      <c r="Q51" s="69"/>
      <c r="R51" s="70"/>
    </row>
    <row r="52" spans="1:18">
      <c r="I52" s="41">
        <f>数据计算表!AF49</f>
        <v>2880</v>
      </c>
      <c r="J52" s="41" t="str">
        <f>数据计算表!AG49</f>
        <v>经验获取加成</v>
      </c>
      <c r="K52" s="77">
        <f>数据计算表!AH49</f>
        <v>0.02</v>
      </c>
      <c r="L52" s="84" t="str">
        <f>J52&amp;COUNTIF(J$4:J52,J52)*K52*100&amp;"%"</f>
        <v>经验获取加成24%</v>
      </c>
    </row>
    <row r="53" spans="1:18">
      <c r="I53" s="41">
        <f>数据计算表!AF50</f>
        <v>3020</v>
      </c>
      <c r="J53" s="41" t="str">
        <f>数据计算表!AG50</f>
        <v>副本掉落装备升华率</v>
      </c>
      <c r="K53" s="77">
        <f>数据计算表!AH50</f>
        <v>0.03</v>
      </c>
      <c r="L53" s="84" t="str">
        <f>J53&amp;COUNTIF(J$4:J53,J53)*K53*100&amp;"%"</f>
        <v>副本掉落装备升华率39%</v>
      </c>
    </row>
    <row r="54" spans="1:18">
      <c r="I54" s="41">
        <f>数据计算表!AF51</f>
        <v>3160</v>
      </c>
      <c r="J54" s="41" t="str">
        <f>数据计算表!AG51</f>
        <v>宝石获取率</v>
      </c>
      <c r="K54" s="77">
        <f>数据计算表!AH51</f>
        <v>0.05</v>
      </c>
      <c r="L54" s="84" t="str">
        <f>J54&amp;COUNTIF(J$4:J54,J54)*K54*100&amp;"%"</f>
        <v>宝石获取率65%</v>
      </c>
    </row>
    <row r="55" spans="1:18">
      <c r="I55" s="41">
        <f>数据计算表!AF52</f>
        <v>3300</v>
      </c>
      <c r="J55" s="41" t="str">
        <f>数据计算表!AG52</f>
        <v>副本评价奖励翻倍概率</v>
      </c>
      <c r="K55" s="77">
        <f>数据计算表!AH52</f>
        <v>0.02</v>
      </c>
      <c r="L55" s="84" t="str">
        <f>J55&amp;COUNTIF(J$4:J55,J55)*K55*100&amp;"%"</f>
        <v>副本评价奖励翻倍概率26%</v>
      </c>
    </row>
    <row r="56" spans="1:18">
      <c r="I56" s="41">
        <f>数据计算表!AF53</f>
        <v>3440</v>
      </c>
      <c r="J56" s="41" t="str">
        <f>数据计算表!AG53</f>
        <v>经验获取加成</v>
      </c>
      <c r="K56" s="77">
        <f>数据计算表!AH53</f>
        <v>0.02</v>
      </c>
      <c r="L56" s="84" t="str">
        <f>J56&amp;COUNTIF(J$4:J56,J56)*K56*100&amp;"%"</f>
        <v>经验获取加成26%</v>
      </c>
    </row>
    <row r="57" spans="1:18">
      <c r="I57" s="41">
        <f>数据计算表!AF54</f>
        <v>3590</v>
      </c>
      <c r="J57" s="41" t="str">
        <f>数据计算表!AG54</f>
        <v>副本掉落装备升华率</v>
      </c>
      <c r="K57" s="77">
        <f>数据计算表!AH54</f>
        <v>0.03</v>
      </c>
      <c r="L57" s="84" t="str">
        <f>J57&amp;COUNTIF(J$4:J57,J57)*K57*100&amp;"%"</f>
        <v>副本掉落装备升华率42%</v>
      </c>
    </row>
    <row r="58" spans="1:18">
      <c r="I58" s="41">
        <f>数据计算表!AF55</f>
        <v>3740</v>
      </c>
      <c r="J58" s="41" t="str">
        <f>数据计算表!AG55</f>
        <v>宝石获取率</v>
      </c>
      <c r="K58" s="77">
        <f>数据计算表!AH55</f>
        <v>0.05</v>
      </c>
      <c r="L58" s="84" t="str">
        <f>J58&amp;COUNTIF(J$4:J58,J58)*K58*100&amp;"%"</f>
        <v>宝石获取率70%</v>
      </c>
    </row>
    <row r="59" spans="1:18">
      <c r="I59" s="41">
        <f>数据计算表!AF56</f>
        <v>3890</v>
      </c>
      <c r="J59" s="41" t="str">
        <f>数据计算表!AG56</f>
        <v>副本评价奖励翻倍概率</v>
      </c>
      <c r="K59" s="77">
        <f>数据计算表!AH56</f>
        <v>0.02</v>
      </c>
      <c r="L59" s="84" t="str">
        <f>J59&amp;COUNTIF(J$4:J59,J59)*K59*100&amp;"%"</f>
        <v>副本评价奖励翻倍概率28%</v>
      </c>
    </row>
    <row r="60" spans="1:18">
      <c r="I60" s="41">
        <f>数据计算表!AF57</f>
        <v>4040</v>
      </c>
      <c r="J60" s="41" t="str">
        <f>数据计算表!AG57</f>
        <v>经验获取加成</v>
      </c>
      <c r="K60" s="77">
        <f>数据计算表!AH57</f>
        <v>0.02</v>
      </c>
      <c r="L60" s="84" t="str">
        <f>J60&amp;COUNTIF(J$4:J60,J60)*K60*100&amp;"%"</f>
        <v>经验获取加成28%</v>
      </c>
    </row>
    <row r="61" spans="1:18">
      <c r="I61" s="41">
        <f>数据计算表!AF58</f>
        <v>4200</v>
      </c>
      <c r="J61" s="41" t="str">
        <f>数据计算表!AG58</f>
        <v>副本掉落装备升华率</v>
      </c>
      <c r="K61" s="77">
        <f>数据计算表!AH58</f>
        <v>0.03</v>
      </c>
      <c r="L61" s="84" t="str">
        <f>J61&amp;COUNTIF(J$4:J61,J61)*K61*100&amp;"%"</f>
        <v>副本掉落装备升华率45%</v>
      </c>
    </row>
    <row r="62" spans="1:18">
      <c r="I62" s="41">
        <f>数据计算表!AF59</f>
        <v>4360</v>
      </c>
      <c r="J62" s="41" t="str">
        <f>数据计算表!AG59</f>
        <v>宝石获取率</v>
      </c>
      <c r="K62" s="77">
        <f>数据计算表!AH59</f>
        <v>0.05</v>
      </c>
      <c r="L62" s="84" t="str">
        <f>J62&amp;COUNTIF(J$4:J62,J62)*K62*100&amp;"%"</f>
        <v>宝石获取率75%</v>
      </c>
    </row>
    <row r="63" spans="1:18">
      <c r="I63" s="41">
        <f>数据计算表!AF60</f>
        <v>4520</v>
      </c>
      <c r="J63" s="41" t="str">
        <f>数据计算表!AG60</f>
        <v>副本评价奖励翻倍概率</v>
      </c>
      <c r="K63" s="77">
        <f>数据计算表!AH60</f>
        <v>0.02</v>
      </c>
      <c r="L63" s="84" t="str">
        <f>J63&amp;COUNTIF(J$4:J63,J63)*K63*100&amp;"%"</f>
        <v>副本评价奖励翻倍概率30%</v>
      </c>
    </row>
    <row r="64" spans="1:18">
      <c r="I64" s="41">
        <f>数据计算表!AF61</f>
        <v>4680</v>
      </c>
      <c r="J64" s="41" t="str">
        <f>数据计算表!AG61</f>
        <v>经验获取加成</v>
      </c>
      <c r="K64" s="77">
        <f>数据计算表!AH61</f>
        <v>0.02</v>
      </c>
      <c r="L64" s="84" t="str">
        <f>J64&amp;COUNTIF(J$4:J64,J64)*K64*100&amp;"%"</f>
        <v>经验获取加成30%</v>
      </c>
    </row>
  </sheetData>
  <mergeCells count="6">
    <mergeCell ref="A1:E1"/>
    <mergeCell ref="C2:E2"/>
    <mergeCell ref="A4:A6"/>
    <mergeCell ref="A8:A11"/>
    <mergeCell ref="A13:A17"/>
    <mergeCell ref="B4:B5"/>
  </mergeCells>
  <conditionalFormatting sqref="J41:J44">
    <cfRule type="expression" dxfId="7" priority="3">
      <formula>AND(ROW(J41)&gt;=MATCH($H$2,$I:$I,0)-3,ROW(J41)&lt;=MATCH($H$2,$I:$I,0))</formula>
    </cfRule>
  </conditionalFormatting>
  <conditionalFormatting sqref="J45:J48">
    <cfRule type="expression" dxfId="7" priority="2">
      <formula>AND(ROW(J45)&gt;=MATCH($H$2,$I:$I,0)-3,ROW(J45)&lt;=MATCH($H$2,$I:$I,0))</formula>
    </cfRule>
  </conditionalFormatting>
  <conditionalFormatting sqref="J49:J64">
    <cfRule type="expression" dxfId="7" priority="1">
      <formula>AND(ROW(J49)&gt;=MATCH($H$2,$I:$I,0)-3,ROW(J49)&lt;=MATCH($H$2,$I:$I,0))</formula>
    </cfRule>
  </conditionalFormatting>
  <conditionalFormatting sqref="I5:L40 I41:I51 K41:L51 I52 K52:L52 I53 K53:L53 I54 K54:L54 I55 K55:L55 I56 K56:L56 I57 K57:L57 I58 K58:L58 I59 K59:L59 I60 K60:L60 I61 K61:L61 I62 K62:L62 I63 K63:L63 I64 K64:L64">
    <cfRule type="expression" dxfId="7" priority="4">
      <formula>AND(ROW(I5)&gt;=MATCH($H$2,$I:$I,0)-3,ROW(I5)&lt;=MATCH($H$2,$I:$I,0))</formula>
    </cfRule>
  </conditionalFormatting>
  <dataValidations count="1">
    <dataValidation type="list" allowBlank="1" showInputMessage="1" showErrorMessage="1" sqref="H2">
      <formula1>$I$5:$I$66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92"/>
  <sheetViews>
    <sheetView topLeftCell="A9" workbookViewId="0">
      <selection activeCell="L55" sqref="L55"/>
    </sheetView>
  </sheetViews>
  <sheetFormatPr defaultColWidth="10" defaultRowHeight="13.5"/>
  <cols>
    <col min="1" max="1" width="14.775" style="38" customWidth="1"/>
    <col min="2" max="3" width="14.1" style="38" customWidth="1"/>
    <col min="4" max="4" width="16.4416666666667" style="38" customWidth="1"/>
    <col min="5" max="5" width="9.66666666666667" style="38" customWidth="1"/>
    <col min="7" max="8" width="14.1" customWidth="1"/>
    <col min="9" max="9" width="20.8833333333333" customWidth="1"/>
    <col min="10" max="11" width="23.1" customWidth="1"/>
    <col min="12" max="12" width="26.5583333333333" customWidth="1"/>
    <col min="13" max="13" width="14.1" customWidth="1"/>
    <col min="15" max="15" width="9.66666666666667" style="38" customWidth="1"/>
    <col min="16" max="16" width="23.1" customWidth="1"/>
    <col min="17" max="17" width="7.66666666666667" style="69" customWidth="1"/>
    <col min="18" max="18" width="26.5583333333333" style="70" customWidth="1"/>
  </cols>
  <sheetData>
    <row r="1" customFormat="1" ht="14.25" spans="1:18">
      <c r="A1" s="38" t="s">
        <v>526</v>
      </c>
      <c r="B1" s="38"/>
      <c r="C1" s="38"/>
      <c r="D1" s="38"/>
      <c r="E1" s="38"/>
      <c r="G1" s="41" t="s">
        <v>515</v>
      </c>
      <c r="H1" s="41" t="s">
        <v>505</v>
      </c>
      <c r="I1" s="41" t="s">
        <v>114</v>
      </c>
      <c r="J1" s="41" t="s">
        <v>115</v>
      </c>
      <c r="K1" s="41" t="s">
        <v>116</v>
      </c>
      <c r="L1" s="41" t="s">
        <v>117</v>
      </c>
      <c r="O1" s="38"/>
      <c r="Q1" s="69"/>
      <c r="R1" s="70"/>
    </row>
    <row r="2" customFormat="1" ht="27.75" spans="1:18">
      <c r="A2" s="71" t="s">
        <v>506</v>
      </c>
      <c r="B2" s="72">
        <v>280</v>
      </c>
      <c r="C2" s="73" t="s">
        <v>507</v>
      </c>
      <c r="D2" s="74"/>
      <c r="E2" s="75"/>
      <c r="G2" s="76">
        <v>4040</v>
      </c>
      <c r="H2" s="76">
        <v>9080</v>
      </c>
      <c r="I2" s="77">
        <f>数据计算表!AM11</f>
        <v>0.6</v>
      </c>
      <c r="J2" s="77">
        <f>数据计算表!AN11</f>
        <v>1</v>
      </c>
      <c r="K2" s="77">
        <f>数据计算表!AO11</f>
        <v>0.4</v>
      </c>
      <c r="L2" s="77">
        <f>数据计算表!AP11</f>
        <v>0.4</v>
      </c>
      <c r="O2" s="38"/>
      <c r="Q2" s="69"/>
      <c r="R2" s="70"/>
    </row>
    <row r="3" ht="14.25"/>
    <row r="4" customFormat="1" spans="1:18">
      <c r="A4" s="78" t="s">
        <v>527</v>
      </c>
      <c r="B4" s="79">
        <v>295</v>
      </c>
      <c r="C4" s="80">
        <v>295</v>
      </c>
      <c r="D4" s="38"/>
      <c r="E4" s="38"/>
      <c r="I4" s="41" t="s">
        <v>291</v>
      </c>
      <c r="J4" s="41" t="s">
        <v>109</v>
      </c>
      <c r="K4" s="77" t="s">
        <v>110</v>
      </c>
      <c r="L4" s="77" t="s">
        <v>111</v>
      </c>
      <c r="O4" s="38"/>
      <c r="Q4" s="69"/>
      <c r="R4" s="70"/>
    </row>
    <row r="5" customFormat="1" spans="1:18">
      <c r="A5" s="81"/>
      <c r="B5" s="82"/>
      <c r="C5" s="83">
        <v>295</v>
      </c>
      <c r="D5" s="38"/>
      <c r="E5" s="38"/>
      <c r="I5" s="41">
        <f>数据计算表!AF2</f>
        <v>10</v>
      </c>
      <c r="J5" s="41" t="str">
        <f>数据计算表!AG2</f>
        <v>副本掉落装备升华率</v>
      </c>
      <c r="K5" s="77">
        <f>数据计算表!AH2</f>
        <v>0.03</v>
      </c>
      <c r="L5" s="84" t="str">
        <f>J5&amp;COUNTIF(J$4:J5,J5)*K5*100&amp;"%"</f>
        <v>副本掉落装备升华率3%</v>
      </c>
      <c r="O5" s="38"/>
      <c r="Q5" s="69"/>
      <c r="R5" s="70"/>
    </row>
    <row r="6" customFormat="1" ht="14.25" spans="1:18">
      <c r="A6" s="85"/>
      <c r="B6" s="86">
        <v>295</v>
      </c>
      <c r="C6" s="87">
        <v>295</v>
      </c>
      <c r="D6" s="38"/>
      <c r="E6" s="38"/>
      <c r="I6" s="41">
        <f>数据计算表!AF3</f>
        <v>20</v>
      </c>
      <c r="J6" s="41" t="str">
        <f>数据计算表!AG3</f>
        <v>宝石获取率</v>
      </c>
      <c r="K6" s="77">
        <f>数据计算表!AH3</f>
        <v>0.05</v>
      </c>
      <c r="L6" s="84" t="str">
        <f>J6&amp;COUNTIF(J$4:J6,J6)*K6*100&amp;"%"</f>
        <v>宝石获取率5%</v>
      </c>
      <c r="O6" s="38"/>
      <c r="Q6" s="69"/>
      <c r="R6" s="70"/>
    </row>
    <row r="7" customFormat="1" ht="14.25" spans="1:18">
      <c r="A7" s="38"/>
      <c r="B7" s="38"/>
      <c r="C7" s="38"/>
      <c r="D7" s="38"/>
      <c r="E7" s="38"/>
      <c r="I7" s="41">
        <f>数据计算表!AF4</f>
        <v>30</v>
      </c>
      <c r="J7" s="41" t="str">
        <f>数据计算表!AG4</f>
        <v>副本评价奖励翻倍概率</v>
      </c>
      <c r="K7" s="77">
        <f>数据计算表!AH4</f>
        <v>0.02</v>
      </c>
      <c r="L7" s="84" t="str">
        <f>J7&amp;COUNTIF(J$4:J7,J7)*K7*100&amp;"%"</f>
        <v>副本评价奖励翻倍概率2%</v>
      </c>
      <c r="O7" s="38"/>
      <c r="Q7" s="69"/>
      <c r="R7" s="70"/>
    </row>
    <row r="8" customFormat="1" spans="1:18">
      <c r="A8" s="78" t="s">
        <v>522</v>
      </c>
      <c r="B8" s="88">
        <v>280</v>
      </c>
      <c r="C8" s="80">
        <v>280</v>
      </c>
      <c r="D8" s="38"/>
      <c r="E8" s="38"/>
      <c r="I8" s="41">
        <f>数据计算表!AF5</f>
        <v>40</v>
      </c>
      <c r="J8" s="41" t="str">
        <f>数据计算表!AG5</f>
        <v>经验获取加成</v>
      </c>
      <c r="K8" s="77">
        <f>数据计算表!AH5</f>
        <v>0.02</v>
      </c>
      <c r="L8" s="84" t="str">
        <f>J8&amp;COUNTIF(J$4:J8,J8)*K8*100&amp;"%"</f>
        <v>经验获取加成2%</v>
      </c>
      <c r="O8" s="38"/>
      <c r="Q8" s="69"/>
      <c r="R8" s="70"/>
    </row>
    <row r="9" customFormat="1" spans="1:18">
      <c r="A9" s="81"/>
      <c r="B9" s="89">
        <v>280</v>
      </c>
      <c r="C9" s="83">
        <v>280</v>
      </c>
      <c r="D9" s="38"/>
      <c r="E9" s="38"/>
      <c r="I9" s="41">
        <f>数据计算表!AF6</f>
        <v>56</v>
      </c>
      <c r="J9" s="41" t="str">
        <f>数据计算表!AG6</f>
        <v>副本掉落装备升华率</v>
      </c>
      <c r="K9" s="77">
        <f>数据计算表!AH6</f>
        <v>0.03</v>
      </c>
      <c r="L9" s="84" t="str">
        <f>J9&amp;COUNTIF(J$4:J9,J9)*K9*100&amp;"%"</f>
        <v>副本掉落装备升华率6%</v>
      </c>
      <c r="O9" s="38"/>
      <c r="Q9" s="69"/>
      <c r="R9" s="70"/>
    </row>
    <row r="10" customFormat="1" spans="1:18">
      <c r="A10" s="81"/>
      <c r="B10" s="89">
        <v>280</v>
      </c>
      <c r="C10" s="83">
        <v>280</v>
      </c>
      <c r="D10" s="38"/>
      <c r="E10" s="38"/>
      <c r="I10" s="41">
        <f>数据计算表!AF7</f>
        <v>72</v>
      </c>
      <c r="J10" s="41" t="str">
        <f>数据计算表!AG7</f>
        <v>宝石获取率</v>
      </c>
      <c r="K10" s="77">
        <f>数据计算表!AH7</f>
        <v>0.05</v>
      </c>
      <c r="L10" s="84" t="str">
        <f>J10&amp;COUNTIF(J$4:J10,J10)*K10*100&amp;"%"</f>
        <v>宝石获取率10%</v>
      </c>
      <c r="O10" s="38"/>
      <c r="Q10" s="69"/>
      <c r="R10" s="70"/>
    </row>
    <row r="11" customFormat="1" ht="14.25" spans="1:18">
      <c r="A11" s="85"/>
      <c r="B11" s="86">
        <v>280</v>
      </c>
      <c r="C11" s="87">
        <v>280</v>
      </c>
      <c r="D11" s="38"/>
      <c r="E11" s="38"/>
      <c r="I11" s="41">
        <f>数据计算表!AF8</f>
        <v>88</v>
      </c>
      <c r="J11" s="41" t="str">
        <f>数据计算表!AG8</f>
        <v>副本评价奖励翻倍概率</v>
      </c>
      <c r="K11" s="77">
        <f>数据计算表!AH8</f>
        <v>0.02</v>
      </c>
      <c r="L11" s="84" t="str">
        <f>J11&amp;COUNTIF(J$4:J11,J11)*K11*100&amp;"%"</f>
        <v>副本评价奖励翻倍概率4%</v>
      </c>
      <c r="O11" s="38"/>
      <c r="Q11" s="69"/>
      <c r="R11" s="70"/>
    </row>
    <row r="12" customFormat="1" ht="14.25" spans="1:18">
      <c r="A12" s="38"/>
      <c r="B12" s="38"/>
      <c r="C12" s="38"/>
      <c r="D12" s="38"/>
      <c r="E12" s="38"/>
      <c r="I12" s="41">
        <f>数据计算表!AF9</f>
        <v>104</v>
      </c>
      <c r="J12" s="41" t="str">
        <f>数据计算表!AG9</f>
        <v>经验获取加成</v>
      </c>
      <c r="K12" s="77">
        <f>数据计算表!AH9</f>
        <v>0.02</v>
      </c>
      <c r="L12" s="84" t="str">
        <f>J12&amp;COUNTIF(J$4:J12,J12)*K12*100&amp;"%"</f>
        <v>经验获取加成4%</v>
      </c>
      <c r="O12" s="38"/>
      <c r="Q12" s="69"/>
      <c r="R12" s="70"/>
    </row>
    <row r="13" customFormat="1" spans="1:18">
      <c r="A13" s="78" t="s">
        <v>528</v>
      </c>
      <c r="B13" s="88">
        <v>31</v>
      </c>
      <c r="C13" s="90">
        <v>31</v>
      </c>
      <c r="D13" s="90">
        <v>31</v>
      </c>
      <c r="E13" s="80">
        <v>31</v>
      </c>
      <c r="I13" s="41">
        <f>数据计算表!AF10</f>
        <v>128</v>
      </c>
      <c r="J13" s="41" t="str">
        <f>数据计算表!AG10</f>
        <v>副本掉落装备升华率</v>
      </c>
      <c r="K13" s="77">
        <f>数据计算表!AH10</f>
        <v>0.03</v>
      </c>
      <c r="L13" s="84" t="str">
        <f>J13&amp;COUNTIF(J$4:J13,J13)*K13*100&amp;"%"</f>
        <v>副本掉落装备升华率9%</v>
      </c>
      <c r="O13" s="38"/>
      <c r="Q13" s="69"/>
      <c r="R13" s="70"/>
    </row>
    <row r="14" customFormat="1" spans="1:18">
      <c r="A14" s="81"/>
      <c r="B14" s="89">
        <v>31</v>
      </c>
      <c r="C14" s="76">
        <v>31</v>
      </c>
      <c r="D14" s="76">
        <v>31</v>
      </c>
      <c r="E14" s="83">
        <v>31</v>
      </c>
      <c r="I14" s="41">
        <f>数据计算表!AF11</f>
        <v>152</v>
      </c>
      <c r="J14" s="41" t="str">
        <f>数据计算表!AG11</f>
        <v>宝石获取率</v>
      </c>
      <c r="K14" s="77">
        <f>数据计算表!AH11</f>
        <v>0.05</v>
      </c>
      <c r="L14" s="84" t="str">
        <f>J14&amp;COUNTIF(J$4:J14,J14)*K14*100&amp;"%"</f>
        <v>宝石获取率15%</v>
      </c>
      <c r="O14" s="38"/>
      <c r="Q14" s="69"/>
      <c r="R14" s="70"/>
    </row>
    <row r="15" customFormat="1" spans="1:18">
      <c r="A15" s="81"/>
      <c r="B15" s="89">
        <v>31</v>
      </c>
      <c r="C15" s="76">
        <v>31</v>
      </c>
      <c r="D15" s="76">
        <v>31</v>
      </c>
      <c r="E15" s="83">
        <v>31</v>
      </c>
      <c r="I15" s="41">
        <f>数据计算表!AF12</f>
        <v>176</v>
      </c>
      <c r="J15" s="41" t="str">
        <f>数据计算表!AG12</f>
        <v>副本评价奖励翻倍概率</v>
      </c>
      <c r="K15" s="77">
        <f>数据计算表!AH12</f>
        <v>0.02</v>
      </c>
      <c r="L15" s="84" t="str">
        <f>J15&amp;COUNTIF(J$4:J15,J15)*K15*100&amp;"%"</f>
        <v>副本评价奖励翻倍概率6%</v>
      </c>
      <c r="O15" s="38"/>
      <c r="Q15" s="69"/>
      <c r="R15" s="70"/>
    </row>
    <row r="16" customFormat="1" spans="1:18">
      <c r="A16" s="81"/>
      <c r="B16" s="89">
        <v>31</v>
      </c>
      <c r="C16" s="76">
        <v>31</v>
      </c>
      <c r="D16" s="76">
        <v>31</v>
      </c>
      <c r="E16" s="83">
        <v>31</v>
      </c>
      <c r="I16" s="41">
        <f>数据计算表!AF13</f>
        <v>200</v>
      </c>
      <c r="J16" s="41" t="str">
        <f>数据计算表!AG13</f>
        <v>经验获取加成</v>
      </c>
      <c r="K16" s="77">
        <f>数据计算表!AH13</f>
        <v>0.02</v>
      </c>
      <c r="L16" s="84" t="str">
        <f>J16&amp;COUNTIF(J$4:J16,J16)*K16*100&amp;"%"</f>
        <v>经验获取加成6%</v>
      </c>
      <c r="O16" s="38"/>
      <c r="Q16" s="69"/>
      <c r="R16" s="70"/>
    </row>
    <row r="17" customFormat="1" ht="14.25" spans="1:18">
      <c r="A17" s="85"/>
      <c r="B17" s="86">
        <v>31</v>
      </c>
      <c r="C17" s="91">
        <v>31</v>
      </c>
      <c r="D17" s="91">
        <v>31</v>
      </c>
      <c r="E17" s="87">
        <v>31</v>
      </c>
      <c r="I17" s="41">
        <f>数据计算表!AF14</f>
        <v>230</v>
      </c>
      <c r="J17" s="41" t="str">
        <f>数据计算表!AG14</f>
        <v>副本掉落装备升华率</v>
      </c>
      <c r="K17" s="77">
        <f>数据计算表!AH14</f>
        <v>0.03</v>
      </c>
      <c r="L17" s="84" t="str">
        <f>J17&amp;COUNTIF(J$4:J17,J17)*K17*100&amp;"%"</f>
        <v>副本掉落装备升华率12%</v>
      </c>
      <c r="O17" s="38"/>
      <c r="Q17" s="69"/>
      <c r="R17" s="70"/>
    </row>
    <row r="18" customFormat="1" ht="14.25" spans="1:18">
      <c r="A18" s="38"/>
      <c r="B18" s="38"/>
      <c r="C18" s="38"/>
      <c r="D18" s="38"/>
      <c r="E18" s="38"/>
      <c r="I18" s="41">
        <f>数据计算表!AF15</f>
        <v>260</v>
      </c>
      <c r="J18" s="41" t="str">
        <f>数据计算表!AG15</f>
        <v>宝石获取率</v>
      </c>
      <c r="K18" s="77">
        <f>数据计算表!AH15</f>
        <v>0.05</v>
      </c>
      <c r="L18" s="84" t="str">
        <f>J18&amp;COUNTIF(J$4:J18,J18)*K18*100&amp;"%"</f>
        <v>宝石获取率20%</v>
      </c>
      <c r="O18" s="38"/>
      <c r="Q18" s="69"/>
      <c r="R18" s="70"/>
    </row>
    <row r="19" customFormat="1" ht="27.75" spans="1:18">
      <c r="A19" s="71" t="s">
        <v>529</v>
      </c>
      <c r="B19" s="92">
        <v>270</v>
      </c>
      <c r="C19" s="93">
        <v>261</v>
      </c>
      <c r="D19" s="93">
        <v>261</v>
      </c>
      <c r="E19" s="94">
        <v>261</v>
      </c>
      <c r="I19" s="41">
        <f>数据计算表!AF16</f>
        <v>290</v>
      </c>
      <c r="J19" s="41" t="str">
        <f>数据计算表!AG16</f>
        <v>副本评价奖励翻倍概率</v>
      </c>
      <c r="K19" s="77">
        <f>数据计算表!AH16</f>
        <v>0.02</v>
      </c>
      <c r="L19" s="84" t="str">
        <f>J19&amp;COUNTIF(J$4:J19,J19)*K19*100&amp;"%"</f>
        <v>副本评价奖励翻倍概率8%</v>
      </c>
      <c r="O19" s="38"/>
      <c r="Q19" s="69"/>
      <c r="R19" s="70"/>
    </row>
    <row r="20" customFormat="1" ht="14.25" spans="1:18">
      <c r="A20" s="38"/>
      <c r="B20" s="38"/>
      <c r="C20" s="38"/>
      <c r="D20" s="38"/>
      <c r="E20" s="38"/>
      <c r="I20" s="41">
        <f>数据计算表!AF17</f>
        <v>320</v>
      </c>
      <c r="J20" s="41" t="str">
        <f>数据计算表!AG17</f>
        <v>经验获取加成</v>
      </c>
      <c r="K20" s="77">
        <f>数据计算表!AH17</f>
        <v>0.02</v>
      </c>
      <c r="L20" s="84" t="str">
        <f>J20&amp;COUNTIF(J$4:J20,J20)*K20*100&amp;"%"</f>
        <v>经验获取加成8%</v>
      </c>
      <c r="O20" s="38"/>
      <c r="Q20" s="69"/>
      <c r="R20" s="70"/>
    </row>
    <row r="21" customFormat="1" ht="14.25" spans="1:18">
      <c r="A21" s="73" t="s">
        <v>512</v>
      </c>
      <c r="B21" s="95">
        <f>数据计算表!AB13</f>
        <v>120</v>
      </c>
      <c r="C21" s="38"/>
      <c r="D21" s="38"/>
      <c r="E21" s="38"/>
      <c r="I21" s="41">
        <f>数据计算表!AF18</f>
        <v>360</v>
      </c>
      <c r="J21" s="41" t="str">
        <f>数据计算表!AG18</f>
        <v>副本掉落装备升华率</v>
      </c>
      <c r="K21" s="77">
        <f>数据计算表!AH18</f>
        <v>0.03</v>
      </c>
      <c r="L21" s="84" t="str">
        <f>J21&amp;COUNTIF(J$4:J21,J21)*K21*100&amp;"%"</f>
        <v>副本掉落装备升华率15%</v>
      </c>
      <c r="O21" s="38"/>
      <c r="Q21" s="69"/>
      <c r="R21" s="70"/>
    </row>
    <row r="22" customFormat="1" ht="14.25" spans="1:18">
      <c r="A22" s="38"/>
      <c r="B22" s="38"/>
      <c r="C22" s="38"/>
      <c r="D22" s="38"/>
      <c r="E22" s="38"/>
      <c r="I22" s="41">
        <f>数据计算表!AF19</f>
        <v>400</v>
      </c>
      <c r="J22" s="41" t="str">
        <f>数据计算表!AG19</f>
        <v>宝石获取率</v>
      </c>
      <c r="K22" s="77">
        <f>数据计算表!AH19</f>
        <v>0.05</v>
      </c>
      <c r="L22" s="84" t="str">
        <f>J22&amp;COUNTIF(J$4:J22,J22)*K22*100&amp;"%"</f>
        <v>宝石获取率25%</v>
      </c>
      <c r="O22" s="38"/>
      <c r="Q22" s="69"/>
      <c r="R22" s="70"/>
    </row>
    <row r="23" customFormat="1" ht="14.25" spans="1:18">
      <c r="A23" s="73" t="s">
        <v>513</v>
      </c>
      <c r="B23" s="95">
        <f>数据计算表!AA35</f>
        <v>31468</v>
      </c>
      <c r="C23" s="38"/>
      <c r="D23" s="38"/>
      <c r="E23" s="38"/>
      <c r="I23" s="41">
        <f>数据计算表!AF20</f>
        <v>440</v>
      </c>
      <c r="J23" s="41" t="str">
        <f>数据计算表!AG20</f>
        <v>副本评价奖励翻倍概率</v>
      </c>
      <c r="K23" s="77">
        <f>数据计算表!AH20</f>
        <v>0.02</v>
      </c>
      <c r="L23" s="84" t="str">
        <f>J23&amp;COUNTIF(J$4:J23,J23)*K23*100&amp;"%"</f>
        <v>副本评价奖励翻倍概率10%</v>
      </c>
      <c r="O23" s="38"/>
      <c r="Q23" s="69"/>
      <c r="R23" s="70"/>
    </row>
    <row r="24" customFormat="1" ht="14.25" spans="1:18">
      <c r="A24" s="73" t="s">
        <v>525</v>
      </c>
      <c r="B24" s="95">
        <f>数据计算表!Z37+G2</f>
        <v>8655</v>
      </c>
      <c r="C24" s="38"/>
      <c r="D24" s="38"/>
      <c r="E24" s="38"/>
      <c r="I24" s="41">
        <f>数据计算表!AF21</f>
        <v>480</v>
      </c>
      <c r="J24" s="41" t="str">
        <f>数据计算表!AG21</f>
        <v>经验获取加成</v>
      </c>
      <c r="K24" s="77">
        <f>数据计算表!AH21</f>
        <v>0.02</v>
      </c>
      <c r="L24" s="84" t="str">
        <f>J24&amp;COUNTIF(J$4:J24,J24)*K24*100&amp;"%"</f>
        <v>经验获取加成10%</v>
      </c>
      <c r="O24" s="38"/>
      <c r="Q24" s="69"/>
      <c r="R24" s="70"/>
    </row>
    <row r="25" customFormat="1" ht="14.25" spans="1:18">
      <c r="A25" s="96" t="s">
        <v>292</v>
      </c>
      <c r="B25" s="97">
        <f>数据计算表!AA37</f>
        <v>2972</v>
      </c>
      <c r="I25" s="41">
        <f>数据计算表!AF22</f>
        <v>530</v>
      </c>
      <c r="J25" s="41" t="str">
        <f>数据计算表!AG22</f>
        <v>副本掉落装备升华率</v>
      </c>
      <c r="K25" s="77">
        <f>数据计算表!AH22</f>
        <v>0.03</v>
      </c>
      <c r="L25" s="84" t="str">
        <f>J25&amp;COUNTIF(J$4:J25,J25)*K25*100&amp;"%"</f>
        <v>副本掉落装备升华率18%</v>
      </c>
      <c r="O25" s="38"/>
      <c r="Q25" s="69"/>
      <c r="R25" s="70"/>
    </row>
    <row r="26" customFormat="1" spans="1:18">
      <c r="I26" s="41">
        <f>数据计算表!AF23</f>
        <v>580</v>
      </c>
      <c r="J26" s="41" t="str">
        <f>数据计算表!AG23</f>
        <v>宝石获取率</v>
      </c>
      <c r="K26" s="77">
        <f>数据计算表!AH23</f>
        <v>0.05</v>
      </c>
      <c r="L26" s="84" t="str">
        <f>J26&amp;COUNTIF(J$4:J26,J26)*K26*100&amp;"%"</f>
        <v>宝石获取率30%</v>
      </c>
      <c r="O26" s="38"/>
      <c r="Q26" s="69"/>
      <c r="R26" s="70"/>
    </row>
    <row r="27" customFormat="1" spans="1:18">
      <c r="I27" s="41">
        <f>数据计算表!AF24</f>
        <v>630</v>
      </c>
      <c r="J27" s="41" t="str">
        <f>数据计算表!AG24</f>
        <v>副本评价奖励翻倍概率</v>
      </c>
      <c r="K27" s="77">
        <f>数据计算表!AH24</f>
        <v>0.02</v>
      </c>
      <c r="L27" s="84" t="str">
        <f>J27&amp;COUNTIF(J$4:J27,J27)*K27*100&amp;"%"</f>
        <v>副本评价奖励翻倍概率12%</v>
      </c>
      <c r="O27" s="38"/>
      <c r="Q27" s="69"/>
      <c r="R27" s="70"/>
    </row>
    <row r="28" customFormat="1" spans="1:18">
      <c r="I28" s="41">
        <f>数据计算表!AF25</f>
        <v>680</v>
      </c>
      <c r="J28" s="41" t="str">
        <f>数据计算表!AG25</f>
        <v>经验获取加成</v>
      </c>
      <c r="K28" s="77">
        <f>数据计算表!AH25</f>
        <v>0.02</v>
      </c>
      <c r="L28" s="84" t="str">
        <f>J28&amp;COUNTIF(J$4:J28,J28)*K28*100&amp;"%"</f>
        <v>经验获取加成12%</v>
      </c>
      <c r="O28" s="38"/>
      <c r="Q28" s="69"/>
      <c r="R28" s="70"/>
    </row>
    <row r="29" customFormat="1" spans="1:18">
      <c r="A29" s="38"/>
      <c r="B29" s="38"/>
      <c r="C29" s="38"/>
      <c r="D29" s="38"/>
      <c r="E29" s="38"/>
      <c r="I29" s="41">
        <f>数据计算表!AF26</f>
        <v>740</v>
      </c>
      <c r="J29" s="41" t="str">
        <f>数据计算表!AG26</f>
        <v>副本掉落装备升华率</v>
      </c>
      <c r="K29" s="77">
        <f>数据计算表!AH26</f>
        <v>0.03</v>
      </c>
      <c r="L29" s="84" t="str">
        <f>J29&amp;COUNTIF(J$4:J29,J29)*K29*100&amp;"%"</f>
        <v>副本掉落装备升华率21%</v>
      </c>
      <c r="O29" s="38"/>
      <c r="Q29" s="69"/>
      <c r="R29" s="70"/>
    </row>
    <row r="30" customFormat="1" spans="1:18">
      <c r="A30" s="38"/>
      <c r="B30" s="38"/>
      <c r="C30" s="38"/>
      <c r="D30" s="38"/>
      <c r="E30" s="38"/>
      <c r="I30" s="41">
        <f>数据计算表!AF27</f>
        <v>800</v>
      </c>
      <c r="J30" s="41" t="str">
        <f>数据计算表!AG27</f>
        <v>宝石获取率</v>
      </c>
      <c r="K30" s="77">
        <f>数据计算表!AH27</f>
        <v>0.05</v>
      </c>
      <c r="L30" s="84" t="str">
        <f>J30&amp;COUNTIF(J$4:J30,J30)*K30*100&amp;"%"</f>
        <v>宝石获取率35%</v>
      </c>
      <c r="O30" s="38"/>
      <c r="Q30" s="69"/>
      <c r="R30" s="70"/>
    </row>
    <row r="31" customFormat="1" spans="1:18">
      <c r="A31" s="38"/>
      <c r="B31" s="38"/>
      <c r="C31" s="38"/>
      <c r="D31" s="38"/>
      <c r="E31" s="38"/>
      <c r="I31" s="41">
        <f>数据计算表!AF28</f>
        <v>860</v>
      </c>
      <c r="J31" s="41" t="str">
        <f>数据计算表!AG28</f>
        <v>副本评价奖励翻倍概率</v>
      </c>
      <c r="K31" s="77">
        <f>数据计算表!AH28</f>
        <v>0.02</v>
      </c>
      <c r="L31" s="84" t="str">
        <f>J31&amp;COUNTIF(J$4:J31,J31)*K31*100&amp;"%"</f>
        <v>副本评价奖励翻倍概率14%</v>
      </c>
      <c r="O31" s="38"/>
      <c r="Q31" s="69"/>
      <c r="R31" s="70"/>
    </row>
    <row r="32" customFormat="1" spans="1:18">
      <c r="A32" s="38"/>
      <c r="B32" s="38"/>
      <c r="C32" s="38"/>
      <c r="D32" s="38"/>
      <c r="E32" s="38"/>
      <c r="I32" s="41">
        <f>数据计算表!AF29</f>
        <v>920</v>
      </c>
      <c r="J32" s="41" t="str">
        <f>数据计算表!AG29</f>
        <v>经验获取加成</v>
      </c>
      <c r="K32" s="77">
        <f>数据计算表!AH29</f>
        <v>0.02</v>
      </c>
      <c r="L32" s="84" t="str">
        <f>J32&amp;COUNTIF(J$4:J32,J32)*K32*100&amp;"%"</f>
        <v>经验获取加成14%</v>
      </c>
      <c r="O32" s="38"/>
      <c r="Q32" s="69"/>
      <c r="R32" s="70"/>
    </row>
    <row r="33" customFormat="1" spans="1:18">
      <c r="A33" s="38"/>
      <c r="B33" s="38"/>
      <c r="C33" s="38"/>
      <c r="D33" s="38"/>
      <c r="E33" s="38"/>
      <c r="I33" s="41">
        <f>数据计算表!AF30</f>
        <v>990</v>
      </c>
      <c r="J33" s="41" t="str">
        <f>数据计算表!AG30</f>
        <v>副本掉落装备升华率</v>
      </c>
      <c r="K33" s="77">
        <f>数据计算表!AH30</f>
        <v>0.03</v>
      </c>
      <c r="L33" s="84" t="str">
        <f>J33&amp;COUNTIF(J$4:J33,J33)*K33*100&amp;"%"</f>
        <v>副本掉落装备升华率24%</v>
      </c>
      <c r="O33" s="38"/>
      <c r="Q33" s="69"/>
      <c r="R33" s="70"/>
    </row>
    <row r="34" customFormat="1" spans="1:18">
      <c r="A34" s="38"/>
      <c r="B34" s="38"/>
      <c r="C34" s="38"/>
      <c r="D34" s="38"/>
      <c r="E34" s="38"/>
      <c r="I34" s="41">
        <f>数据计算表!AF31</f>
        <v>1060</v>
      </c>
      <c r="J34" s="41" t="str">
        <f>数据计算表!AG31</f>
        <v>宝石获取率</v>
      </c>
      <c r="K34" s="77">
        <f>数据计算表!AH31</f>
        <v>0.05</v>
      </c>
      <c r="L34" s="84" t="str">
        <f>J34&amp;COUNTIF(J$4:J34,J34)*K34*100&amp;"%"</f>
        <v>宝石获取率40%</v>
      </c>
      <c r="O34" s="38"/>
      <c r="Q34" s="69"/>
      <c r="R34" s="70"/>
    </row>
    <row r="35" customFormat="1" spans="1:18">
      <c r="A35" s="38"/>
      <c r="B35" s="38"/>
      <c r="C35" s="38"/>
      <c r="D35" s="38"/>
      <c r="E35" s="38"/>
      <c r="I35" s="41">
        <f>数据计算表!AF32</f>
        <v>1130</v>
      </c>
      <c r="J35" s="41" t="str">
        <f>数据计算表!AG32</f>
        <v>副本评价奖励翻倍概率</v>
      </c>
      <c r="K35" s="77">
        <f>数据计算表!AH32</f>
        <v>0.02</v>
      </c>
      <c r="L35" s="84" t="str">
        <f>J35&amp;COUNTIF(J$4:J35,J35)*K35*100&amp;"%"</f>
        <v>副本评价奖励翻倍概率16%</v>
      </c>
      <c r="O35" s="38"/>
      <c r="Q35" s="69"/>
      <c r="R35" s="70"/>
    </row>
    <row r="36" customFormat="1" spans="1:18">
      <c r="A36" s="38"/>
      <c r="B36" s="38"/>
      <c r="C36" s="38"/>
      <c r="D36" s="38"/>
      <c r="E36" s="38"/>
      <c r="I36" s="41">
        <f>数据计算表!AF33</f>
        <v>1200</v>
      </c>
      <c r="J36" s="41" t="str">
        <f>数据计算表!AG33</f>
        <v>经验获取加成</v>
      </c>
      <c r="K36" s="77">
        <f>数据计算表!AH33</f>
        <v>0.02</v>
      </c>
      <c r="L36" s="84" t="str">
        <f>J36&amp;COUNTIF(J$4:J36,J36)*K36*100&amp;"%"</f>
        <v>经验获取加成16%</v>
      </c>
      <c r="O36" s="38"/>
      <c r="Q36" s="69"/>
      <c r="R36" s="70"/>
    </row>
    <row r="37" customFormat="1" spans="1:18">
      <c r="A37" s="38"/>
      <c r="B37" s="38"/>
      <c r="C37" s="38"/>
      <c r="D37" s="38"/>
      <c r="E37" s="38"/>
      <c r="I37" s="41">
        <f>数据计算表!AF34</f>
        <v>1280</v>
      </c>
      <c r="J37" s="41" t="str">
        <f>数据计算表!AG34</f>
        <v>副本掉落装备升华率</v>
      </c>
      <c r="K37" s="77">
        <f>数据计算表!AH34</f>
        <v>0.03</v>
      </c>
      <c r="L37" s="84" t="str">
        <f>J37&amp;COUNTIF(J$4:J37,J37)*K37*100&amp;"%"</f>
        <v>副本掉落装备升华率27%</v>
      </c>
      <c r="O37" s="38"/>
      <c r="Q37" s="69"/>
      <c r="R37" s="70"/>
    </row>
    <row r="38" customFormat="1" spans="1:18">
      <c r="A38" s="38"/>
      <c r="B38" s="38"/>
      <c r="C38" s="38"/>
      <c r="D38" s="38"/>
      <c r="E38" s="38"/>
      <c r="I38" s="41">
        <f>数据计算表!AF35</f>
        <v>1360</v>
      </c>
      <c r="J38" s="41" t="str">
        <f>数据计算表!AG35</f>
        <v>宝石获取率</v>
      </c>
      <c r="K38" s="77">
        <f>数据计算表!AH35</f>
        <v>0.05</v>
      </c>
      <c r="L38" s="84" t="str">
        <f>J38&amp;COUNTIF(J$4:J38,J38)*K38*100&amp;"%"</f>
        <v>宝石获取率45%</v>
      </c>
      <c r="O38" s="38"/>
      <c r="Q38" s="69"/>
      <c r="R38" s="70"/>
    </row>
    <row r="39" customFormat="1" spans="1:18">
      <c r="A39" s="38"/>
      <c r="B39" s="38"/>
      <c r="C39" s="38"/>
      <c r="D39" s="38"/>
      <c r="E39" s="38"/>
      <c r="I39" s="41">
        <f>数据计算表!AF36</f>
        <v>1440</v>
      </c>
      <c r="J39" s="41" t="str">
        <f>数据计算表!AG36</f>
        <v>副本评价奖励翻倍概率</v>
      </c>
      <c r="K39" s="77">
        <f>数据计算表!AH36</f>
        <v>0.02</v>
      </c>
      <c r="L39" s="84" t="str">
        <f>J39&amp;COUNTIF(J$4:J39,J39)*K39*100&amp;"%"</f>
        <v>副本评价奖励翻倍概率18%</v>
      </c>
      <c r="O39" s="38"/>
      <c r="Q39" s="69"/>
      <c r="R39" s="70"/>
    </row>
    <row r="40" customFormat="1" spans="1:18">
      <c r="A40" s="38"/>
      <c r="B40" s="38"/>
      <c r="C40" s="38"/>
      <c r="D40" s="38"/>
      <c r="E40" s="38"/>
      <c r="I40" s="41">
        <f>数据计算表!AF37</f>
        <v>1520</v>
      </c>
      <c r="J40" s="41" t="str">
        <f>数据计算表!AG37</f>
        <v>经验获取加成</v>
      </c>
      <c r="K40" s="77">
        <f>数据计算表!AH37</f>
        <v>0.02</v>
      </c>
      <c r="L40" s="84" t="str">
        <f>J40&amp;COUNTIF(J$4:J40,J40)*K40*100&amp;"%"</f>
        <v>经验获取加成18%</v>
      </c>
      <c r="O40" s="38"/>
      <c r="Q40" s="69"/>
      <c r="R40" s="70"/>
    </row>
    <row r="41" customFormat="1" spans="1:18">
      <c r="A41" s="38"/>
      <c r="B41" s="38"/>
      <c r="C41" s="38"/>
      <c r="D41" s="38"/>
      <c r="E41" s="38"/>
      <c r="I41" s="41">
        <f>数据计算表!AF38</f>
        <v>1610</v>
      </c>
      <c r="J41" s="41" t="str">
        <f>数据计算表!AG38</f>
        <v>副本掉落装备升华率</v>
      </c>
      <c r="K41" s="77">
        <f>数据计算表!AH38</f>
        <v>0.03</v>
      </c>
      <c r="L41" s="84" t="str">
        <f>J41&amp;COUNTIF(J$4:J41,J41)*K41*100&amp;"%"</f>
        <v>副本掉落装备升华率30%</v>
      </c>
      <c r="O41" s="38"/>
      <c r="Q41" s="69"/>
      <c r="R41" s="70"/>
    </row>
    <row r="42" customFormat="1" spans="1:18">
      <c r="A42" s="38"/>
      <c r="B42" s="38"/>
      <c r="C42" s="38"/>
      <c r="D42" s="38"/>
      <c r="E42" s="38"/>
      <c r="I42" s="41">
        <f>数据计算表!AF39</f>
        <v>1700</v>
      </c>
      <c r="J42" s="41" t="str">
        <f>数据计算表!AG39</f>
        <v>宝石获取率</v>
      </c>
      <c r="K42" s="77">
        <f>数据计算表!AH39</f>
        <v>0.05</v>
      </c>
      <c r="L42" s="84" t="str">
        <f>J42&amp;COUNTIF(J$4:J42,J42)*K42*100&amp;"%"</f>
        <v>宝石获取率50%</v>
      </c>
      <c r="O42" s="38"/>
      <c r="Q42" s="69"/>
      <c r="R42" s="70"/>
    </row>
    <row r="43" customFormat="1" spans="1:18">
      <c r="A43" s="38"/>
      <c r="B43" s="38"/>
      <c r="C43" s="38"/>
      <c r="D43" s="38"/>
      <c r="E43" s="38"/>
      <c r="I43" s="41">
        <f>数据计算表!AF40</f>
        <v>1790</v>
      </c>
      <c r="J43" s="41" t="str">
        <f>数据计算表!AG40</f>
        <v>副本评价奖励翻倍概率</v>
      </c>
      <c r="K43" s="77">
        <f>数据计算表!AH40</f>
        <v>0.02</v>
      </c>
      <c r="L43" s="84" t="str">
        <f>J43&amp;COUNTIF(J$4:J43,J43)*K43*100&amp;"%"</f>
        <v>副本评价奖励翻倍概率20%</v>
      </c>
      <c r="O43" s="38"/>
      <c r="Q43" s="69"/>
      <c r="R43" s="70"/>
    </row>
    <row r="44" customFormat="1" spans="1:18">
      <c r="A44" s="38"/>
      <c r="B44" s="38"/>
      <c r="C44" s="38"/>
      <c r="D44" s="38"/>
      <c r="E44" s="38"/>
      <c r="I44" s="41">
        <f>数据计算表!AF41</f>
        <v>1880</v>
      </c>
      <c r="J44" s="41" t="str">
        <f>数据计算表!AG41</f>
        <v>经验获取加成</v>
      </c>
      <c r="K44" s="77">
        <f>数据计算表!AH41</f>
        <v>0.02</v>
      </c>
      <c r="L44" s="84" t="str">
        <f>J44&amp;COUNTIF(J$4:J44,J44)*K44*100&amp;"%"</f>
        <v>经验获取加成20%</v>
      </c>
      <c r="O44" s="38"/>
      <c r="Q44" s="69"/>
      <c r="R44" s="70"/>
    </row>
    <row r="45" customFormat="1" spans="1:18">
      <c r="A45" s="38"/>
      <c r="B45" s="38"/>
      <c r="C45" s="38"/>
      <c r="D45" s="38"/>
      <c r="E45" s="38"/>
      <c r="I45" s="41">
        <f>数据计算表!AF42</f>
        <v>2000</v>
      </c>
      <c r="J45" s="41" t="str">
        <f>数据计算表!AG42</f>
        <v>副本掉落装备升华率</v>
      </c>
      <c r="K45" s="77">
        <f>数据计算表!AH42</f>
        <v>0.03</v>
      </c>
      <c r="L45" s="84" t="str">
        <f>J45&amp;COUNTIF(J$4:J45,J45)*K45*100&amp;"%"</f>
        <v>副本掉落装备升华率33%</v>
      </c>
      <c r="O45" s="38"/>
      <c r="Q45" s="69"/>
      <c r="R45" s="70"/>
    </row>
    <row r="46" customFormat="1" spans="1:18">
      <c r="A46" s="38"/>
      <c r="B46" s="38"/>
      <c r="C46" s="38"/>
      <c r="D46" s="38"/>
      <c r="E46" s="38"/>
      <c r="I46" s="41">
        <f>数据计算表!AF43</f>
        <v>2120</v>
      </c>
      <c r="J46" s="41" t="str">
        <f>数据计算表!AG43</f>
        <v>宝石获取率</v>
      </c>
      <c r="K46" s="77">
        <f>数据计算表!AH43</f>
        <v>0.05</v>
      </c>
      <c r="L46" s="84" t="str">
        <f>J46&amp;COUNTIF(J$4:J46,J46)*K46*100&amp;"%"</f>
        <v>宝石获取率55%</v>
      </c>
      <c r="O46" s="38"/>
      <c r="Q46" s="69"/>
      <c r="R46" s="70"/>
    </row>
    <row r="47" customFormat="1" spans="1:18">
      <c r="A47" s="38"/>
      <c r="B47" s="38"/>
      <c r="C47" s="38"/>
      <c r="D47" s="38"/>
      <c r="E47" s="38"/>
      <c r="I47" s="41">
        <f>数据计算表!AF44</f>
        <v>2240</v>
      </c>
      <c r="J47" s="41" t="str">
        <f>数据计算表!AG44</f>
        <v>副本评价奖励翻倍概率</v>
      </c>
      <c r="K47" s="77">
        <f>数据计算表!AH44</f>
        <v>0.02</v>
      </c>
      <c r="L47" s="84" t="str">
        <f>J47&amp;COUNTIF(J$4:J47,J47)*K47*100&amp;"%"</f>
        <v>副本评价奖励翻倍概率22%</v>
      </c>
      <c r="O47" s="38"/>
      <c r="Q47" s="69"/>
      <c r="R47" s="70"/>
    </row>
    <row r="48" customFormat="1" spans="1:18">
      <c r="A48" s="38"/>
      <c r="B48" s="38"/>
      <c r="C48" s="38"/>
      <c r="D48" s="38"/>
      <c r="E48" s="38"/>
      <c r="I48" s="41">
        <f>数据计算表!AF45</f>
        <v>2360</v>
      </c>
      <c r="J48" s="41" t="str">
        <f>数据计算表!AG45</f>
        <v>经验获取加成</v>
      </c>
      <c r="K48" s="77">
        <f>数据计算表!AH45</f>
        <v>0.02</v>
      </c>
      <c r="L48" s="84" t="str">
        <f>J48&amp;COUNTIF(J$4:J48,J48)*K48*100&amp;"%"</f>
        <v>经验获取加成22%</v>
      </c>
      <c r="O48" s="38"/>
      <c r="Q48" s="69"/>
      <c r="R48" s="70"/>
    </row>
    <row r="49" customFormat="1" spans="1:18">
      <c r="A49" s="38"/>
      <c r="B49" s="38"/>
      <c r="C49" s="38"/>
      <c r="D49" s="38"/>
      <c r="E49" s="38"/>
      <c r="I49" s="41">
        <f>数据计算表!AF46</f>
        <v>2490</v>
      </c>
      <c r="J49" s="41" t="str">
        <f>数据计算表!AG46</f>
        <v>副本掉落装备升华率</v>
      </c>
      <c r="K49" s="77">
        <f>数据计算表!AH46</f>
        <v>0.03</v>
      </c>
      <c r="L49" s="84" t="str">
        <f>J49&amp;COUNTIF(J$4:J49,J49)*K49*100&amp;"%"</f>
        <v>副本掉落装备升华率36%</v>
      </c>
      <c r="O49" s="38"/>
      <c r="Q49" s="69"/>
      <c r="R49" s="70"/>
    </row>
    <row r="50" customFormat="1" spans="1:18">
      <c r="A50" s="38"/>
      <c r="B50" s="38"/>
      <c r="C50" s="38"/>
      <c r="D50" s="38"/>
      <c r="E50" s="38"/>
      <c r="I50" s="41">
        <f>数据计算表!AF47</f>
        <v>2620</v>
      </c>
      <c r="J50" s="41" t="str">
        <f>数据计算表!AG47</f>
        <v>宝石获取率</v>
      </c>
      <c r="K50" s="77">
        <f>数据计算表!AH47</f>
        <v>0.05</v>
      </c>
      <c r="L50" s="84" t="str">
        <f>J50&amp;COUNTIF(J$4:J50,J50)*K50*100&amp;"%"</f>
        <v>宝石获取率60%</v>
      </c>
      <c r="O50" s="38"/>
      <c r="Q50" s="69"/>
      <c r="R50" s="70"/>
    </row>
    <row r="51" customFormat="1" spans="1:18">
      <c r="A51" s="38"/>
      <c r="B51" s="38"/>
      <c r="C51" s="38"/>
      <c r="D51" s="38"/>
      <c r="E51" s="38"/>
      <c r="I51" s="41">
        <f>数据计算表!AF48</f>
        <v>2750</v>
      </c>
      <c r="J51" s="41" t="str">
        <f>数据计算表!AG48</f>
        <v>副本评价奖励翻倍概率</v>
      </c>
      <c r="K51" s="77">
        <f>数据计算表!AH48</f>
        <v>0.02</v>
      </c>
      <c r="L51" s="84" t="str">
        <f>J51&amp;COUNTIF(J$4:J51,J51)*K51*100&amp;"%"</f>
        <v>副本评价奖励翻倍概率24%</v>
      </c>
      <c r="O51" s="38"/>
      <c r="Q51" s="69"/>
      <c r="R51" s="70"/>
    </row>
    <row r="52" customFormat="1" spans="1:18">
      <c r="A52" s="38"/>
      <c r="B52" s="38"/>
      <c r="C52" s="38"/>
      <c r="D52" s="38"/>
      <c r="E52" s="38"/>
      <c r="I52" s="41">
        <f>数据计算表!AF49</f>
        <v>2880</v>
      </c>
      <c r="J52" s="41" t="str">
        <f>数据计算表!AG49</f>
        <v>经验获取加成</v>
      </c>
      <c r="K52" s="77">
        <f>数据计算表!AH49</f>
        <v>0.02</v>
      </c>
      <c r="L52" s="84" t="str">
        <f>J52&amp;COUNTIF(J$4:J52,J52)*K52*100&amp;"%"</f>
        <v>经验获取加成24%</v>
      </c>
      <c r="O52" s="38"/>
      <c r="Q52" s="69"/>
      <c r="R52" s="70"/>
    </row>
    <row r="53" customFormat="1" spans="1:18">
      <c r="A53" s="38"/>
      <c r="B53" s="38"/>
      <c r="C53" s="38"/>
      <c r="D53" s="38"/>
      <c r="E53" s="38"/>
      <c r="I53" s="41">
        <f>数据计算表!AF50</f>
        <v>3020</v>
      </c>
      <c r="J53" s="41" t="str">
        <f>数据计算表!AG50</f>
        <v>副本掉落装备升华率</v>
      </c>
      <c r="K53" s="77">
        <f>数据计算表!AH50</f>
        <v>0.03</v>
      </c>
      <c r="L53" s="84" t="str">
        <f>J53&amp;COUNTIF(J$4:J53,J53)*K53*100&amp;"%"</f>
        <v>副本掉落装备升华率39%</v>
      </c>
      <c r="O53" s="38"/>
      <c r="Q53" s="69"/>
      <c r="R53" s="70"/>
    </row>
    <row r="54" customFormat="1" spans="1:18">
      <c r="A54" s="38"/>
      <c r="B54" s="38"/>
      <c r="C54" s="38"/>
      <c r="D54" s="38"/>
      <c r="E54" s="38"/>
      <c r="I54" s="41">
        <f>数据计算表!AF51</f>
        <v>3160</v>
      </c>
      <c r="J54" s="41" t="str">
        <f>数据计算表!AG51</f>
        <v>宝石获取率</v>
      </c>
      <c r="K54" s="77">
        <f>数据计算表!AH51</f>
        <v>0.05</v>
      </c>
      <c r="L54" s="84" t="str">
        <f>J54&amp;COUNTIF(J$4:J54,J54)*K54*100&amp;"%"</f>
        <v>宝石获取率65%</v>
      </c>
      <c r="O54" s="38"/>
      <c r="Q54" s="69"/>
      <c r="R54" s="70"/>
    </row>
    <row r="55" customFormat="1" spans="1:18">
      <c r="A55" s="38"/>
      <c r="B55" s="38"/>
      <c r="C55" s="38"/>
      <c r="D55" s="38"/>
      <c r="E55" s="38"/>
      <c r="I55" s="41">
        <f>数据计算表!AF52</f>
        <v>3300</v>
      </c>
      <c r="J55" s="41" t="str">
        <f>数据计算表!AG52</f>
        <v>副本评价奖励翻倍概率</v>
      </c>
      <c r="K55" s="77">
        <f>数据计算表!AH52</f>
        <v>0.02</v>
      </c>
      <c r="L55" s="84" t="str">
        <f>J55&amp;COUNTIF(J$4:J55,J55)*K55*100&amp;"%"</f>
        <v>副本评价奖励翻倍概率26%</v>
      </c>
      <c r="O55" s="38"/>
      <c r="Q55" s="69"/>
      <c r="R55" s="70"/>
    </row>
    <row r="56" customFormat="1" spans="1:18">
      <c r="A56" s="38"/>
      <c r="B56" s="38"/>
      <c r="C56" s="38"/>
      <c r="D56" s="38"/>
      <c r="E56" s="38"/>
      <c r="I56" s="41">
        <f>数据计算表!AF53</f>
        <v>3440</v>
      </c>
      <c r="J56" s="41" t="str">
        <f>数据计算表!AG53</f>
        <v>经验获取加成</v>
      </c>
      <c r="K56" s="77">
        <f>数据计算表!AH53</f>
        <v>0.02</v>
      </c>
      <c r="L56" s="84" t="str">
        <f>J56&amp;COUNTIF(J$4:J56,J56)*K56*100&amp;"%"</f>
        <v>经验获取加成26%</v>
      </c>
      <c r="O56" s="38"/>
      <c r="Q56" s="69"/>
      <c r="R56" s="70"/>
    </row>
    <row r="57" customFormat="1" spans="1:18">
      <c r="A57" s="38"/>
      <c r="B57" s="38"/>
      <c r="C57" s="38"/>
      <c r="D57" s="38"/>
      <c r="E57" s="38"/>
      <c r="I57" s="41">
        <f>数据计算表!AF54</f>
        <v>3590</v>
      </c>
      <c r="J57" s="41" t="str">
        <f>数据计算表!AG54</f>
        <v>副本掉落装备升华率</v>
      </c>
      <c r="K57" s="77">
        <f>数据计算表!AH54</f>
        <v>0.03</v>
      </c>
      <c r="L57" s="84" t="str">
        <f>J57&amp;COUNTIF(J$4:J57,J57)*K57*100&amp;"%"</f>
        <v>副本掉落装备升华率42%</v>
      </c>
      <c r="O57" s="38"/>
      <c r="Q57" s="69"/>
      <c r="R57" s="70"/>
    </row>
    <row r="58" customFormat="1" spans="1:18">
      <c r="A58" s="38"/>
      <c r="B58" s="38"/>
      <c r="C58" s="38"/>
      <c r="D58" s="38"/>
      <c r="E58" s="38"/>
      <c r="I58" s="41">
        <f>数据计算表!AF55</f>
        <v>3740</v>
      </c>
      <c r="J58" s="41" t="str">
        <f>数据计算表!AG55</f>
        <v>宝石获取率</v>
      </c>
      <c r="K58" s="77">
        <f>数据计算表!AH55</f>
        <v>0.05</v>
      </c>
      <c r="L58" s="84" t="str">
        <f>J58&amp;COUNTIF(J$4:J58,J58)*K58*100&amp;"%"</f>
        <v>宝石获取率70%</v>
      </c>
      <c r="O58" s="38"/>
      <c r="Q58" s="69"/>
      <c r="R58" s="70"/>
    </row>
    <row r="59" customFormat="1" spans="1:18">
      <c r="A59" s="38"/>
      <c r="B59" s="38"/>
      <c r="C59" s="38"/>
      <c r="D59" s="38"/>
      <c r="E59" s="38"/>
      <c r="I59" s="41">
        <f>数据计算表!AF56</f>
        <v>3890</v>
      </c>
      <c r="J59" s="41" t="str">
        <f>数据计算表!AG56</f>
        <v>副本评价奖励翻倍概率</v>
      </c>
      <c r="K59" s="77">
        <f>数据计算表!AH56</f>
        <v>0.02</v>
      </c>
      <c r="L59" s="84" t="str">
        <f>J59&amp;COUNTIF(J$4:J59,J59)*K59*100&amp;"%"</f>
        <v>副本评价奖励翻倍概率28%</v>
      </c>
      <c r="O59" s="38"/>
      <c r="Q59" s="69"/>
      <c r="R59" s="70"/>
    </row>
    <row r="60" customFormat="1" spans="1:18">
      <c r="A60" s="38"/>
      <c r="B60" s="38"/>
      <c r="C60" s="38"/>
      <c r="D60" s="38"/>
      <c r="E60" s="38"/>
      <c r="I60" s="41">
        <f>数据计算表!AF57</f>
        <v>4040</v>
      </c>
      <c r="J60" s="41" t="str">
        <f>数据计算表!AG57</f>
        <v>经验获取加成</v>
      </c>
      <c r="K60" s="77">
        <f>数据计算表!AH57</f>
        <v>0.02</v>
      </c>
      <c r="L60" s="84" t="str">
        <f>J60&amp;COUNTIF(J$4:J60,J60)*K60*100&amp;"%"</f>
        <v>经验获取加成28%</v>
      </c>
      <c r="O60" s="38"/>
      <c r="Q60" s="69"/>
      <c r="R60" s="70"/>
    </row>
    <row r="61" customFormat="1" spans="1:18">
      <c r="A61" s="38"/>
      <c r="B61" s="38"/>
      <c r="C61" s="38"/>
      <c r="D61" s="38"/>
      <c r="E61" s="38"/>
      <c r="I61" s="41">
        <f>数据计算表!AF58</f>
        <v>4200</v>
      </c>
      <c r="J61" s="41" t="str">
        <f>数据计算表!AG58</f>
        <v>副本掉落装备升华率</v>
      </c>
      <c r="K61" s="77">
        <f>数据计算表!AH58</f>
        <v>0.03</v>
      </c>
      <c r="L61" s="84" t="str">
        <f>J61&amp;COUNTIF(J$4:J61,J61)*K61*100&amp;"%"</f>
        <v>副本掉落装备升华率45%</v>
      </c>
      <c r="O61" s="38"/>
      <c r="Q61" s="69"/>
      <c r="R61" s="70"/>
    </row>
    <row r="62" customFormat="1" spans="1:18">
      <c r="A62" s="38"/>
      <c r="B62" s="38"/>
      <c r="C62" s="38"/>
      <c r="D62" s="38"/>
      <c r="E62" s="38"/>
      <c r="I62" s="41">
        <f>数据计算表!AF59</f>
        <v>4360</v>
      </c>
      <c r="J62" s="41" t="str">
        <f>数据计算表!AG59</f>
        <v>宝石获取率</v>
      </c>
      <c r="K62" s="77">
        <f>数据计算表!AH59</f>
        <v>0.05</v>
      </c>
      <c r="L62" s="84" t="str">
        <f>J62&amp;COUNTIF(J$4:J62,J62)*K62*100&amp;"%"</f>
        <v>宝石获取率75%</v>
      </c>
      <c r="O62" s="38"/>
      <c r="Q62" s="69"/>
      <c r="R62" s="70"/>
    </row>
    <row r="63" customFormat="1" spans="1:18">
      <c r="A63" s="38"/>
      <c r="B63" s="38"/>
      <c r="C63" s="38"/>
      <c r="D63" s="38"/>
      <c r="E63" s="38"/>
      <c r="I63" s="41">
        <f>数据计算表!AF60</f>
        <v>4520</v>
      </c>
      <c r="J63" s="41" t="str">
        <f>数据计算表!AG60</f>
        <v>副本评价奖励翻倍概率</v>
      </c>
      <c r="K63" s="77">
        <f>数据计算表!AH60</f>
        <v>0.02</v>
      </c>
      <c r="L63" s="84" t="str">
        <f>J63&amp;COUNTIF(J$4:J63,J63)*K63*100&amp;"%"</f>
        <v>副本评价奖励翻倍概率30%</v>
      </c>
      <c r="O63" s="38"/>
      <c r="Q63" s="69"/>
      <c r="R63" s="70"/>
    </row>
    <row r="64" customFormat="1" spans="1:18">
      <c r="A64" s="38"/>
      <c r="B64" s="38"/>
      <c r="C64" s="38"/>
      <c r="D64" s="38"/>
      <c r="E64" s="38"/>
      <c r="I64" s="41">
        <f>数据计算表!AF61</f>
        <v>4680</v>
      </c>
      <c r="J64" s="41" t="str">
        <f>数据计算表!AG61</f>
        <v>经验获取加成</v>
      </c>
      <c r="K64" s="77">
        <f>数据计算表!AH61</f>
        <v>0.02</v>
      </c>
      <c r="L64" s="84" t="str">
        <f>J64&amp;COUNTIF(J$4:J64,J64)*K64*100&amp;"%"</f>
        <v>经验获取加成30%</v>
      </c>
      <c r="O64" s="38"/>
      <c r="Q64" s="69"/>
      <c r="R64" s="70"/>
    </row>
    <row r="65" spans="9:12">
      <c r="I65" s="41">
        <f>数据计算表!AF62</f>
        <v>4860</v>
      </c>
      <c r="J65" s="41" t="str">
        <f>数据计算表!AG62</f>
        <v>副本掉落装备升华率</v>
      </c>
      <c r="K65" s="77">
        <f>数据计算表!AH62</f>
        <v>0.03</v>
      </c>
      <c r="L65" s="84" t="str">
        <f>J65&amp;COUNTIF(J$4:J65,J65)*K65*100&amp;"%"</f>
        <v>副本掉落装备升华率48%</v>
      </c>
    </row>
    <row r="66" spans="9:12">
      <c r="I66" s="41">
        <f>数据计算表!AF63</f>
        <v>5040</v>
      </c>
      <c r="J66" s="41" t="str">
        <f>数据计算表!AG63</f>
        <v>宝石获取率</v>
      </c>
      <c r="K66" s="77">
        <f>数据计算表!AH63</f>
        <v>0.05</v>
      </c>
      <c r="L66" s="84" t="str">
        <f>J66&amp;COUNTIF(J$4:J66,J66)*K66*100&amp;"%"</f>
        <v>宝石获取率80%</v>
      </c>
    </row>
    <row r="67" spans="9:12">
      <c r="I67" s="41">
        <f>数据计算表!AF64</f>
        <v>5220</v>
      </c>
      <c r="J67" s="41" t="str">
        <f>数据计算表!AG64</f>
        <v>副本评价奖励翻倍概率</v>
      </c>
      <c r="K67" s="77">
        <f>数据计算表!AH64</f>
        <v>0.02</v>
      </c>
      <c r="L67" s="84" t="str">
        <f>J67&amp;COUNTIF(J$4:J67,J67)*K67*100&amp;"%"</f>
        <v>副本评价奖励翻倍概率32%</v>
      </c>
    </row>
    <row r="68" spans="9:12">
      <c r="I68" s="41">
        <f>数据计算表!AF65</f>
        <v>5400</v>
      </c>
      <c r="J68" s="41" t="str">
        <f>数据计算表!AG65</f>
        <v>经验获取加成</v>
      </c>
      <c r="K68" s="77">
        <f>数据计算表!AH65</f>
        <v>0.02</v>
      </c>
      <c r="L68" s="84" t="str">
        <f>J68&amp;COUNTIF(J$4:J68,J68)*K68*100&amp;"%"</f>
        <v>经验获取加成32%</v>
      </c>
    </row>
    <row r="69" spans="9:12">
      <c r="I69" s="41">
        <f>数据计算表!AF66</f>
        <v>5600</v>
      </c>
      <c r="J69" s="41" t="str">
        <f>数据计算表!AG66</f>
        <v>副本掉落装备升华率</v>
      </c>
      <c r="K69" s="77">
        <f>数据计算表!AH66</f>
        <v>0.03</v>
      </c>
      <c r="L69" s="84" t="str">
        <f>J69&amp;COUNTIF(J$4:J69,J69)*K69*100&amp;"%"</f>
        <v>副本掉落装备升华率51%</v>
      </c>
    </row>
    <row r="70" spans="9:12">
      <c r="I70" s="41">
        <f>数据计算表!AF67</f>
        <v>5800</v>
      </c>
      <c r="J70" s="41" t="str">
        <f>数据计算表!AG67</f>
        <v>宝石获取率</v>
      </c>
      <c r="K70" s="77">
        <f>数据计算表!AH67</f>
        <v>0.05</v>
      </c>
      <c r="L70" s="84" t="str">
        <f>J70&amp;COUNTIF(J$4:J70,J70)*K70*100&amp;"%"</f>
        <v>宝石获取率85%</v>
      </c>
    </row>
    <row r="71" spans="9:12">
      <c r="I71" s="41">
        <f>数据计算表!AF68</f>
        <v>6000</v>
      </c>
      <c r="J71" s="41" t="str">
        <f>数据计算表!AG68</f>
        <v>副本评价奖励翻倍概率</v>
      </c>
      <c r="K71" s="77">
        <f>数据计算表!AH68</f>
        <v>0.02</v>
      </c>
      <c r="L71" s="84" t="str">
        <f>J71&amp;COUNTIF(J$4:J71,J71)*K71*100&amp;"%"</f>
        <v>副本评价奖励翻倍概率34%</v>
      </c>
    </row>
    <row r="72" spans="9:12">
      <c r="I72" s="41">
        <f>数据计算表!AF69</f>
        <v>6200</v>
      </c>
      <c r="J72" s="41" t="str">
        <f>数据计算表!AG69</f>
        <v>经验获取加成</v>
      </c>
      <c r="K72" s="77">
        <f>数据计算表!AH69</f>
        <v>0.02</v>
      </c>
      <c r="L72" s="84" t="str">
        <f>J72&amp;COUNTIF(J$4:J72,J72)*K72*100&amp;"%"</f>
        <v>经验获取加成34%</v>
      </c>
    </row>
    <row r="73" spans="9:12">
      <c r="I73" s="41">
        <f>数据计算表!AF70</f>
        <v>6420</v>
      </c>
      <c r="J73" s="41" t="str">
        <f>数据计算表!AG70</f>
        <v>副本掉落装备升华率</v>
      </c>
      <c r="K73" s="77">
        <f>数据计算表!AH70</f>
        <v>0.03</v>
      </c>
      <c r="L73" s="84" t="str">
        <f>J73&amp;COUNTIF(J$4:J73,J73)*K73*100&amp;"%"</f>
        <v>副本掉落装备升华率54%</v>
      </c>
    </row>
    <row r="74" spans="9:12">
      <c r="I74" s="41">
        <f>数据计算表!AF71</f>
        <v>6640</v>
      </c>
      <c r="J74" s="41" t="str">
        <f>数据计算表!AG71</f>
        <v>宝石获取率</v>
      </c>
      <c r="K74" s="77">
        <f>数据计算表!AH71</f>
        <v>0.05</v>
      </c>
      <c r="L74" s="84" t="str">
        <f>J74&amp;COUNTIF(J$4:J74,J74)*K74*100&amp;"%"</f>
        <v>宝石获取率90%</v>
      </c>
    </row>
    <row r="75" spans="9:12">
      <c r="I75" s="41">
        <f>数据计算表!AF72</f>
        <v>6860</v>
      </c>
      <c r="J75" s="41" t="str">
        <f>数据计算表!AG72</f>
        <v>副本评价奖励翻倍概率</v>
      </c>
      <c r="K75" s="77">
        <f>数据计算表!AH72</f>
        <v>0.02</v>
      </c>
      <c r="L75" s="84" t="str">
        <f>J75&amp;COUNTIF(J$4:J75,J75)*K75*100&amp;"%"</f>
        <v>副本评价奖励翻倍概率36%</v>
      </c>
    </row>
    <row r="76" spans="9:12">
      <c r="I76" s="41">
        <f>数据计算表!AF73</f>
        <v>7080</v>
      </c>
      <c r="J76" s="41" t="str">
        <f>数据计算表!AG73</f>
        <v>经验获取加成</v>
      </c>
      <c r="K76" s="77">
        <f>数据计算表!AH73</f>
        <v>0.02</v>
      </c>
      <c r="L76" s="84" t="str">
        <f>J76&amp;COUNTIF(J$4:J76,J76)*K76*100&amp;"%"</f>
        <v>经验获取加成36%</v>
      </c>
    </row>
    <row r="77" spans="9:12">
      <c r="I77" s="41">
        <f>数据计算表!AF74</f>
        <v>7320</v>
      </c>
      <c r="J77" s="41" t="str">
        <f>数据计算表!AG74</f>
        <v>副本掉落装备升华率</v>
      </c>
      <c r="K77" s="77">
        <f>数据计算表!AH74</f>
        <v>0.03</v>
      </c>
      <c r="L77" s="84" t="str">
        <f>J77&amp;COUNTIF(J$4:J77,J77)*K77*100&amp;"%"</f>
        <v>副本掉落装备升华率57%</v>
      </c>
    </row>
    <row r="78" spans="9:12">
      <c r="I78" s="41">
        <f>数据计算表!AF75</f>
        <v>7560</v>
      </c>
      <c r="J78" s="41" t="str">
        <f>数据计算表!AG75</f>
        <v>宝石获取率</v>
      </c>
      <c r="K78" s="77">
        <f>数据计算表!AH75</f>
        <v>0.05</v>
      </c>
      <c r="L78" s="84" t="str">
        <f>J78&amp;COUNTIF(J$4:J78,J78)*K78*100&amp;"%"</f>
        <v>宝石获取率95%</v>
      </c>
    </row>
    <row r="79" spans="9:12">
      <c r="I79" s="41">
        <f>数据计算表!AF76</f>
        <v>7800</v>
      </c>
      <c r="J79" s="41" t="str">
        <f>数据计算表!AG76</f>
        <v>副本评价奖励翻倍概率</v>
      </c>
      <c r="K79" s="77">
        <f>数据计算表!AH76</f>
        <v>0.02</v>
      </c>
      <c r="L79" s="84" t="str">
        <f>J79&amp;COUNTIF(J$4:J79,J79)*K79*100&amp;"%"</f>
        <v>副本评价奖励翻倍概率38%</v>
      </c>
    </row>
    <row r="80" spans="9:12">
      <c r="I80" s="41">
        <f>数据计算表!AF77</f>
        <v>8040</v>
      </c>
      <c r="J80" s="41" t="str">
        <f>数据计算表!AG77</f>
        <v>经验获取加成</v>
      </c>
      <c r="K80" s="77">
        <f>数据计算表!AH77</f>
        <v>0.02</v>
      </c>
      <c r="L80" s="84" t="str">
        <f>J80&amp;COUNTIF(J$4:J80,J80)*K80*100&amp;"%"</f>
        <v>经验获取加成38%</v>
      </c>
    </row>
    <row r="81" spans="9:12">
      <c r="I81" s="41">
        <f>数据计算表!AF78</f>
        <v>8300</v>
      </c>
      <c r="J81" s="41" t="str">
        <f>数据计算表!AG78</f>
        <v>副本掉落装备升华率</v>
      </c>
      <c r="K81" s="77">
        <f>数据计算表!AH78</f>
        <v>0.03</v>
      </c>
      <c r="L81" s="84" t="str">
        <f>J81&amp;COUNTIF(J$4:J81,J81)*K81*100&amp;"%"</f>
        <v>副本掉落装备升华率60%</v>
      </c>
    </row>
    <row r="82" spans="9:12">
      <c r="I82" s="41">
        <f>数据计算表!AF79</f>
        <v>8560</v>
      </c>
      <c r="J82" s="41" t="str">
        <f>数据计算表!AG79</f>
        <v>宝石获取率</v>
      </c>
      <c r="K82" s="77">
        <f>数据计算表!AH79</f>
        <v>0.05</v>
      </c>
      <c r="L82" s="84" t="str">
        <f>J82&amp;COUNTIF(J$4:J82,J82)*K82*100&amp;"%"</f>
        <v>宝石获取率100%</v>
      </c>
    </row>
    <row r="83" spans="9:12">
      <c r="I83" s="41">
        <f>数据计算表!AF80</f>
        <v>8820</v>
      </c>
      <c r="J83" s="41" t="str">
        <f>数据计算表!AG80</f>
        <v>副本评价奖励翻倍概率</v>
      </c>
      <c r="K83" s="77">
        <f>数据计算表!AH80</f>
        <v>0.02</v>
      </c>
      <c r="L83" s="84" t="str">
        <f>J83&amp;COUNTIF(J$4:J83,J83)*K83*100&amp;"%"</f>
        <v>副本评价奖励翻倍概率40%</v>
      </c>
    </row>
    <row r="84" spans="9:12">
      <c r="I84" s="41">
        <f>数据计算表!AF81</f>
        <v>9080</v>
      </c>
      <c r="J84" s="41" t="str">
        <f>数据计算表!AG81</f>
        <v>经验获取加成</v>
      </c>
      <c r="K84" s="77">
        <f>数据计算表!AH81</f>
        <v>0.02</v>
      </c>
      <c r="L84" s="84" t="str">
        <f>J84&amp;COUNTIF(J$4:J84,J84)*K84*100&amp;"%"</f>
        <v>经验获取加成40%</v>
      </c>
    </row>
    <row r="85" spans="9:12">
      <c r="I85" s="41">
        <f>数据计算表!AF82</f>
        <v>9360</v>
      </c>
      <c r="J85" s="41" t="str">
        <f>数据计算表!AG82</f>
        <v>副本掉落装备升华率</v>
      </c>
      <c r="K85" s="77">
        <f>数据计算表!AH82</f>
        <v>0.03</v>
      </c>
      <c r="L85" s="84" t="str">
        <f>J85&amp;COUNTIF(J$4:J85,J85)*K85*100&amp;"%"</f>
        <v>副本掉落装备升华率63%</v>
      </c>
    </row>
    <row r="86" spans="9:12">
      <c r="I86" s="41">
        <f>数据计算表!AF83</f>
        <v>9640</v>
      </c>
      <c r="J86" s="41" t="str">
        <f>数据计算表!AG83</f>
        <v>宝石获取率</v>
      </c>
      <c r="K86" s="77">
        <f>数据计算表!AH83</f>
        <v>0.05</v>
      </c>
      <c r="L86" s="84" t="str">
        <f>J86&amp;COUNTIF(J$4:J86,J86)*K86*100&amp;"%"</f>
        <v>宝石获取率105%</v>
      </c>
    </row>
    <row r="87" spans="9:12">
      <c r="I87" s="41">
        <f>数据计算表!AF84</f>
        <v>9920</v>
      </c>
      <c r="J87" s="41" t="str">
        <f>数据计算表!AG84</f>
        <v>副本评价奖励翻倍概率</v>
      </c>
      <c r="K87" s="77">
        <f>数据计算表!AH84</f>
        <v>0.02</v>
      </c>
      <c r="L87" s="84" t="str">
        <f>J87&amp;COUNTIF(J$4:J87,J87)*K87*100&amp;"%"</f>
        <v>副本评价奖励翻倍概率42%</v>
      </c>
    </row>
    <row r="88" spans="9:12">
      <c r="I88" s="41">
        <f>数据计算表!AF85</f>
        <v>10200</v>
      </c>
      <c r="J88" s="41" t="str">
        <f>数据计算表!AG85</f>
        <v>经验获取加成</v>
      </c>
      <c r="K88" s="77">
        <f>数据计算表!AH85</f>
        <v>0.02</v>
      </c>
      <c r="L88" s="84" t="str">
        <f>J88&amp;COUNTIF(J$4:J88,J88)*K88*100&amp;"%"</f>
        <v>经验获取加成42%</v>
      </c>
    </row>
    <row r="89" spans="9:12">
      <c r="I89" s="41">
        <f>数据计算表!AF86</f>
        <v>10500</v>
      </c>
      <c r="J89" s="41" t="str">
        <f>数据计算表!AG86</f>
        <v>副本掉落装备升华率</v>
      </c>
      <c r="K89" s="77">
        <f>数据计算表!AH86</f>
        <v>0.03</v>
      </c>
      <c r="L89" s="84" t="str">
        <f>J89&amp;COUNTIF(J$4:J89,J89)*K89*100&amp;"%"</f>
        <v>副本掉落装备升华率66%</v>
      </c>
    </row>
    <row r="90" spans="9:12">
      <c r="I90" s="41">
        <f>数据计算表!AF87</f>
        <v>10800</v>
      </c>
      <c r="J90" s="41" t="str">
        <f>数据计算表!AG87</f>
        <v>宝石获取率</v>
      </c>
      <c r="K90" s="77">
        <f>数据计算表!AH87</f>
        <v>0.05</v>
      </c>
      <c r="L90" s="84" t="str">
        <f>J90&amp;COUNTIF(J$4:J90,J90)*K90*100&amp;"%"</f>
        <v>宝石获取率110%</v>
      </c>
    </row>
    <row r="91" spans="9:12">
      <c r="I91" s="41">
        <f>数据计算表!AF88</f>
        <v>11100</v>
      </c>
      <c r="J91" s="41" t="str">
        <f>数据计算表!AG88</f>
        <v>副本评价奖励翻倍概率</v>
      </c>
      <c r="K91" s="77">
        <f>数据计算表!AH88</f>
        <v>0.02</v>
      </c>
      <c r="L91" s="84" t="str">
        <f>J91&amp;COUNTIF(J$4:J91,J91)*K91*100&amp;"%"</f>
        <v>副本评价奖励翻倍概率44%</v>
      </c>
    </row>
    <row r="92" spans="9:12">
      <c r="I92" s="41">
        <f>数据计算表!AF89</f>
        <v>11400</v>
      </c>
      <c r="J92" s="41" t="str">
        <f>数据计算表!AG89</f>
        <v>经验获取加成</v>
      </c>
      <c r="K92" s="77">
        <f>数据计算表!AH89</f>
        <v>0.02</v>
      </c>
      <c r="L92" s="84" t="str">
        <f>J92&amp;COUNTIF(J$4:J92,J92)*K92*100&amp;"%"</f>
        <v>经验获取加成44%</v>
      </c>
    </row>
  </sheetData>
  <mergeCells count="6">
    <mergeCell ref="A1:E1"/>
    <mergeCell ref="C2:E2"/>
    <mergeCell ref="A4:A6"/>
    <mergeCell ref="A8:A11"/>
    <mergeCell ref="A13:A17"/>
    <mergeCell ref="B4:B5"/>
  </mergeCells>
  <conditionalFormatting sqref="J41:J44">
    <cfRule type="expression" dxfId="7" priority="3">
      <formula>AND(ROW(J41)&gt;=MATCH($H$2,$I:$I,0)-3,ROW(J41)&lt;=MATCH($H$2,$I:$I,0))</formula>
    </cfRule>
  </conditionalFormatting>
  <conditionalFormatting sqref="J45:J48">
    <cfRule type="expression" dxfId="7" priority="2">
      <formula>AND(ROW(J45)&gt;=MATCH($H$2,$I:$I,0)-3,ROW(J45)&lt;=MATCH($H$2,$I:$I,0))</formula>
    </cfRule>
  </conditionalFormatting>
  <conditionalFormatting sqref="J49:J92">
    <cfRule type="expression" dxfId="7" priority="1">
      <formula>AND(ROW(J49)&gt;=MATCH($H$2,$I:$I,0)-3,ROW(J49)&lt;=MATCH($H$2,$I:$I,0))</formula>
    </cfRule>
  </conditionalFormatting>
  <conditionalFormatting sqref="I5:L40 I41:I51 K41:L51 I52 K52:L52 I53 K53:L53 I54 K54:L54 I55 K55:L55 I56 K56:L56 I57 K57:L57 I58 K58:L58 I59 K59:L59 I60 K60:L60 I61 K61:L61 I62 K62:L62 I63 K63:L63 I64 K64:L64 I65 K65:L65 I66 K66:L66 I67 K67:L67 I68 K68:L68 I69 K69:L69 I70 K70:L70 I71 K71:L71 I72 K72:L72 I73 K73:L73 I74 K74:L74 I75 K75:L75 I76 K76:L76 I77 K77:L77 I78 K78:L78 I79 K79:L79 I80 K80:L80 I81 K81:L81 I82 K82:L82 I83 K83:L83 I84 K84:L84 I85 K85:L85 I86 K86:L86 I87 K87:L87 I88 K88:L88 I89 K89:L89 I90 K90:L90 I91 K91:L91 I92 K92:L92">
    <cfRule type="expression" dxfId="7" priority="4">
      <formula>AND(ROW(I5)&gt;=MATCH($H$2,$I:$I,0)-3,ROW(I5)&lt;=MATCH($H$2,$I:$I,0))</formula>
    </cfRule>
  </conditionalFormatting>
  <dataValidations count="1">
    <dataValidation type="list" allowBlank="1" showInputMessage="1" showErrorMessage="1" sqref="H2">
      <formula1>$I$5:$I$92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7"/>
  <sheetViews>
    <sheetView zoomScale="70" zoomScaleNormal="70" workbookViewId="0">
      <selection activeCell="D71" sqref="D71"/>
    </sheetView>
  </sheetViews>
  <sheetFormatPr defaultColWidth="9" defaultRowHeight="13.5" outlineLevelRow="6" outlineLevelCol="7"/>
  <cols>
    <col min="1" max="4" width="50.6333333333333" style="10" customWidth="1"/>
    <col min="5" max="16384" width="9" style="10"/>
  </cols>
  <sheetData>
    <row r="1" s="10" customFormat="1" ht="46.5" spans="1:8">
      <c r="A1" s="66" t="s">
        <v>322</v>
      </c>
      <c r="B1" s="66" t="s">
        <v>323</v>
      </c>
      <c r="C1" s="66" t="s">
        <v>324</v>
      </c>
      <c r="D1" s="66" t="s">
        <v>325</v>
      </c>
      <c r="E1" s="67"/>
      <c r="F1" s="67"/>
      <c r="G1" s="67"/>
      <c r="H1" s="67"/>
    </row>
    <row r="2" s="10" customFormat="1" ht="46.5" spans="1:8">
      <c r="A2" s="68">
        <v>280</v>
      </c>
      <c r="B2" s="68">
        <v>230</v>
      </c>
      <c r="C2" s="68">
        <v>27</v>
      </c>
      <c r="D2" s="68">
        <v>210</v>
      </c>
      <c r="E2" s="67"/>
      <c r="F2" s="67"/>
      <c r="G2" s="67"/>
      <c r="H2" s="67"/>
    </row>
    <row r="3" s="10" customFormat="1" ht="46.5" spans="1:8">
      <c r="A3" s="67"/>
      <c r="B3" s="67"/>
      <c r="C3" s="67"/>
      <c r="D3" s="67"/>
      <c r="E3" s="67"/>
      <c r="F3" s="67"/>
      <c r="G3" s="67"/>
      <c r="H3" s="67"/>
    </row>
    <row r="4" s="10" customFormat="1" ht="46.5" spans="1:8">
      <c r="A4" s="67" t="str">
        <f>数据计算表!BR34</f>
        <v>你目前的装备等级由280升到281,获取一颗原初之星需要消耗价值637.4晨星的资源，或消耗121.5体力挖取</v>
      </c>
      <c r="B4" s="67"/>
      <c r="C4" s="67"/>
      <c r="D4" s="67"/>
      <c r="E4" s="67"/>
      <c r="F4" s="67"/>
      <c r="G4" s="67"/>
      <c r="H4" s="67"/>
    </row>
    <row r="5" s="10" customFormat="1" ht="46.5" spans="1:8">
      <c r="A5" s="67" t="str">
        <f>数据计算表!BS34</f>
        <v>你目前的技能等级由230升到231,获取一颗原初之星需要消耗价值679.8晨星的资源，或消耗141.6体力挖取</v>
      </c>
      <c r="B5" s="67"/>
      <c r="C5" s="67"/>
      <c r="D5" s="67"/>
      <c r="E5" s="67"/>
      <c r="F5" s="67"/>
      <c r="G5" s="67"/>
      <c r="H5" s="67"/>
    </row>
    <row r="6" s="10" customFormat="1" ht="46.5" spans="1:8">
      <c r="A6" s="67" t="str">
        <f>数据计算表!BT34</f>
        <v>你目前的遗物等级由27 升到28 ,获取一颗原初之星需要消耗价值833.2晨星的资源，或消耗158.8体力挖取</v>
      </c>
      <c r="B6" s="67"/>
      <c r="C6" s="67"/>
      <c r="D6" s="67"/>
      <c r="E6" s="67"/>
      <c r="F6" s="67"/>
      <c r="G6" s="67"/>
      <c r="H6" s="67"/>
    </row>
    <row r="7" s="10" customFormat="1" ht="46.5" spans="1:8">
      <c r="A7" s="67" t="str">
        <f>数据计算表!BU34</f>
        <v>你目前的幻兽等级由210升到211,获取一颗原初之星需要消耗价值1536.8晨星的资源</v>
      </c>
      <c r="B7" s="67"/>
      <c r="C7" s="67"/>
      <c r="D7" s="67"/>
      <c r="E7" s="67"/>
      <c r="F7" s="67"/>
      <c r="G7" s="67"/>
      <c r="H7" s="67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N85"/>
  <sheetViews>
    <sheetView tabSelected="1" workbookViewId="0">
      <selection activeCell="D28" sqref="D28"/>
    </sheetView>
  </sheetViews>
  <sheetFormatPr defaultColWidth="9" defaultRowHeight="13.5"/>
  <cols>
    <col min="2" max="2" width="24.6333333333333" customWidth="1"/>
    <col min="3" max="3" width="20.6333333333333" customWidth="1"/>
  </cols>
  <sheetData>
    <row r="1" spans="1:14">
      <c r="A1">
        <v>500</v>
      </c>
      <c r="B1" t="s">
        <v>530</v>
      </c>
      <c r="F1" s="38" t="s">
        <v>531</v>
      </c>
      <c r="G1" s="38"/>
      <c r="H1" s="38"/>
      <c r="I1" s="38"/>
      <c r="J1" s="38"/>
      <c r="K1" s="38"/>
      <c r="L1" s="38"/>
      <c r="M1" s="38"/>
      <c r="N1" s="38"/>
    </row>
    <row r="2" spans="1:14">
      <c r="A2">
        <v>1000</v>
      </c>
      <c r="B2" t="s">
        <v>532</v>
      </c>
    </row>
    <row r="3" spans="1:14">
      <c r="A3">
        <v>1200</v>
      </c>
      <c r="B3" t="s">
        <v>533</v>
      </c>
    </row>
    <row r="4" spans="1:14">
      <c r="A4">
        <v>1500</v>
      </c>
      <c r="B4" t="s">
        <v>534</v>
      </c>
    </row>
    <row r="5" spans="1:14">
      <c r="A5">
        <v>2000</v>
      </c>
      <c r="B5" t="s">
        <v>535</v>
      </c>
    </row>
    <row r="6" spans="1:14">
      <c r="A6">
        <v>2500</v>
      </c>
      <c r="B6" t="s">
        <v>536</v>
      </c>
    </row>
    <row r="7" spans="1:14">
      <c r="A7">
        <v>3500</v>
      </c>
      <c r="B7" t="s">
        <v>537</v>
      </c>
      <c r="C7" t="s">
        <v>538</v>
      </c>
    </row>
    <row r="8" spans="1:14">
      <c r="A8">
        <v>4000</v>
      </c>
      <c r="B8" t="s">
        <v>539</v>
      </c>
    </row>
    <row r="9" spans="1:14">
      <c r="A9">
        <v>5000</v>
      </c>
      <c r="B9" t="s">
        <v>540</v>
      </c>
    </row>
    <row r="10" spans="1:14">
      <c r="A10">
        <v>6000</v>
      </c>
      <c r="B10" t="s">
        <v>530</v>
      </c>
      <c r="C10" t="s">
        <v>541</v>
      </c>
    </row>
    <row r="11" spans="1:14">
      <c r="A11">
        <v>8000</v>
      </c>
      <c r="B11" t="s">
        <v>542</v>
      </c>
      <c r="C11" t="s">
        <v>543</v>
      </c>
    </row>
    <row r="12" spans="1:14">
      <c r="A12">
        <v>9000</v>
      </c>
      <c r="B12" t="s">
        <v>533</v>
      </c>
      <c r="C12" t="s">
        <v>544</v>
      </c>
    </row>
    <row r="13" spans="1:14">
      <c r="A13">
        <v>12500</v>
      </c>
      <c r="B13" t="s">
        <v>545</v>
      </c>
    </row>
    <row r="14" spans="1:14">
      <c r="A14">
        <v>15000</v>
      </c>
      <c r="B14" t="s">
        <v>536</v>
      </c>
      <c r="C14" t="s">
        <v>546</v>
      </c>
      <c r="F14" s="38" t="s">
        <v>547</v>
      </c>
      <c r="G14" s="38"/>
      <c r="H14" s="38"/>
      <c r="I14" s="38"/>
      <c r="J14" s="38"/>
      <c r="K14" s="38"/>
      <c r="L14" s="38"/>
      <c r="M14" s="38"/>
      <c r="N14" s="38"/>
    </row>
    <row r="15" spans="1:14">
      <c r="A15">
        <v>20000</v>
      </c>
      <c r="B15" t="s">
        <v>548</v>
      </c>
    </row>
    <row r="16" spans="1:14">
      <c r="A16">
        <v>24000</v>
      </c>
      <c r="B16" t="s">
        <v>539</v>
      </c>
      <c r="C16" t="s">
        <v>549</v>
      </c>
    </row>
    <row r="17" spans="1:14">
      <c r="A17">
        <v>32000</v>
      </c>
      <c r="B17" t="s">
        <v>550</v>
      </c>
    </row>
    <row r="18" spans="1:14">
      <c r="A18">
        <v>36000</v>
      </c>
      <c r="B18" t="s">
        <v>542</v>
      </c>
      <c r="C18" t="s">
        <v>551</v>
      </c>
    </row>
    <row r="19" spans="1:14">
      <c r="A19">
        <v>48000</v>
      </c>
      <c r="B19" t="s">
        <v>552</v>
      </c>
    </row>
    <row r="20" spans="1:14">
      <c r="A20">
        <v>58000</v>
      </c>
      <c r="B20" t="s">
        <v>542</v>
      </c>
      <c r="C20" t="s">
        <v>553</v>
      </c>
    </row>
    <row r="21" spans="1:14">
      <c r="A21">
        <v>64000</v>
      </c>
      <c r="B21" t="s">
        <v>554</v>
      </c>
    </row>
    <row r="22" spans="1:14">
      <c r="A22">
        <v>76000</v>
      </c>
      <c r="B22" t="s">
        <v>542</v>
      </c>
      <c r="C22" t="s">
        <v>555</v>
      </c>
    </row>
    <row r="23" spans="1:14">
      <c r="A23">
        <v>82000</v>
      </c>
      <c r="B23" t="s">
        <v>556</v>
      </c>
    </row>
    <row r="24" spans="1:14">
      <c r="A24">
        <v>100000</v>
      </c>
      <c r="B24" t="s">
        <v>542</v>
      </c>
      <c r="C24" t="s">
        <v>557</v>
      </c>
    </row>
    <row r="25" spans="1:14">
      <c r="A25">
        <v>120000</v>
      </c>
      <c r="B25" t="s">
        <v>558</v>
      </c>
    </row>
    <row r="26" spans="1:14">
      <c r="A26">
        <v>150000</v>
      </c>
      <c r="B26" t="s">
        <v>559</v>
      </c>
    </row>
    <row r="27" spans="1:14">
      <c r="A27">
        <v>180000</v>
      </c>
      <c r="B27" t="s">
        <v>560</v>
      </c>
    </row>
    <row r="28" spans="1:14">
      <c r="A28">
        <v>210000</v>
      </c>
      <c r="B28" t="s">
        <v>542</v>
      </c>
      <c r="C28" t="s">
        <v>561</v>
      </c>
    </row>
    <row r="29" spans="1:14">
      <c r="A29">
        <v>240000</v>
      </c>
      <c r="B29" t="s">
        <v>562</v>
      </c>
      <c r="F29" s="38" t="s">
        <v>563</v>
      </c>
      <c r="G29" s="38"/>
      <c r="H29" s="38"/>
      <c r="I29" s="38"/>
      <c r="J29" s="38"/>
      <c r="K29" s="38"/>
      <c r="L29" s="38"/>
      <c r="M29" s="38"/>
      <c r="N29" s="38"/>
    </row>
    <row r="30" spans="1:14">
      <c r="A30">
        <v>280000</v>
      </c>
      <c r="B30" t="s">
        <v>564</v>
      </c>
    </row>
    <row r="31" spans="1:14">
      <c r="A31">
        <v>320000</v>
      </c>
      <c r="B31" t="s">
        <v>565</v>
      </c>
    </row>
    <row r="32" spans="1:14">
      <c r="A32">
        <v>370000</v>
      </c>
      <c r="B32" t="s">
        <v>566</v>
      </c>
    </row>
    <row r="33" spans="1:14">
      <c r="A33">
        <v>420000</v>
      </c>
      <c r="B33" t="s">
        <v>567</v>
      </c>
    </row>
    <row r="34" spans="1:14">
      <c r="A34">
        <v>480000</v>
      </c>
      <c r="B34" t="s">
        <v>568</v>
      </c>
    </row>
    <row r="35" spans="1:14">
      <c r="A35">
        <v>540000</v>
      </c>
      <c r="B35" t="s">
        <v>569</v>
      </c>
    </row>
    <row r="36" spans="1:14">
      <c r="A36">
        <v>600000</v>
      </c>
      <c r="B36" t="s">
        <v>570</v>
      </c>
    </row>
    <row r="37" spans="1:14">
      <c r="A37">
        <v>680000</v>
      </c>
      <c r="B37" t="s">
        <v>571</v>
      </c>
    </row>
    <row r="38" spans="1:14">
      <c r="A38">
        <v>760000</v>
      </c>
      <c r="B38" t="s">
        <v>572</v>
      </c>
    </row>
    <row r="39" spans="1:14">
      <c r="A39">
        <v>840000</v>
      </c>
      <c r="B39" t="s">
        <v>573</v>
      </c>
    </row>
    <row r="40" spans="1:14">
      <c r="A40">
        <v>920000</v>
      </c>
      <c r="B40" t="s">
        <v>574</v>
      </c>
    </row>
    <row r="41" spans="1:14">
      <c r="A41">
        <v>1000000</v>
      </c>
      <c r="B41" t="s">
        <v>575</v>
      </c>
    </row>
    <row r="43" spans="1:14">
      <c r="F43" s="65"/>
    </row>
    <row r="46" spans="1:14">
      <c r="F46" s="38" t="s">
        <v>576</v>
      </c>
      <c r="G46" s="38"/>
      <c r="H46" s="38"/>
      <c r="I46" s="38"/>
      <c r="J46" s="38"/>
      <c r="K46" s="38"/>
      <c r="L46" s="38"/>
      <c r="M46" s="38"/>
      <c r="N46" s="38"/>
    </row>
    <row r="65" spans="6:14">
      <c r="F65" s="38" t="s">
        <v>577</v>
      </c>
      <c r="G65" s="38"/>
      <c r="H65" s="38"/>
      <c r="I65" s="38"/>
      <c r="J65" s="38"/>
      <c r="K65" s="38"/>
      <c r="L65" s="38"/>
      <c r="M65" s="38"/>
      <c r="N65" s="38"/>
    </row>
    <row r="85" spans="7:7">
      <c r="G85" t="s">
        <v>578</v>
      </c>
    </row>
  </sheetData>
  <mergeCells count="5">
    <mergeCell ref="F1:N1"/>
    <mergeCell ref="F14:N14"/>
    <mergeCell ref="F29:N29"/>
    <mergeCell ref="F46:N46"/>
    <mergeCell ref="F65:N65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3"/>
  <sheetViews>
    <sheetView workbookViewId="0">
      <selection activeCell="V53" sqref="V53:V54"/>
    </sheetView>
  </sheetViews>
  <sheetFormatPr defaultColWidth="10" defaultRowHeight="13.5" outlineLevelCol="7"/>
  <cols>
    <col min="1" max="1" width="16.4416666666667" customWidth="1"/>
  </cols>
  <sheetData>
    <row r="1" spans="1:8">
      <c r="A1" t="s">
        <v>579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spans="1:8">
      <c r="A2" t="s">
        <v>580</v>
      </c>
      <c r="B2">
        <f>SUM(数据计算表!BJ$2:BJ4)</f>
        <v>12</v>
      </c>
      <c r="C2">
        <f>SUM(数据计算表!BK$2:BK4)</f>
        <v>10</v>
      </c>
      <c r="D2">
        <f>SUM(数据计算表!BL$2:BL4)</f>
        <v>11</v>
      </c>
      <c r="E2">
        <f>SUM(数据计算表!BM$2:BM4)</f>
        <v>9</v>
      </c>
      <c r="F2">
        <f>SUM(数据计算表!BN$2:BN4)</f>
        <v>0</v>
      </c>
      <c r="G2">
        <f>SUM(数据计算表!BO$2:BO4)</f>
        <v>0</v>
      </c>
    </row>
    <row r="3" spans="1:8">
      <c r="A3" t="s">
        <v>581</v>
      </c>
      <c r="B3">
        <f>SUM(数据计算表!BJ$2:BJ5)</f>
        <v>17</v>
      </c>
      <c r="C3">
        <f>SUM(数据计算表!BK$2:BK5)</f>
        <v>11</v>
      </c>
      <c r="D3">
        <f>SUM(数据计算表!BL$2:BL5)</f>
        <v>12</v>
      </c>
      <c r="E3">
        <f>SUM(数据计算表!BM$2:BM5)</f>
        <v>11</v>
      </c>
      <c r="F3">
        <f>SUM(数据计算表!BN$2:BN5)</f>
        <v>7</v>
      </c>
      <c r="G3">
        <f>SUM(数据计算表!BO$2:BO5)</f>
        <v>0</v>
      </c>
    </row>
    <row r="4" spans="1:8">
      <c r="A4" t="s">
        <v>582</v>
      </c>
      <c r="B4">
        <f>SUM(数据计算表!BJ$2:BJ6)</f>
        <v>22</v>
      </c>
      <c r="C4">
        <f>SUM(数据计算表!BK$2:BK6)</f>
        <v>11</v>
      </c>
      <c r="D4">
        <f>SUM(数据计算表!BL$2:BL6)</f>
        <v>14</v>
      </c>
      <c r="E4">
        <f>SUM(数据计算表!BM$2:BM6)</f>
        <v>13</v>
      </c>
      <c r="F4">
        <f>SUM(数据计算表!BN$2:BN6)</f>
        <v>9</v>
      </c>
      <c r="G4">
        <f>SUM(数据计算表!BO$2:BO6)</f>
        <v>5</v>
      </c>
    </row>
    <row r="7" spans="1:8">
      <c r="A7" s="40"/>
      <c r="B7" s="40" t="s">
        <v>119</v>
      </c>
      <c r="C7" s="40" t="s">
        <v>120</v>
      </c>
      <c r="D7" s="40" t="s">
        <v>121</v>
      </c>
      <c r="E7" s="40" t="s">
        <v>122</v>
      </c>
      <c r="F7" s="40" t="s">
        <v>123</v>
      </c>
      <c r="G7" s="40" t="s">
        <v>124</v>
      </c>
      <c r="H7" s="1" t="s">
        <v>583</v>
      </c>
    </row>
    <row r="8" spans="1:8">
      <c r="A8" s="40" t="s">
        <v>160</v>
      </c>
      <c r="B8" s="40">
        <v>3</v>
      </c>
      <c r="C8" s="40">
        <v>5</v>
      </c>
      <c r="D8" s="40">
        <v>3</v>
      </c>
      <c r="E8" s="40"/>
      <c r="F8" s="40"/>
      <c r="G8" s="40"/>
      <c r="H8" s="1"/>
    </row>
    <row r="9" spans="1:8">
      <c r="A9" s="40" t="s">
        <v>1</v>
      </c>
      <c r="B9" s="40">
        <v>4</v>
      </c>
      <c r="C9" s="40">
        <v>3</v>
      </c>
      <c r="D9" s="40">
        <v>5</v>
      </c>
      <c r="E9" s="40">
        <v>3</v>
      </c>
      <c r="F9" s="40"/>
      <c r="G9" s="40"/>
      <c r="H9" s="1"/>
    </row>
    <row r="10" spans="1:8">
      <c r="A10" s="40" t="s">
        <v>2</v>
      </c>
      <c r="B10" s="40">
        <v>5</v>
      </c>
      <c r="C10" s="40">
        <v>2</v>
      </c>
      <c r="D10" s="40">
        <v>3</v>
      </c>
      <c r="E10" s="40">
        <v>6</v>
      </c>
      <c r="F10" s="40"/>
      <c r="G10" s="40"/>
      <c r="H10" s="1"/>
    </row>
    <row r="11" spans="1:8">
      <c r="A11" s="40" t="s">
        <v>3</v>
      </c>
      <c r="B11" s="40">
        <v>5</v>
      </c>
      <c r="C11" s="40">
        <v>1</v>
      </c>
      <c r="D11" s="40">
        <v>1</v>
      </c>
      <c r="E11" s="40">
        <v>2</v>
      </c>
      <c r="F11" s="40">
        <v>7</v>
      </c>
      <c r="G11" s="40"/>
      <c r="H11" s="1"/>
    </row>
    <row r="12" spans="1:8">
      <c r="A12" s="40" t="s">
        <v>4</v>
      </c>
      <c r="B12" s="40">
        <v>5</v>
      </c>
      <c r="C12" s="40"/>
      <c r="D12" s="40">
        <v>2</v>
      </c>
      <c r="E12" s="40">
        <v>2</v>
      </c>
      <c r="F12" s="40">
        <v>2</v>
      </c>
      <c r="G12" s="40">
        <v>5</v>
      </c>
      <c r="H12" s="1"/>
    </row>
    <row r="13" spans="1:8">
      <c r="A13" s="1" t="s">
        <v>584</v>
      </c>
      <c r="B13" s="1">
        <v>5</v>
      </c>
      <c r="C13" s="1"/>
      <c r="D13" s="1">
        <v>2</v>
      </c>
      <c r="E13" s="1">
        <v>2</v>
      </c>
      <c r="F13" s="1"/>
      <c r="G13" s="1"/>
      <c r="H13" s="1">
        <v>5</v>
      </c>
    </row>
  </sheetData>
  <pageMargins left="0.75" right="0.75" top="1" bottom="1" header="0.5" footer="0.5"/>
  <headerFooter/>
  <ignoredErrors>
    <ignoredError sqref="A1:G6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P27"/>
  <sheetViews>
    <sheetView workbookViewId="0">
      <selection activeCell="A5" sqref="A5:B8"/>
    </sheetView>
  </sheetViews>
  <sheetFormatPr defaultColWidth="10" defaultRowHeight="13.5"/>
  <cols>
    <col min="1" max="1" width="18.6666666666667" customWidth="1"/>
    <col min="2" max="5" width="12.8833333333333"/>
    <col min="7" max="7" width="12.8833333333333"/>
  </cols>
  <sheetData>
    <row r="1" spans="1:16">
      <c r="A1" t="s">
        <v>585</v>
      </c>
      <c r="B1">
        <v>450</v>
      </c>
      <c r="I1" t="s">
        <v>586</v>
      </c>
      <c r="J1" t="s">
        <v>130</v>
      </c>
      <c r="K1" t="s">
        <v>587</v>
      </c>
      <c r="L1" t="s">
        <v>130</v>
      </c>
      <c r="M1" t="s">
        <v>588</v>
      </c>
      <c r="N1" t="s">
        <v>130</v>
      </c>
      <c r="O1" t="s">
        <v>589</v>
      </c>
      <c r="P1" t="s">
        <v>130</v>
      </c>
    </row>
    <row r="2" spans="1:16">
      <c r="A2" t="s">
        <v>590</v>
      </c>
      <c r="B2">
        <v>150</v>
      </c>
      <c r="H2" t="s">
        <v>591</v>
      </c>
      <c r="I2">
        <v>400</v>
      </c>
      <c r="J2">
        <v>900</v>
      </c>
      <c r="K2">
        <v>600</v>
      </c>
      <c r="L2">
        <v>1500</v>
      </c>
      <c r="M2">
        <v>800</v>
      </c>
      <c r="N2">
        <v>2500</v>
      </c>
      <c r="O2">
        <v>1200</v>
      </c>
      <c r="P2">
        <v>4000</v>
      </c>
    </row>
    <row r="3" spans="1:16">
      <c r="A3" t="s">
        <v>592</v>
      </c>
      <c r="B3">
        <v>30</v>
      </c>
    </row>
    <row r="4" spans="1:16">
      <c r="A4" t="s">
        <v>593</v>
      </c>
      <c r="B4">
        <v>300</v>
      </c>
    </row>
    <row r="5" spans="1:16">
      <c r="A5" t="s">
        <v>594</v>
      </c>
      <c r="B5">
        <v>15</v>
      </c>
    </row>
    <row r="6" spans="1:16">
      <c r="A6" t="s">
        <v>595</v>
      </c>
      <c r="B6">
        <v>45</v>
      </c>
    </row>
    <row r="7" spans="1:16">
      <c r="A7" t="s">
        <v>596</v>
      </c>
      <c r="B7">
        <v>100</v>
      </c>
    </row>
    <row r="8" spans="1:16">
      <c r="A8" t="s">
        <v>597</v>
      </c>
      <c r="B8">
        <v>45</v>
      </c>
    </row>
    <row r="9" spans="1:16">
      <c r="A9" t="s">
        <v>598</v>
      </c>
      <c r="B9">
        <v>8</v>
      </c>
    </row>
    <row r="10" spans="1:16">
      <c r="A10" t="s">
        <v>599</v>
      </c>
      <c r="B10">
        <v>100</v>
      </c>
    </row>
    <row r="11" spans="1:16">
      <c r="A11" t="s">
        <v>600</v>
      </c>
      <c r="B11">
        <v>100</v>
      </c>
    </row>
    <row r="12" spans="1:16">
      <c r="A12" t="s">
        <v>601</v>
      </c>
      <c r="B12">
        <v>60</v>
      </c>
    </row>
    <row r="13" spans="1:16">
      <c r="A13" t="s">
        <v>602</v>
      </c>
      <c r="B13">
        <v>5</v>
      </c>
    </row>
    <row r="14" spans="1:16">
      <c r="A14" t="s">
        <v>603</v>
      </c>
      <c r="B14">
        <v>0.1</v>
      </c>
    </row>
    <row r="15" spans="1:16">
      <c r="A15" t="s">
        <v>604</v>
      </c>
      <c r="B15">
        <f>10/3</f>
        <v>3.33333333333333</v>
      </c>
    </row>
    <row r="16" spans="1:16">
      <c r="A16" t="s">
        <v>605</v>
      </c>
      <c r="B16">
        <f>30/30000</f>
        <v>0.001</v>
      </c>
    </row>
    <row r="17" spans="1:7">
      <c r="A17" t="s">
        <v>606</v>
      </c>
      <c r="B17">
        <f>100*B16</f>
        <v>0.1</v>
      </c>
    </row>
    <row r="18" spans="1:7">
      <c r="A18" t="s">
        <v>607</v>
      </c>
      <c r="B18">
        <v>450</v>
      </c>
    </row>
    <row r="21" spans="1:7">
      <c r="A21" t="s">
        <v>608</v>
      </c>
      <c r="B21" t="s">
        <v>609</v>
      </c>
      <c r="C21" t="s">
        <v>100</v>
      </c>
      <c r="D21" t="s">
        <v>610</v>
      </c>
      <c r="E21" t="s">
        <v>611</v>
      </c>
      <c r="F21" t="s">
        <v>612</v>
      </c>
      <c r="G21" t="s">
        <v>613</v>
      </c>
    </row>
    <row r="22" spans="1:7">
      <c r="A22">
        <v>6</v>
      </c>
      <c r="B22">
        <v>300</v>
      </c>
      <c r="C22">
        <v>60</v>
      </c>
      <c r="D22">
        <f t="shared" ref="D22:D27" si="0">C22*B$15</f>
        <v>200</v>
      </c>
      <c r="E22" s="16">
        <v>8</v>
      </c>
      <c r="F22" s="32">
        <f t="shared" ref="F22:F27" si="1">(B22+D22)/A22/10+1</f>
        <v>9.33333333333333</v>
      </c>
      <c r="G22">
        <f t="shared" ref="G22:G27" si="2">((E22-1)*A22*10-B22)/C22</f>
        <v>2</v>
      </c>
    </row>
    <row r="23" spans="1:7">
      <c r="A23">
        <v>30</v>
      </c>
      <c r="B23">
        <v>1050</v>
      </c>
      <c r="C23">
        <v>300</v>
      </c>
      <c r="D23">
        <f t="shared" si="0"/>
        <v>1000</v>
      </c>
      <c r="E23" s="16">
        <v>6.5</v>
      </c>
      <c r="F23" s="32">
        <f t="shared" si="1"/>
        <v>7.83333333333333</v>
      </c>
      <c r="G23">
        <f t="shared" si="2"/>
        <v>2</v>
      </c>
    </row>
    <row r="24" spans="1:7">
      <c r="A24">
        <v>98</v>
      </c>
      <c r="B24">
        <v>2800</v>
      </c>
      <c r="C24">
        <v>500</v>
      </c>
      <c r="D24">
        <f t="shared" si="0"/>
        <v>1666.66666666667</v>
      </c>
      <c r="E24" s="16">
        <v>4.9</v>
      </c>
      <c r="F24" s="32">
        <f t="shared" si="1"/>
        <v>5.5578231292517</v>
      </c>
      <c r="G24">
        <f t="shared" si="2"/>
        <v>2.044</v>
      </c>
    </row>
    <row r="25" spans="1:7">
      <c r="A25">
        <v>198</v>
      </c>
      <c r="B25">
        <f>26*160</f>
        <v>4160</v>
      </c>
      <c r="C25">
        <v>850</v>
      </c>
      <c r="D25">
        <f t="shared" si="0"/>
        <v>2833.33333333333</v>
      </c>
      <c r="E25" s="16">
        <v>4</v>
      </c>
      <c r="F25" s="32">
        <f t="shared" si="1"/>
        <v>4.53198653198653</v>
      </c>
      <c r="G25">
        <f t="shared" si="2"/>
        <v>2.09411764705882</v>
      </c>
    </row>
    <row r="26" spans="1:7">
      <c r="A26">
        <v>328</v>
      </c>
      <c r="B26">
        <f>50*45+280*8</f>
        <v>4490</v>
      </c>
      <c r="C26">
        <v>1400</v>
      </c>
      <c r="D26">
        <f t="shared" si="0"/>
        <v>4666.66666666667</v>
      </c>
      <c r="E26" s="16">
        <v>3.2</v>
      </c>
      <c r="F26" s="32">
        <f t="shared" si="1"/>
        <v>3.79166666666667</v>
      </c>
      <c r="G26">
        <f t="shared" si="2"/>
        <v>1.94714285714286</v>
      </c>
    </row>
    <row r="27" spans="1:7">
      <c r="A27">
        <v>648</v>
      </c>
      <c r="B27">
        <v>7000</v>
      </c>
      <c r="C27">
        <v>2800</v>
      </c>
      <c r="D27">
        <f t="shared" si="0"/>
        <v>9333.33333333333</v>
      </c>
      <c r="E27" s="16">
        <v>2.9</v>
      </c>
      <c r="F27" s="32">
        <f t="shared" si="1"/>
        <v>3.52057613168724</v>
      </c>
      <c r="G27">
        <f t="shared" si="2"/>
        <v>1.89714285714286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G16"/>
  <sheetViews>
    <sheetView workbookViewId="0">
      <selection activeCell="D63" sqref="D63"/>
    </sheetView>
  </sheetViews>
  <sheetFormatPr defaultColWidth="9" defaultRowHeight="13.5" outlineLevelCol="6"/>
  <cols>
    <col min="1" max="1" width="9" style="63"/>
    <col min="2" max="2" width="9.66666666666667" customWidth="1"/>
    <col min="3" max="3" width="8.66666666666667" customWidth="1"/>
    <col min="4" max="6" width="11.8833333333333" customWidth="1"/>
    <col min="7" max="7" width="16.4416666666667" customWidth="1"/>
  </cols>
  <sheetData>
    <row r="1" customFormat="1" spans="1:7">
      <c r="A1" s="63"/>
      <c r="B1" t="s">
        <v>614</v>
      </c>
      <c r="C1">
        <v>8006001</v>
      </c>
      <c r="D1" s="64" t="s">
        <v>615</v>
      </c>
      <c r="E1" s="64" t="s">
        <v>616</v>
      </c>
      <c r="F1" s="64" t="s">
        <v>617</v>
      </c>
      <c r="G1" s="38" t="s">
        <v>618</v>
      </c>
    </row>
    <row r="2" customFormat="1" spans="1:7">
      <c r="A2" s="63"/>
      <c r="B2" t="s">
        <v>619</v>
      </c>
      <c r="C2">
        <v>8006002</v>
      </c>
      <c r="D2" s="38"/>
      <c r="E2" s="38"/>
      <c r="F2" s="38"/>
      <c r="G2" s="38"/>
    </row>
    <row r="3" customFormat="1" spans="1:7">
      <c r="A3" s="63"/>
      <c r="B3" t="s">
        <v>620</v>
      </c>
      <c r="C3">
        <v>8006003</v>
      </c>
      <c r="D3" s="64" t="s">
        <v>621</v>
      </c>
      <c r="E3" s="38"/>
      <c r="F3" s="38"/>
      <c r="G3" s="38"/>
    </row>
    <row r="4" customFormat="1" spans="1:7">
      <c r="A4" s="63"/>
      <c r="B4" t="s">
        <v>622</v>
      </c>
      <c r="C4">
        <v>8006004</v>
      </c>
      <c r="D4" s="38"/>
      <c r="E4" s="38"/>
      <c r="F4" s="38"/>
      <c r="G4" s="38"/>
    </row>
    <row r="5" customFormat="1" spans="1:7">
      <c r="A5" s="63"/>
      <c r="B5" t="s">
        <v>623</v>
      </c>
      <c r="C5">
        <v>8006005</v>
      </c>
      <c r="D5" s="64" t="s">
        <v>624</v>
      </c>
      <c r="E5" s="64" t="s">
        <v>625</v>
      </c>
      <c r="F5" s="38"/>
      <c r="G5" s="38"/>
    </row>
    <row r="6" customFormat="1" spans="1:7">
      <c r="A6" s="63"/>
      <c r="B6" t="s">
        <v>626</v>
      </c>
      <c r="C6">
        <v>8006006</v>
      </c>
      <c r="D6" s="38"/>
      <c r="E6" s="38"/>
      <c r="F6" s="38"/>
      <c r="G6" s="38"/>
    </row>
    <row r="7" customFormat="1" spans="1:7">
      <c r="A7" s="63"/>
      <c r="B7" t="s">
        <v>627</v>
      </c>
      <c r="C7">
        <v>8006007</v>
      </c>
      <c r="D7" s="64" t="s">
        <v>628</v>
      </c>
      <c r="E7" s="38"/>
      <c r="F7" s="38"/>
      <c r="G7" s="38"/>
    </row>
    <row r="8" customFormat="1" spans="1:7">
      <c r="A8" s="63"/>
      <c r="B8" t="s">
        <v>629</v>
      </c>
      <c r="C8">
        <v>8006008</v>
      </c>
      <c r="D8" s="38"/>
      <c r="E8" s="38"/>
      <c r="F8" s="38"/>
      <c r="G8" s="38"/>
    </row>
    <row r="9" customFormat="1" spans="1:7">
      <c r="A9" s="63">
        <v>45928</v>
      </c>
      <c r="B9" t="s">
        <v>630</v>
      </c>
      <c r="C9">
        <v>8006009</v>
      </c>
      <c r="D9" s="64" t="s">
        <v>631</v>
      </c>
      <c r="E9" s="64" t="s">
        <v>632</v>
      </c>
      <c r="F9" s="64" t="s">
        <v>633</v>
      </c>
      <c r="G9" s="38"/>
    </row>
    <row r="10" customFormat="1" spans="1:7">
      <c r="A10" s="63">
        <v>45928</v>
      </c>
      <c r="B10" t="s">
        <v>634</v>
      </c>
      <c r="C10">
        <v>8006010</v>
      </c>
      <c r="D10" s="38"/>
      <c r="E10" s="38"/>
      <c r="F10" s="38"/>
      <c r="G10" s="38"/>
    </row>
    <row r="11" customFormat="1" spans="1:7">
      <c r="A11" s="63"/>
      <c r="B11" t="s">
        <v>635</v>
      </c>
      <c r="C11">
        <v>8006011</v>
      </c>
      <c r="D11" s="64" t="s">
        <v>636</v>
      </c>
      <c r="E11" s="38"/>
      <c r="F11" s="38"/>
      <c r="G11" s="38"/>
    </row>
    <row r="12" customFormat="1" spans="1:7">
      <c r="A12" s="63">
        <v>45929</v>
      </c>
      <c r="B12" t="s">
        <v>637</v>
      </c>
      <c r="C12">
        <v>8006012</v>
      </c>
      <c r="D12" s="38"/>
      <c r="E12" s="38"/>
      <c r="F12" s="38"/>
      <c r="G12" s="38"/>
    </row>
    <row r="13" customFormat="1" spans="1:7">
      <c r="A13" s="63">
        <v>45929</v>
      </c>
      <c r="B13" t="s">
        <v>638</v>
      </c>
      <c r="C13">
        <v>8006013</v>
      </c>
      <c r="D13" s="64" t="s">
        <v>639</v>
      </c>
      <c r="E13" s="64" t="s">
        <v>640</v>
      </c>
      <c r="F13" s="38"/>
      <c r="G13" s="38"/>
    </row>
    <row r="14" customFormat="1" spans="1:7">
      <c r="A14" s="63">
        <v>45930</v>
      </c>
      <c r="B14" t="s">
        <v>641</v>
      </c>
      <c r="C14">
        <v>8006014</v>
      </c>
      <c r="D14" s="38"/>
      <c r="E14" s="38"/>
      <c r="F14" s="38"/>
      <c r="G14" s="38"/>
    </row>
    <row r="15" customFormat="1" spans="1:7">
      <c r="A15" s="63">
        <v>45930</v>
      </c>
      <c r="B15" t="s">
        <v>642</v>
      </c>
      <c r="C15">
        <v>8006015</v>
      </c>
      <c r="D15" s="64" t="s">
        <v>643</v>
      </c>
      <c r="E15" s="38"/>
      <c r="F15" s="38"/>
      <c r="G15" s="38"/>
    </row>
    <row r="16" customFormat="1" spans="1:7">
      <c r="A16" s="63">
        <v>45930</v>
      </c>
      <c r="B16" t="s">
        <v>644</v>
      </c>
      <c r="C16">
        <v>8006016</v>
      </c>
      <c r="D16" s="38"/>
      <c r="E16" s="38"/>
      <c r="F16" s="38"/>
      <c r="G16" s="38"/>
    </row>
  </sheetData>
  <mergeCells count="15">
    <mergeCell ref="D1:D2"/>
    <mergeCell ref="D3:D4"/>
    <mergeCell ref="D5:D6"/>
    <mergeCell ref="D7:D8"/>
    <mergeCell ref="D9:D10"/>
    <mergeCell ref="D11:D12"/>
    <mergeCell ref="D13:D14"/>
    <mergeCell ref="D15:D16"/>
    <mergeCell ref="E1:E4"/>
    <mergeCell ref="E5:E8"/>
    <mergeCell ref="E9:E12"/>
    <mergeCell ref="E13:E16"/>
    <mergeCell ref="F1:F8"/>
    <mergeCell ref="F9:F16"/>
    <mergeCell ref="G1:G1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W24"/>
  <sheetViews>
    <sheetView workbookViewId="0">
      <selection activeCell="H9" sqref="H9"/>
    </sheetView>
  </sheetViews>
  <sheetFormatPr defaultColWidth="10" defaultRowHeight="13.5"/>
  <cols>
    <col min="1" max="1" width="7.66666666666667" customWidth="1"/>
    <col min="2" max="2" width="11.8833333333333" customWidth="1"/>
    <col min="3" max="3" width="7.66666666666667" customWidth="1"/>
    <col min="4" max="4" width="11.8833333333333" customWidth="1"/>
    <col min="5" max="5" width="9.66666666666667" customWidth="1"/>
    <col min="6" max="8" width="11.8833333333333" customWidth="1"/>
    <col min="9" max="10" width="7.66666666666667" customWidth="1"/>
  </cols>
  <sheetData>
    <row r="1" spans="1:23">
      <c r="B1" t="s">
        <v>645</v>
      </c>
      <c r="D1" t="s">
        <v>144</v>
      </c>
      <c r="F1" t="s">
        <v>646</v>
      </c>
      <c r="H1" t="s">
        <v>647</v>
      </c>
      <c r="R1" t="s">
        <v>143</v>
      </c>
      <c r="S1" t="s">
        <v>144</v>
      </c>
      <c r="T1" t="s">
        <v>145</v>
      </c>
      <c r="U1" t="s">
        <v>91</v>
      </c>
    </row>
    <row r="2" spans="1:23">
      <c r="A2" t="s">
        <v>648</v>
      </c>
      <c r="B2" t="s">
        <v>649</v>
      </c>
      <c r="D2" t="s">
        <v>650</v>
      </c>
      <c r="F2" t="s">
        <v>649</v>
      </c>
      <c r="H2">
        <v>570</v>
      </c>
      <c r="Q2" t="s">
        <v>92</v>
      </c>
      <c r="R2">
        <v>2.5</v>
      </c>
      <c r="S2">
        <v>2.5</v>
      </c>
      <c r="T2">
        <v>0.5</v>
      </c>
      <c r="U2">
        <v>3.125</v>
      </c>
    </row>
    <row r="3" spans="1:23">
      <c r="A3" t="s">
        <v>651</v>
      </c>
      <c r="B3" t="s">
        <v>652</v>
      </c>
      <c r="C3" t="s">
        <v>653</v>
      </c>
      <c r="D3" t="s">
        <v>654</v>
      </c>
      <c r="E3" t="s">
        <v>655</v>
      </c>
      <c r="F3" t="s">
        <v>650</v>
      </c>
      <c r="G3" t="s">
        <v>649</v>
      </c>
      <c r="H3">
        <v>2448</v>
      </c>
    </row>
    <row r="4" spans="1:23">
      <c r="A4" t="s">
        <v>656</v>
      </c>
      <c r="B4" t="s">
        <v>652</v>
      </c>
      <c r="C4" t="s">
        <v>653</v>
      </c>
      <c r="D4" t="s">
        <v>654</v>
      </c>
      <c r="E4" t="s">
        <v>655</v>
      </c>
      <c r="F4" t="s">
        <v>650</v>
      </c>
      <c r="G4" t="s">
        <v>649</v>
      </c>
      <c r="H4">
        <v>3536</v>
      </c>
    </row>
    <row r="5" spans="1:23">
      <c r="A5" t="s">
        <v>657</v>
      </c>
      <c r="B5" t="s">
        <v>652</v>
      </c>
      <c r="C5" t="s">
        <v>653</v>
      </c>
      <c r="D5" t="s">
        <v>654</v>
      </c>
      <c r="E5" t="s">
        <v>655</v>
      </c>
      <c r="F5" t="s">
        <v>650</v>
      </c>
      <c r="G5" t="s">
        <v>649</v>
      </c>
      <c r="H5">
        <v>4080</v>
      </c>
    </row>
    <row r="6" spans="1:23">
      <c r="A6" t="s">
        <v>658</v>
      </c>
      <c r="B6" t="s">
        <v>652</v>
      </c>
      <c r="C6" t="s">
        <v>653</v>
      </c>
      <c r="D6" t="s">
        <v>654</v>
      </c>
      <c r="E6" t="s">
        <v>655</v>
      </c>
      <c r="F6" t="s">
        <v>650</v>
      </c>
      <c r="G6" t="s">
        <v>649</v>
      </c>
      <c r="H6">
        <v>4692</v>
      </c>
    </row>
    <row r="7" spans="1:23">
      <c r="A7" t="s">
        <v>659</v>
      </c>
      <c r="B7" t="s">
        <v>652</v>
      </c>
      <c r="C7" t="s">
        <v>653</v>
      </c>
      <c r="D7" t="s">
        <v>654</v>
      </c>
      <c r="E7" t="s">
        <v>655</v>
      </c>
      <c r="F7" t="s">
        <v>650</v>
      </c>
      <c r="G7" t="s">
        <v>649</v>
      </c>
      <c r="H7">
        <v>5440</v>
      </c>
    </row>
    <row r="8" spans="1:23">
      <c r="A8" t="s">
        <v>660</v>
      </c>
      <c r="B8" t="s">
        <v>652</v>
      </c>
      <c r="C8" t="s">
        <v>653</v>
      </c>
      <c r="D8" t="s">
        <v>654</v>
      </c>
      <c r="E8" t="s">
        <v>655</v>
      </c>
      <c r="F8" t="s">
        <v>650</v>
      </c>
      <c r="G8" t="s">
        <v>649</v>
      </c>
      <c r="H8">
        <v>6256</v>
      </c>
    </row>
    <row r="9" spans="1:23">
      <c r="A9" t="s">
        <v>661</v>
      </c>
      <c r="B9" t="s">
        <v>652</v>
      </c>
      <c r="C9" t="s">
        <v>653</v>
      </c>
      <c r="D9" t="s">
        <v>654</v>
      </c>
      <c r="E9" t="s">
        <v>655</v>
      </c>
      <c r="F9" t="s">
        <v>650</v>
      </c>
      <c r="G9" t="s">
        <v>649</v>
      </c>
      <c r="H9">
        <v>6800</v>
      </c>
    </row>
    <row r="10" spans="1:23">
      <c r="A10" t="s">
        <v>662</v>
      </c>
    </row>
    <row r="16" spans="1:23">
      <c r="A16" t="s">
        <v>663</v>
      </c>
      <c r="B16" t="s">
        <v>143</v>
      </c>
      <c r="C16" t="s">
        <v>192</v>
      </c>
      <c r="D16" t="s">
        <v>193</v>
      </c>
      <c r="E16" t="s">
        <v>194</v>
      </c>
      <c r="F16" t="s">
        <v>195</v>
      </c>
      <c r="G16" t="s">
        <v>144</v>
      </c>
      <c r="H16" t="s">
        <v>196</v>
      </c>
      <c r="I16" t="s">
        <v>197</v>
      </c>
      <c r="J16" t="s">
        <v>198</v>
      </c>
      <c r="K16" t="s">
        <v>199</v>
      </c>
      <c r="L16" t="s">
        <v>145</v>
      </c>
      <c r="M16" t="s">
        <v>200</v>
      </c>
      <c r="N16" t="s">
        <v>201</v>
      </c>
      <c r="O16" t="s">
        <v>202</v>
      </c>
      <c r="P16" t="s">
        <v>203</v>
      </c>
      <c r="Q16" t="s">
        <v>91</v>
      </c>
      <c r="R16" t="s">
        <v>204</v>
      </c>
      <c r="S16" t="s">
        <v>205</v>
      </c>
      <c r="T16" t="s">
        <v>206</v>
      </c>
      <c r="U16" t="s">
        <v>207</v>
      </c>
      <c r="V16" t="s">
        <v>208</v>
      </c>
      <c r="W16" t="s">
        <v>209</v>
      </c>
    </row>
    <row r="17" spans="1:23">
      <c r="A17" t="s">
        <v>648</v>
      </c>
      <c r="B17">
        <v>26</v>
      </c>
      <c r="C17" s="16">
        <v>0.05</v>
      </c>
      <c r="D17">
        <v>5</v>
      </c>
      <c r="E17">
        <f t="shared" ref="E17:E24" si="0">($W17*2+D17*2)*B17</f>
        <v>1248</v>
      </c>
      <c r="F17" s="16">
        <f t="shared" ref="F17:F24" si="1">D17*C17</f>
        <v>0.25</v>
      </c>
      <c r="G17">
        <v>26</v>
      </c>
      <c r="H17" s="16">
        <v>0.05</v>
      </c>
      <c r="I17">
        <v>5</v>
      </c>
      <c r="J17">
        <f t="shared" ref="J17:J24" si="2">($W17*2+I17*2)*G17</f>
        <v>1248</v>
      </c>
      <c r="K17" s="16">
        <f t="shared" ref="K17:K24" si="3">I17*H17</f>
        <v>0.25</v>
      </c>
      <c r="L17">
        <v>130</v>
      </c>
      <c r="M17" s="16">
        <v>0.05</v>
      </c>
      <c r="N17">
        <v>4</v>
      </c>
      <c r="O17">
        <f t="shared" ref="O17:O24" si="4">($W17*2+N17*2)*L17</f>
        <v>5980</v>
      </c>
      <c r="P17" s="16">
        <f t="shared" ref="P17:P24" si="5">N17*M17</f>
        <v>0.2</v>
      </c>
      <c r="Q17">
        <v>20</v>
      </c>
      <c r="R17" s="16">
        <v>0.05</v>
      </c>
      <c r="S17">
        <v>4</v>
      </c>
      <c r="T17">
        <f t="shared" ref="T17:T24" si="6">($W17*2+S17*2)*Q17</f>
        <v>920</v>
      </c>
      <c r="U17" s="16">
        <f t="shared" ref="U17:U24" si="7">S17*R17</f>
        <v>0.2</v>
      </c>
      <c r="V17">
        <v>1</v>
      </c>
      <c r="W17">
        <f t="shared" ref="W17:W24" si="8">D17+I17+N17+S17+V17</f>
        <v>19</v>
      </c>
    </row>
    <row r="18" spans="1:23">
      <c r="A18" t="s">
        <v>651</v>
      </c>
      <c r="B18">
        <v>30</v>
      </c>
      <c r="C18" s="16">
        <v>0.05</v>
      </c>
      <c r="D18">
        <v>9</v>
      </c>
      <c r="E18">
        <f t="shared" si="0"/>
        <v>2580</v>
      </c>
      <c r="F18" s="16">
        <f t="shared" si="1"/>
        <v>0.45</v>
      </c>
      <c r="G18">
        <v>30</v>
      </c>
      <c r="H18" s="16">
        <v>0.05</v>
      </c>
      <c r="I18">
        <v>8</v>
      </c>
      <c r="J18">
        <f t="shared" si="2"/>
        <v>2520</v>
      </c>
      <c r="K18" s="16">
        <f t="shared" si="3"/>
        <v>0.4</v>
      </c>
      <c r="L18">
        <v>150</v>
      </c>
      <c r="M18" s="16">
        <v>0.05</v>
      </c>
      <c r="N18">
        <v>7</v>
      </c>
      <c r="O18">
        <f t="shared" si="4"/>
        <v>12300</v>
      </c>
      <c r="P18" s="16">
        <f t="shared" si="5"/>
        <v>0.35</v>
      </c>
      <c r="Q18">
        <v>24</v>
      </c>
      <c r="R18" s="16">
        <v>0.05</v>
      </c>
      <c r="S18">
        <v>8</v>
      </c>
      <c r="T18">
        <f t="shared" si="6"/>
        <v>2016</v>
      </c>
      <c r="U18" s="16">
        <f t="shared" si="7"/>
        <v>0.4</v>
      </c>
      <c r="V18">
        <v>2</v>
      </c>
      <c r="W18">
        <f t="shared" si="8"/>
        <v>34</v>
      </c>
    </row>
    <row r="19" spans="1:23">
      <c r="A19" t="s">
        <v>656</v>
      </c>
      <c r="B19">
        <v>36</v>
      </c>
      <c r="C19" s="16">
        <v>0.05</v>
      </c>
      <c r="D19">
        <v>6</v>
      </c>
      <c r="E19">
        <f t="shared" si="0"/>
        <v>2880</v>
      </c>
      <c r="F19" s="16">
        <f t="shared" si="1"/>
        <v>0.3</v>
      </c>
      <c r="G19">
        <v>36</v>
      </c>
      <c r="H19" s="16">
        <v>0.05</v>
      </c>
      <c r="I19">
        <v>9</v>
      </c>
      <c r="J19">
        <f t="shared" si="2"/>
        <v>3096</v>
      </c>
      <c r="K19" s="16">
        <f t="shared" si="3"/>
        <v>0.45</v>
      </c>
      <c r="L19">
        <v>180</v>
      </c>
      <c r="M19" s="16">
        <v>0.05</v>
      </c>
      <c r="N19">
        <v>9</v>
      </c>
      <c r="O19">
        <f t="shared" si="4"/>
        <v>15480</v>
      </c>
      <c r="P19" s="16">
        <f t="shared" si="5"/>
        <v>0.45</v>
      </c>
      <c r="Q19">
        <v>28</v>
      </c>
      <c r="R19" s="16">
        <v>0.05</v>
      </c>
      <c r="S19">
        <v>8</v>
      </c>
      <c r="T19">
        <f t="shared" si="6"/>
        <v>2352</v>
      </c>
      <c r="U19" s="16">
        <f t="shared" si="7"/>
        <v>0.4</v>
      </c>
      <c r="V19">
        <v>2</v>
      </c>
      <c r="W19">
        <f t="shared" si="8"/>
        <v>34</v>
      </c>
    </row>
    <row r="20" spans="1:23">
      <c r="A20" t="s">
        <v>657</v>
      </c>
      <c r="B20">
        <v>42</v>
      </c>
      <c r="C20" s="16">
        <v>0.05</v>
      </c>
      <c r="D20">
        <v>9</v>
      </c>
      <c r="E20">
        <f t="shared" si="0"/>
        <v>3612</v>
      </c>
      <c r="F20" s="16">
        <f t="shared" si="1"/>
        <v>0.45</v>
      </c>
      <c r="G20">
        <v>42</v>
      </c>
      <c r="H20" s="16">
        <v>0.05</v>
      </c>
      <c r="I20">
        <v>8</v>
      </c>
      <c r="J20">
        <f t="shared" si="2"/>
        <v>3528</v>
      </c>
      <c r="K20" s="16">
        <f t="shared" si="3"/>
        <v>0.4</v>
      </c>
      <c r="L20">
        <v>210</v>
      </c>
      <c r="M20" s="16">
        <v>0.05</v>
      </c>
      <c r="N20">
        <v>8</v>
      </c>
      <c r="O20">
        <f t="shared" si="4"/>
        <v>17640</v>
      </c>
      <c r="P20" s="16">
        <f t="shared" si="5"/>
        <v>0.4</v>
      </c>
      <c r="Q20">
        <v>33</v>
      </c>
      <c r="R20" s="16">
        <v>0.05</v>
      </c>
      <c r="S20">
        <v>7</v>
      </c>
      <c r="T20">
        <f t="shared" si="6"/>
        <v>2706</v>
      </c>
      <c r="U20" s="16">
        <f t="shared" si="7"/>
        <v>0.35</v>
      </c>
      <c r="V20">
        <v>2</v>
      </c>
      <c r="W20">
        <f t="shared" si="8"/>
        <v>34</v>
      </c>
    </row>
    <row r="21" spans="1:23">
      <c r="A21" t="s">
        <v>658</v>
      </c>
      <c r="B21">
        <v>42</v>
      </c>
      <c r="C21" s="16">
        <v>0.05</v>
      </c>
      <c r="D21">
        <v>9</v>
      </c>
      <c r="E21">
        <f t="shared" si="0"/>
        <v>3612</v>
      </c>
      <c r="F21" s="16">
        <f t="shared" si="1"/>
        <v>0.45</v>
      </c>
      <c r="G21">
        <v>42</v>
      </c>
      <c r="H21" s="16">
        <v>0.05</v>
      </c>
      <c r="I21">
        <v>8</v>
      </c>
      <c r="J21">
        <f t="shared" si="2"/>
        <v>3528</v>
      </c>
      <c r="K21" s="16">
        <f t="shared" si="3"/>
        <v>0.4</v>
      </c>
      <c r="L21">
        <v>210</v>
      </c>
      <c r="M21" s="16">
        <v>0.05</v>
      </c>
      <c r="N21">
        <v>8</v>
      </c>
      <c r="O21">
        <f t="shared" si="4"/>
        <v>17640</v>
      </c>
      <c r="P21" s="16">
        <f t="shared" si="5"/>
        <v>0.4</v>
      </c>
      <c r="Q21">
        <v>33</v>
      </c>
      <c r="R21" s="16">
        <v>0.05</v>
      </c>
      <c r="S21">
        <v>7</v>
      </c>
      <c r="T21">
        <f t="shared" si="6"/>
        <v>2706</v>
      </c>
      <c r="U21" s="16">
        <f t="shared" si="7"/>
        <v>0.35</v>
      </c>
      <c r="V21">
        <v>2</v>
      </c>
      <c r="W21">
        <f t="shared" si="8"/>
        <v>34</v>
      </c>
    </row>
    <row r="22" spans="1:23">
      <c r="A22" t="s">
        <v>659</v>
      </c>
      <c r="B22">
        <v>48</v>
      </c>
      <c r="C22" s="16">
        <v>0.05</v>
      </c>
      <c r="D22">
        <v>8</v>
      </c>
      <c r="E22">
        <f t="shared" si="0"/>
        <v>4032</v>
      </c>
      <c r="F22" s="16">
        <f t="shared" si="1"/>
        <v>0.4</v>
      </c>
      <c r="G22">
        <v>48</v>
      </c>
      <c r="H22" s="16">
        <v>0.05</v>
      </c>
      <c r="I22">
        <v>8</v>
      </c>
      <c r="J22">
        <f t="shared" si="2"/>
        <v>4032</v>
      </c>
      <c r="K22" s="16">
        <f t="shared" si="3"/>
        <v>0.4</v>
      </c>
      <c r="L22">
        <v>240</v>
      </c>
      <c r="M22" s="16">
        <v>0.05</v>
      </c>
      <c r="N22">
        <v>9</v>
      </c>
      <c r="O22">
        <f t="shared" si="4"/>
        <v>20640</v>
      </c>
      <c r="P22" s="16">
        <f t="shared" si="5"/>
        <v>0.45</v>
      </c>
      <c r="Q22">
        <v>38</v>
      </c>
      <c r="R22" s="16">
        <v>0.05</v>
      </c>
      <c r="S22">
        <v>7</v>
      </c>
      <c r="T22">
        <f t="shared" si="6"/>
        <v>3116</v>
      </c>
      <c r="U22" s="16">
        <f t="shared" si="7"/>
        <v>0.35</v>
      </c>
      <c r="V22">
        <v>2</v>
      </c>
      <c r="W22">
        <f t="shared" si="8"/>
        <v>34</v>
      </c>
    </row>
    <row r="23" spans="1:23">
      <c r="A23" t="s">
        <v>660</v>
      </c>
      <c r="B23">
        <v>48</v>
      </c>
      <c r="C23" s="16">
        <v>0.05</v>
      </c>
      <c r="D23">
        <v>8</v>
      </c>
      <c r="E23">
        <f t="shared" si="0"/>
        <v>4032</v>
      </c>
      <c r="F23" s="16">
        <f t="shared" si="1"/>
        <v>0.4</v>
      </c>
      <c r="G23">
        <v>48</v>
      </c>
      <c r="H23" s="16">
        <v>0.05</v>
      </c>
      <c r="I23">
        <v>8</v>
      </c>
      <c r="J23">
        <f t="shared" si="2"/>
        <v>4032</v>
      </c>
      <c r="K23" s="16">
        <f t="shared" si="3"/>
        <v>0.4</v>
      </c>
      <c r="L23">
        <v>240</v>
      </c>
      <c r="M23" s="16">
        <v>0.05</v>
      </c>
      <c r="N23">
        <v>9</v>
      </c>
      <c r="O23">
        <f t="shared" si="4"/>
        <v>20640</v>
      </c>
      <c r="P23" s="16">
        <f t="shared" si="5"/>
        <v>0.45</v>
      </c>
      <c r="Q23">
        <v>38</v>
      </c>
      <c r="R23" s="16">
        <v>0.05</v>
      </c>
      <c r="S23">
        <v>7</v>
      </c>
      <c r="T23">
        <f t="shared" si="6"/>
        <v>3116</v>
      </c>
      <c r="U23" s="16">
        <f t="shared" si="7"/>
        <v>0.35</v>
      </c>
      <c r="V23">
        <v>2</v>
      </c>
      <c r="W23">
        <f t="shared" si="8"/>
        <v>34</v>
      </c>
    </row>
    <row r="24" spans="1:23">
      <c r="A24" t="s">
        <v>661</v>
      </c>
      <c r="B24">
        <v>48</v>
      </c>
      <c r="C24" s="16">
        <v>0.05</v>
      </c>
      <c r="D24">
        <v>8</v>
      </c>
      <c r="E24">
        <f t="shared" si="0"/>
        <v>4032</v>
      </c>
      <c r="F24" s="16">
        <f t="shared" si="1"/>
        <v>0.4</v>
      </c>
      <c r="G24">
        <v>48</v>
      </c>
      <c r="H24" s="16">
        <v>0.05</v>
      </c>
      <c r="I24">
        <v>8</v>
      </c>
      <c r="J24">
        <f t="shared" si="2"/>
        <v>4032</v>
      </c>
      <c r="K24" s="16">
        <f t="shared" si="3"/>
        <v>0.4</v>
      </c>
      <c r="L24">
        <v>240</v>
      </c>
      <c r="M24" s="16">
        <v>0.05</v>
      </c>
      <c r="N24">
        <v>9</v>
      </c>
      <c r="O24">
        <f t="shared" si="4"/>
        <v>20640</v>
      </c>
      <c r="P24" s="16">
        <f t="shared" si="5"/>
        <v>0.45</v>
      </c>
      <c r="Q24">
        <v>38</v>
      </c>
      <c r="R24" s="16">
        <v>0.05</v>
      </c>
      <c r="S24">
        <v>7</v>
      </c>
      <c r="T24">
        <f t="shared" si="6"/>
        <v>3116</v>
      </c>
      <c r="U24" s="16">
        <f t="shared" si="7"/>
        <v>0.35</v>
      </c>
      <c r="V24">
        <v>2</v>
      </c>
      <c r="W24">
        <f t="shared" si="8"/>
        <v>34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V154"/>
  <sheetViews>
    <sheetView topLeftCell="E1" workbookViewId="0">
      <pane ySplit="1" topLeftCell="A2" activePane="bottomLeft" state="frozen"/>
      <selection/>
      <selection pane="bottomLeft" activeCell="T13" sqref="T13"/>
    </sheetView>
  </sheetViews>
  <sheetFormatPr defaultColWidth="9" defaultRowHeight="13.5"/>
  <cols>
    <col min="1" max="1" width="15.6333333333333" style="43" customWidth="1"/>
    <col min="2" max="8" width="20.6333333333333" style="43" customWidth="1"/>
    <col min="10" max="15" width="10.775" style="43" customWidth="1"/>
    <col min="17" max="17" width="12.3833333333333" customWidth="1"/>
    <col min="20" max="20" width="12.8916666666667"/>
  </cols>
  <sheetData>
    <row r="1" ht="20" customHeight="1" spans="1:22">
      <c r="A1" s="9" t="s">
        <v>664</v>
      </c>
      <c r="B1" s="9" t="s">
        <v>665</v>
      </c>
      <c r="C1" s="9" t="s">
        <v>666</v>
      </c>
      <c r="D1" s="9" t="s">
        <v>667</v>
      </c>
      <c r="E1" s="9" t="s">
        <v>668</v>
      </c>
      <c r="F1" s="9" t="s">
        <v>669</v>
      </c>
      <c r="G1" s="9" t="s">
        <v>670</v>
      </c>
      <c r="H1" s="9" t="s">
        <v>671</v>
      </c>
      <c r="J1" s="44" t="s">
        <v>146</v>
      </c>
      <c r="K1" s="45"/>
      <c r="L1" s="45"/>
      <c r="M1" s="45"/>
      <c r="N1" s="45"/>
      <c r="O1" s="46"/>
      <c r="P1" s="43"/>
      <c r="Q1" t="s">
        <v>672</v>
      </c>
      <c r="R1" s="43"/>
      <c r="S1" s="43"/>
      <c r="T1" s="43" t="s">
        <v>673</v>
      </c>
      <c r="U1" s="43"/>
      <c r="V1" s="43"/>
    </row>
    <row r="2" ht="20" customHeight="1" spans="1:22">
      <c r="A2" s="47" t="s">
        <v>674</v>
      </c>
      <c r="B2" s="47" t="s">
        <v>675</v>
      </c>
      <c r="C2" s="47" t="s">
        <v>676</v>
      </c>
      <c r="D2" s="47" t="s">
        <v>677</v>
      </c>
      <c r="E2" s="47" t="s">
        <v>678</v>
      </c>
      <c r="F2" s="47" t="s">
        <v>679</v>
      </c>
      <c r="G2" s="47" t="s">
        <v>678</v>
      </c>
      <c r="H2" s="47" t="s">
        <v>679</v>
      </c>
      <c r="J2" s="48" t="s">
        <v>155</v>
      </c>
      <c r="K2" s="49" t="s">
        <v>172</v>
      </c>
      <c r="L2" s="50" t="s">
        <v>173</v>
      </c>
      <c r="M2" s="48" t="s">
        <v>155</v>
      </c>
      <c r="N2" s="49" t="s">
        <v>172</v>
      </c>
      <c r="O2" s="51" t="s">
        <v>173</v>
      </c>
      <c r="P2" s="43"/>
      <c r="Q2" t="s">
        <v>680</v>
      </c>
      <c r="R2" s="43"/>
      <c r="S2" s="43"/>
      <c r="T2" s="43" t="s">
        <v>681</v>
      </c>
      <c r="U2" s="43">
        <v>160</v>
      </c>
      <c r="V2" s="43">
        <f t="shared" ref="V2:V4" si="0">U2*1.25</f>
        <v>200</v>
      </c>
    </row>
    <row r="3" ht="20" customHeight="1" spans="1:22">
      <c r="A3" s="47" t="s">
        <v>682</v>
      </c>
      <c r="B3" s="47" t="s">
        <v>683</v>
      </c>
      <c r="C3" s="47" t="s">
        <v>684</v>
      </c>
      <c r="D3" s="47" t="s">
        <v>685</v>
      </c>
      <c r="E3" s="47" t="s">
        <v>678</v>
      </c>
      <c r="F3" s="47" t="s">
        <v>686</v>
      </c>
      <c r="G3" s="47" t="s">
        <v>678</v>
      </c>
      <c r="H3" s="47" t="s">
        <v>686</v>
      </c>
      <c r="J3" s="52">
        <v>1</v>
      </c>
      <c r="K3" s="53">
        <v>300</v>
      </c>
      <c r="L3" s="54">
        <f t="shared" ref="L3:L52" si="1">3*K3</f>
        <v>900</v>
      </c>
      <c r="M3" s="52">
        <v>51</v>
      </c>
      <c r="N3" s="53">
        <v>1920</v>
      </c>
      <c r="O3" s="55">
        <f t="shared" ref="O3:O16" si="2">3*N3</f>
        <v>5760</v>
      </c>
      <c r="P3" s="43"/>
      <c r="Q3" t="s">
        <v>174</v>
      </c>
      <c r="R3" s="56">
        <v>0.05</v>
      </c>
      <c r="S3" s="43"/>
      <c r="T3" s="43" t="s">
        <v>687</v>
      </c>
      <c r="U3" s="43">
        <f>5*U2</f>
        <v>800</v>
      </c>
      <c r="V3" s="43">
        <f t="shared" si="0"/>
        <v>1000</v>
      </c>
    </row>
    <row r="4" ht="20" customHeight="1" spans="1:22">
      <c r="A4" s="47" t="s">
        <v>688</v>
      </c>
      <c r="B4" s="47" t="s">
        <v>683</v>
      </c>
      <c r="C4" s="47" t="s">
        <v>689</v>
      </c>
      <c r="D4" s="47" t="s">
        <v>685</v>
      </c>
      <c r="E4" s="47" t="s">
        <v>690</v>
      </c>
      <c r="F4" s="47" t="s">
        <v>691</v>
      </c>
      <c r="G4" s="47" t="s">
        <v>690</v>
      </c>
      <c r="H4" s="47" t="s">
        <v>691</v>
      </c>
      <c r="J4" s="52">
        <v>2</v>
      </c>
      <c r="K4" s="53">
        <v>350</v>
      </c>
      <c r="L4" s="54">
        <f t="shared" si="1"/>
        <v>1050</v>
      </c>
      <c r="M4" s="52">
        <v>52</v>
      </c>
      <c r="N4" s="53">
        <v>1970</v>
      </c>
      <c r="O4" s="55">
        <f t="shared" si="2"/>
        <v>5910</v>
      </c>
      <c r="P4" s="43"/>
      <c r="Q4" t="s">
        <v>210</v>
      </c>
      <c r="R4" s="56">
        <v>0.08</v>
      </c>
      <c r="S4" s="43"/>
      <c r="T4" s="43" t="s">
        <v>342</v>
      </c>
      <c r="U4" s="43">
        <f>3*U3</f>
        <v>2400</v>
      </c>
      <c r="V4" s="43">
        <f t="shared" si="0"/>
        <v>3000</v>
      </c>
    </row>
    <row r="5" ht="20" customHeight="1" spans="1:22">
      <c r="A5" s="47" t="s">
        <v>692</v>
      </c>
      <c r="B5" s="47" t="s">
        <v>693</v>
      </c>
      <c r="C5" s="47" t="s">
        <v>694</v>
      </c>
      <c r="D5" s="47" t="s">
        <v>695</v>
      </c>
      <c r="E5" s="47" t="s">
        <v>690</v>
      </c>
      <c r="F5" s="47" t="s">
        <v>691</v>
      </c>
      <c r="G5" s="47" t="s">
        <v>690</v>
      </c>
      <c r="H5" s="47" t="s">
        <v>691</v>
      </c>
      <c r="J5" s="52">
        <v>3</v>
      </c>
      <c r="K5" s="53">
        <v>400</v>
      </c>
      <c r="L5" s="54">
        <f t="shared" si="1"/>
        <v>1200</v>
      </c>
      <c r="M5" s="52">
        <v>53</v>
      </c>
      <c r="N5" s="53">
        <v>2020</v>
      </c>
      <c r="O5" s="55">
        <f t="shared" si="2"/>
        <v>6060</v>
      </c>
      <c r="P5" s="43"/>
      <c r="Q5" t="s">
        <v>696</v>
      </c>
      <c r="R5" s="56">
        <v>0.1</v>
      </c>
      <c r="S5" s="43"/>
      <c r="T5" s="43"/>
      <c r="U5" s="43"/>
      <c r="V5" s="43"/>
    </row>
    <row r="6" ht="20" customHeight="1" spans="1:22">
      <c r="A6" s="47" t="s">
        <v>697</v>
      </c>
      <c r="B6" s="47" t="s">
        <v>693</v>
      </c>
      <c r="C6" s="47" t="s">
        <v>689</v>
      </c>
      <c r="D6" s="47" t="s">
        <v>685</v>
      </c>
      <c r="E6" s="47" t="s">
        <v>690</v>
      </c>
      <c r="F6" s="47" t="s">
        <v>691</v>
      </c>
      <c r="G6" s="47" t="s">
        <v>690</v>
      </c>
      <c r="H6" s="47" t="s">
        <v>691</v>
      </c>
      <c r="J6" s="52">
        <v>4</v>
      </c>
      <c r="K6" s="53">
        <v>450</v>
      </c>
      <c r="L6" s="54">
        <f t="shared" si="1"/>
        <v>1350</v>
      </c>
      <c r="M6" s="52">
        <v>54</v>
      </c>
      <c r="N6" s="53">
        <v>2070</v>
      </c>
      <c r="O6" s="55">
        <f t="shared" si="2"/>
        <v>6210</v>
      </c>
      <c r="P6" s="43"/>
      <c r="Q6" t="s">
        <v>698</v>
      </c>
      <c r="R6" s="56">
        <v>0.12</v>
      </c>
      <c r="S6" s="43"/>
      <c r="T6" s="43"/>
      <c r="U6" s="43"/>
      <c r="V6" s="43"/>
    </row>
    <row r="7" ht="20" customHeight="1" spans="1:22">
      <c r="A7" s="47" t="s">
        <v>699</v>
      </c>
      <c r="B7" s="47" t="s">
        <v>700</v>
      </c>
      <c r="C7" s="47" t="s">
        <v>684</v>
      </c>
      <c r="D7" s="47" t="s">
        <v>677</v>
      </c>
      <c r="E7" s="47" t="s">
        <v>678</v>
      </c>
      <c r="F7" s="47" t="s">
        <v>686</v>
      </c>
      <c r="G7" s="47" t="s">
        <v>678</v>
      </c>
      <c r="H7" s="47" t="s">
        <v>686</v>
      </c>
      <c r="J7" s="52">
        <v>5</v>
      </c>
      <c r="K7" s="53">
        <v>500</v>
      </c>
      <c r="L7" s="54">
        <f t="shared" si="1"/>
        <v>1500</v>
      </c>
      <c r="M7" s="52">
        <v>55</v>
      </c>
      <c r="N7" s="53">
        <v>2120</v>
      </c>
      <c r="O7" s="55">
        <f t="shared" si="2"/>
        <v>6360</v>
      </c>
      <c r="P7" s="43"/>
      <c r="R7" s="43"/>
      <c r="S7" s="43"/>
      <c r="T7" s="43"/>
      <c r="U7" s="43"/>
      <c r="V7" s="43"/>
    </row>
    <row r="8" ht="20" customHeight="1" spans="1:22">
      <c r="A8" s="47" t="s">
        <v>701</v>
      </c>
      <c r="B8" s="47" t="s">
        <v>700</v>
      </c>
      <c r="C8" s="47" t="s">
        <v>694</v>
      </c>
      <c r="D8" s="47" t="s">
        <v>695</v>
      </c>
      <c r="E8" s="47" t="s">
        <v>690</v>
      </c>
      <c r="F8" s="47" t="s">
        <v>691</v>
      </c>
      <c r="G8" s="47" t="s">
        <v>690</v>
      </c>
      <c r="H8" s="47" t="s">
        <v>691</v>
      </c>
      <c r="J8" s="52">
        <v>6</v>
      </c>
      <c r="K8" s="53">
        <v>510</v>
      </c>
      <c r="L8" s="54">
        <f t="shared" si="1"/>
        <v>1530</v>
      </c>
      <c r="M8" s="52">
        <v>56</v>
      </c>
      <c r="N8" s="53">
        <v>2170</v>
      </c>
      <c r="O8" s="55">
        <f t="shared" si="2"/>
        <v>6510</v>
      </c>
      <c r="P8" s="43"/>
      <c r="Q8" t="s">
        <v>702</v>
      </c>
      <c r="R8" s="56">
        <v>0.06</v>
      </c>
      <c r="S8" s="43"/>
      <c r="T8" s="43"/>
      <c r="U8" s="43"/>
      <c r="V8" s="43"/>
    </row>
    <row r="9" ht="20" customHeight="1" spans="1:22">
      <c r="A9" s="47" t="s">
        <v>703</v>
      </c>
      <c r="B9" s="47" t="s">
        <v>704</v>
      </c>
      <c r="C9" s="47" t="s">
        <v>689</v>
      </c>
      <c r="D9" s="47" t="s">
        <v>685</v>
      </c>
      <c r="E9" s="47" t="s">
        <v>690</v>
      </c>
      <c r="F9" s="47" t="s">
        <v>691</v>
      </c>
      <c r="G9" s="47" t="s">
        <v>690</v>
      </c>
      <c r="H9" s="47" t="s">
        <v>691</v>
      </c>
      <c r="J9" s="52">
        <v>7</v>
      </c>
      <c r="K9" s="53">
        <v>520</v>
      </c>
      <c r="L9" s="54">
        <f t="shared" si="1"/>
        <v>1560</v>
      </c>
      <c r="M9" s="52">
        <v>57</v>
      </c>
      <c r="N9" s="53">
        <v>2220</v>
      </c>
      <c r="O9" s="55">
        <f t="shared" si="2"/>
        <v>6660</v>
      </c>
      <c r="P9" s="43"/>
      <c r="Q9" s="43"/>
    </row>
    <row r="10" ht="20" customHeight="1" spans="1:22">
      <c r="A10" s="47" t="s">
        <v>705</v>
      </c>
      <c r="B10" s="47" t="s">
        <v>704</v>
      </c>
      <c r="C10" s="47" t="s">
        <v>684</v>
      </c>
      <c r="D10" s="47" t="s">
        <v>695</v>
      </c>
      <c r="E10" s="47" t="s">
        <v>678</v>
      </c>
      <c r="F10" s="47" t="s">
        <v>686</v>
      </c>
      <c r="G10" s="47" t="s">
        <v>678</v>
      </c>
      <c r="H10" s="47" t="s">
        <v>686</v>
      </c>
      <c r="J10" s="52">
        <v>8</v>
      </c>
      <c r="K10" s="53">
        <v>530</v>
      </c>
      <c r="L10" s="54">
        <f t="shared" si="1"/>
        <v>1590</v>
      </c>
      <c r="M10" s="52">
        <v>58</v>
      </c>
      <c r="N10" s="53">
        <v>2270</v>
      </c>
      <c r="O10" s="55">
        <f t="shared" si="2"/>
        <v>6810</v>
      </c>
      <c r="P10" s="43"/>
      <c r="Q10" s="1"/>
      <c r="R10" s="1" t="s">
        <v>261</v>
      </c>
      <c r="S10" s="1" t="s">
        <v>262</v>
      </c>
      <c r="T10" s="1" t="s">
        <v>263</v>
      </c>
    </row>
    <row r="11" ht="20" customHeight="1" spans="1:22">
      <c r="A11" s="47" t="s">
        <v>706</v>
      </c>
      <c r="B11" s="47" t="s">
        <v>707</v>
      </c>
      <c r="C11" s="47" t="s">
        <v>689</v>
      </c>
      <c r="D11" s="47" t="s">
        <v>708</v>
      </c>
      <c r="E11" s="47" t="s">
        <v>690</v>
      </c>
      <c r="F11" s="47" t="s">
        <v>691</v>
      </c>
      <c r="G11" s="47" t="s">
        <v>690</v>
      </c>
      <c r="H11" s="47" t="s">
        <v>691</v>
      </c>
      <c r="J11" s="52">
        <v>9</v>
      </c>
      <c r="K11" s="53">
        <v>540</v>
      </c>
      <c r="L11" s="54">
        <f t="shared" si="1"/>
        <v>1620</v>
      </c>
      <c r="M11" s="52">
        <v>59</v>
      </c>
      <c r="N11" s="53">
        <v>2320</v>
      </c>
      <c r="O11" s="55">
        <f t="shared" si="2"/>
        <v>6960</v>
      </c>
      <c r="P11" s="43"/>
      <c r="Q11" s="57" t="s">
        <v>267</v>
      </c>
      <c r="R11" s="2">
        <v>31</v>
      </c>
      <c r="S11" s="2">
        <v>120</v>
      </c>
      <c r="T11" s="2">
        <v>319</v>
      </c>
    </row>
    <row r="12" ht="20" customHeight="1" spans="1:22">
      <c r="A12" s="47" t="s">
        <v>709</v>
      </c>
      <c r="B12" s="47" t="s">
        <v>707</v>
      </c>
      <c r="C12" s="47" t="s">
        <v>676</v>
      </c>
      <c r="D12" s="47" t="s">
        <v>695</v>
      </c>
      <c r="E12" s="47" t="s">
        <v>678</v>
      </c>
      <c r="F12" s="47" t="s">
        <v>679</v>
      </c>
      <c r="G12" s="47" t="s">
        <v>678</v>
      </c>
      <c r="H12" s="47" t="s">
        <v>679</v>
      </c>
      <c r="J12" s="52">
        <v>10</v>
      </c>
      <c r="K12" s="53">
        <v>560</v>
      </c>
      <c r="L12" s="54">
        <f t="shared" si="1"/>
        <v>1680</v>
      </c>
      <c r="M12" s="52">
        <v>60</v>
      </c>
      <c r="N12" s="53">
        <v>2370</v>
      </c>
      <c r="O12" s="55">
        <f t="shared" si="2"/>
        <v>7110</v>
      </c>
      <c r="P12" s="43"/>
      <c r="Q12" s="57" t="s">
        <v>269</v>
      </c>
      <c r="R12" s="57"/>
      <c r="S12" s="57"/>
      <c r="T12" s="1">
        <f>(R11*V4+S11*V3+T11*V2)</f>
        <v>276800</v>
      </c>
    </row>
    <row r="13" ht="20" customHeight="1" spans="1:22">
      <c r="A13" s="47" t="s">
        <v>710</v>
      </c>
      <c r="B13" s="47" t="s">
        <v>707</v>
      </c>
      <c r="C13" s="47" t="s">
        <v>694</v>
      </c>
      <c r="D13" s="47" t="s">
        <v>677</v>
      </c>
      <c r="E13" s="47" t="s">
        <v>690</v>
      </c>
      <c r="F13" s="47" t="s">
        <v>691</v>
      </c>
      <c r="G13" s="47" t="s">
        <v>690</v>
      </c>
      <c r="H13" s="47" t="s">
        <v>691</v>
      </c>
      <c r="J13" s="52">
        <v>11</v>
      </c>
      <c r="K13" s="53">
        <v>580</v>
      </c>
      <c r="L13" s="54">
        <f t="shared" si="1"/>
        <v>1740</v>
      </c>
      <c r="M13" s="52">
        <v>61</v>
      </c>
      <c r="N13" s="53">
        <v>2420</v>
      </c>
      <c r="O13" s="55">
        <f t="shared" si="2"/>
        <v>7260</v>
      </c>
      <c r="P13" s="43"/>
      <c r="Q13" s="1" t="s">
        <v>272</v>
      </c>
      <c r="R13" s="1">
        <v>81</v>
      </c>
      <c r="S13" s="1" t="s">
        <v>273</v>
      </c>
      <c r="T13" s="1">
        <v>3980</v>
      </c>
    </row>
    <row r="14" ht="20" customHeight="1" spans="1:22">
      <c r="A14" s="9" t="s">
        <v>711</v>
      </c>
      <c r="B14" s="9" t="s">
        <v>675</v>
      </c>
      <c r="C14" s="9" t="s">
        <v>684</v>
      </c>
      <c r="D14" s="9" t="s">
        <v>708</v>
      </c>
      <c r="E14" s="9" t="s">
        <v>678</v>
      </c>
      <c r="F14" s="9" t="s">
        <v>686</v>
      </c>
      <c r="G14" s="9" t="s">
        <v>678</v>
      </c>
      <c r="H14" s="9" t="s">
        <v>686</v>
      </c>
      <c r="J14" s="52">
        <v>12</v>
      </c>
      <c r="K14" s="53">
        <v>600</v>
      </c>
      <c r="L14" s="54">
        <f t="shared" si="1"/>
        <v>1800</v>
      </c>
      <c r="M14" s="52">
        <v>62</v>
      </c>
      <c r="N14" s="53">
        <v>2470</v>
      </c>
      <c r="O14" s="55">
        <f t="shared" si="2"/>
        <v>7410</v>
      </c>
      <c r="P14" s="43"/>
      <c r="Q14" s="9" t="s">
        <v>285</v>
      </c>
      <c r="R14" s="9"/>
      <c r="S14" s="9"/>
      <c r="T14" s="9"/>
    </row>
    <row r="15" ht="20" customHeight="1" spans="1:22">
      <c r="A15" s="9" t="s">
        <v>712</v>
      </c>
      <c r="B15" s="9" t="s">
        <v>683</v>
      </c>
      <c r="C15" s="9" t="s">
        <v>694</v>
      </c>
      <c r="D15" s="9" t="s">
        <v>685</v>
      </c>
      <c r="E15" s="9" t="s">
        <v>690</v>
      </c>
      <c r="F15" s="9" t="s">
        <v>713</v>
      </c>
      <c r="G15" s="9" t="s">
        <v>690</v>
      </c>
      <c r="H15" s="9" t="s">
        <v>713</v>
      </c>
      <c r="J15" s="52">
        <v>13</v>
      </c>
      <c r="K15" s="53">
        <v>620</v>
      </c>
      <c r="L15" s="54">
        <f t="shared" si="1"/>
        <v>1860</v>
      </c>
      <c r="M15" s="52">
        <v>63</v>
      </c>
      <c r="N15" s="53">
        <v>2520</v>
      </c>
      <c r="O15" s="55">
        <f t="shared" si="2"/>
        <v>7560</v>
      </c>
      <c r="P15" s="43"/>
      <c r="Q15" s="58" t="str">
        <f>"已囤总经验需求的"&amp;TEXT(ROUND(T12/O52,4),"0.00%")</f>
        <v>已囤总经验需求的42.31%</v>
      </c>
      <c r="R15" s="58"/>
      <c r="S15" s="58"/>
      <c r="T15" s="58"/>
    </row>
    <row r="16" ht="20" customHeight="1" spans="1:22">
      <c r="A16" s="9" t="s">
        <v>714</v>
      </c>
      <c r="B16" s="9" t="s">
        <v>675</v>
      </c>
      <c r="C16" s="9" t="s">
        <v>694</v>
      </c>
      <c r="D16" s="9" t="s">
        <v>677</v>
      </c>
      <c r="E16" s="9" t="s">
        <v>690</v>
      </c>
      <c r="F16" s="9" t="s">
        <v>713</v>
      </c>
      <c r="G16" s="9" t="s">
        <v>690</v>
      </c>
      <c r="H16" s="9" t="s">
        <v>713</v>
      </c>
      <c r="J16" s="52">
        <v>14</v>
      </c>
      <c r="K16" s="53">
        <v>640</v>
      </c>
      <c r="L16" s="54">
        <f t="shared" si="1"/>
        <v>1920</v>
      </c>
      <c r="M16" s="52">
        <v>64</v>
      </c>
      <c r="N16" s="53">
        <v>2570</v>
      </c>
      <c r="O16" s="55">
        <f t="shared" si="2"/>
        <v>7710</v>
      </c>
      <c r="P16" s="43"/>
      <c r="Q16" s="9" t="s">
        <v>297</v>
      </c>
      <c r="R16" s="9"/>
      <c r="S16" s="9" cm="1">
        <f t="array" ref="S16">_xlfn.LET(_xlpm.Present_Favor,T12,_xlpm.Favor_Level_Requirment,_xlfn.VSTACK(L3:L52,O3:O51),_xlpm.Favor_Level_Index,_xlfn.VSTACK(J3:J52,M3:M51),_xlpm.Favor_Level_Position,MATCH(TRUE,_xlfn.SCAN(0,_xlpm.Favor_Level_Requirment,_xlfn.LAMBDA(_xlpm.a,_xlpm.b,_xlpm.a+_xlpm.b))&gt;_xlpm.Present_Favor,0)-1,INDEX(_xlpm.Favor_Level_Index,_xlpm.Favor_Level_Position))</f>
        <v>67</v>
      </c>
      <c r="T16" s="9"/>
    </row>
    <row r="17" ht="20" customHeight="1" spans="1:17">
      <c r="A17" s="9" t="s">
        <v>715</v>
      </c>
      <c r="B17" s="9" t="s">
        <v>675</v>
      </c>
      <c r="C17" s="9" t="s">
        <v>684</v>
      </c>
      <c r="D17" s="9" t="s">
        <v>695</v>
      </c>
      <c r="E17" s="9" t="s">
        <v>678</v>
      </c>
      <c r="F17" s="9" t="s">
        <v>686</v>
      </c>
      <c r="G17" s="9" t="s">
        <v>678</v>
      </c>
      <c r="H17" s="9" t="s">
        <v>686</v>
      </c>
      <c r="J17" s="52">
        <v>15</v>
      </c>
      <c r="K17" s="53">
        <v>660</v>
      </c>
      <c r="L17" s="54">
        <f t="shared" si="1"/>
        <v>1980</v>
      </c>
      <c r="M17" s="52">
        <v>65</v>
      </c>
      <c r="N17" s="53">
        <v>2620</v>
      </c>
      <c r="O17" s="55">
        <f t="shared" ref="O17:O51" si="3">3*N17</f>
        <v>7860</v>
      </c>
      <c r="P17" s="43"/>
      <c r="Q17" s="43"/>
    </row>
    <row r="18" ht="20" customHeight="1" spans="1:17">
      <c r="A18" s="9" t="s">
        <v>716</v>
      </c>
      <c r="B18" s="9" t="s">
        <v>675</v>
      </c>
      <c r="C18" s="9" t="s">
        <v>694</v>
      </c>
      <c r="D18" s="9" t="s">
        <v>695</v>
      </c>
      <c r="E18" s="9" t="s">
        <v>690</v>
      </c>
      <c r="F18" s="9" t="s">
        <v>713</v>
      </c>
      <c r="G18" s="9" t="s">
        <v>690</v>
      </c>
      <c r="H18" s="9" t="s">
        <v>713</v>
      </c>
      <c r="J18" s="52">
        <v>16</v>
      </c>
      <c r="K18" s="53">
        <v>680</v>
      </c>
      <c r="L18" s="54">
        <f t="shared" si="1"/>
        <v>2040</v>
      </c>
      <c r="M18" s="52">
        <v>66</v>
      </c>
      <c r="N18" s="53">
        <v>2680</v>
      </c>
      <c r="O18" s="55">
        <f t="shared" si="3"/>
        <v>8040</v>
      </c>
      <c r="P18" s="43"/>
      <c r="Q18" s="43"/>
    </row>
    <row r="19" ht="20" customHeight="1" spans="1:17">
      <c r="A19" s="9" t="s">
        <v>717</v>
      </c>
      <c r="B19" s="9" t="s">
        <v>675</v>
      </c>
      <c r="C19" s="9" t="s">
        <v>689</v>
      </c>
      <c r="D19" s="9" t="s">
        <v>708</v>
      </c>
      <c r="E19" s="9" t="s">
        <v>690</v>
      </c>
      <c r="F19" s="9" t="s">
        <v>691</v>
      </c>
      <c r="G19" s="9" t="s">
        <v>690</v>
      </c>
      <c r="H19" s="9" t="s">
        <v>691</v>
      </c>
      <c r="J19" s="52">
        <v>17</v>
      </c>
      <c r="K19" s="53">
        <v>700</v>
      </c>
      <c r="L19" s="54">
        <f t="shared" si="1"/>
        <v>2100</v>
      </c>
      <c r="M19" s="52">
        <v>67</v>
      </c>
      <c r="N19" s="53">
        <v>2740</v>
      </c>
      <c r="O19" s="55">
        <f t="shared" si="3"/>
        <v>8220</v>
      </c>
      <c r="P19" s="43"/>
      <c r="Q19" s="43"/>
    </row>
    <row r="20" ht="20" customHeight="1" spans="1:17">
      <c r="A20" s="9" t="s">
        <v>718</v>
      </c>
      <c r="B20" s="9" t="s">
        <v>693</v>
      </c>
      <c r="C20" s="9" t="s">
        <v>689</v>
      </c>
      <c r="D20" s="9" t="s">
        <v>708</v>
      </c>
      <c r="E20" s="9" t="s">
        <v>690</v>
      </c>
      <c r="F20" s="9" t="s">
        <v>691</v>
      </c>
      <c r="G20" s="9" t="s">
        <v>690</v>
      </c>
      <c r="H20" s="9" t="s">
        <v>691</v>
      </c>
      <c r="J20" s="52">
        <v>18</v>
      </c>
      <c r="K20" s="53">
        <v>720</v>
      </c>
      <c r="L20" s="54">
        <f t="shared" si="1"/>
        <v>2160</v>
      </c>
      <c r="M20" s="52">
        <v>68</v>
      </c>
      <c r="N20" s="53">
        <v>2800</v>
      </c>
      <c r="O20" s="55">
        <f t="shared" si="3"/>
        <v>8400</v>
      </c>
      <c r="P20" s="43"/>
      <c r="Q20" s="43"/>
    </row>
    <row r="21" ht="20" customHeight="1" spans="1:17">
      <c r="A21" s="9" t="s">
        <v>719</v>
      </c>
      <c r="B21" s="9" t="s">
        <v>693</v>
      </c>
      <c r="C21" s="9" t="s">
        <v>676</v>
      </c>
      <c r="D21" s="9" t="s">
        <v>677</v>
      </c>
      <c r="E21" s="9" t="s">
        <v>678</v>
      </c>
      <c r="F21" s="9" t="s">
        <v>686</v>
      </c>
      <c r="G21" s="9" t="s">
        <v>678</v>
      </c>
      <c r="H21" s="9" t="s">
        <v>686</v>
      </c>
      <c r="J21" s="52">
        <v>19</v>
      </c>
      <c r="K21" s="53">
        <v>740</v>
      </c>
      <c r="L21" s="54">
        <f t="shared" si="1"/>
        <v>2220</v>
      </c>
      <c r="M21" s="52">
        <v>69</v>
      </c>
      <c r="N21" s="53">
        <v>2860</v>
      </c>
      <c r="O21" s="55">
        <f t="shared" si="3"/>
        <v>8580</v>
      </c>
    </row>
    <row r="22" ht="20" customHeight="1" spans="1:17">
      <c r="A22" s="9" t="s">
        <v>720</v>
      </c>
      <c r="B22" s="9" t="s">
        <v>693</v>
      </c>
      <c r="C22" s="9" t="s">
        <v>676</v>
      </c>
      <c r="D22" s="9" t="s">
        <v>677</v>
      </c>
      <c r="E22" s="9" t="s">
        <v>678</v>
      </c>
      <c r="F22" s="9" t="s">
        <v>679</v>
      </c>
      <c r="G22" s="9" t="s">
        <v>678</v>
      </c>
      <c r="H22" s="9" t="s">
        <v>679</v>
      </c>
      <c r="J22" s="52">
        <v>20</v>
      </c>
      <c r="K22" s="53">
        <v>770</v>
      </c>
      <c r="L22" s="54">
        <f t="shared" si="1"/>
        <v>2310</v>
      </c>
      <c r="M22" s="52">
        <v>70</v>
      </c>
      <c r="N22" s="53">
        <v>2920</v>
      </c>
      <c r="O22" s="55">
        <f t="shared" si="3"/>
        <v>8760</v>
      </c>
    </row>
    <row r="23" ht="20" customHeight="1" spans="1:17">
      <c r="A23" s="9" t="s">
        <v>721</v>
      </c>
      <c r="B23" s="9" t="s">
        <v>700</v>
      </c>
      <c r="C23" s="9" t="s">
        <v>689</v>
      </c>
      <c r="D23" s="9" t="s">
        <v>677</v>
      </c>
      <c r="E23" s="9" t="s">
        <v>690</v>
      </c>
      <c r="F23" s="9" t="s">
        <v>691</v>
      </c>
      <c r="G23" s="9" t="s">
        <v>690</v>
      </c>
      <c r="H23" s="9" t="s">
        <v>691</v>
      </c>
      <c r="J23" s="52">
        <v>21</v>
      </c>
      <c r="K23" s="53">
        <v>800</v>
      </c>
      <c r="L23" s="54">
        <f t="shared" si="1"/>
        <v>2400</v>
      </c>
      <c r="M23" s="52">
        <v>71</v>
      </c>
      <c r="N23" s="53">
        <v>2980</v>
      </c>
      <c r="O23" s="55">
        <f t="shared" si="3"/>
        <v>8940</v>
      </c>
    </row>
    <row r="24" ht="20" customHeight="1" spans="1:17">
      <c r="A24" s="9" t="s">
        <v>722</v>
      </c>
      <c r="B24" s="9" t="s">
        <v>700</v>
      </c>
      <c r="C24" s="9" t="s">
        <v>676</v>
      </c>
      <c r="D24" s="9" t="s">
        <v>685</v>
      </c>
      <c r="E24" s="9" t="s">
        <v>678</v>
      </c>
      <c r="F24" s="9" t="s">
        <v>679</v>
      </c>
      <c r="G24" s="9" t="s">
        <v>678</v>
      </c>
      <c r="H24" s="9" t="s">
        <v>679</v>
      </c>
      <c r="J24" s="52">
        <v>22</v>
      </c>
      <c r="K24" s="53">
        <v>830</v>
      </c>
      <c r="L24" s="54">
        <f t="shared" si="1"/>
        <v>2490</v>
      </c>
      <c r="M24" s="52">
        <v>72</v>
      </c>
      <c r="N24" s="53">
        <v>3040</v>
      </c>
      <c r="O24" s="55">
        <f t="shared" si="3"/>
        <v>9120</v>
      </c>
    </row>
    <row r="25" ht="20" customHeight="1" spans="1:17">
      <c r="A25" s="9" t="s">
        <v>723</v>
      </c>
      <c r="B25" s="9" t="s">
        <v>700</v>
      </c>
      <c r="C25" s="9" t="s">
        <v>689</v>
      </c>
      <c r="D25" s="9" t="s">
        <v>708</v>
      </c>
      <c r="E25" s="9" t="s">
        <v>678</v>
      </c>
      <c r="F25" s="9" t="s">
        <v>679</v>
      </c>
      <c r="G25" s="9" t="s">
        <v>678</v>
      </c>
      <c r="H25" s="9" t="s">
        <v>679</v>
      </c>
      <c r="J25" s="52">
        <v>23</v>
      </c>
      <c r="K25" s="53">
        <v>860</v>
      </c>
      <c r="L25" s="54">
        <f t="shared" si="1"/>
        <v>2580</v>
      </c>
      <c r="M25" s="52">
        <v>73</v>
      </c>
      <c r="N25" s="53">
        <v>3100</v>
      </c>
      <c r="O25" s="55">
        <f t="shared" si="3"/>
        <v>9300</v>
      </c>
    </row>
    <row r="26" ht="20" customHeight="1" spans="1:17">
      <c r="A26" s="9" t="s">
        <v>724</v>
      </c>
      <c r="B26" s="9" t="s">
        <v>704</v>
      </c>
      <c r="C26" s="9" t="s">
        <v>676</v>
      </c>
      <c r="D26" s="9" t="s">
        <v>708</v>
      </c>
      <c r="E26" s="9" t="s">
        <v>678</v>
      </c>
      <c r="F26" s="9" t="s">
        <v>679</v>
      </c>
      <c r="G26" s="9" t="s">
        <v>678</v>
      </c>
      <c r="H26" s="9" t="s">
        <v>679</v>
      </c>
      <c r="J26" s="52">
        <v>24</v>
      </c>
      <c r="K26" s="53">
        <v>890</v>
      </c>
      <c r="L26" s="54">
        <f t="shared" si="1"/>
        <v>2670</v>
      </c>
      <c r="M26" s="52">
        <v>74</v>
      </c>
      <c r="N26" s="53">
        <v>3160</v>
      </c>
      <c r="O26" s="55">
        <f t="shared" si="3"/>
        <v>9480</v>
      </c>
    </row>
    <row r="27" ht="20" customHeight="1" spans="1:17">
      <c r="A27" s="9" t="s">
        <v>725</v>
      </c>
      <c r="B27" s="9" t="s">
        <v>704</v>
      </c>
      <c r="C27" s="9" t="s">
        <v>694</v>
      </c>
      <c r="D27" s="9" t="s">
        <v>708</v>
      </c>
      <c r="E27" s="9" t="s">
        <v>690</v>
      </c>
      <c r="F27" s="9" t="s">
        <v>713</v>
      </c>
      <c r="G27" s="9" t="s">
        <v>690</v>
      </c>
      <c r="H27" s="9" t="s">
        <v>713</v>
      </c>
      <c r="J27" s="52">
        <v>25</v>
      </c>
      <c r="K27" s="53">
        <v>920</v>
      </c>
      <c r="L27" s="54">
        <f t="shared" si="1"/>
        <v>2760</v>
      </c>
      <c r="M27" s="52">
        <v>75</v>
      </c>
      <c r="N27" s="53">
        <v>3220</v>
      </c>
      <c r="O27" s="55">
        <f t="shared" si="3"/>
        <v>9660</v>
      </c>
    </row>
    <row r="28" ht="20" customHeight="1" spans="1:17">
      <c r="A28" s="9" t="s">
        <v>726</v>
      </c>
      <c r="B28" s="9" t="s">
        <v>704</v>
      </c>
      <c r="C28" s="9" t="s">
        <v>689</v>
      </c>
      <c r="D28" s="9" t="s">
        <v>695</v>
      </c>
      <c r="E28" s="9" t="s">
        <v>690</v>
      </c>
      <c r="F28" s="9" t="s">
        <v>691</v>
      </c>
      <c r="G28" s="9" t="s">
        <v>690</v>
      </c>
      <c r="H28" s="9" t="s">
        <v>691</v>
      </c>
      <c r="J28" s="52">
        <v>26</v>
      </c>
      <c r="K28" s="53">
        <v>960</v>
      </c>
      <c r="L28" s="54">
        <f t="shared" si="1"/>
        <v>2880</v>
      </c>
      <c r="M28" s="52">
        <v>76</v>
      </c>
      <c r="N28" s="53">
        <v>3280</v>
      </c>
      <c r="O28" s="55">
        <f t="shared" si="3"/>
        <v>9840</v>
      </c>
    </row>
    <row r="29" ht="20" customHeight="1" spans="1:17">
      <c r="A29" s="9" t="s">
        <v>727</v>
      </c>
      <c r="B29" s="9" t="s">
        <v>707</v>
      </c>
      <c r="C29" s="9" t="s">
        <v>684</v>
      </c>
      <c r="D29" s="9" t="s">
        <v>685</v>
      </c>
      <c r="E29" s="9" t="s">
        <v>678</v>
      </c>
      <c r="F29" s="9" t="s">
        <v>686</v>
      </c>
      <c r="G29" s="9" t="s">
        <v>678</v>
      </c>
      <c r="H29" s="9" t="s">
        <v>686</v>
      </c>
      <c r="J29" s="52">
        <v>27</v>
      </c>
      <c r="K29" s="53">
        <v>1000</v>
      </c>
      <c r="L29" s="54">
        <f t="shared" si="1"/>
        <v>3000</v>
      </c>
      <c r="M29" s="52">
        <v>77</v>
      </c>
      <c r="N29" s="53">
        <v>3340</v>
      </c>
      <c r="O29" s="55">
        <f t="shared" si="3"/>
        <v>10020</v>
      </c>
    </row>
    <row r="30" ht="20" customHeight="1" spans="1:17">
      <c r="A30" s="9" t="s">
        <v>728</v>
      </c>
      <c r="B30" s="9" t="s">
        <v>707</v>
      </c>
      <c r="C30" s="9" t="s">
        <v>694</v>
      </c>
      <c r="D30" s="9" t="s">
        <v>695</v>
      </c>
      <c r="E30" s="9" t="s">
        <v>690</v>
      </c>
      <c r="F30" s="9" t="s">
        <v>713</v>
      </c>
      <c r="G30" s="9" t="s">
        <v>690</v>
      </c>
      <c r="H30" s="9" t="s">
        <v>713</v>
      </c>
      <c r="J30" s="52">
        <v>28</v>
      </c>
      <c r="K30" s="53">
        <v>1040</v>
      </c>
      <c r="L30" s="54">
        <f t="shared" si="1"/>
        <v>3120</v>
      </c>
      <c r="M30" s="52">
        <v>78</v>
      </c>
      <c r="N30" s="53">
        <v>3410</v>
      </c>
      <c r="O30" s="55">
        <f t="shared" si="3"/>
        <v>10230</v>
      </c>
    </row>
    <row r="31" ht="20" customHeight="1" spans="1:17">
      <c r="A31" s="9" t="s">
        <v>729</v>
      </c>
      <c r="B31" s="9" t="s">
        <v>707</v>
      </c>
      <c r="C31" s="9" t="s">
        <v>676</v>
      </c>
      <c r="D31" s="9" t="s">
        <v>708</v>
      </c>
      <c r="E31" s="9" t="s">
        <v>678</v>
      </c>
      <c r="F31" s="9" t="s">
        <v>679</v>
      </c>
      <c r="G31" s="9" t="s">
        <v>678</v>
      </c>
      <c r="H31" s="9" t="s">
        <v>679</v>
      </c>
      <c r="J31" s="52">
        <v>29</v>
      </c>
      <c r="K31" s="53">
        <v>1080</v>
      </c>
      <c r="L31" s="54">
        <f t="shared" si="1"/>
        <v>3240</v>
      </c>
      <c r="M31" s="52">
        <v>79</v>
      </c>
      <c r="N31" s="53">
        <v>3480</v>
      </c>
      <c r="O31" s="55">
        <f t="shared" si="3"/>
        <v>10440</v>
      </c>
    </row>
    <row r="32" ht="20" customHeight="1" spans="1:17">
      <c r="A32" s="9" t="s">
        <v>730</v>
      </c>
      <c r="B32" s="9" t="s">
        <v>707</v>
      </c>
      <c r="C32" s="9" t="s">
        <v>684</v>
      </c>
      <c r="D32" s="9" t="s">
        <v>685</v>
      </c>
      <c r="E32" s="9" t="s">
        <v>678</v>
      </c>
      <c r="F32" s="9" t="s">
        <v>686</v>
      </c>
      <c r="G32" s="9" t="s">
        <v>678</v>
      </c>
      <c r="H32" s="9" t="s">
        <v>686</v>
      </c>
      <c r="J32" s="52">
        <v>30</v>
      </c>
      <c r="K32" s="53">
        <v>1110</v>
      </c>
      <c r="L32" s="54">
        <f t="shared" si="1"/>
        <v>3330</v>
      </c>
      <c r="M32" s="52">
        <v>80</v>
      </c>
      <c r="N32" s="53">
        <v>3550</v>
      </c>
      <c r="O32" s="55">
        <f t="shared" si="3"/>
        <v>10650</v>
      </c>
    </row>
    <row r="33" ht="20" customHeight="1" spans="1:15">
      <c r="A33" s="47" t="s">
        <v>731</v>
      </c>
      <c r="B33" s="47" t="s">
        <v>732</v>
      </c>
      <c r="C33" s="47" t="s">
        <v>684</v>
      </c>
      <c r="D33" s="47" t="s">
        <v>677</v>
      </c>
      <c r="E33" s="47" t="s">
        <v>678</v>
      </c>
      <c r="F33" s="47" t="s">
        <v>686</v>
      </c>
      <c r="G33" s="47" t="s">
        <v>678</v>
      </c>
      <c r="H33" s="47" t="s">
        <v>686</v>
      </c>
      <c r="J33" s="52">
        <v>31</v>
      </c>
      <c r="K33" s="53">
        <v>1140</v>
      </c>
      <c r="L33" s="54">
        <f t="shared" si="1"/>
        <v>3420</v>
      </c>
      <c r="M33" s="52">
        <v>81</v>
      </c>
      <c r="N33" s="53">
        <v>3620</v>
      </c>
      <c r="O33" s="55">
        <f t="shared" si="3"/>
        <v>10860</v>
      </c>
    </row>
    <row r="34" ht="20" customHeight="1" spans="1:15">
      <c r="A34" s="47" t="s">
        <v>733</v>
      </c>
      <c r="B34" s="47" t="s">
        <v>732</v>
      </c>
      <c r="C34" s="47" t="s">
        <v>676</v>
      </c>
      <c r="D34" s="47" t="s">
        <v>708</v>
      </c>
      <c r="E34" s="47" t="s">
        <v>678</v>
      </c>
      <c r="F34" s="47" t="s">
        <v>679</v>
      </c>
      <c r="G34" s="47" t="s">
        <v>678</v>
      </c>
      <c r="H34" s="47" t="s">
        <v>679</v>
      </c>
      <c r="J34" s="52">
        <v>32</v>
      </c>
      <c r="K34" s="53">
        <v>1170</v>
      </c>
      <c r="L34" s="54">
        <f t="shared" si="1"/>
        <v>3510</v>
      </c>
      <c r="M34" s="52">
        <v>82</v>
      </c>
      <c r="N34" s="53">
        <v>3690</v>
      </c>
      <c r="O34" s="55">
        <f t="shared" si="3"/>
        <v>11070</v>
      </c>
    </row>
    <row r="35" ht="20" customHeight="1" spans="1:15">
      <c r="A35" s="47" t="s">
        <v>734</v>
      </c>
      <c r="B35" s="47" t="s">
        <v>732</v>
      </c>
      <c r="C35" s="47" t="s">
        <v>694</v>
      </c>
      <c r="D35" s="47" t="s">
        <v>695</v>
      </c>
      <c r="E35" s="47" t="s">
        <v>690</v>
      </c>
      <c r="F35" s="47" t="s">
        <v>691</v>
      </c>
      <c r="G35" s="47" t="s">
        <v>690</v>
      </c>
      <c r="H35" s="47" t="s">
        <v>691</v>
      </c>
      <c r="J35" s="52">
        <v>33</v>
      </c>
      <c r="K35" s="53">
        <v>1200</v>
      </c>
      <c r="L35" s="54">
        <f t="shared" si="1"/>
        <v>3600</v>
      </c>
      <c r="M35" s="52">
        <v>83</v>
      </c>
      <c r="N35" s="53">
        <v>3760</v>
      </c>
      <c r="O35" s="55">
        <f t="shared" si="3"/>
        <v>11280</v>
      </c>
    </row>
    <row r="36" ht="20" customHeight="1" spans="1:15">
      <c r="A36" s="9" t="s">
        <v>735</v>
      </c>
      <c r="B36" s="9" t="s">
        <v>732</v>
      </c>
      <c r="C36" s="9" t="s">
        <v>689</v>
      </c>
      <c r="D36" s="9" t="s">
        <v>708</v>
      </c>
      <c r="E36" s="9" t="s">
        <v>690</v>
      </c>
      <c r="F36" s="9" t="s">
        <v>713</v>
      </c>
      <c r="G36" s="9" t="s">
        <v>690</v>
      </c>
      <c r="H36" s="9" t="s">
        <v>713</v>
      </c>
      <c r="J36" s="52">
        <v>34</v>
      </c>
      <c r="K36" s="53">
        <v>1240</v>
      </c>
      <c r="L36" s="54">
        <f t="shared" si="1"/>
        <v>3720</v>
      </c>
      <c r="M36" s="52">
        <v>84</v>
      </c>
      <c r="N36" s="53">
        <v>3830</v>
      </c>
      <c r="O36" s="55">
        <f t="shared" si="3"/>
        <v>11490</v>
      </c>
    </row>
    <row r="37" ht="20" customHeight="1" spans="1:15">
      <c r="A37" s="47" t="s">
        <v>736</v>
      </c>
      <c r="B37" s="47" t="s">
        <v>732</v>
      </c>
      <c r="C37" s="47" t="s">
        <v>684</v>
      </c>
      <c r="D37" s="47" t="s">
        <v>708</v>
      </c>
      <c r="E37" s="47" t="s">
        <v>678</v>
      </c>
      <c r="F37" s="47" t="s">
        <v>686</v>
      </c>
      <c r="G37" s="47" t="s">
        <v>678</v>
      </c>
      <c r="H37" s="47" t="s">
        <v>686</v>
      </c>
      <c r="J37" s="52">
        <v>35</v>
      </c>
      <c r="K37" s="53">
        <v>1280</v>
      </c>
      <c r="L37" s="54">
        <f t="shared" si="1"/>
        <v>3840</v>
      </c>
      <c r="M37" s="52">
        <v>85</v>
      </c>
      <c r="N37" s="53">
        <v>3900</v>
      </c>
      <c r="O37" s="55">
        <f t="shared" si="3"/>
        <v>11700</v>
      </c>
    </row>
    <row r="38" ht="20" customHeight="1" spans="1:15">
      <c r="A38" s="9" t="s">
        <v>737</v>
      </c>
      <c r="B38" s="9" t="s">
        <v>732</v>
      </c>
      <c r="C38" s="9" t="s">
        <v>694</v>
      </c>
      <c r="D38" s="9" t="s">
        <v>695</v>
      </c>
      <c r="E38" s="9" t="s">
        <v>690</v>
      </c>
      <c r="F38" s="9" t="s">
        <v>713</v>
      </c>
      <c r="G38" s="9" t="s">
        <v>690</v>
      </c>
      <c r="H38" s="9" t="s">
        <v>713</v>
      </c>
      <c r="J38" s="52">
        <v>36</v>
      </c>
      <c r="K38" s="53">
        <v>1320</v>
      </c>
      <c r="L38" s="54">
        <f t="shared" si="1"/>
        <v>3960</v>
      </c>
      <c r="M38" s="52">
        <v>86</v>
      </c>
      <c r="N38" s="53">
        <v>3970</v>
      </c>
      <c r="O38" s="55">
        <f t="shared" si="3"/>
        <v>11910</v>
      </c>
    </row>
    <row r="39" ht="20" customHeight="1" spans="1:15">
      <c r="A39" s="47" t="s">
        <v>738</v>
      </c>
      <c r="B39" s="47" t="s">
        <v>732</v>
      </c>
      <c r="C39" s="47" t="s">
        <v>689</v>
      </c>
      <c r="D39" s="47" t="s">
        <v>695</v>
      </c>
      <c r="E39" s="47" t="s">
        <v>690</v>
      </c>
      <c r="F39" s="47" t="s">
        <v>691</v>
      </c>
      <c r="G39" s="47" t="s">
        <v>690</v>
      </c>
      <c r="H39" s="47" t="s">
        <v>691</v>
      </c>
      <c r="J39" s="52">
        <v>37</v>
      </c>
      <c r="K39" s="53">
        <v>1360</v>
      </c>
      <c r="L39" s="54">
        <f t="shared" si="1"/>
        <v>4080</v>
      </c>
      <c r="M39" s="52">
        <v>87</v>
      </c>
      <c r="N39" s="53">
        <v>4040</v>
      </c>
      <c r="O39" s="55">
        <f t="shared" si="3"/>
        <v>12120</v>
      </c>
    </row>
    <row r="40" ht="20" customHeight="1" spans="1:15">
      <c r="A40" s="47" t="s">
        <v>739</v>
      </c>
      <c r="B40" s="47" t="s">
        <v>732</v>
      </c>
      <c r="C40" s="47" t="s">
        <v>694</v>
      </c>
      <c r="D40" s="47" t="s">
        <v>708</v>
      </c>
      <c r="E40" s="47" t="s">
        <v>690</v>
      </c>
      <c r="F40" s="47" t="s">
        <v>691</v>
      </c>
      <c r="G40" s="47" t="s">
        <v>690</v>
      </c>
      <c r="H40" s="47" t="s">
        <v>691</v>
      </c>
      <c r="J40" s="52">
        <v>38</v>
      </c>
      <c r="K40" s="53">
        <v>1400</v>
      </c>
      <c r="L40" s="54">
        <f t="shared" si="1"/>
        <v>4200</v>
      </c>
      <c r="M40" s="52">
        <v>88</v>
      </c>
      <c r="N40" s="53">
        <v>4120</v>
      </c>
      <c r="O40" s="55">
        <f t="shared" si="3"/>
        <v>12360</v>
      </c>
    </row>
    <row r="41" ht="20" customHeight="1" spans="1:15">
      <c r="A41" s="47" t="s">
        <v>740</v>
      </c>
      <c r="B41" s="47" t="s">
        <v>732</v>
      </c>
      <c r="C41" s="47" t="s">
        <v>694</v>
      </c>
      <c r="D41" s="47" t="s">
        <v>695</v>
      </c>
      <c r="E41" s="47" t="s">
        <v>690</v>
      </c>
      <c r="F41" s="47" t="s">
        <v>691</v>
      </c>
      <c r="G41" s="47" t="s">
        <v>690</v>
      </c>
      <c r="H41" s="47" t="s">
        <v>691</v>
      </c>
      <c r="J41" s="52">
        <v>39</v>
      </c>
      <c r="K41" s="53">
        <v>1440</v>
      </c>
      <c r="L41" s="54">
        <f t="shared" si="1"/>
        <v>4320</v>
      </c>
      <c r="M41" s="52">
        <v>89</v>
      </c>
      <c r="N41" s="53">
        <v>4200</v>
      </c>
      <c r="O41" s="55">
        <f t="shared" si="3"/>
        <v>12600</v>
      </c>
    </row>
    <row r="42" ht="20" customHeight="1" spans="1:15">
      <c r="A42" s="47" t="s">
        <v>741</v>
      </c>
      <c r="B42" s="47" t="s">
        <v>732</v>
      </c>
      <c r="C42" s="47" t="s">
        <v>689</v>
      </c>
      <c r="D42" s="47" t="s">
        <v>685</v>
      </c>
      <c r="E42" s="47" t="s">
        <v>690</v>
      </c>
      <c r="F42" s="47" t="s">
        <v>691</v>
      </c>
      <c r="G42" s="47" t="s">
        <v>690</v>
      </c>
      <c r="H42" s="47" t="s">
        <v>691</v>
      </c>
      <c r="J42" s="52">
        <v>40</v>
      </c>
      <c r="K42" s="53">
        <v>1480</v>
      </c>
      <c r="L42" s="54">
        <f t="shared" si="1"/>
        <v>4440</v>
      </c>
      <c r="M42" s="52">
        <v>90</v>
      </c>
      <c r="N42" s="53">
        <v>4280</v>
      </c>
      <c r="O42" s="55">
        <f t="shared" si="3"/>
        <v>12840</v>
      </c>
    </row>
    <row r="43" ht="20" customHeight="1" spans="1:15">
      <c r="A43" s="47" t="s">
        <v>742</v>
      </c>
      <c r="B43" s="47" t="s">
        <v>675</v>
      </c>
      <c r="C43" s="47" t="s">
        <v>694</v>
      </c>
      <c r="D43" s="47" t="s">
        <v>708</v>
      </c>
      <c r="E43" s="47" t="s">
        <v>690</v>
      </c>
      <c r="F43" s="47" t="s">
        <v>691</v>
      </c>
      <c r="G43" s="47" t="s">
        <v>690</v>
      </c>
      <c r="H43" s="47" t="s">
        <v>691</v>
      </c>
      <c r="J43" s="52">
        <v>41</v>
      </c>
      <c r="K43" s="53">
        <v>1520</v>
      </c>
      <c r="L43" s="54">
        <f t="shared" si="1"/>
        <v>4560</v>
      </c>
      <c r="M43" s="52">
        <v>91</v>
      </c>
      <c r="N43" s="53">
        <v>4360</v>
      </c>
      <c r="O43" s="55">
        <f t="shared" si="3"/>
        <v>13080</v>
      </c>
    </row>
    <row r="44" ht="20" customHeight="1" spans="1:15">
      <c r="A44" s="47" t="s">
        <v>743</v>
      </c>
      <c r="B44" s="47" t="s">
        <v>675</v>
      </c>
      <c r="C44" s="47" t="s">
        <v>689</v>
      </c>
      <c r="D44" s="47" t="s">
        <v>677</v>
      </c>
      <c r="E44" s="47" t="s">
        <v>690</v>
      </c>
      <c r="F44" s="47" t="s">
        <v>691</v>
      </c>
      <c r="G44" s="47" t="s">
        <v>690</v>
      </c>
      <c r="H44" s="47" t="s">
        <v>691</v>
      </c>
      <c r="J44" s="52">
        <v>42</v>
      </c>
      <c r="K44" s="53">
        <v>1560</v>
      </c>
      <c r="L44" s="54">
        <f t="shared" si="1"/>
        <v>4680</v>
      </c>
      <c r="M44" s="52">
        <v>92</v>
      </c>
      <c r="N44" s="53">
        <v>4440</v>
      </c>
      <c r="O44" s="55">
        <f t="shared" si="3"/>
        <v>13320</v>
      </c>
    </row>
    <row r="45" ht="20" customHeight="1" spans="1:15">
      <c r="A45" s="47" t="s">
        <v>744</v>
      </c>
      <c r="B45" s="47" t="s">
        <v>704</v>
      </c>
      <c r="C45" s="47" t="s">
        <v>676</v>
      </c>
      <c r="D45" s="47" t="s">
        <v>685</v>
      </c>
      <c r="E45" s="47" t="s">
        <v>678</v>
      </c>
      <c r="F45" s="47" t="s">
        <v>679</v>
      </c>
      <c r="G45" s="47" t="s">
        <v>678</v>
      </c>
      <c r="H45" s="47" t="s">
        <v>679</v>
      </c>
      <c r="J45" s="52">
        <v>43</v>
      </c>
      <c r="K45" s="53">
        <v>1600</v>
      </c>
      <c r="L45" s="54">
        <f t="shared" si="1"/>
        <v>4800</v>
      </c>
      <c r="M45" s="52">
        <v>93</v>
      </c>
      <c r="N45" s="53">
        <v>4520</v>
      </c>
      <c r="O45" s="55">
        <f t="shared" si="3"/>
        <v>13560</v>
      </c>
    </row>
    <row r="46" ht="20" customHeight="1" spans="1:15">
      <c r="A46" s="47" t="s">
        <v>745</v>
      </c>
      <c r="B46" s="47" t="s">
        <v>704</v>
      </c>
      <c r="C46" s="47" t="s">
        <v>684</v>
      </c>
      <c r="D46" s="47" t="s">
        <v>708</v>
      </c>
      <c r="E46" s="47" t="s">
        <v>678</v>
      </c>
      <c r="F46" s="47" t="s">
        <v>686</v>
      </c>
      <c r="G46" s="47" t="s">
        <v>678</v>
      </c>
      <c r="H46" s="47" t="s">
        <v>686</v>
      </c>
      <c r="J46" s="52">
        <v>44</v>
      </c>
      <c r="K46" s="53">
        <v>1640</v>
      </c>
      <c r="L46" s="54">
        <f t="shared" si="1"/>
        <v>4920</v>
      </c>
      <c r="M46" s="52">
        <v>94</v>
      </c>
      <c r="N46" s="53">
        <v>4600</v>
      </c>
      <c r="O46" s="55">
        <f t="shared" si="3"/>
        <v>13800</v>
      </c>
    </row>
    <row r="47" ht="20" customHeight="1" spans="1:15">
      <c r="A47" s="47" t="s">
        <v>746</v>
      </c>
      <c r="B47" s="47" t="s">
        <v>704</v>
      </c>
      <c r="C47" s="47" t="s">
        <v>694</v>
      </c>
      <c r="D47" s="47" t="s">
        <v>695</v>
      </c>
      <c r="E47" s="47" t="s">
        <v>690</v>
      </c>
      <c r="F47" s="47" t="s">
        <v>691</v>
      </c>
      <c r="G47" s="47" t="s">
        <v>690</v>
      </c>
      <c r="H47" s="47" t="s">
        <v>691</v>
      </c>
      <c r="J47" s="52">
        <v>45</v>
      </c>
      <c r="K47" s="53">
        <v>1680</v>
      </c>
      <c r="L47" s="54">
        <f t="shared" si="1"/>
        <v>5040</v>
      </c>
      <c r="M47" s="52">
        <v>95</v>
      </c>
      <c r="N47" s="53">
        <v>4680</v>
      </c>
      <c r="O47" s="55">
        <f t="shared" si="3"/>
        <v>14040</v>
      </c>
    </row>
    <row r="48" ht="20" customHeight="1" spans="1:15">
      <c r="A48" s="47" t="s">
        <v>747</v>
      </c>
      <c r="B48" s="47" t="s">
        <v>732</v>
      </c>
      <c r="C48" s="47" t="s">
        <v>676</v>
      </c>
      <c r="D48" s="47" t="s">
        <v>708</v>
      </c>
      <c r="E48" s="47" t="s">
        <v>678</v>
      </c>
      <c r="F48" s="47" t="s">
        <v>679</v>
      </c>
      <c r="G48" s="47" t="s">
        <v>678</v>
      </c>
      <c r="H48" s="47" t="s">
        <v>679</v>
      </c>
      <c r="J48" s="52">
        <v>46</v>
      </c>
      <c r="K48" s="53">
        <v>1720</v>
      </c>
      <c r="L48" s="54">
        <f t="shared" si="1"/>
        <v>5160</v>
      </c>
      <c r="M48" s="52">
        <v>96</v>
      </c>
      <c r="N48" s="53">
        <v>4760</v>
      </c>
      <c r="O48" s="55">
        <f t="shared" si="3"/>
        <v>14280</v>
      </c>
    </row>
    <row r="49" ht="20" customHeight="1" spans="1:15">
      <c r="A49" s="47" t="s">
        <v>748</v>
      </c>
      <c r="B49" s="47" t="s">
        <v>732</v>
      </c>
      <c r="C49" s="47" t="s">
        <v>684</v>
      </c>
      <c r="D49" s="47" t="s">
        <v>695</v>
      </c>
      <c r="E49" s="47" t="s">
        <v>678</v>
      </c>
      <c r="F49" s="47" t="s">
        <v>686</v>
      </c>
      <c r="G49" s="47" t="s">
        <v>678</v>
      </c>
      <c r="H49" s="47" t="s">
        <v>686</v>
      </c>
      <c r="J49" s="52">
        <v>47</v>
      </c>
      <c r="K49" s="53">
        <v>1760</v>
      </c>
      <c r="L49" s="54">
        <f t="shared" si="1"/>
        <v>5280</v>
      </c>
      <c r="M49" s="52">
        <v>97</v>
      </c>
      <c r="N49" s="53">
        <v>4850</v>
      </c>
      <c r="O49" s="55">
        <f t="shared" si="3"/>
        <v>14550</v>
      </c>
    </row>
    <row r="50" ht="20" customHeight="1" spans="1:15">
      <c r="A50" s="47" t="s">
        <v>749</v>
      </c>
      <c r="B50" s="47" t="s">
        <v>732</v>
      </c>
      <c r="C50" s="47" t="s">
        <v>694</v>
      </c>
      <c r="D50" s="47" t="s">
        <v>695</v>
      </c>
      <c r="E50" s="47" t="s">
        <v>690</v>
      </c>
      <c r="F50" s="47" t="s">
        <v>691</v>
      </c>
      <c r="G50" s="47" t="s">
        <v>690</v>
      </c>
      <c r="H50" s="47" t="s">
        <v>691</v>
      </c>
      <c r="J50" s="52">
        <v>48</v>
      </c>
      <c r="K50" s="53">
        <v>1800</v>
      </c>
      <c r="L50" s="54">
        <f t="shared" si="1"/>
        <v>5400</v>
      </c>
      <c r="M50" s="52">
        <v>98</v>
      </c>
      <c r="N50" s="53">
        <v>4940</v>
      </c>
      <c r="O50" s="55">
        <f t="shared" si="3"/>
        <v>14820</v>
      </c>
    </row>
    <row r="51" ht="20" customHeight="1" spans="1:15">
      <c r="A51" s="47" t="s">
        <v>750</v>
      </c>
      <c r="B51" s="47" t="s">
        <v>732</v>
      </c>
      <c r="C51" s="47" t="s">
        <v>689</v>
      </c>
      <c r="D51" s="47" t="s">
        <v>685</v>
      </c>
      <c r="E51" s="47" t="s">
        <v>690</v>
      </c>
      <c r="F51" s="47" t="s">
        <v>691</v>
      </c>
      <c r="G51" s="47" t="s">
        <v>690</v>
      </c>
      <c r="H51" s="47" t="s">
        <v>691</v>
      </c>
      <c r="J51" s="52">
        <v>49</v>
      </c>
      <c r="K51" s="53">
        <v>1840</v>
      </c>
      <c r="L51" s="54">
        <f t="shared" si="1"/>
        <v>5520</v>
      </c>
      <c r="M51" s="52">
        <v>99</v>
      </c>
      <c r="N51" s="53">
        <v>9999</v>
      </c>
      <c r="O51" s="55">
        <f t="shared" si="3"/>
        <v>29997</v>
      </c>
    </row>
    <row r="52" ht="20" customHeight="1" spans="1:15">
      <c r="J52" s="59">
        <v>50</v>
      </c>
      <c r="K52" s="60">
        <v>1880</v>
      </c>
      <c r="L52" s="61">
        <f t="shared" si="1"/>
        <v>5640</v>
      </c>
      <c r="M52" s="59" t="s">
        <v>366</v>
      </c>
      <c r="N52" s="60">
        <f>SUM(K3:K52,N3:N51)</f>
        <v>218059</v>
      </c>
      <c r="O52" s="62">
        <f>SUM(L3:L52,O3:O51)</f>
        <v>654177</v>
      </c>
    </row>
    <row r="53" ht="20" customHeight="1" spans="1:15">
      <c r="M53" s="43" t="s">
        <v>751</v>
      </c>
      <c r="N53" s="43">
        <f>IF(MOD(N52,200)=0,FLOOR(N52/200,1),FLOOR(N52/200,1)+1)</f>
        <v>1091</v>
      </c>
      <c r="O53" s="43">
        <f>IF(MOD(O52,200)=0,FLOOR(O52/200,1),FLOOR(O52/200,1)+1)</f>
        <v>3271</v>
      </c>
    </row>
    <row r="54" ht="20" customHeight="1"/>
    <row r="55" ht="20" customHeight="1" spans="1:15">
      <c r="B55" s="43" t="s">
        <v>752</v>
      </c>
      <c r="C55" s="43" t="s">
        <v>753</v>
      </c>
      <c r="H55" s="43" t="s">
        <v>173</v>
      </c>
      <c r="I55">
        <v>4382</v>
      </c>
    </row>
    <row r="56" ht="20" customHeight="1" spans="1:15">
      <c r="A56" s="43">
        <v>2</v>
      </c>
      <c r="H56" s="43" t="s">
        <v>754</v>
      </c>
      <c r="I56">
        <v>4115</v>
      </c>
    </row>
    <row r="57" ht="20" customHeight="1" spans="1:15">
      <c r="A57" s="43">
        <v>3</v>
      </c>
      <c r="H57" s="43" t="s">
        <v>755</v>
      </c>
      <c r="I57">
        <v>4117</v>
      </c>
    </row>
    <row r="58" ht="20" customHeight="1" spans="1:15">
      <c r="A58" s="43">
        <v>4</v>
      </c>
      <c r="H58" s="43" t="s">
        <v>756</v>
      </c>
      <c r="I58">
        <v>4115</v>
      </c>
    </row>
    <row r="59" ht="20" customHeight="1" spans="1:15">
      <c r="A59" s="43">
        <v>5</v>
      </c>
      <c r="H59" s="43" t="s">
        <v>757</v>
      </c>
    </row>
    <row r="60" ht="20" customHeight="1" spans="1:15">
      <c r="A60" s="43">
        <v>6</v>
      </c>
      <c r="H60" s="43" t="s">
        <v>758</v>
      </c>
      <c r="I60">
        <v>4382</v>
      </c>
    </row>
    <row r="61" ht="20" customHeight="1" spans="1:15">
      <c r="A61" s="43">
        <v>7</v>
      </c>
      <c r="H61" s="43" t="s">
        <v>754</v>
      </c>
      <c r="I61">
        <v>4115</v>
      </c>
    </row>
    <row r="62" ht="20" customHeight="1" spans="1:15">
      <c r="A62" s="43">
        <v>8</v>
      </c>
      <c r="H62" s="43" t="s">
        <v>755</v>
      </c>
      <c r="I62">
        <v>4117</v>
      </c>
    </row>
    <row r="63" ht="20" customHeight="1" spans="1:15">
      <c r="A63" s="43">
        <v>9</v>
      </c>
      <c r="H63" s="43" t="s">
        <v>756</v>
      </c>
      <c r="I63">
        <v>4115</v>
      </c>
    </row>
    <row r="64" ht="20" customHeight="1" spans="1:15">
      <c r="A64" s="43">
        <v>10</v>
      </c>
      <c r="H64" s="43" t="s">
        <v>759</v>
      </c>
    </row>
    <row r="65" ht="20" customHeight="1" spans="1:9">
      <c r="A65" s="43">
        <v>11</v>
      </c>
      <c r="H65" s="43" t="s">
        <v>758</v>
      </c>
      <c r="I65">
        <v>4382</v>
      </c>
    </row>
    <row r="66" ht="20" customHeight="1" spans="1:9">
      <c r="A66" s="43">
        <v>12</v>
      </c>
      <c r="H66" s="43" t="s">
        <v>754</v>
      </c>
      <c r="I66">
        <v>4115</v>
      </c>
    </row>
    <row r="67" spans="1:9">
      <c r="A67" s="43">
        <v>13</v>
      </c>
      <c r="H67" s="43" t="s">
        <v>755</v>
      </c>
      <c r="I67">
        <v>4117</v>
      </c>
    </row>
    <row r="68" spans="1:9">
      <c r="A68" s="43">
        <v>14</v>
      </c>
      <c r="H68" s="43" t="s">
        <v>756</v>
      </c>
      <c r="I68">
        <v>4115</v>
      </c>
    </row>
    <row r="69" spans="1:9">
      <c r="A69" s="43">
        <v>15</v>
      </c>
      <c r="H69" s="43" t="s">
        <v>760</v>
      </c>
    </row>
    <row r="70" spans="1:9">
      <c r="A70" s="43">
        <v>16</v>
      </c>
      <c r="H70" s="43" t="s">
        <v>758</v>
      </c>
      <c r="I70">
        <v>4382</v>
      </c>
    </row>
    <row r="71" spans="1:9">
      <c r="A71" s="43">
        <v>17</v>
      </c>
      <c r="H71" s="43" t="s">
        <v>754</v>
      </c>
      <c r="I71">
        <v>4115</v>
      </c>
    </row>
    <row r="72" spans="1:9">
      <c r="A72" s="43">
        <v>18</v>
      </c>
      <c r="H72" s="43" t="s">
        <v>755</v>
      </c>
      <c r="I72">
        <v>4117</v>
      </c>
    </row>
    <row r="73" spans="1:9">
      <c r="A73" s="43">
        <v>19</v>
      </c>
      <c r="H73" s="43" t="s">
        <v>756</v>
      </c>
      <c r="I73">
        <v>4115</v>
      </c>
    </row>
    <row r="74" spans="1:9">
      <c r="A74" s="43">
        <v>20</v>
      </c>
      <c r="H74" s="43" t="s">
        <v>761</v>
      </c>
    </row>
    <row r="75" spans="1:9">
      <c r="A75" s="43">
        <v>21</v>
      </c>
      <c r="H75" s="43" t="s">
        <v>758</v>
      </c>
      <c r="I75">
        <v>4382</v>
      </c>
    </row>
    <row r="76" spans="1:9">
      <c r="A76" s="43">
        <v>22</v>
      </c>
      <c r="H76" s="43" t="s">
        <v>754</v>
      </c>
      <c r="I76">
        <v>4115</v>
      </c>
    </row>
    <row r="77" spans="1:9">
      <c r="A77" s="43">
        <v>23</v>
      </c>
      <c r="H77" s="43" t="s">
        <v>755</v>
      </c>
      <c r="I77">
        <v>4117</v>
      </c>
    </row>
    <row r="78" spans="1:9">
      <c r="A78" s="43">
        <v>24</v>
      </c>
      <c r="H78" s="43" t="s">
        <v>756</v>
      </c>
      <c r="I78">
        <v>4115</v>
      </c>
    </row>
    <row r="79" spans="1:9">
      <c r="A79" s="43">
        <v>25</v>
      </c>
      <c r="H79" s="43" t="s">
        <v>762</v>
      </c>
    </row>
    <row r="80" spans="1:9">
      <c r="A80" s="43">
        <v>26</v>
      </c>
      <c r="H80" s="43" t="s">
        <v>758</v>
      </c>
      <c r="I80">
        <v>4382</v>
      </c>
    </row>
    <row r="81" spans="1:9">
      <c r="A81" s="43">
        <v>27</v>
      </c>
      <c r="H81" s="43" t="s">
        <v>754</v>
      </c>
      <c r="I81">
        <v>4115</v>
      </c>
    </row>
    <row r="82" spans="1:9">
      <c r="A82" s="43">
        <v>28</v>
      </c>
      <c r="H82" s="43" t="s">
        <v>755</v>
      </c>
      <c r="I82">
        <v>4117</v>
      </c>
    </row>
    <row r="83" spans="1:9">
      <c r="A83" s="43">
        <v>29</v>
      </c>
      <c r="H83" s="43" t="s">
        <v>756</v>
      </c>
      <c r="I83">
        <v>4115</v>
      </c>
    </row>
    <row r="84" spans="1:9">
      <c r="A84" s="43">
        <v>30</v>
      </c>
      <c r="H84" s="43" t="s">
        <v>763</v>
      </c>
    </row>
    <row r="85" spans="1:9">
      <c r="A85" s="43">
        <v>31</v>
      </c>
      <c r="H85" s="43" t="s">
        <v>758</v>
      </c>
      <c r="I85">
        <v>4382</v>
      </c>
    </row>
    <row r="86" spans="1:9">
      <c r="A86" s="43">
        <v>32</v>
      </c>
      <c r="H86" s="43" t="s">
        <v>754</v>
      </c>
      <c r="I86">
        <v>4115</v>
      </c>
    </row>
    <row r="87" spans="1:9">
      <c r="A87" s="43">
        <v>33</v>
      </c>
      <c r="H87" s="43" t="s">
        <v>755</v>
      </c>
      <c r="I87">
        <v>4117</v>
      </c>
    </row>
    <row r="88" spans="1:9">
      <c r="A88" s="43">
        <v>34</v>
      </c>
      <c r="H88" s="43" t="s">
        <v>756</v>
      </c>
      <c r="I88">
        <v>4115</v>
      </c>
    </row>
    <row r="89" spans="1:9">
      <c r="A89" s="43">
        <v>35</v>
      </c>
      <c r="H89" s="43" t="s">
        <v>764</v>
      </c>
    </row>
    <row r="90" spans="1:9">
      <c r="A90" s="43">
        <v>36</v>
      </c>
      <c r="H90" s="43" t="s">
        <v>758</v>
      </c>
      <c r="I90">
        <v>4382</v>
      </c>
    </row>
    <row r="91" spans="1:9">
      <c r="A91" s="43">
        <v>37</v>
      </c>
      <c r="H91" s="43" t="s">
        <v>754</v>
      </c>
      <c r="I91">
        <v>4115</v>
      </c>
    </row>
    <row r="92" spans="1:9">
      <c r="A92" s="43">
        <v>38</v>
      </c>
      <c r="H92" s="43" t="s">
        <v>755</v>
      </c>
      <c r="I92">
        <v>4117</v>
      </c>
    </row>
    <row r="93" spans="1:9">
      <c r="A93" s="43">
        <v>39</v>
      </c>
      <c r="H93" s="43" t="s">
        <v>756</v>
      </c>
      <c r="I93">
        <v>4115</v>
      </c>
    </row>
    <row r="94" spans="1:9">
      <c r="A94" s="43">
        <v>40</v>
      </c>
      <c r="H94" s="43" t="s">
        <v>765</v>
      </c>
    </row>
    <row r="95" spans="1:9">
      <c r="A95" s="43">
        <v>41</v>
      </c>
      <c r="H95" s="43" t="s">
        <v>758</v>
      </c>
      <c r="I95">
        <v>4382</v>
      </c>
    </row>
    <row r="96" spans="1:9">
      <c r="A96" s="43">
        <v>42</v>
      </c>
      <c r="H96" s="43" t="s">
        <v>754</v>
      </c>
      <c r="I96">
        <v>4115</v>
      </c>
    </row>
    <row r="97" spans="1:9">
      <c r="A97" s="43">
        <v>43</v>
      </c>
      <c r="H97" s="43" t="s">
        <v>755</v>
      </c>
      <c r="I97">
        <v>4117</v>
      </c>
    </row>
    <row r="98" spans="1:9">
      <c r="A98" s="43">
        <v>44</v>
      </c>
      <c r="H98" s="43" t="s">
        <v>756</v>
      </c>
      <c r="I98">
        <v>4115</v>
      </c>
    </row>
    <row r="99" spans="1:9">
      <c r="A99" s="43">
        <v>45</v>
      </c>
      <c r="H99" s="43" t="s">
        <v>757</v>
      </c>
    </row>
    <row r="100" spans="1:9">
      <c r="A100" s="43">
        <v>46</v>
      </c>
      <c r="H100" s="43" t="s">
        <v>758</v>
      </c>
      <c r="I100">
        <v>4382</v>
      </c>
    </row>
    <row r="101" spans="1:9">
      <c r="A101" s="43">
        <v>47</v>
      </c>
      <c r="H101" s="43" t="s">
        <v>754</v>
      </c>
      <c r="I101">
        <v>4115</v>
      </c>
    </row>
    <row r="102" spans="1:9">
      <c r="A102" s="43">
        <v>48</v>
      </c>
      <c r="H102" s="43" t="s">
        <v>755</v>
      </c>
      <c r="I102">
        <v>4117</v>
      </c>
    </row>
    <row r="103" spans="1:9">
      <c r="A103" s="43">
        <v>49</v>
      </c>
      <c r="H103" s="43" t="s">
        <v>756</v>
      </c>
      <c r="I103">
        <v>4115</v>
      </c>
    </row>
    <row r="104" spans="1:9">
      <c r="A104" s="43">
        <v>50</v>
      </c>
      <c r="H104" s="43" t="s">
        <v>766</v>
      </c>
    </row>
    <row r="105" spans="1:9">
      <c r="A105" s="43">
        <v>51</v>
      </c>
      <c r="H105" s="43" t="s">
        <v>758</v>
      </c>
      <c r="I105">
        <v>4382</v>
      </c>
    </row>
    <row r="106" spans="1:9">
      <c r="A106" s="43">
        <v>52</v>
      </c>
      <c r="H106" s="43" t="s">
        <v>754</v>
      </c>
      <c r="I106">
        <v>4115</v>
      </c>
    </row>
    <row r="107" spans="1:9">
      <c r="A107" s="43">
        <v>53</v>
      </c>
      <c r="H107" s="43" t="s">
        <v>755</v>
      </c>
      <c r="I107">
        <v>4117</v>
      </c>
    </row>
    <row r="108" spans="1:9">
      <c r="A108" s="43">
        <v>54</v>
      </c>
      <c r="H108" s="43" t="s">
        <v>756</v>
      </c>
      <c r="I108">
        <v>4115</v>
      </c>
    </row>
    <row r="109" spans="1:9">
      <c r="A109" s="43">
        <v>55</v>
      </c>
      <c r="H109" s="43" t="s">
        <v>760</v>
      </c>
    </row>
    <row r="110" spans="1:9">
      <c r="A110" s="43">
        <v>56</v>
      </c>
      <c r="H110" s="43" t="s">
        <v>758</v>
      </c>
      <c r="I110">
        <v>4382</v>
      </c>
    </row>
    <row r="111" spans="1:9">
      <c r="A111" s="43">
        <v>57</v>
      </c>
      <c r="H111" s="43" t="s">
        <v>754</v>
      </c>
      <c r="I111">
        <v>4115</v>
      </c>
    </row>
    <row r="112" spans="1:9">
      <c r="A112" s="43">
        <v>58</v>
      </c>
      <c r="H112" s="43" t="s">
        <v>755</v>
      </c>
      <c r="I112">
        <v>4117</v>
      </c>
    </row>
    <row r="113" spans="1:9">
      <c r="A113" s="43">
        <v>59</v>
      </c>
      <c r="H113" s="43" t="s">
        <v>756</v>
      </c>
      <c r="I113">
        <v>4115</v>
      </c>
    </row>
    <row r="114" spans="1:9">
      <c r="A114" s="43">
        <v>60</v>
      </c>
      <c r="H114" s="43" t="s">
        <v>767</v>
      </c>
    </row>
    <row r="115" spans="1:9">
      <c r="A115" s="43">
        <v>61</v>
      </c>
      <c r="H115" s="43" t="s">
        <v>758</v>
      </c>
      <c r="I115">
        <v>4382</v>
      </c>
    </row>
    <row r="116" spans="1:9">
      <c r="A116" s="43">
        <v>62</v>
      </c>
      <c r="H116" s="43" t="s">
        <v>754</v>
      </c>
      <c r="I116">
        <v>4115</v>
      </c>
    </row>
    <row r="117" spans="1:9">
      <c r="A117" s="43">
        <v>63</v>
      </c>
      <c r="H117" s="43" t="s">
        <v>755</v>
      </c>
      <c r="I117">
        <v>4117</v>
      </c>
    </row>
    <row r="118" spans="1:9">
      <c r="A118" s="43">
        <v>64</v>
      </c>
      <c r="H118" s="43" t="s">
        <v>756</v>
      </c>
      <c r="I118">
        <v>4115</v>
      </c>
    </row>
    <row r="119" spans="1:9">
      <c r="A119" s="43">
        <v>65</v>
      </c>
      <c r="H119" s="43" t="s">
        <v>762</v>
      </c>
    </row>
    <row r="120" spans="1:9">
      <c r="A120" s="43">
        <v>66</v>
      </c>
      <c r="H120" s="43" t="s">
        <v>758</v>
      </c>
      <c r="I120">
        <v>4382</v>
      </c>
    </row>
    <row r="121" spans="1:9">
      <c r="A121" s="43">
        <v>67</v>
      </c>
      <c r="H121" s="43" t="s">
        <v>754</v>
      </c>
      <c r="I121">
        <v>4115</v>
      </c>
    </row>
    <row r="122" spans="1:9">
      <c r="A122" s="43">
        <v>68</v>
      </c>
      <c r="H122" s="43" t="s">
        <v>755</v>
      </c>
      <c r="I122">
        <v>4117</v>
      </c>
    </row>
    <row r="123" spans="1:9">
      <c r="A123" s="43">
        <v>69</v>
      </c>
      <c r="H123" s="43" t="s">
        <v>756</v>
      </c>
      <c r="I123">
        <v>4115</v>
      </c>
    </row>
    <row r="124" spans="1:9">
      <c r="A124" s="43">
        <v>70</v>
      </c>
      <c r="H124" s="43" t="s">
        <v>768</v>
      </c>
    </row>
    <row r="125" spans="1:9">
      <c r="A125" s="43">
        <v>71</v>
      </c>
      <c r="H125" s="43" t="s">
        <v>758</v>
      </c>
      <c r="I125">
        <v>4382</v>
      </c>
    </row>
    <row r="126" spans="1:9">
      <c r="A126" s="43">
        <v>72</v>
      </c>
      <c r="H126" s="43" t="s">
        <v>754</v>
      </c>
      <c r="I126">
        <v>4115</v>
      </c>
    </row>
    <row r="127" spans="1:9">
      <c r="A127" s="43">
        <v>73</v>
      </c>
      <c r="H127" s="43" t="s">
        <v>755</v>
      </c>
      <c r="I127">
        <v>4117</v>
      </c>
    </row>
    <row r="128" spans="1:9">
      <c r="A128" s="43">
        <v>74</v>
      </c>
      <c r="H128" s="43" t="s">
        <v>756</v>
      </c>
      <c r="I128">
        <v>4115</v>
      </c>
    </row>
    <row r="129" spans="1:9">
      <c r="A129" s="43">
        <v>75</v>
      </c>
      <c r="H129" s="43" t="s">
        <v>764</v>
      </c>
    </row>
    <row r="130" spans="1:9">
      <c r="A130" s="43">
        <v>76</v>
      </c>
      <c r="H130" s="43" t="s">
        <v>758</v>
      </c>
      <c r="I130">
        <v>4382</v>
      </c>
    </row>
    <row r="131" spans="1:9">
      <c r="A131" s="43">
        <v>77</v>
      </c>
      <c r="H131" s="43" t="s">
        <v>754</v>
      </c>
      <c r="I131">
        <v>4115</v>
      </c>
    </row>
    <row r="132" spans="1:9">
      <c r="A132" s="43">
        <v>78</v>
      </c>
      <c r="H132" s="43" t="s">
        <v>755</v>
      </c>
      <c r="I132">
        <v>4117</v>
      </c>
    </row>
    <row r="133" spans="1:9">
      <c r="A133" s="43">
        <v>79</v>
      </c>
      <c r="H133" s="43" t="s">
        <v>756</v>
      </c>
      <c r="I133">
        <v>4115</v>
      </c>
    </row>
    <row r="134" spans="1:9">
      <c r="A134" s="43">
        <v>80</v>
      </c>
      <c r="H134" s="43" t="s">
        <v>769</v>
      </c>
    </row>
    <row r="135" spans="1:9">
      <c r="A135" s="43">
        <v>81</v>
      </c>
      <c r="H135" s="43" t="s">
        <v>758</v>
      </c>
      <c r="I135">
        <v>4382</v>
      </c>
    </row>
    <row r="136" spans="1:9">
      <c r="A136" s="43">
        <v>82</v>
      </c>
      <c r="H136" s="43" t="s">
        <v>754</v>
      </c>
      <c r="I136">
        <v>4115</v>
      </c>
    </row>
    <row r="137" spans="1:9">
      <c r="A137" s="43">
        <v>83</v>
      </c>
      <c r="H137" s="43" t="s">
        <v>755</v>
      </c>
      <c r="I137">
        <v>4117</v>
      </c>
    </row>
    <row r="138" spans="1:9">
      <c r="A138" s="43">
        <v>84</v>
      </c>
      <c r="H138" s="43" t="s">
        <v>756</v>
      </c>
      <c r="I138">
        <v>4115</v>
      </c>
    </row>
    <row r="139" spans="1:9">
      <c r="A139" s="43">
        <v>85</v>
      </c>
      <c r="H139" s="43" t="s">
        <v>757</v>
      </c>
    </row>
    <row r="140" spans="1:9">
      <c r="A140" s="43">
        <v>86</v>
      </c>
      <c r="H140" s="43" t="s">
        <v>758</v>
      </c>
      <c r="I140">
        <v>4382</v>
      </c>
    </row>
    <row r="141" spans="1:9">
      <c r="A141" s="43">
        <v>87</v>
      </c>
      <c r="H141" s="43" t="s">
        <v>754</v>
      </c>
      <c r="I141">
        <v>4115</v>
      </c>
    </row>
    <row r="142" spans="1:9">
      <c r="A142" s="43">
        <v>88</v>
      </c>
      <c r="H142" s="43" t="s">
        <v>755</v>
      </c>
      <c r="I142">
        <v>4117</v>
      </c>
    </row>
    <row r="143" spans="1:9">
      <c r="A143" s="43">
        <v>89</v>
      </c>
      <c r="H143" s="43" t="s">
        <v>756</v>
      </c>
      <c r="I143">
        <v>4115</v>
      </c>
    </row>
    <row r="144" spans="1:9">
      <c r="A144" s="43">
        <v>90</v>
      </c>
      <c r="H144" s="43" t="s">
        <v>770</v>
      </c>
    </row>
    <row r="145" spans="1:9">
      <c r="A145" s="43">
        <v>91</v>
      </c>
      <c r="H145" s="43" t="s">
        <v>758</v>
      </c>
      <c r="I145">
        <v>4382</v>
      </c>
    </row>
    <row r="146" spans="1:9">
      <c r="A146" s="43">
        <v>92</v>
      </c>
      <c r="H146" s="43" t="s">
        <v>754</v>
      </c>
      <c r="I146">
        <v>4115</v>
      </c>
    </row>
    <row r="147" spans="1:9">
      <c r="A147" s="43">
        <v>93</v>
      </c>
      <c r="H147" s="43" t="s">
        <v>755</v>
      </c>
      <c r="I147">
        <v>4117</v>
      </c>
    </row>
    <row r="148" spans="1:9">
      <c r="A148" s="43">
        <v>94</v>
      </c>
      <c r="H148" s="43" t="s">
        <v>756</v>
      </c>
      <c r="I148">
        <v>4115</v>
      </c>
    </row>
    <row r="149" spans="1:9">
      <c r="A149" s="43">
        <v>95</v>
      </c>
      <c r="H149" s="43" t="s">
        <v>760</v>
      </c>
    </row>
    <row r="150" spans="1:9">
      <c r="A150" s="43">
        <v>96</v>
      </c>
      <c r="H150" s="43" t="s">
        <v>758</v>
      </c>
      <c r="I150">
        <v>4382</v>
      </c>
    </row>
    <row r="151" spans="1:9">
      <c r="A151" s="43">
        <v>97</v>
      </c>
      <c r="H151" s="43" t="s">
        <v>754</v>
      </c>
      <c r="I151">
        <v>4115</v>
      </c>
    </row>
    <row r="152" spans="1:9">
      <c r="A152" s="43">
        <v>98</v>
      </c>
      <c r="H152" s="43" t="s">
        <v>755</v>
      </c>
      <c r="I152">
        <v>4117</v>
      </c>
    </row>
    <row r="153" spans="1:9">
      <c r="A153" s="43">
        <v>99</v>
      </c>
      <c r="H153" s="43" t="s">
        <v>756</v>
      </c>
      <c r="I153">
        <v>4115</v>
      </c>
    </row>
    <row r="154" spans="1:9">
      <c r="A154" s="43">
        <v>100</v>
      </c>
      <c r="H154" s="43" t="s">
        <v>771</v>
      </c>
    </row>
  </sheetData>
  <autoFilter xmlns:etc="http://www.wps.cn/officeDocument/2017/etCustomData" ref="A1:H51" etc:filterBottomFollowUsedRange="0">
    <extLst/>
  </autoFilter>
  <mergeCells count="6">
    <mergeCell ref="J1:O1"/>
    <mergeCell ref="Q12:S12"/>
    <mergeCell ref="Q14:T14"/>
    <mergeCell ref="Q15:T15"/>
    <mergeCell ref="Q16:R16"/>
    <mergeCell ref="S16:T16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M75"/>
  <sheetViews>
    <sheetView topLeftCell="A31" workbookViewId="0">
      <pane xSplit="1" topLeftCell="B1" activePane="topRight" state="frozen"/>
      <selection/>
      <selection pane="topRight" activeCell="D25" sqref="D25"/>
    </sheetView>
  </sheetViews>
  <sheetFormatPr defaultColWidth="9" defaultRowHeight="13.5"/>
  <cols>
    <col min="1" max="1" width="14.1083333333333" customWidth="1"/>
    <col min="2" max="13" width="24.775" style="38" customWidth="1"/>
  </cols>
  <sheetData>
    <row r="1" spans="1:13">
      <c r="B1" t="s">
        <v>772</v>
      </c>
    </row>
    <row r="2" spans="1:13">
      <c r="A2" t="s">
        <v>773</v>
      </c>
      <c r="B2" s="39" t="s">
        <v>774</v>
      </c>
    </row>
    <row r="3" spans="1:13">
      <c r="A3" t="s">
        <v>775</v>
      </c>
      <c r="B3" s="39" t="s">
        <v>776</v>
      </c>
      <c r="D3" s="38" t="s">
        <v>777</v>
      </c>
    </row>
    <row r="4" spans="1:13">
      <c r="A4" t="s">
        <v>778</v>
      </c>
      <c r="B4" s="39" t="s">
        <v>779</v>
      </c>
    </row>
    <row r="5" spans="1:13">
      <c r="A5" t="s">
        <v>780</v>
      </c>
      <c r="B5" s="39" t="s">
        <v>781</v>
      </c>
    </row>
    <row r="6" spans="1:13">
      <c r="A6" t="s">
        <v>782</v>
      </c>
      <c r="B6" s="39" t="s">
        <v>783</v>
      </c>
      <c r="F6"/>
      <c r="G6"/>
      <c r="H6"/>
      <c r="I6"/>
      <c r="J6"/>
      <c r="K6"/>
      <c r="L6"/>
      <c r="M6"/>
    </row>
    <row r="7" spans="1:13">
      <c r="F7"/>
      <c r="G7"/>
      <c r="H7"/>
      <c r="I7"/>
      <c r="J7"/>
      <c r="K7"/>
      <c r="L7"/>
      <c r="M7"/>
    </row>
    <row r="8" spans="1:13">
      <c r="F8"/>
      <c r="G8"/>
      <c r="H8"/>
      <c r="I8"/>
      <c r="J8"/>
      <c r="K8"/>
      <c r="L8"/>
      <c r="M8"/>
    </row>
    <row r="9" spans="1:13">
      <c r="B9" s="38" t="s">
        <v>784</v>
      </c>
      <c r="I9"/>
      <c r="J9"/>
      <c r="K9"/>
      <c r="L9"/>
      <c r="M9"/>
    </row>
    <row r="10" spans="1:13">
      <c r="A10" t="s">
        <v>785</v>
      </c>
      <c r="B10" t="s">
        <v>786</v>
      </c>
      <c r="C10" t="s">
        <v>787</v>
      </c>
      <c r="D10" t="s">
        <v>788</v>
      </c>
      <c r="E10" t="s">
        <v>129</v>
      </c>
      <c r="F10" t="s">
        <v>134</v>
      </c>
      <c r="G10" t="s">
        <v>789</v>
      </c>
      <c r="H10"/>
      <c r="I10"/>
      <c r="J10"/>
      <c r="K10"/>
      <c r="L10"/>
      <c r="M10"/>
    </row>
    <row r="11" spans="1:13">
      <c r="A11" t="s">
        <v>784</v>
      </c>
      <c r="B11">
        <v>1062</v>
      </c>
      <c r="C11">
        <v>2065</v>
      </c>
      <c r="D11">
        <v>1770</v>
      </c>
      <c r="E11">
        <v>17700</v>
      </c>
      <c r="F11"/>
      <c r="G11"/>
      <c r="H11"/>
      <c r="I11"/>
      <c r="J11"/>
      <c r="K11"/>
      <c r="L11"/>
      <c r="M11"/>
    </row>
    <row r="12" spans="1:13">
      <c r="A12" t="s">
        <v>790</v>
      </c>
      <c r="B12">
        <f>12800/0.8/800</f>
        <v>20</v>
      </c>
      <c r="C12">
        <f>8100/0.6/1350</f>
        <v>10</v>
      </c>
      <c r="D12">
        <f>14400/1200</f>
        <v>12</v>
      </c>
      <c r="E12">
        <v>1</v>
      </c>
      <c r="F12">
        <f>8640/0.9/1200</f>
        <v>8</v>
      </c>
      <c r="G12">
        <f>9000/0.6/150</f>
        <v>100</v>
      </c>
      <c r="H12"/>
      <c r="I12"/>
      <c r="J12"/>
      <c r="K12"/>
      <c r="L12"/>
      <c r="M12"/>
    </row>
    <row r="13" spans="1:13">
      <c r="A13" t="s">
        <v>791</v>
      </c>
      <c r="B13">
        <f t="shared" ref="B13:E13" si="0">B11*B12</f>
        <v>21240</v>
      </c>
      <c r="C13">
        <f t="shared" si="0"/>
        <v>20650</v>
      </c>
      <c r="D13">
        <f t="shared" si="0"/>
        <v>21240</v>
      </c>
      <c r="E13">
        <f t="shared" si="0"/>
        <v>17700</v>
      </c>
      <c r="F13"/>
      <c r="G13"/>
      <c r="H13"/>
      <c r="I13"/>
      <c r="J13"/>
      <c r="K13"/>
      <c r="L13"/>
      <c r="M13"/>
    </row>
    <row r="14" spans="1:13">
      <c r="A14" t="s">
        <v>792</v>
      </c>
      <c r="B14">
        <f>B13*道具价值!$B$16</f>
        <v>21.24</v>
      </c>
      <c r="C14">
        <f>C13*道具价值!$B$16</f>
        <v>20.65</v>
      </c>
      <c r="D14">
        <f>D13*道具价值!$B$16</f>
        <v>21.24</v>
      </c>
      <c r="E14">
        <f>E13*道具价值!$B$16</f>
        <v>17.7</v>
      </c>
      <c r="F14">
        <f>F13*道具价值!$B$16</f>
        <v>0</v>
      </c>
      <c r="G14">
        <f>G13*道具价值!$B$16</f>
        <v>0</v>
      </c>
      <c r="H14"/>
      <c r="I14"/>
      <c r="J14"/>
      <c r="K14"/>
      <c r="L14"/>
      <c r="M14"/>
    </row>
    <row r="15" spans="1:13">
      <c r="C15" s="38" t="s">
        <v>125</v>
      </c>
      <c r="F15"/>
      <c r="G15"/>
      <c r="H15"/>
      <c r="I15"/>
      <c r="J15"/>
      <c r="K15"/>
      <c r="L15"/>
      <c r="M15"/>
    </row>
    <row r="16" spans="1:13">
      <c r="B16" s="38" t="s">
        <v>273</v>
      </c>
      <c r="C16" s="38">
        <f>120/200*30</f>
        <v>18</v>
      </c>
      <c r="F16"/>
      <c r="G16"/>
      <c r="H16"/>
      <c r="I16"/>
      <c r="J16"/>
      <c r="K16"/>
      <c r="L16"/>
      <c r="M16"/>
    </row>
    <row r="17" spans="1:13">
      <c r="B17" s="38" t="s">
        <v>603</v>
      </c>
      <c r="C17" s="38">
        <f>150/10</f>
        <v>15</v>
      </c>
      <c r="F17"/>
      <c r="G17"/>
      <c r="H17"/>
      <c r="I17"/>
      <c r="J17"/>
      <c r="K17"/>
      <c r="L17"/>
      <c r="M17"/>
    </row>
    <row r="18" spans="1:13">
      <c r="B18" s="38" t="s">
        <v>793</v>
      </c>
      <c r="C18" s="38">
        <v>40</v>
      </c>
      <c r="F18"/>
      <c r="G18"/>
      <c r="H18"/>
      <c r="I18"/>
      <c r="J18"/>
      <c r="K18"/>
      <c r="L18"/>
      <c r="M18"/>
    </row>
    <row r="19" spans="1:13">
      <c r="F19"/>
      <c r="G19"/>
      <c r="H19"/>
      <c r="I19"/>
      <c r="J19"/>
      <c r="K19"/>
      <c r="L19"/>
      <c r="M19"/>
    </row>
    <row r="20" spans="1:13">
      <c r="B20" t="s">
        <v>794</v>
      </c>
      <c r="C20" s="39" t="s">
        <v>795</v>
      </c>
      <c r="F20"/>
      <c r="G20"/>
      <c r="H20"/>
      <c r="I20"/>
      <c r="J20"/>
      <c r="K20"/>
      <c r="L20"/>
      <c r="M20"/>
    </row>
    <row r="21" spans="1:13">
      <c r="F21"/>
      <c r="G21"/>
      <c r="H21"/>
      <c r="I21"/>
      <c r="J21"/>
      <c r="K21"/>
      <c r="L21"/>
      <c r="M21"/>
    </row>
    <row r="22" spans="1:13">
      <c r="A22" s="40" t="s">
        <v>160</v>
      </c>
      <c r="B22" s="41" t="s">
        <v>796</v>
      </c>
      <c r="F22"/>
      <c r="G22"/>
      <c r="H22"/>
      <c r="I22"/>
      <c r="J22"/>
      <c r="K22"/>
      <c r="L22"/>
      <c r="M22"/>
    </row>
    <row r="23" spans="1:13">
      <c r="A23" s="40" t="s">
        <v>797</v>
      </c>
      <c r="B23" s="41" t="s">
        <v>798</v>
      </c>
      <c r="F23"/>
      <c r="G23"/>
      <c r="H23"/>
      <c r="I23"/>
      <c r="J23"/>
      <c r="K23"/>
      <c r="L23"/>
      <c r="M23"/>
    </row>
    <row r="24" spans="1:13">
      <c r="A24" s="40" t="s">
        <v>799</v>
      </c>
      <c r="B24" s="41" t="s">
        <v>800</v>
      </c>
      <c r="F24"/>
      <c r="G24"/>
      <c r="H24"/>
      <c r="I24"/>
      <c r="J24"/>
      <c r="K24"/>
      <c r="L24"/>
      <c r="M24"/>
    </row>
    <row r="25" spans="1:13">
      <c r="A25" s="40" t="s">
        <v>801</v>
      </c>
      <c r="B25" s="41">
        <v>5</v>
      </c>
      <c r="F25"/>
      <c r="G25"/>
      <c r="H25"/>
      <c r="I25"/>
      <c r="J25"/>
      <c r="K25"/>
      <c r="L25"/>
      <c r="M25"/>
    </row>
    <row r="26" spans="1:13">
      <c r="A26" s="40" t="s">
        <v>802</v>
      </c>
      <c r="B26" s="41">
        <v>5</v>
      </c>
      <c r="F26"/>
      <c r="G26"/>
      <c r="H26"/>
      <c r="I26"/>
      <c r="J26"/>
      <c r="K26"/>
      <c r="L26"/>
      <c r="M26"/>
    </row>
    <row r="27" spans="1:13">
      <c r="A27" s="40" t="s">
        <v>803</v>
      </c>
      <c r="B27" s="41">
        <v>7</v>
      </c>
      <c r="F27"/>
      <c r="G27"/>
      <c r="H27"/>
      <c r="I27"/>
      <c r="J27"/>
      <c r="K27"/>
      <c r="L27"/>
      <c r="M27"/>
    </row>
    <row r="28" spans="1:13">
      <c r="A28" s="40" t="s">
        <v>804</v>
      </c>
      <c r="B28" s="41">
        <v>7</v>
      </c>
      <c r="F28"/>
      <c r="G28"/>
      <c r="H28"/>
      <c r="I28"/>
      <c r="J28"/>
      <c r="K28"/>
      <c r="L28"/>
      <c r="M28"/>
    </row>
    <row r="29" spans="1:13">
      <c r="F29"/>
      <c r="G29"/>
      <c r="H29"/>
      <c r="I29"/>
      <c r="J29"/>
      <c r="K29"/>
      <c r="L29"/>
      <c r="M29"/>
    </row>
    <row r="30" spans="1:13">
      <c r="A30" s="40" t="s">
        <v>1</v>
      </c>
      <c r="B30" s="41" t="s">
        <v>805</v>
      </c>
      <c r="F30"/>
      <c r="G30"/>
      <c r="H30"/>
      <c r="I30"/>
      <c r="J30"/>
      <c r="K30"/>
      <c r="L30"/>
      <c r="M30"/>
    </row>
    <row r="31" spans="1:13">
      <c r="A31" s="40" t="s">
        <v>806</v>
      </c>
      <c r="B31" s="41" t="s">
        <v>807</v>
      </c>
      <c r="F31"/>
      <c r="G31"/>
      <c r="H31"/>
      <c r="I31"/>
      <c r="J31"/>
      <c r="K31"/>
      <c r="L31"/>
      <c r="M31"/>
    </row>
    <row r="32" spans="1:13">
      <c r="A32" s="40" t="s">
        <v>808</v>
      </c>
      <c r="B32" s="41" t="s">
        <v>809</v>
      </c>
      <c r="F32"/>
      <c r="G32"/>
      <c r="H32"/>
      <c r="I32"/>
      <c r="J32"/>
      <c r="K32"/>
      <c r="L32"/>
      <c r="M32"/>
    </row>
    <row r="33" spans="1:13">
      <c r="A33" s="40" t="s">
        <v>810</v>
      </c>
      <c r="B33" s="41" t="s">
        <v>811</v>
      </c>
      <c r="F33"/>
      <c r="G33"/>
      <c r="H33"/>
      <c r="I33"/>
      <c r="J33"/>
      <c r="K33"/>
      <c r="L33"/>
      <c r="M33"/>
    </row>
    <row r="34" spans="1:13">
      <c r="A34" s="40" t="s">
        <v>812</v>
      </c>
      <c r="B34" s="42" t="s">
        <v>813</v>
      </c>
      <c r="F34"/>
      <c r="G34"/>
      <c r="H34"/>
      <c r="I34"/>
      <c r="J34"/>
      <c r="K34"/>
      <c r="L34"/>
      <c r="M34"/>
    </row>
    <row r="35" spans="1:13">
      <c r="A35" s="40" t="s">
        <v>814</v>
      </c>
      <c r="B35" s="41">
        <v>8</v>
      </c>
      <c r="F35"/>
      <c r="G35"/>
      <c r="H35"/>
      <c r="I35"/>
      <c r="J35"/>
      <c r="K35"/>
      <c r="L35"/>
      <c r="M35"/>
    </row>
    <row r="36" spans="1:13">
      <c r="A36" s="40" t="s">
        <v>815</v>
      </c>
      <c r="B36" s="41">
        <v>9</v>
      </c>
    </row>
    <row r="37" spans="1:13">
      <c r="A37" s="40" t="s">
        <v>816</v>
      </c>
      <c r="B37" s="41">
        <v>9</v>
      </c>
    </row>
    <row r="39" spans="1:13">
      <c r="A39" s="40" t="s">
        <v>2</v>
      </c>
      <c r="B39" s="41" t="s">
        <v>817</v>
      </c>
      <c r="C39" s="41" t="s">
        <v>818</v>
      </c>
      <c r="D39" s="41" t="s">
        <v>819</v>
      </c>
      <c r="E39" s="41" t="s">
        <v>820</v>
      </c>
      <c r="F39" s="41" t="s">
        <v>821</v>
      </c>
    </row>
    <row r="40" spans="1:13">
      <c r="A40" s="40" t="s">
        <v>822</v>
      </c>
      <c r="B40" s="41" t="s">
        <v>823</v>
      </c>
      <c r="C40" s="41"/>
      <c r="D40" s="41"/>
      <c r="E40" s="41"/>
      <c r="F40" s="41"/>
    </row>
    <row r="41" spans="1:13">
      <c r="A41" s="40" t="s">
        <v>824</v>
      </c>
      <c r="B41" s="41" t="s">
        <v>825</v>
      </c>
      <c r="C41" s="41">
        <v>1</v>
      </c>
      <c r="D41" s="41"/>
      <c r="E41" s="41"/>
      <c r="F41" s="41"/>
    </row>
    <row r="42" spans="1:13">
      <c r="A42" s="40" t="s">
        <v>826</v>
      </c>
      <c r="B42" s="41" t="s">
        <v>827</v>
      </c>
      <c r="C42" s="41">
        <v>10</v>
      </c>
      <c r="D42" s="41">
        <v>1</v>
      </c>
      <c r="E42" s="41">
        <v>1</v>
      </c>
      <c r="F42" s="41">
        <v>1</v>
      </c>
    </row>
    <row r="43" spans="1:13">
      <c r="A43" s="40" t="s">
        <v>828</v>
      </c>
      <c r="B43" s="41" t="s">
        <v>829</v>
      </c>
      <c r="C43" s="41"/>
      <c r="D43" s="41"/>
      <c r="E43" s="41"/>
      <c r="F43" s="41"/>
    </row>
    <row r="44" spans="1:13">
      <c r="A44" s="40" t="s">
        <v>830</v>
      </c>
      <c r="B44" s="41">
        <v>3</v>
      </c>
      <c r="C44" s="41">
        <v>6</v>
      </c>
      <c r="D44" s="41" t="s">
        <v>831</v>
      </c>
      <c r="E44" s="41" t="s">
        <v>832</v>
      </c>
      <c r="F44" s="41" t="s">
        <v>832</v>
      </c>
    </row>
    <row r="45" spans="1:13">
      <c r="A45" s="40" t="s">
        <v>833</v>
      </c>
      <c r="B45" s="41" t="s">
        <v>834</v>
      </c>
      <c r="C45" s="41">
        <v>8</v>
      </c>
      <c r="D45" s="41"/>
      <c r="E45" s="41"/>
      <c r="F45" s="41"/>
    </row>
    <row r="46" spans="1:13">
      <c r="A46" s="40" t="s">
        <v>835</v>
      </c>
      <c r="B46" s="41">
        <v>8</v>
      </c>
      <c r="C46" s="41">
        <v>11</v>
      </c>
      <c r="D46" s="41">
        <v>2</v>
      </c>
      <c r="E46" s="41">
        <v>2</v>
      </c>
      <c r="F46" s="41">
        <v>2</v>
      </c>
    </row>
    <row r="47" spans="1:13">
      <c r="A47" s="40" t="s">
        <v>836</v>
      </c>
      <c r="B47" s="41">
        <v>9</v>
      </c>
      <c r="C47" s="41"/>
      <c r="D47" s="41" t="s">
        <v>837</v>
      </c>
      <c r="E47" s="41" t="s">
        <v>837</v>
      </c>
      <c r="F47" s="41" t="s">
        <v>838</v>
      </c>
    </row>
    <row r="48" spans="1:13">
      <c r="A48" s="40" t="s">
        <v>839</v>
      </c>
      <c r="B48" s="41">
        <v>11</v>
      </c>
      <c r="C48" s="41">
        <v>7</v>
      </c>
      <c r="D48" s="41"/>
      <c r="E48" s="41"/>
      <c r="F48" s="41"/>
    </row>
    <row r="49" spans="1:11">
      <c r="A49" s="40" t="s">
        <v>840</v>
      </c>
      <c r="B49" s="41"/>
      <c r="C49" s="41">
        <v>2</v>
      </c>
      <c r="D49" s="41"/>
      <c r="E49" s="41"/>
      <c r="F49" s="41"/>
    </row>
    <row r="50" spans="1:11">
      <c r="A50" s="40" t="s">
        <v>841</v>
      </c>
      <c r="B50" s="41"/>
      <c r="C50" s="41" t="s">
        <v>842</v>
      </c>
      <c r="D50" s="41">
        <v>3</v>
      </c>
      <c r="E50" s="41">
        <v>3</v>
      </c>
      <c r="F50" s="41">
        <v>3</v>
      </c>
    </row>
    <row r="51" spans="1:11">
      <c r="A51" s="40" t="s">
        <v>843</v>
      </c>
      <c r="B51" s="41"/>
      <c r="C51" s="41" t="s">
        <v>834</v>
      </c>
      <c r="D51" s="41">
        <v>1</v>
      </c>
      <c r="E51" s="41">
        <v>1</v>
      </c>
      <c r="F51" s="41">
        <v>1</v>
      </c>
    </row>
    <row r="52" spans="1:11">
      <c r="A52" s="40" t="s">
        <v>844</v>
      </c>
      <c r="B52" s="41"/>
      <c r="C52" s="41">
        <v>7</v>
      </c>
      <c r="D52" s="41"/>
      <c r="E52" s="41"/>
      <c r="F52" s="41"/>
    </row>
    <row r="53" spans="1:11">
      <c r="A53" s="40" t="s">
        <v>845</v>
      </c>
      <c r="B53" s="41"/>
      <c r="C53" s="41"/>
      <c r="D53" s="41">
        <v>6</v>
      </c>
      <c r="E53" s="41"/>
      <c r="F53" s="41"/>
    </row>
    <row r="54" spans="1:11">
      <c r="A54" s="40" t="s">
        <v>846</v>
      </c>
      <c r="B54" s="41"/>
      <c r="C54" s="41"/>
      <c r="D54" s="41">
        <v>6</v>
      </c>
      <c r="E54" s="41"/>
      <c r="F54" s="41"/>
    </row>
    <row r="56" spans="1:11">
      <c r="A56" s="40" t="s">
        <v>3</v>
      </c>
      <c r="B56" s="41" t="s">
        <v>847</v>
      </c>
      <c r="C56" s="41" t="s">
        <v>848</v>
      </c>
      <c r="D56" s="41" t="s">
        <v>849</v>
      </c>
      <c r="E56" s="41" t="s">
        <v>850</v>
      </c>
      <c r="F56" s="41" t="s">
        <v>851</v>
      </c>
      <c r="G56" s="41" t="s">
        <v>852</v>
      </c>
      <c r="H56" s="41" t="s">
        <v>853</v>
      </c>
      <c r="I56" s="41" t="s">
        <v>854</v>
      </c>
      <c r="J56" s="41" t="s">
        <v>855</v>
      </c>
      <c r="K56" s="41" t="s">
        <v>856</v>
      </c>
    </row>
    <row r="57" spans="1:11">
      <c r="A57" s="40" t="s">
        <v>857</v>
      </c>
      <c r="B57" s="41" t="s">
        <v>858</v>
      </c>
      <c r="C57" s="41"/>
      <c r="D57" s="41"/>
      <c r="E57" s="41"/>
      <c r="F57" s="41"/>
      <c r="G57" s="41"/>
      <c r="H57" s="41"/>
      <c r="I57" s="41"/>
      <c r="J57" s="41"/>
      <c r="K57" s="41"/>
    </row>
    <row r="58" spans="1:11">
      <c r="A58" s="40" t="s">
        <v>859</v>
      </c>
      <c r="B58" s="41" t="s">
        <v>860</v>
      </c>
      <c r="C58" s="41"/>
      <c r="D58" s="41"/>
      <c r="E58" s="41"/>
      <c r="F58" s="41"/>
      <c r="G58" s="41"/>
      <c r="H58" s="41"/>
      <c r="I58" s="41"/>
      <c r="J58" s="41"/>
      <c r="K58" s="41"/>
    </row>
    <row r="59" spans="1:11">
      <c r="A59" s="40" t="s">
        <v>861</v>
      </c>
      <c r="B59" s="41" t="s">
        <v>862</v>
      </c>
      <c r="C59" s="41"/>
      <c r="D59" s="41"/>
      <c r="E59" s="41"/>
      <c r="F59" s="41"/>
      <c r="G59" s="41"/>
      <c r="H59" s="41"/>
      <c r="I59" s="41"/>
      <c r="J59" s="41"/>
      <c r="K59" s="41"/>
    </row>
    <row r="60" spans="1:11">
      <c r="A60" s="40" t="s">
        <v>863</v>
      </c>
      <c r="B60" s="41" t="s">
        <v>862</v>
      </c>
      <c r="C60" s="41"/>
      <c r="D60" s="41"/>
      <c r="E60" s="41"/>
      <c r="F60" s="41"/>
      <c r="G60" s="41"/>
      <c r="H60" s="41"/>
      <c r="I60" s="41"/>
      <c r="J60" s="41"/>
      <c r="K60" s="41"/>
    </row>
    <row r="61" spans="1:11">
      <c r="A61" s="40" t="s">
        <v>864</v>
      </c>
      <c r="B61" s="41">
        <v>4</v>
      </c>
      <c r="C61" s="41"/>
      <c r="D61" s="41"/>
      <c r="E61" s="41"/>
      <c r="F61" s="41"/>
      <c r="G61" s="41"/>
      <c r="H61" s="41"/>
      <c r="I61" s="41"/>
      <c r="J61" s="41"/>
      <c r="K61" s="41"/>
    </row>
    <row r="62" spans="1:11">
      <c r="A62" s="40" t="s">
        <v>865</v>
      </c>
      <c r="B62" s="41">
        <v>4</v>
      </c>
      <c r="C62" s="41"/>
      <c r="D62" s="41"/>
      <c r="E62" s="41"/>
      <c r="F62" s="41"/>
      <c r="G62" s="41"/>
      <c r="H62" s="41"/>
      <c r="I62" s="41"/>
      <c r="J62" s="41"/>
      <c r="K62" s="41"/>
    </row>
    <row r="63" spans="1:11">
      <c r="A63" s="40" t="s">
        <v>866</v>
      </c>
      <c r="B63" s="41"/>
      <c r="C63" s="41">
        <v>1</v>
      </c>
      <c r="D63" s="41">
        <v>1</v>
      </c>
      <c r="E63" s="41"/>
      <c r="F63" s="41"/>
      <c r="G63" s="41" t="s">
        <v>867</v>
      </c>
      <c r="H63" s="41" t="s">
        <v>867</v>
      </c>
      <c r="I63" s="41"/>
      <c r="J63" s="41"/>
      <c r="K63" s="41"/>
    </row>
    <row r="64" spans="1:11">
      <c r="A64" s="40" t="s">
        <v>868</v>
      </c>
      <c r="B64" s="41"/>
      <c r="C64" s="41" t="s">
        <v>869</v>
      </c>
      <c r="D64" s="41" t="s">
        <v>869</v>
      </c>
      <c r="E64" s="41"/>
      <c r="F64" s="41"/>
      <c r="G64" s="41">
        <v>1</v>
      </c>
      <c r="H64" s="41" t="s">
        <v>800</v>
      </c>
      <c r="I64" s="41"/>
      <c r="J64" s="41"/>
      <c r="K64" s="41"/>
    </row>
    <row r="65" spans="1:11">
      <c r="A65" s="40" t="s">
        <v>870</v>
      </c>
      <c r="B65" s="41"/>
      <c r="C65" s="41" t="s">
        <v>871</v>
      </c>
      <c r="D65" s="41" t="s">
        <v>871</v>
      </c>
      <c r="E65" s="41" t="s">
        <v>872</v>
      </c>
      <c r="F65" s="41">
        <v>2</v>
      </c>
      <c r="G65" s="41"/>
      <c r="H65" s="41"/>
      <c r="I65" s="41"/>
      <c r="J65" s="41"/>
      <c r="K65" s="41"/>
    </row>
    <row r="66" spans="1:11">
      <c r="A66" s="40" t="s">
        <v>873</v>
      </c>
      <c r="B66" s="41"/>
      <c r="C66" s="41" t="s">
        <v>874</v>
      </c>
      <c r="D66" s="41" t="s">
        <v>874</v>
      </c>
      <c r="E66" s="41" t="s">
        <v>872</v>
      </c>
      <c r="F66" s="41">
        <v>2</v>
      </c>
      <c r="G66" s="41"/>
      <c r="H66" s="41"/>
      <c r="I66" s="41"/>
      <c r="J66" s="41"/>
      <c r="K66" s="41"/>
    </row>
    <row r="67" spans="1:11">
      <c r="A67" s="40" t="s">
        <v>875</v>
      </c>
      <c r="B67" s="41"/>
      <c r="C67" s="41" t="s">
        <v>831</v>
      </c>
      <c r="D67" s="41" t="s">
        <v>831</v>
      </c>
      <c r="E67" s="41"/>
      <c r="F67" s="41"/>
      <c r="G67" s="41" t="s">
        <v>876</v>
      </c>
      <c r="H67" s="41" t="s">
        <v>876</v>
      </c>
      <c r="I67" s="41"/>
      <c r="J67" s="41"/>
      <c r="K67" s="41"/>
    </row>
    <row r="68" spans="1:11">
      <c r="A68" s="40" t="s">
        <v>877</v>
      </c>
      <c r="B68" s="41"/>
      <c r="C68" s="41" t="s">
        <v>831</v>
      </c>
      <c r="D68" s="41" t="s">
        <v>831</v>
      </c>
      <c r="E68" s="41"/>
      <c r="F68" s="41"/>
      <c r="G68" s="41" t="s">
        <v>878</v>
      </c>
      <c r="H68" s="41" t="s">
        <v>879</v>
      </c>
      <c r="I68" s="41"/>
      <c r="J68" s="41"/>
      <c r="K68" s="41"/>
    </row>
    <row r="69" spans="1:11">
      <c r="A69" s="40" t="s">
        <v>880</v>
      </c>
      <c r="B69" s="41"/>
      <c r="C69" s="41"/>
      <c r="D69" s="41"/>
      <c r="E69" s="41" t="s">
        <v>879</v>
      </c>
      <c r="F69" s="41" t="s">
        <v>881</v>
      </c>
      <c r="G69" s="41"/>
      <c r="H69" s="41"/>
      <c r="I69" s="41"/>
      <c r="J69" s="41"/>
      <c r="K69" s="41"/>
    </row>
    <row r="70" spans="1:11">
      <c r="A70" s="40" t="s">
        <v>882</v>
      </c>
      <c r="B70" s="41"/>
      <c r="C70" s="41"/>
      <c r="D70" s="41"/>
      <c r="E70" s="41" t="s">
        <v>879</v>
      </c>
      <c r="F70" s="41" t="s">
        <v>881</v>
      </c>
      <c r="G70" s="41"/>
      <c r="H70" s="41"/>
      <c r="I70" s="41"/>
      <c r="J70" s="41"/>
      <c r="K70" s="41"/>
    </row>
    <row r="71" spans="1:11">
      <c r="A71" s="40" t="s">
        <v>883</v>
      </c>
      <c r="B71" s="41"/>
      <c r="C71" s="41"/>
      <c r="D71" s="41"/>
      <c r="E71" s="41"/>
      <c r="F71" s="41"/>
      <c r="G71" s="41"/>
      <c r="H71" s="41"/>
      <c r="I71" s="41" t="s">
        <v>884</v>
      </c>
      <c r="J71" s="41" t="s">
        <v>885</v>
      </c>
      <c r="K71" s="41" t="s">
        <v>886</v>
      </c>
    </row>
    <row r="72" spans="1:11">
      <c r="A72" s="40" t="s">
        <v>887</v>
      </c>
      <c r="B72" s="41"/>
      <c r="C72" s="41"/>
      <c r="D72" s="41"/>
      <c r="E72" s="41"/>
      <c r="F72" s="41"/>
      <c r="G72" s="41"/>
      <c r="H72" s="41"/>
      <c r="I72" s="41" t="s">
        <v>888</v>
      </c>
      <c r="J72" s="41" t="s">
        <v>888</v>
      </c>
      <c r="K72" s="41" t="s">
        <v>889</v>
      </c>
    </row>
    <row r="73" spans="1:11">
      <c r="A73" s="40" t="s">
        <v>890</v>
      </c>
      <c r="B73" s="41"/>
      <c r="C73" s="41"/>
      <c r="D73" s="41"/>
      <c r="E73" s="41"/>
      <c r="F73" s="41"/>
      <c r="G73" s="41"/>
      <c r="H73" s="41"/>
      <c r="I73" s="41">
        <v>2</v>
      </c>
      <c r="J73" s="41" t="s">
        <v>891</v>
      </c>
      <c r="K73" s="41" t="s">
        <v>892</v>
      </c>
    </row>
    <row r="74" spans="1:11">
      <c r="A74" s="40" t="s">
        <v>893</v>
      </c>
      <c r="B74" s="41"/>
      <c r="C74" s="41"/>
      <c r="D74" s="41"/>
      <c r="E74" s="41"/>
      <c r="F74" s="41"/>
      <c r="G74" s="41"/>
      <c r="H74" s="41"/>
      <c r="I74" s="41" t="s">
        <v>813</v>
      </c>
      <c r="J74" s="41">
        <v>2</v>
      </c>
      <c r="K74" s="41" t="s">
        <v>894</v>
      </c>
    </row>
    <row r="75" spans="1:11">
      <c r="A75" s="40" t="s">
        <v>895</v>
      </c>
      <c r="B75" s="41"/>
      <c r="C75" s="41"/>
      <c r="D75" s="41"/>
      <c r="E75" s="41"/>
      <c r="F75" s="41"/>
      <c r="G75" s="41"/>
      <c r="H75" s="41"/>
      <c r="I75" s="41" t="s">
        <v>813</v>
      </c>
      <c r="J75" s="41">
        <v>5</v>
      </c>
      <c r="K75" s="41" t="s">
        <v>896</v>
      </c>
    </row>
  </sheetData>
  <mergeCells count="1">
    <mergeCell ref="B9:G9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D27"/>
  <sheetViews>
    <sheetView zoomScale="130" zoomScaleNormal="130" workbookViewId="0">
      <selection activeCell="C23" sqref="C23"/>
    </sheetView>
  </sheetViews>
  <sheetFormatPr defaultColWidth="9" defaultRowHeight="13.5" outlineLevelCol="3"/>
  <cols>
    <col min="1" max="1" width="15.2166666666667" customWidth="1"/>
    <col min="2" max="2" width="15" customWidth="1"/>
    <col min="3" max="3" width="15.2166666666667" customWidth="1"/>
  </cols>
  <sheetData>
    <row r="1" spans="1:4">
      <c r="A1" t="s">
        <v>125</v>
      </c>
      <c r="C1" t="s">
        <v>125</v>
      </c>
    </row>
    <row r="2" spans="1:4">
      <c r="A2" t="s">
        <v>897</v>
      </c>
      <c r="B2" t="s">
        <v>898</v>
      </c>
      <c r="C2" t="s">
        <v>897</v>
      </c>
      <c r="D2" t="s">
        <v>899</v>
      </c>
    </row>
    <row r="3" spans="1:4">
      <c r="A3" t="s">
        <v>900</v>
      </c>
      <c r="B3" t="s">
        <v>898</v>
      </c>
      <c r="C3" t="s">
        <v>900</v>
      </c>
      <c r="D3" t="s">
        <v>898</v>
      </c>
    </row>
    <row r="4" spans="1:4">
      <c r="A4" t="s">
        <v>901</v>
      </c>
      <c r="B4" t="s">
        <v>902</v>
      </c>
      <c r="C4" t="s">
        <v>901</v>
      </c>
      <c r="D4" t="s">
        <v>898</v>
      </c>
    </row>
    <row r="5" spans="1:4">
      <c r="A5" t="s">
        <v>903</v>
      </c>
      <c r="B5" t="s">
        <v>902</v>
      </c>
      <c r="C5" t="s">
        <v>903</v>
      </c>
      <c r="D5" t="s">
        <v>899</v>
      </c>
    </row>
    <row r="6" spans="1:4">
      <c r="A6" t="s">
        <v>904</v>
      </c>
      <c r="B6" t="s">
        <v>905</v>
      </c>
      <c r="C6" t="s">
        <v>904</v>
      </c>
      <c r="D6" t="s">
        <v>899</v>
      </c>
    </row>
    <row r="8" spans="1:4">
      <c r="A8" t="s">
        <v>133</v>
      </c>
      <c r="C8" t="s">
        <v>133</v>
      </c>
    </row>
    <row r="9" spans="1:4">
      <c r="A9" t="s">
        <v>906</v>
      </c>
      <c r="B9" t="s">
        <v>899</v>
      </c>
      <c r="C9" t="s">
        <v>906</v>
      </c>
      <c r="D9" t="s">
        <v>907</v>
      </c>
    </row>
    <row r="10" spans="1:4">
      <c r="A10" t="s">
        <v>908</v>
      </c>
      <c r="B10" t="s">
        <v>899</v>
      </c>
      <c r="C10" t="s">
        <v>908</v>
      </c>
      <c r="D10" t="s">
        <v>899</v>
      </c>
    </row>
    <row r="11" spans="1:4">
      <c r="A11" t="s">
        <v>909</v>
      </c>
      <c r="B11" t="s">
        <v>899</v>
      </c>
      <c r="C11" t="s">
        <v>909</v>
      </c>
      <c r="D11" t="s">
        <v>899</v>
      </c>
    </row>
    <row r="12" spans="1:4">
      <c r="A12" t="s">
        <v>910</v>
      </c>
      <c r="B12" t="s">
        <v>899</v>
      </c>
      <c r="C12" t="s">
        <v>910</v>
      </c>
      <c r="D12" t="s">
        <v>899</v>
      </c>
    </row>
    <row r="13" spans="1:4">
      <c r="A13" t="s">
        <v>911</v>
      </c>
      <c r="B13" t="s">
        <v>899</v>
      </c>
      <c r="C13" t="s">
        <v>911</v>
      </c>
      <c r="D13" t="s">
        <v>899</v>
      </c>
    </row>
    <row r="15" spans="1:4">
      <c r="A15" t="s">
        <v>135</v>
      </c>
      <c r="C15" t="s">
        <v>135</v>
      </c>
    </row>
    <row r="16" spans="1:4">
      <c r="A16" t="s">
        <v>912</v>
      </c>
      <c r="B16" t="s">
        <v>899</v>
      </c>
      <c r="C16" t="s">
        <v>912</v>
      </c>
      <c r="D16" t="s">
        <v>905</v>
      </c>
    </row>
    <row r="17" spans="1:4">
      <c r="A17" t="s">
        <v>913</v>
      </c>
      <c r="B17" t="s">
        <v>899</v>
      </c>
      <c r="C17" t="s">
        <v>913</v>
      </c>
      <c r="D17" t="s">
        <v>905</v>
      </c>
    </row>
    <row r="18" spans="1:4">
      <c r="A18" t="s">
        <v>914</v>
      </c>
      <c r="B18" t="s">
        <v>899</v>
      </c>
      <c r="C18" t="s">
        <v>914</v>
      </c>
      <c r="D18" t="s">
        <v>898</v>
      </c>
    </row>
    <row r="19" spans="1:4">
      <c r="A19" t="s">
        <v>915</v>
      </c>
      <c r="B19" t="s">
        <v>899</v>
      </c>
      <c r="C19" t="s">
        <v>915</v>
      </c>
      <c r="D19" t="s">
        <v>899</v>
      </c>
    </row>
    <row r="20" spans="1:4">
      <c r="A20" t="s">
        <v>916</v>
      </c>
      <c r="B20" t="s">
        <v>899</v>
      </c>
      <c r="C20" t="s">
        <v>916</v>
      </c>
      <c r="D20" t="s">
        <v>899</v>
      </c>
    </row>
    <row r="22" spans="1:4">
      <c r="A22" t="s">
        <v>137</v>
      </c>
      <c r="C22" t="s">
        <v>137</v>
      </c>
    </row>
    <row r="23" spans="1:4">
      <c r="A23" t="s">
        <v>917</v>
      </c>
      <c r="C23" t="s">
        <v>917</v>
      </c>
    </row>
    <row r="24" spans="1:4">
      <c r="A24" t="s">
        <v>918</v>
      </c>
      <c r="C24" t="s">
        <v>918</v>
      </c>
    </row>
    <row r="25" spans="1:4">
      <c r="A25" t="s">
        <v>919</v>
      </c>
      <c r="C25" t="s">
        <v>919</v>
      </c>
    </row>
    <row r="26" spans="1:4">
      <c r="A26" t="s">
        <v>920</v>
      </c>
      <c r="C26" t="s">
        <v>920</v>
      </c>
    </row>
    <row r="27" spans="1:4">
      <c r="A27" t="s">
        <v>921</v>
      </c>
      <c r="C27" t="s">
        <v>921</v>
      </c>
    </row>
  </sheetData>
  <conditionalFormatting sqref="A1:D27">
    <cfRule type="expression" dxfId="7" priority="3">
      <formula>OR(INDEX($A:$D,ROW(A1),2*FLOOR((COLUMN(A1)+1)/2,1))="大奖抽到",INDEX($A:$D,ROW(A1),2*FLOOR((COLUMN(A1)+1)/2,1))="差1")</formula>
    </cfRule>
  </conditionalFormatting>
  <conditionalFormatting sqref="A$1:D$1048576">
    <cfRule type="expression" dxfId="8" priority="1">
      <formula>INDEX($A:$D,ROW(A1),2*FLOOR((COLUMN(A1)+1)/2,1))="√"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D7"/>
  <sheetViews>
    <sheetView workbookViewId="0">
      <selection activeCell="D34" sqref="D34"/>
    </sheetView>
  </sheetViews>
  <sheetFormatPr defaultColWidth="9" defaultRowHeight="13.5" outlineLevelRow="6" outlineLevelCol="3"/>
  <cols>
    <col min="1" max="4" width="30.6333333333333" customWidth="1"/>
  </cols>
  <sheetData>
    <row r="1" s="33" customFormat="1" ht="40" customHeight="1" spans="1:4">
      <c r="A1" s="34" t="s">
        <v>922</v>
      </c>
      <c r="B1" s="34" t="s">
        <v>923</v>
      </c>
      <c r="C1" s="34" t="s">
        <v>924</v>
      </c>
      <c r="D1" s="34" t="s">
        <v>925</v>
      </c>
    </row>
    <row r="2" s="33" customFormat="1" ht="40" customHeight="1" spans="1:4">
      <c r="A2" s="35">
        <v>2450</v>
      </c>
      <c r="B2" s="35">
        <v>4088</v>
      </c>
      <c r="C2" s="36">
        <v>0.462</v>
      </c>
      <c r="D2" s="35">
        <v>281</v>
      </c>
    </row>
    <row r="3" s="33" customFormat="1" ht="40" customHeight="1" spans="1:4">
      <c r="A3" s="34" t="s">
        <v>926</v>
      </c>
      <c r="B3" s="34"/>
      <c r="C3" s="37">
        <f>A2/(A2+B2)</f>
        <v>0.374732334047109</v>
      </c>
      <c r="D3" s="37"/>
    </row>
    <row r="4" s="33" customFormat="1" ht="40" customHeight="1" spans="1:4">
      <c r="A4" s="34" t="s">
        <v>927</v>
      </c>
      <c r="B4" s="34"/>
      <c r="C4" s="37">
        <f>A2/(A2+MAX(0,B2*(1-C2)-D2))</f>
        <v>0.560853266134718</v>
      </c>
      <c r="D4" s="37"/>
    </row>
    <row r="5" s="33" customFormat="1" ht="40" customHeight="1" spans="1:4">
      <c r="A5" s="34" t="s">
        <v>928</v>
      </c>
      <c r="B5" s="34"/>
      <c r="C5" s="37">
        <f>C4/C3-1</f>
        <v>0.496677001628077</v>
      </c>
      <c r="D5" s="37"/>
    </row>
    <row r="6" s="33" customFormat="1" ht="40" customHeight="1" spans="1:4">
      <c r="A6" s="34" t="s">
        <v>929</v>
      </c>
      <c r="B6" s="34"/>
      <c r="C6" s="37">
        <f>A2/(A2+MAX(0,B2*(1-C2*1.3)-D2*1.3))</f>
        <v>0.659054417773573</v>
      </c>
      <c r="D6" s="37"/>
    </row>
    <row r="7" s="33" customFormat="1" ht="40" customHeight="1" spans="1:4">
      <c r="A7" s="34" t="s">
        <v>928</v>
      </c>
      <c r="B7" s="34"/>
      <c r="C7" s="37">
        <f>C6/C3-1</f>
        <v>0.758733789144336</v>
      </c>
      <c r="D7" s="37"/>
    </row>
  </sheetData>
  <mergeCells count="10"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"/>
  <sheetViews>
    <sheetView workbookViewId="0">
      <selection activeCell="O58" sqref="O58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M123"/>
  <sheetViews>
    <sheetView zoomScale="115" zoomScaleNormal="115" topLeftCell="A3" workbookViewId="0">
      <selection activeCell="I16" sqref="I16:K16"/>
    </sheetView>
  </sheetViews>
  <sheetFormatPr defaultColWidth="10" defaultRowHeight="13.5"/>
  <cols>
    <col min="1" max="39" width="12.775" customWidth="1"/>
  </cols>
  <sheetData>
    <row r="1" ht="35.25" spans="1:39">
      <c r="A1" s="9" t="s">
        <v>930</v>
      </c>
      <c r="B1" s="9"/>
      <c r="E1" s="9" t="s">
        <v>931</v>
      </c>
      <c r="F1" s="9"/>
      <c r="G1" s="10"/>
      <c r="H1" s="9" t="s">
        <v>932</v>
      </c>
      <c r="I1" s="9"/>
      <c r="J1" s="11"/>
      <c r="K1" s="11"/>
      <c r="L1" s="11"/>
      <c r="M1" s="11"/>
      <c r="N1" s="11"/>
      <c r="P1" s="11"/>
      <c r="Q1" s="11"/>
      <c r="R1" s="12" t="s">
        <v>933</v>
      </c>
      <c r="S1" s="12"/>
      <c r="T1" s="12"/>
      <c r="U1" s="12"/>
      <c r="V1" s="12"/>
    </row>
    <row r="2" ht="35.25" spans="1:39">
      <c r="A2" s="1" t="s">
        <v>139</v>
      </c>
      <c r="B2" s="2">
        <v>720</v>
      </c>
      <c r="C2" s="10"/>
      <c r="D2" s="10"/>
      <c r="E2" s="13">
        <v>458</v>
      </c>
      <c r="F2" s="13"/>
      <c r="G2" s="10"/>
      <c r="H2" s="14" t="s">
        <v>143</v>
      </c>
      <c r="I2" s="15">
        <v>11.3</v>
      </c>
      <c r="J2" s="11"/>
      <c r="K2" s="11"/>
      <c r="L2" s="11"/>
      <c r="M2" s="11"/>
      <c r="N2" s="11"/>
      <c r="P2" s="11"/>
      <c r="Q2" s="11"/>
      <c r="R2" s="12"/>
      <c r="S2" s="12"/>
      <c r="T2" s="12"/>
      <c r="U2" s="12"/>
      <c r="V2" s="12"/>
    </row>
    <row r="3" ht="35.25" spans="1:39">
      <c r="A3" s="1" t="s">
        <v>934</v>
      </c>
      <c r="B3" s="2">
        <v>80</v>
      </c>
      <c r="G3" s="16"/>
      <c r="H3" s="14" t="s">
        <v>144</v>
      </c>
      <c r="I3" s="15">
        <v>11.3</v>
      </c>
      <c r="J3" s="11"/>
      <c r="K3" s="11"/>
      <c r="L3" s="11"/>
      <c r="M3" s="11"/>
      <c r="N3" s="11"/>
      <c r="P3" s="11"/>
      <c r="Q3" s="11"/>
      <c r="R3" s="12"/>
      <c r="S3" s="12"/>
      <c r="T3" s="12"/>
      <c r="U3" s="12"/>
      <c r="V3" s="12"/>
    </row>
    <row r="4" ht="35.25" spans="1:39">
      <c r="A4" s="1" t="s">
        <v>935</v>
      </c>
      <c r="B4" s="2">
        <v>15</v>
      </c>
      <c r="C4" s="17"/>
      <c r="D4" s="18"/>
      <c r="E4" s="19" t="s">
        <v>162</v>
      </c>
      <c r="F4" s="19"/>
      <c r="G4" s="20"/>
      <c r="H4" s="14" t="s">
        <v>145</v>
      </c>
      <c r="I4" s="15">
        <v>56.7</v>
      </c>
      <c r="J4" s="11"/>
      <c r="K4" s="11"/>
      <c r="L4" s="11"/>
      <c r="M4" s="11"/>
      <c r="N4" s="11"/>
      <c r="P4" s="11"/>
      <c r="Q4" s="11"/>
      <c r="R4" s="11"/>
    </row>
    <row r="5" ht="35.25" spans="1:39">
      <c r="A5" s="1" t="s">
        <v>936</v>
      </c>
      <c r="B5" s="2">
        <v>15</v>
      </c>
      <c r="C5" s="17"/>
      <c r="D5" s="17"/>
      <c r="E5" s="21" t="s">
        <v>937</v>
      </c>
      <c r="F5" s="21">
        <f>数据计算表!DL3</f>
        <v>84.2815002107038</v>
      </c>
      <c r="G5" s="20"/>
      <c r="H5" s="14" t="s">
        <v>91</v>
      </c>
      <c r="I5" s="15">
        <v>9.08</v>
      </c>
      <c r="J5" s="11"/>
      <c r="K5" s="11"/>
      <c r="L5" s="11"/>
      <c r="M5" s="11"/>
      <c r="N5" s="11"/>
      <c r="P5" s="11"/>
      <c r="Q5" s="22" t="s">
        <v>938</v>
      </c>
      <c r="R5" s="22"/>
    </row>
    <row r="6" ht="37.5" spans="1:39">
      <c r="A6" s="1" t="s">
        <v>939</v>
      </c>
      <c r="B6" s="2">
        <v>45</v>
      </c>
      <c r="C6" s="17"/>
      <c r="D6" s="17"/>
      <c r="E6" s="21" t="s">
        <v>940</v>
      </c>
      <c r="F6" s="21">
        <f>数据计算表!DL4</f>
        <v>168.563000421408</v>
      </c>
      <c r="G6" s="20"/>
      <c r="H6" s="9" t="s">
        <v>941</v>
      </c>
      <c r="I6" s="9"/>
      <c r="J6" s="11"/>
      <c r="K6" s="11"/>
      <c r="L6" s="11"/>
      <c r="M6" s="11"/>
      <c r="N6" s="11"/>
      <c r="P6" s="11"/>
      <c r="Q6" s="14" t="s">
        <v>149</v>
      </c>
      <c r="R6" s="15" t="s">
        <v>143</v>
      </c>
    </row>
    <row r="7" ht="37.5" spans="1:39">
      <c r="A7" s="1" t="s">
        <v>942</v>
      </c>
      <c r="B7" s="2">
        <v>40</v>
      </c>
      <c r="C7" s="17"/>
      <c r="D7" s="17"/>
      <c r="E7" s="21" t="s">
        <v>943</v>
      </c>
      <c r="F7" s="21">
        <f>数据计算表!DL5</f>
        <v>230.326295585413</v>
      </c>
      <c r="G7" s="20"/>
      <c r="H7" s="14" t="s">
        <v>143</v>
      </c>
      <c r="I7" s="23">
        <v>0.68</v>
      </c>
      <c r="J7" s="11"/>
      <c r="K7" s="11"/>
      <c r="L7" s="11"/>
      <c r="M7" s="11"/>
      <c r="N7" s="11"/>
      <c r="Q7" s="14" t="s">
        <v>175</v>
      </c>
      <c r="R7" s="15" t="s">
        <v>150</v>
      </c>
      <c r="X7" s="11"/>
    </row>
    <row r="8" ht="37.5" spans="1:39">
      <c r="A8" s="1" t="s">
        <v>944</v>
      </c>
      <c r="B8" s="2">
        <v>40</v>
      </c>
      <c r="E8" s="21" t="s">
        <v>945</v>
      </c>
      <c r="F8" s="21">
        <f>数据计算表!DL6</f>
        <v>289.680144840072</v>
      </c>
      <c r="H8" s="14" t="s">
        <v>144</v>
      </c>
      <c r="I8" s="23">
        <v>0.49</v>
      </c>
      <c r="J8" s="11"/>
      <c r="K8" s="11"/>
      <c r="L8" s="11"/>
      <c r="M8" s="11"/>
      <c r="N8" s="11"/>
      <c r="Q8" s="14" t="s">
        <v>211</v>
      </c>
      <c r="R8" s="15">
        <v>1.57</v>
      </c>
      <c r="X8" s="11"/>
    </row>
    <row r="9" ht="37.5" spans="1:39">
      <c r="A9" s="1" t="s">
        <v>946</v>
      </c>
      <c r="B9" s="2">
        <v>45</v>
      </c>
      <c r="E9" s="21" t="s">
        <v>947</v>
      </c>
      <c r="F9" s="21">
        <f>数据计算表!DL7</f>
        <v>394.780129400153</v>
      </c>
      <c r="H9" s="14" t="s">
        <v>145</v>
      </c>
      <c r="I9" s="23">
        <v>0.48</v>
      </c>
      <c r="J9" s="11"/>
      <c r="K9" s="11"/>
      <c r="L9" s="11"/>
      <c r="M9" s="11"/>
      <c r="N9" s="11"/>
      <c r="Q9" s="14" t="s">
        <v>948</v>
      </c>
      <c r="R9" s="24">
        <f>数据计算表!FN22</f>
        <v>379.71682352476</v>
      </c>
      <c r="X9" s="11"/>
    </row>
    <row r="10" ht="35.25" customHeight="1" spans="1:39">
      <c r="E10" s="21" t="s">
        <v>949</v>
      </c>
      <c r="F10" s="21">
        <f>数据计算表!DL8</f>
        <v>519.930675909879</v>
      </c>
      <c r="H10" s="14" t="s">
        <v>91</v>
      </c>
      <c r="I10" s="23">
        <v>0.52</v>
      </c>
    </row>
    <row r="11" ht="35.25" customHeight="1" spans="1:39">
      <c r="E11" s="21" t="s">
        <v>950</v>
      </c>
      <c r="F11" s="21">
        <f>数据计算表!DL9</f>
        <v>697.809653033534</v>
      </c>
      <c r="H11" s="25"/>
    </row>
    <row r="12" ht="35.25" customHeight="1" spans="1:39">
      <c r="E12" s="21" t="s">
        <v>951</v>
      </c>
      <c r="F12" s="21">
        <f>数据计算表!DL10</f>
        <v>953.516090584029</v>
      </c>
      <c r="H12" s="25"/>
    </row>
    <row r="13" ht="35.25" customHeight="1" spans="1:39">
      <c r="E13" s="21" t="s">
        <v>952</v>
      </c>
      <c r="F13" s="21">
        <f>数据计算表!DL11</f>
        <v>1199.20053297801</v>
      </c>
      <c r="H13" s="25"/>
    </row>
    <row r="14" ht="35.25" customHeight="1" spans="1:39">
      <c r="E14" s="21" t="s">
        <v>953</v>
      </c>
      <c r="F14" s="21">
        <f>数据计算表!DL12</f>
        <v>1634.50624290579</v>
      </c>
      <c r="H14" s="25"/>
    </row>
    <row r="16" s="8" customFormat="1" ht="35.25" spans="1:39">
      <c r="A16" s="26" t="s">
        <v>954</v>
      </c>
      <c r="B16" s="26"/>
      <c r="C16" s="26"/>
      <c r="E16" s="26" t="s">
        <v>955</v>
      </c>
      <c r="F16" s="26"/>
      <c r="G16" s="26"/>
      <c r="I16" s="26" t="s">
        <v>955</v>
      </c>
      <c r="J16" s="26"/>
      <c r="K16" s="26"/>
      <c r="M16" s="26" t="s">
        <v>955</v>
      </c>
      <c r="N16" s="26"/>
      <c r="O16" s="26"/>
      <c r="Q16" s="26" t="s">
        <v>956</v>
      </c>
      <c r="R16" s="26"/>
      <c r="S16" s="26"/>
      <c r="U16" s="26" t="s">
        <v>956</v>
      </c>
      <c r="V16" s="26"/>
      <c r="W16" s="26"/>
      <c r="Y16" s="26" t="s">
        <v>956</v>
      </c>
      <c r="Z16" s="26"/>
      <c r="AA16" s="26"/>
      <c r="AC16" s="26" t="s">
        <v>956</v>
      </c>
      <c r="AD16" s="26"/>
      <c r="AE16" s="26"/>
      <c r="AG16" s="26" t="s">
        <v>956</v>
      </c>
      <c r="AH16" s="26"/>
      <c r="AI16" s="26"/>
      <c r="AK16" s="26" t="s">
        <v>956</v>
      </c>
      <c r="AL16" s="26"/>
      <c r="AM16" s="26"/>
    </row>
    <row r="17" spans="1:39">
      <c r="A17" s="9" t="s">
        <v>81</v>
      </c>
      <c r="B17" s="9"/>
      <c r="C17" s="13" t="s">
        <v>82</v>
      </c>
      <c r="E17" s="9" t="s">
        <v>81</v>
      </c>
      <c r="F17" s="9"/>
      <c r="G17" s="13" t="s">
        <v>82</v>
      </c>
      <c r="I17" s="9" t="s">
        <v>81</v>
      </c>
      <c r="J17" s="9"/>
      <c r="K17" s="13" t="s">
        <v>82</v>
      </c>
      <c r="M17" s="9" t="s">
        <v>81</v>
      </c>
      <c r="N17" s="9"/>
      <c r="O17" s="13" t="s">
        <v>84</v>
      </c>
      <c r="Q17" s="9" t="s">
        <v>81</v>
      </c>
      <c r="R17" s="9"/>
      <c r="S17" s="13" t="s">
        <v>84</v>
      </c>
      <c r="U17" s="9" t="s">
        <v>81</v>
      </c>
      <c r="V17" s="9"/>
      <c r="W17" s="13" t="s">
        <v>84</v>
      </c>
      <c r="Y17" s="9" t="s">
        <v>81</v>
      </c>
      <c r="Z17" s="9"/>
      <c r="AA17" s="13" t="s">
        <v>957</v>
      </c>
      <c r="AC17" s="9" t="s">
        <v>81</v>
      </c>
      <c r="AD17" s="9"/>
      <c r="AE17" s="13" t="s">
        <v>82</v>
      </c>
      <c r="AG17" s="9" t="s">
        <v>81</v>
      </c>
      <c r="AH17" s="9"/>
      <c r="AI17" s="13" t="s">
        <v>84</v>
      </c>
      <c r="AK17" s="9" t="s">
        <v>81</v>
      </c>
      <c r="AL17" s="9"/>
      <c r="AM17" s="13" t="s">
        <v>84</v>
      </c>
    </row>
    <row r="18" spans="1:39">
      <c r="A18" s="9" t="s">
        <v>85</v>
      </c>
      <c r="B18" s="9"/>
      <c r="C18" s="27">
        <v>1.24</v>
      </c>
      <c r="E18" s="9" t="s">
        <v>85</v>
      </c>
      <c r="F18" s="9"/>
      <c r="G18" s="27">
        <v>0.62</v>
      </c>
      <c r="I18" s="9" t="s">
        <v>85</v>
      </c>
      <c r="J18" s="9"/>
      <c r="K18" s="27">
        <v>0.62</v>
      </c>
      <c r="M18" s="9" t="s">
        <v>85</v>
      </c>
      <c r="N18" s="9"/>
      <c r="O18" s="27">
        <v>0.92</v>
      </c>
      <c r="Q18" s="9" t="s">
        <v>85</v>
      </c>
      <c r="R18" s="9"/>
      <c r="S18" s="27">
        <v>0.69</v>
      </c>
      <c r="U18" s="9" t="s">
        <v>85</v>
      </c>
      <c r="V18" s="9"/>
      <c r="W18" s="27">
        <v>0.62</v>
      </c>
      <c r="Y18" s="9" t="s">
        <v>85</v>
      </c>
      <c r="Z18" s="9"/>
      <c r="AA18" s="27">
        <v>0.6</v>
      </c>
      <c r="AC18" s="9" t="s">
        <v>85</v>
      </c>
      <c r="AD18" s="9"/>
      <c r="AE18" s="27">
        <v>0.2</v>
      </c>
      <c r="AG18" s="9" t="s">
        <v>85</v>
      </c>
      <c r="AH18" s="9"/>
      <c r="AI18" s="27">
        <v>0.69</v>
      </c>
      <c r="AK18" s="9" t="s">
        <v>85</v>
      </c>
      <c r="AL18" s="9"/>
      <c r="AM18" s="27">
        <v>0.69</v>
      </c>
    </row>
    <row r="19" spans="1:39">
      <c r="A19" s="28" t="s">
        <v>87</v>
      </c>
      <c r="B19" s="9" t="s">
        <v>88</v>
      </c>
      <c r="C19" s="13">
        <v>15</v>
      </c>
      <c r="E19" s="28" t="s">
        <v>87</v>
      </c>
      <c r="F19" s="9" t="s">
        <v>88</v>
      </c>
      <c r="G19" s="13">
        <v>7.22</v>
      </c>
      <c r="I19" s="28" t="s">
        <v>87</v>
      </c>
      <c r="J19" s="9" t="s">
        <v>88</v>
      </c>
      <c r="K19" s="13">
        <v>7.22</v>
      </c>
      <c r="M19" s="28" t="s">
        <v>87</v>
      </c>
      <c r="N19" s="9" t="s">
        <v>88</v>
      </c>
      <c r="O19" s="13">
        <v>7.87</v>
      </c>
      <c r="Q19" s="28" t="s">
        <v>87</v>
      </c>
      <c r="R19" s="9" t="s">
        <v>88</v>
      </c>
      <c r="S19" s="13">
        <v>5.9</v>
      </c>
      <c r="U19" s="28" t="s">
        <v>87</v>
      </c>
      <c r="V19" s="9" t="s">
        <v>88</v>
      </c>
      <c r="W19" s="13">
        <v>5.3</v>
      </c>
      <c r="Y19" s="28" t="s">
        <v>87</v>
      </c>
      <c r="Z19" s="9" t="s">
        <v>88</v>
      </c>
      <c r="AA19" s="13">
        <v>3.91</v>
      </c>
      <c r="AC19" s="28" t="s">
        <v>87</v>
      </c>
      <c r="AD19" s="9" t="s">
        <v>88</v>
      </c>
      <c r="AE19" s="13">
        <v>2.58</v>
      </c>
      <c r="AG19" s="28" t="s">
        <v>87</v>
      </c>
      <c r="AH19" s="9" t="s">
        <v>88</v>
      </c>
      <c r="AI19" s="13">
        <v>5.9</v>
      </c>
      <c r="AK19" s="28" t="s">
        <v>87</v>
      </c>
      <c r="AL19" s="9" t="s">
        <v>88</v>
      </c>
      <c r="AM19" s="13">
        <v>5.9</v>
      </c>
    </row>
    <row r="20" spans="1:39">
      <c r="A20" s="28"/>
      <c r="B20" s="9" t="s">
        <v>89</v>
      </c>
      <c r="C20" s="13">
        <v>15</v>
      </c>
      <c r="E20" s="28"/>
      <c r="F20" s="9" t="s">
        <v>89</v>
      </c>
      <c r="G20" s="13">
        <v>7.22</v>
      </c>
      <c r="I20" s="28"/>
      <c r="J20" s="9" t="s">
        <v>89</v>
      </c>
      <c r="K20" s="13">
        <v>7.22</v>
      </c>
      <c r="M20" s="28"/>
      <c r="N20" s="9" t="s">
        <v>89</v>
      </c>
      <c r="O20" s="13">
        <v>7.87</v>
      </c>
      <c r="Q20" s="28"/>
      <c r="R20" s="9" t="s">
        <v>89</v>
      </c>
      <c r="S20" s="13">
        <v>5.9</v>
      </c>
      <c r="U20" s="28"/>
      <c r="V20" s="9" t="s">
        <v>89</v>
      </c>
      <c r="W20" s="13">
        <v>5.3</v>
      </c>
      <c r="Y20" s="28"/>
      <c r="Z20" s="9" t="s">
        <v>89</v>
      </c>
      <c r="AA20" s="13">
        <v>3.91</v>
      </c>
      <c r="AC20" s="28"/>
      <c r="AD20" s="9" t="s">
        <v>89</v>
      </c>
      <c r="AE20" s="13">
        <v>2.58</v>
      </c>
      <c r="AG20" s="28"/>
      <c r="AH20" s="9" t="s">
        <v>89</v>
      </c>
      <c r="AI20" s="13">
        <v>5.9</v>
      </c>
      <c r="AK20" s="28"/>
      <c r="AL20" s="9" t="s">
        <v>89</v>
      </c>
      <c r="AM20" s="13">
        <v>5.9</v>
      </c>
    </row>
    <row r="21" spans="1:39">
      <c r="A21" s="28"/>
      <c r="B21" s="9" t="s">
        <v>90</v>
      </c>
      <c r="C21" s="13">
        <v>75.3</v>
      </c>
      <c r="E21" s="28"/>
      <c r="F21" s="9" t="s">
        <v>90</v>
      </c>
      <c r="G21" s="13">
        <v>36.1</v>
      </c>
      <c r="I21" s="28"/>
      <c r="J21" s="9" t="s">
        <v>90</v>
      </c>
      <c r="K21" s="13">
        <v>36.1</v>
      </c>
      <c r="M21" s="28"/>
      <c r="N21" s="9" t="s">
        <v>90</v>
      </c>
      <c r="O21" s="13">
        <v>39.3</v>
      </c>
      <c r="Q21" s="28"/>
      <c r="R21" s="9" t="s">
        <v>90</v>
      </c>
      <c r="S21" s="13">
        <v>29.5</v>
      </c>
      <c r="U21" s="28"/>
      <c r="V21" s="9" t="s">
        <v>90</v>
      </c>
      <c r="W21" s="13">
        <v>26.5</v>
      </c>
      <c r="Y21" s="28"/>
      <c r="Z21" s="9" t="s">
        <v>90</v>
      </c>
      <c r="AA21" s="13">
        <v>19.2</v>
      </c>
      <c r="AC21" s="28"/>
      <c r="AD21" s="9" t="s">
        <v>90</v>
      </c>
      <c r="AE21" s="13">
        <v>12.9</v>
      </c>
      <c r="AG21" s="28"/>
      <c r="AH21" s="9" t="s">
        <v>90</v>
      </c>
      <c r="AI21" s="13">
        <v>29.5</v>
      </c>
      <c r="AK21" s="28"/>
      <c r="AL21" s="9" t="s">
        <v>90</v>
      </c>
      <c r="AM21" s="13">
        <v>29.5</v>
      </c>
    </row>
    <row r="22" spans="1:39">
      <c r="A22" s="28"/>
      <c r="B22" s="9" t="s">
        <v>91</v>
      </c>
      <c r="C22" s="13">
        <v>12</v>
      </c>
      <c r="E22" s="28"/>
      <c r="F22" s="9" t="s">
        <v>91</v>
      </c>
      <c r="G22" s="13">
        <v>5.77</v>
      </c>
      <c r="I22" s="28"/>
      <c r="J22" s="9" t="s">
        <v>91</v>
      </c>
      <c r="K22" s="13">
        <v>5.77</v>
      </c>
      <c r="M22" s="28"/>
      <c r="N22" s="9" t="s">
        <v>91</v>
      </c>
      <c r="O22" s="13">
        <v>6.29</v>
      </c>
      <c r="Q22" s="28"/>
      <c r="R22" s="9" t="s">
        <v>91</v>
      </c>
      <c r="S22" s="13">
        <v>4.72</v>
      </c>
      <c r="U22" s="28"/>
      <c r="V22" s="9" t="s">
        <v>91</v>
      </c>
      <c r="W22" s="13">
        <v>4.24</v>
      </c>
      <c r="Y22" s="28"/>
      <c r="Z22" s="9" t="s">
        <v>91</v>
      </c>
      <c r="AA22" s="13">
        <v>3.07</v>
      </c>
      <c r="AC22" s="28"/>
      <c r="AD22" s="9" t="s">
        <v>91</v>
      </c>
      <c r="AE22" s="13">
        <v>2.06</v>
      </c>
      <c r="AG22" s="28"/>
      <c r="AH22" s="9" t="s">
        <v>91</v>
      </c>
      <c r="AI22" s="13">
        <v>4.72</v>
      </c>
      <c r="AK22" s="28"/>
      <c r="AL22" s="9" t="s">
        <v>91</v>
      </c>
      <c r="AM22" s="13">
        <v>4.72</v>
      </c>
    </row>
    <row r="23" spans="1:39">
      <c r="A23" s="1" t="s">
        <v>286</v>
      </c>
      <c r="B23" s="19">
        <f>数据计算表!DK17</f>
        <v>69.0021447319259</v>
      </c>
      <c r="C23" s="19"/>
      <c r="E23" s="1" t="s">
        <v>286</v>
      </c>
      <c r="F23" s="19">
        <f>数据计算表!DL65</f>
        <v>143.4104267532</v>
      </c>
      <c r="G23" s="19"/>
      <c r="I23" s="1" t="s">
        <v>286</v>
      </c>
      <c r="J23" s="19">
        <f>数据计算表!DR65</f>
        <v>143.4104267532</v>
      </c>
      <c r="K23" s="19"/>
      <c r="M23" s="1" t="s">
        <v>286</v>
      </c>
      <c r="N23" s="19">
        <f>数据计算表!DX65</f>
        <v>142.569067584791</v>
      </c>
      <c r="O23" s="19"/>
      <c r="Q23" s="1" t="s">
        <v>286</v>
      </c>
      <c r="R23" s="19">
        <f>数据计算表!ED62</f>
        <v>190.079015846888</v>
      </c>
      <c r="S23" s="19"/>
      <c r="U23" s="1" t="s">
        <v>286</v>
      </c>
      <c r="V23" s="19">
        <f>数据计算表!EJ62</f>
        <v>211.595885120807</v>
      </c>
      <c r="W23" s="19"/>
      <c r="Y23" s="1" t="s">
        <v>286</v>
      </c>
      <c r="Z23" s="19">
        <f>数据计算表!EP62</f>
        <v>286.746140623326</v>
      </c>
      <c r="AA23" s="19"/>
      <c r="AC23" s="1" t="s">
        <v>286</v>
      </c>
      <c r="AD23" s="19">
        <f>数据计算表!EV62</f>
        <v>402.160661067461</v>
      </c>
      <c r="AE23" s="19"/>
      <c r="AG23" s="1" t="s">
        <v>286</v>
      </c>
      <c r="AH23" s="19">
        <f>数据计算表!DL95</f>
        <v>190.079015846888</v>
      </c>
      <c r="AI23" s="19"/>
      <c r="AK23" s="1" t="s">
        <v>286</v>
      </c>
      <c r="AL23" s="19">
        <f>数据计算表!DR95</f>
        <v>190.079015846888</v>
      </c>
      <c r="AM23" s="19"/>
    </row>
    <row r="24" spans="1:39">
      <c r="A24" s="1" t="s">
        <v>295</v>
      </c>
      <c r="B24" s="19">
        <f>数据计算表!DK18</f>
        <v>166.146238009373</v>
      </c>
      <c r="C24" s="19"/>
      <c r="E24" s="1" t="s">
        <v>295</v>
      </c>
      <c r="F24" s="19">
        <f>数据计算表!DL66</f>
        <v>345.269970652052</v>
      </c>
      <c r="G24" s="19"/>
      <c r="I24" s="1" t="s">
        <v>295</v>
      </c>
      <c r="J24" s="19">
        <f>数据计算表!DR66</f>
        <v>345.269970652052</v>
      </c>
      <c r="K24" s="19"/>
      <c r="M24" s="1" t="s">
        <v>295</v>
      </c>
      <c r="N24" s="19">
        <f>数据计算表!DX66</f>
        <v>342.827517566059</v>
      </c>
      <c r="O24" s="19"/>
      <c r="Q24" s="1" t="s">
        <v>295</v>
      </c>
      <c r="R24" s="19">
        <f>数据计算表!ED63</f>
        <v>457.062284445095</v>
      </c>
      <c r="S24" s="19"/>
      <c r="U24" s="1" t="s">
        <v>295</v>
      </c>
      <c r="V24" s="19">
        <f>数据计算表!EJ63</f>
        <v>508.800925818155</v>
      </c>
      <c r="W24" s="19"/>
      <c r="Y24" s="1" t="s">
        <v>295</v>
      </c>
      <c r="Z24" s="19">
        <f>数据计算表!EP63</f>
        <v>688.813948482457</v>
      </c>
      <c r="AA24" s="19"/>
      <c r="AC24" s="1" t="s">
        <v>295</v>
      </c>
      <c r="AD24" s="19">
        <f>数据计算表!EV63</f>
        <v>968.568986800874</v>
      </c>
      <c r="AE24" s="19"/>
      <c r="AG24" s="1" t="s">
        <v>295</v>
      </c>
      <c r="AH24" s="19">
        <f>数据计算表!DL96</f>
        <v>457.062284445095</v>
      </c>
      <c r="AI24" s="19"/>
      <c r="AK24" s="1" t="s">
        <v>295</v>
      </c>
      <c r="AL24" s="19">
        <f>数据计算表!DR96</f>
        <v>457.062284445095</v>
      </c>
      <c r="AM24" s="19"/>
    </row>
    <row r="25" spans="1:39">
      <c r="A25" s="1" t="s">
        <v>300</v>
      </c>
      <c r="B25" s="19">
        <f>数据计算表!DK19</f>
        <v>238.93165333028</v>
      </c>
      <c r="C25" s="19"/>
      <c r="E25" s="1" t="s">
        <v>300</v>
      </c>
      <c r="F25" s="19">
        <f>数据计算表!DL67</f>
        <v>496.566054744498</v>
      </c>
      <c r="G25" s="19"/>
      <c r="I25" s="1" t="s">
        <v>300</v>
      </c>
      <c r="J25" s="19">
        <f>数据计算表!DR67</f>
        <v>496.566054744498</v>
      </c>
      <c r="K25" s="19"/>
      <c r="M25" s="1" t="s">
        <v>300</v>
      </c>
      <c r="N25" s="19">
        <f>数据计算表!DX67</f>
        <v>492.344447628656</v>
      </c>
      <c r="O25" s="19"/>
      <c r="Q25" s="1" t="s">
        <v>300</v>
      </c>
      <c r="R25" s="19">
        <f>数据计算表!ED64</f>
        <v>656.350358633474</v>
      </c>
      <c r="S25" s="19"/>
      <c r="U25" s="1" t="s">
        <v>300</v>
      </c>
      <c r="V25" s="19">
        <f>数据计算表!EJ64</f>
        <v>730.646927518089</v>
      </c>
      <c r="W25" s="19"/>
      <c r="Y25" s="1" t="s">
        <v>300</v>
      </c>
      <c r="Z25" s="19">
        <f>数据计算表!EP64</f>
        <v>988.424862798746</v>
      </c>
      <c r="AA25" s="19"/>
      <c r="AC25" s="1" t="s">
        <v>300</v>
      </c>
      <c r="AD25" s="19">
        <f>数据计算表!EV64</f>
        <v>1393.5656363109</v>
      </c>
      <c r="AE25" s="19"/>
      <c r="AG25" s="1" t="s">
        <v>300</v>
      </c>
      <c r="AH25" s="19">
        <f>数据计算表!DL97</f>
        <v>656.350358633474</v>
      </c>
      <c r="AI25" s="19"/>
      <c r="AK25" s="1" t="s">
        <v>300</v>
      </c>
      <c r="AL25" s="19">
        <f>数据计算表!DR97</f>
        <v>656.350358633474</v>
      </c>
      <c r="AM25" s="19"/>
    </row>
    <row r="26" spans="1:39">
      <c r="A26" s="1" t="s">
        <v>305</v>
      </c>
      <c r="B26" s="19">
        <f>数据计算表!DK20</f>
        <v>274.51481927882</v>
      </c>
      <c r="C26" s="19"/>
      <c r="E26" s="1" t="s">
        <v>305</v>
      </c>
      <c r="F26" s="19">
        <f>数据计算表!DL68</f>
        <v>570.332813519706</v>
      </c>
      <c r="G26" s="19"/>
      <c r="I26" s="1" t="s">
        <v>305</v>
      </c>
      <c r="J26" s="19">
        <f>数据计算表!DR68</f>
        <v>570.332813519706</v>
      </c>
      <c r="K26" s="19"/>
      <c r="M26" s="1" t="s">
        <v>305</v>
      </c>
      <c r="N26" s="19">
        <f>数据计算表!DX68</f>
        <v>564.567522286043</v>
      </c>
      <c r="O26" s="19"/>
      <c r="Q26" s="1" t="s">
        <v>305</v>
      </c>
      <c r="R26" s="19">
        <f>数据计算表!ED65</f>
        <v>752.682705056043</v>
      </c>
      <c r="S26" s="19"/>
      <c r="U26" s="1" t="s">
        <v>305</v>
      </c>
      <c r="V26" s="19">
        <f>数据计算表!EJ65</f>
        <v>837.882405011654</v>
      </c>
      <c r="W26" s="19"/>
      <c r="Y26" s="1" t="s">
        <v>305</v>
      </c>
      <c r="Z26" s="19">
        <f>数据计算表!EP65</f>
        <v>1130.12010365251</v>
      </c>
      <c r="AA26" s="19"/>
      <c r="AC26" s="1" t="s">
        <v>305</v>
      </c>
      <c r="AD26" s="19">
        <f>数据计算表!EV65</f>
        <v>1601.23200674401</v>
      </c>
      <c r="AE26" s="19"/>
      <c r="AG26" s="1" t="s">
        <v>305</v>
      </c>
      <c r="AH26" s="19">
        <f>数据计算表!DL98</f>
        <v>752.682705056043</v>
      </c>
      <c r="AI26" s="19"/>
      <c r="AK26" s="1" t="s">
        <v>305</v>
      </c>
      <c r="AL26" s="19">
        <f>数据计算表!DR98</f>
        <v>752.682705056043</v>
      </c>
      <c r="AM26" s="19"/>
    </row>
    <row r="27" spans="1:39">
      <c r="A27" s="1" t="s">
        <v>309</v>
      </c>
      <c r="B27" s="19">
        <f>数据计算表!DK21</f>
        <v>315.692042170644</v>
      </c>
      <c r="C27" s="19"/>
      <c r="E27" s="1" t="s">
        <v>309</v>
      </c>
      <c r="F27" s="19">
        <f>数据计算表!DL69</f>
        <v>655.882735547662</v>
      </c>
      <c r="G27" s="19"/>
      <c r="I27" s="1" t="s">
        <v>309</v>
      </c>
      <c r="J27" s="19">
        <f>数据计算表!DR69</f>
        <v>655.882735547662</v>
      </c>
      <c r="K27" s="19"/>
      <c r="M27" s="1" t="s">
        <v>309</v>
      </c>
      <c r="N27" s="19">
        <f>数据计算表!DX69</f>
        <v>649.25265062895</v>
      </c>
      <c r="O27" s="19"/>
      <c r="Q27" s="1" t="s">
        <v>309</v>
      </c>
      <c r="R27" s="19">
        <f>数据计算表!ED66</f>
        <v>865.585110814449</v>
      </c>
      <c r="S27" s="19"/>
      <c r="U27" s="1" t="s">
        <v>309</v>
      </c>
      <c r="V27" s="19">
        <f>数据计算表!EJ66</f>
        <v>963.564765763402</v>
      </c>
      <c r="W27" s="19"/>
      <c r="Y27" s="1" t="s">
        <v>309</v>
      </c>
      <c r="Z27" s="19">
        <f>数据计算表!EP66</f>
        <v>1299.63811920039</v>
      </c>
      <c r="AA27" s="19"/>
      <c r="AC27" s="1" t="s">
        <v>309</v>
      </c>
      <c r="AD27" s="19">
        <f>数据计算表!EV66</f>
        <v>1841.41680775561</v>
      </c>
      <c r="AE27" s="19"/>
      <c r="AG27" s="1" t="s">
        <v>309</v>
      </c>
      <c r="AH27" s="19">
        <f>数据计算表!DL99</f>
        <v>865.585110814449</v>
      </c>
      <c r="AI27" s="19"/>
      <c r="AK27" s="1" t="s">
        <v>309</v>
      </c>
      <c r="AL27" s="19">
        <f>数据计算表!DR99</f>
        <v>865.585110814449</v>
      </c>
      <c r="AM27" s="19"/>
    </row>
    <row r="28" spans="1:39">
      <c r="A28" s="1" t="s">
        <v>313</v>
      </c>
      <c r="B28" s="19">
        <f>数据计算表!DK22</f>
        <v>364.385048252618</v>
      </c>
      <c r="C28" s="19"/>
      <c r="E28" s="1" t="s">
        <v>313</v>
      </c>
      <c r="F28" s="19">
        <f>数据计算表!DL70</f>
        <v>757.011098645476</v>
      </c>
      <c r="G28" s="19"/>
      <c r="I28" s="1" t="s">
        <v>313</v>
      </c>
      <c r="J28" s="19">
        <f>数据计算表!DR70</f>
        <v>757.011098645476</v>
      </c>
      <c r="K28" s="19"/>
      <c r="M28" s="1" t="s">
        <v>313</v>
      </c>
      <c r="N28" s="19">
        <f>数据计算表!DX70</f>
        <v>748.216914162678</v>
      </c>
      <c r="O28" s="19"/>
      <c r="Q28" s="1" t="s">
        <v>313</v>
      </c>
      <c r="R28" s="19">
        <f>数据计算表!ED67</f>
        <v>997.487358681345</v>
      </c>
      <c r="S28" s="19"/>
      <c r="U28" s="1" t="s">
        <v>313</v>
      </c>
      <c r="V28" s="19">
        <f>数据计算表!EJ67</f>
        <v>1110.39588552602</v>
      </c>
      <c r="W28" s="19"/>
      <c r="Y28" s="1" t="s">
        <v>313</v>
      </c>
      <c r="Z28" s="19">
        <f>数据计算表!EP67</f>
        <v>1495.70257019578</v>
      </c>
      <c r="AA28" s="19"/>
      <c r="AC28" s="1" t="s">
        <v>313</v>
      </c>
      <c r="AD28" s="19">
        <f>数据计算表!EV67</f>
        <v>2126.24418507392</v>
      </c>
      <c r="AE28" s="19"/>
      <c r="AG28" s="1" t="s">
        <v>313</v>
      </c>
      <c r="AH28" s="19">
        <f>数据计算表!DL100</f>
        <v>997.487358681345</v>
      </c>
      <c r="AI28" s="19"/>
      <c r="AK28" s="1" t="s">
        <v>313</v>
      </c>
      <c r="AL28" s="19">
        <f>数据计算表!DR100</f>
        <v>997.487358681345</v>
      </c>
      <c r="AM28" s="19"/>
    </row>
    <row r="29" spans="1:39">
      <c r="A29" s="1" t="s">
        <v>317</v>
      </c>
      <c r="B29" s="19">
        <f>数据计算表!DK23</f>
        <v>419.046982132951</v>
      </c>
      <c r="C29" s="19"/>
      <c r="E29" s="1" t="s">
        <v>317</v>
      </c>
      <c r="F29" s="19">
        <f>数据计算表!DL71</f>
        <v>870.599035594475</v>
      </c>
      <c r="G29" s="19"/>
      <c r="I29" s="1" t="s">
        <v>317</v>
      </c>
      <c r="J29" s="19">
        <f>数据计算表!DR71</f>
        <v>870.599035594475</v>
      </c>
      <c r="K29" s="19"/>
      <c r="M29" s="1" t="s">
        <v>317</v>
      </c>
      <c r="N29" s="19">
        <f>数据计算表!DX71</f>
        <v>860.485838336993</v>
      </c>
      <c r="O29" s="19"/>
      <c r="Q29" s="1" t="s">
        <v>317</v>
      </c>
      <c r="R29" s="19">
        <f>数据计算表!ED68</f>
        <v>1147.12642721295</v>
      </c>
      <c r="S29" s="19"/>
      <c r="U29" s="1" t="s">
        <v>317</v>
      </c>
      <c r="V29" s="19">
        <f>数据计算表!EJ68</f>
        <v>1276.97304480546</v>
      </c>
      <c r="W29" s="19"/>
      <c r="Y29" s="1" t="s">
        <v>317</v>
      </c>
      <c r="Z29" s="19">
        <f>数据计算表!EP68</f>
        <v>1721.03260856109</v>
      </c>
      <c r="AA29" s="19"/>
      <c r="AC29" s="1" t="s">
        <v>317</v>
      </c>
      <c r="AD29" s="19">
        <f>数据计算表!EV68</f>
        <v>2445.34711733601</v>
      </c>
      <c r="AE29" s="19"/>
      <c r="AG29" s="1" t="s">
        <v>317</v>
      </c>
      <c r="AH29" s="19">
        <f>数据计算表!DL101</f>
        <v>1147.12642721295</v>
      </c>
      <c r="AI29" s="19"/>
      <c r="AK29" s="1" t="s">
        <v>317</v>
      </c>
      <c r="AL29" s="19">
        <f>数据计算表!DR101</f>
        <v>1147.12642721295</v>
      </c>
      <c r="AM29" s="19"/>
    </row>
    <row r="30" spans="1:39">
      <c r="A30" s="1" t="s">
        <v>319</v>
      </c>
      <c r="B30" s="19">
        <f>数据计算表!DK24</f>
        <v>455.595712297632</v>
      </c>
      <c r="C30" s="19"/>
      <c r="E30" s="1" t="s">
        <v>319</v>
      </c>
      <c r="F30" s="19">
        <f>数据计算表!DL72</f>
        <v>946.303299559212</v>
      </c>
      <c r="G30" s="19"/>
      <c r="I30" s="1" t="s">
        <v>319</v>
      </c>
      <c r="J30" s="19">
        <f>数据计算表!DR72</f>
        <v>946.303299559212</v>
      </c>
      <c r="K30" s="19"/>
      <c r="M30" s="1" t="s">
        <v>319</v>
      </c>
      <c r="N30" s="19">
        <f>数据计算表!DX72</f>
        <v>935.239942821631</v>
      </c>
      <c r="O30" s="19"/>
      <c r="Q30" s="1" t="s">
        <v>319</v>
      </c>
      <c r="R30" s="19">
        <f>数据计算表!ED69</f>
        <v>1246.87655131842</v>
      </c>
      <c r="S30" s="19"/>
      <c r="U30" s="1" t="s">
        <v>319</v>
      </c>
      <c r="V30" s="19">
        <f>数据计算表!EJ69</f>
        <v>1388.01417913637</v>
      </c>
      <c r="W30" s="19"/>
      <c r="Y30" s="1" t="s">
        <v>319</v>
      </c>
      <c r="Z30" s="19">
        <f>数据计算表!EP69</f>
        <v>1868.70839547476</v>
      </c>
      <c r="AA30" s="19"/>
      <c r="AC30" s="1" t="s">
        <v>319</v>
      </c>
      <c r="AD30" s="19">
        <f>数据计算表!EV69</f>
        <v>2657.98599710436</v>
      </c>
      <c r="AE30" s="19"/>
      <c r="AG30" s="1" t="s">
        <v>319</v>
      </c>
      <c r="AH30" s="19">
        <f>数据计算表!DL102</f>
        <v>1246.87655131842</v>
      </c>
      <c r="AI30" s="19"/>
      <c r="AK30" s="1" t="s">
        <v>319</v>
      </c>
      <c r="AL30" s="19">
        <f>数据计算表!DR102</f>
        <v>1246.87655131842</v>
      </c>
      <c r="AM30" s="19"/>
    </row>
    <row r="31" spans="1:39">
      <c r="B31" s="29"/>
      <c r="C31" s="29"/>
      <c r="D31" s="29"/>
      <c r="E31" s="29"/>
      <c r="F31" s="29"/>
      <c r="G31" s="29"/>
      <c r="H31" s="29"/>
      <c r="I31" s="29"/>
      <c r="J31" s="29"/>
    </row>
    <row r="32" ht="35.25" spans="1:39">
      <c r="A32" s="21" t="s">
        <v>352</v>
      </c>
      <c r="B32" s="21" t="s">
        <v>353</v>
      </c>
      <c r="C32" s="21" t="s">
        <v>359</v>
      </c>
      <c r="D32" s="21" t="s">
        <v>360</v>
      </c>
      <c r="E32" s="21" t="s">
        <v>362</v>
      </c>
      <c r="F32" s="21" t="s">
        <v>958</v>
      </c>
      <c r="G32" s="21" t="s">
        <v>363</v>
      </c>
      <c r="H32" s="21" t="s">
        <v>364</v>
      </c>
      <c r="I32" s="21" t="s">
        <v>959</v>
      </c>
      <c r="J32" s="21" t="s">
        <v>365</v>
      </c>
      <c r="K32" s="21" t="s">
        <v>960</v>
      </c>
      <c r="L32" s="21" t="s">
        <v>961</v>
      </c>
      <c r="M32" s="29"/>
      <c r="N32" s="30" t="s">
        <v>962</v>
      </c>
      <c r="O32" s="11"/>
      <c r="P32" s="11"/>
    </row>
    <row r="33" ht="35.25" spans="1:16">
      <c r="A33" s="21" t="s">
        <v>355</v>
      </c>
      <c r="B33" s="21">
        <f>数据计算表!DG58</f>
        <v>105.35187526338</v>
      </c>
      <c r="C33" s="21">
        <f>数据计算表!DG64</f>
        <v>161.539542070516</v>
      </c>
      <c r="D33" s="21">
        <f>数据计算表!DG70</f>
        <v>210.703750526759</v>
      </c>
      <c r="E33" s="21">
        <f>数据计算表!DG76</f>
        <v>323.079084141031</v>
      </c>
      <c r="F33" s="21">
        <f>数据计算表!DH70</f>
        <v>280.938334035679</v>
      </c>
      <c r="G33" s="21">
        <f>数据计算表!DG82</f>
        <v>316.055625790139</v>
      </c>
      <c r="H33" s="21">
        <f>数据计算表!DG88</f>
        <v>347.661188369153</v>
      </c>
      <c r="I33" s="21">
        <f>数据计算表!DH82</f>
        <v>421.407501053519</v>
      </c>
      <c r="J33" s="21">
        <f>数据计算表!DG94</f>
        <v>270.904822105833</v>
      </c>
      <c r="K33" s="21">
        <f>数据计算表!DG100</f>
        <v>297.995304316417</v>
      </c>
      <c r="L33" s="21">
        <f>数据计算表!DH94</f>
        <v>361.206429474445</v>
      </c>
      <c r="N33" s="30"/>
      <c r="O33" s="11"/>
      <c r="P33" s="11"/>
    </row>
    <row r="34" ht="35.25" spans="1:16">
      <c r="A34" s="21" t="s">
        <v>356</v>
      </c>
      <c r="B34" s="21">
        <f>数据计算表!DG59</f>
        <v>210.703750526759</v>
      </c>
      <c r="C34" s="21">
        <f>数据计算表!DG65</f>
        <v>323.079084141031</v>
      </c>
      <c r="D34" s="21">
        <f>数据计算表!DG71</f>
        <v>421.407501053519</v>
      </c>
      <c r="E34" s="21">
        <f>数据计算表!DG77</f>
        <v>646.158168282062</v>
      </c>
      <c r="F34" s="21">
        <f>数据计算表!DH71</f>
        <v>561.876668071358</v>
      </c>
      <c r="G34" s="21">
        <f>数据计算表!DG83</f>
        <v>632.111251580278</v>
      </c>
      <c r="H34" s="21">
        <f>数据计算表!DG89</f>
        <v>695.322376738306</v>
      </c>
      <c r="I34" s="21">
        <f>数据计算表!DH83</f>
        <v>842.815002107037</v>
      </c>
      <c r="J34" s="21">
        <f>数据计算表!DG95</f>
        <v>541.809644211667</v>
      </c>
      <c r="K34" s="21">
        <f>数据计算表!DG101</f>
        <v>595.990608632834</v>
      </c>
      <c r="L34" s="21">
        <f>数据计算表!DH95</f>
        <v>722.412858948889</v>
      </c>
      <c r="N34" s="30"/>
      <c r="O34" s="11"/>
      <c r="P34" s="11"/>
    </row>
    <row r="35" spans="1:16">
      <c r="A35" s="21" t="s">
        <v>357</v>
      </c>
      <c r="B35" s="21">
        <f>数据计算表!DG60</f>
        <v>526.759376316898</v>
      </c>
      <c r="C35" s="21">
        <f>数据计算表!DG66</f>
        <v>807.697710352578</v>
      </c>
      <c r="D35" s="21">
        <f>数据计算表!DG72</f>
        <v>1053.5187526338</v>
      </c>
      <c r="E35" s="21">
        <f>数据计算表!DG78</f>
        <v>1615.39542070515</v>
      </c>
      <c r="F35" s="21">
        <f>数据计算表!DH72</f>
        <v>1404.6916701784</v>
      </c>
      <c r="G35" s="21">
        <f>数据计算表!DG84</f>
        <v>1580.27812895069</v>
      </c>
      <c r="H35" s="21">
        <f>数据计算表!DG90</f>
        <v>1738.30594184576</v>
      </c>
      <c r="I35" s="21">
        <f>数据计算表!DH84</f>
        <v>2107.03750526759</v>
      </c>
      <c r="J35" s="21">
        <f>数据计算表!DG96</f>
        <v>1354.52411052917</v>
      </c>
      <c r="K35" s="21">
        <f>数据计算表!DG102</f>
        <v>1489.97652158208</v>
      </c>
      <c r="L35" s="21">
        <f>数据计算表!DH96</f>
        <v>1806.03214737222</v>
      </c>
      <c r="N35" s="30"/>
    </row>
    <row r="36" spans="1:16">
      <c r="A36" s="21" t="s">
        <v>358</v>
      </c>
      <c r="B36" s="21">
        <f>数据计算表!DG61</f>
        <v>2107.03750526759</v>
      </c>
      <c r="C36" s="21">
        <f>数据计算表!DG67</f>
        <v>3230.79084141031</v>
      </c>
      <c r="D36" s="21">
        <f>数据计算表!DG73</f>
        <v>4214.07501053519</v>
      </c>
      <c r="E36" s="21">
        <f>数据计算表!DG79</f>
        <v>6461.58168282062</v>
      </c>
      <c r="F36" s="21">
        <f>数据计算表!DH73</f>
        <v>5618.76668071358</v>
      </c>
      <c r="G36" s="21">
        <f>数据计算表!DG85</f>
        <v>6321.11251580278</v>
      </c>
      <c r="H36" s="21">
        <f>数据计算表!DG91</f>
        <v>6953.22376738306</v>
      </c>
      <c r="I36" s="21">
        <f>数据计算表!DH85</f>
        <v>8428.15002107037</v>
      </c>
      <c r="J36" s="21">
        <f>数据计算表!DG97</f>
        <v>5418.09644211667</v>
      </c>
      <c r="K36" s="21">
        <f>数据计算表!DG103</f>
        <v>5959.90608632834</v>
      </c>
      <c r="L36" s="21">
        <f>数据计算表!DH97</f>
        <v>7224.12858948889</v>
      </c>
      <c r="N36" s="30"/>
    </row>
    <row r="37" spans="1:16">
      <c r="C37" s="29"/>
      <c r="D37" s="29"/>
      <c r="E37" s="29"/>
      <c r="H37" s="29"/>
      <c r="N37" s="30"/>
    </row>
    <row r="38" spans="1:16">
      <c r="C38" s="29"/>
      <c r="D38" s="29"/>
      <c r="E38" s="29"/>
      <c r="H38" s="29"/>
      <c r="N38" s="30"/>
    </row>
    <row r="39" spans="1:16">
      <c r="C39" s="29"/>
      <c r="D39" s="29"/>
      <c r="E39" s="29"/>
      <c r="F39" s="29"/>
      <c r="G39" s="29"/>
      <c r="H39" s="29"/>
      <c r="I39" s="29"/>
      <c r="J39" s="29"/>
      <c r="N39" s="30"/>
    </row>
    <row r="40" spans="1:16">
      <c r="C40" s="29"/>
      <c r="D40" s="29"/>
      <c r="E40" s="29"/>
      <c r="F40" s="29"/>
      <c r="G40" s="29"/>
      <c r="H40" s="29"/>
      <c r="I40" s="29"/>
      <c r="J40" s="29"/>
      <c r="N40" s="30"/>
    </row>
    <row r="41" spans="1:16">
      <c r="C41" s="29"/>
      <c r="D41" s="29"/>
      <c r="E41" s="29"/>
      <c r="F41" s="29"/>
      <c r="G41" s="29"/>
      <c r="H41" s="29"/>
      <c r="I41" s="29"/>
      <c r="J41" s="29"/>
      <c r="N41" s="30"/>
    </row>
    <row r="42" spans="1:16">
      <c r="C42" s="29"/>
      <c r="D42" s="29"/>
      <c r="E42" s="29"/>
      <c r="F42" s="29"/>
      <c r="G42" s="29"/>
      <c r="H42" s="29"/>
      <c r="I42" s="29"/>
      <c r="J42" s="29"/>
      <c r="N42" s="30"/>
    </row>
    <row r="43" spans="1:16">
      <c r="C43" s="29"/>
      <c r="D43" s="29"/>
      <c r="E43" s="29"/>
      <c r="F43" s="29"/>
      <c r="G43" s="29"/>
      <c r="H43" s="29"/>
      <c r="I43" s="29"/>
      <c r="J43" s="29"/>
      <c r="N43" s="30"/>
    </row>
    <row r="44" spans="1:16">
      <c r="B44" s="29"/>
      <c r="C44" s="29"/>
      <c r="D44" s="29"/>
      <c r="E44" s="29"/>
      <c r="F44" s="29"/>
      <c r="G44" s="29"/>
      <c r="H44" s="29"/>
      <c r="I44" s="29"/>
      <c r="J44" s="29"/>
      <c r="N44" s="30"/>
    </row>
    <row r="45" spans="1:16">
      <c r="B45" s="29"/>
      <c r="C45" s="29"/>
      <c r="D45" s="29"/>
      <c r="E45" s="29"/>
      <c r="F45" s="29"/>
      <c r="G45" s="29"/>
      <c r="H45" s="29"/>
      <c r="I45" s="29"/>
      <c r="J45" s="29"/>
      <c r="N45" s="30"/>
    </row>
    <row r="46" spans="1:16">
      <c r="A46" s="31"/>
      <c r="C46" s="29"/>
      <c r="D46" s="29"/>
      <c r="E46" s="29"/>
      <c r="F46" s="29"/>
      <c r="G46" s="29"/>
      <c r="H46" s="29"/>
      <c r="I46" s="29"/>
      <c r="J46" s="29"/>
      <c r="N46" s="30"/>
    </row>
    <row r="47" spans="1:16">
      <c r="A47" s="31"/>
      <c r="C47" s="29"/>
      <c r="D47" s="29"/>
      <c r="E47" s="29"/>
      <c r="F47" s="29"/>
      <c r="G47" s="29"/>
      <c r="H47" s="29"/>
      <c r="I47" s="29"/>
      <c r="J47" s="29"/>
      <c r="N47" s="30"/>
    </row>
    <row r="48" spans="1:16">
      <c r="C48" s="29"/>
      <c r="D48" s="29"/>
      <c r="E48" s="29"/>
      <c r="F48" s="29"/>
      <c r="G48" s="29"/>
      <c r="H48" s="29"/>
      <c r="I48" s="29"/>
      <c r="J48" s="29"/>
      <c r="N48" s="30"/>
    </row>
    <row r="49" spans="1:14">
      <c r="C49" s="29"/>
      <c r="D49" s="29"/>
      <c r="E49" s="29"/>
      <c r="F49" s="29"/>
      <c r="G49" s="29"/>
      <c r="H49" s="29"/>
      <c r="I49" s="29"/>
      <c r="J49" s="29"/>
      <c r="N49" s="30"/>
    </row>
    <row r="50" spans="1:14">
      <c r="B50" s="29"/>
      <c r="C50" s="29"/>
      <c r="D50" s="29"/>
      <c r="E50" s="29"/>
      <c r="F50" s="29"/>
      <c r="G50" s="29"/>
      <c r="H50" s="29"/>
      <c r="I50" s="29"/>
      <c r="J50" s="29"/>
      <c r="N50" s="30"/>
    </row>
    <row r="51" spans="1:14">
      <c r="B51" s="29"/>
      <c r="C51" s="29"/>
      <c r="D51" s="29"/>
      <c r="E51" s="29"/>
      <c r="F51" s="29"/>
      <c r="G51" s="29"/>
      <c r="H51" s="29"/>
      <c r="I51" s="29"/>
      <c r="J51" s="29"/>
      <c r="N51" s="30"/>
    </row>
    <row r="52" spans="1:14">
      <c r="A52" s="31"/>
      <c r="C52" s="29"/>
      <c r="D52" s="29"/>
      <c r="E52" s="29"/>
      <c r="F52" s="29"/>
      <c r="G52" s="29"/>
      <c r="H52" s="29"/>
      <c r="I52" s="29"/>
      <c r="J52" s="29"/>
    </row>
    <row r="53" spans="1:14">
      <c r="A53" s="31"/>
      <c r="C53" s="29"/>
      <c r="D53" s="29"/>
      <c r="E53" s="29"/>
      <c r="F53" s="29"/>
      <c r="G53" s="29"/>
      <c r="H53" s="29"/>
      <c r="I53" s="29"/>
      <c r="J53" s="29"/>
    </row>
    <row r="54" spans="1:14">
      <c r="C54" s="29"/>
      <c r="D54" s="29"/>
      <c r="E54" s="29"/>
      <c r="F54" s="29"/>
      <c r="G54" s="29"/>
      <c r="H54" s="29"/>
      <c r="I54" s="29"/>
      <c r="J54" s="29"/>
    </row>
    <row r="55" spans="1:14">
      <c r="C55" s="29"/>
      <c r="D55" s="29"/>
      <c r="E55" s="29"/>
      <c r="F55" s="29"/>
      <c r="G55" s="29"/>
      <c r="H55" s="29"/>
      <c r="I55" s="29"/>
      <c r="J55" s="29"/>
    </row>
    <row r="56" spans="1:14">
      <c r="B56" s="29"/>
      <c r="C56" s="29"/>
      <c r="D56" s="29"/>
      <c r="E56" s="29"/>
      <c r="F56" s="29"/>
      <c r="G56" s="29"/>
      <c r="H56" s="29"/>
      <c r="I56" s="29"/>
      <c r="J56" s="29"/>
    </row>
    <row r="57" spans="1:14">
      <c r="B57" s="29"/>
      <c r="C57" s="29"/>
      <c r="D57" s="29"/>
      <c r="E57" s="29"/>
      <c r="F57" s="29"/>
      <c r="G57" s="29"/>
      <c r="H57" s="29"/>
      <c r="I57" s="29"/>
      <c r="J57" s="29"/>
    </row>
    <row r="58" spans="1:14">
      <c r="A58" s="31"/>
      <c r="C58" s="29"/>
      <c r="D58" s="29"/>
      <c r="E58" s="29"/>
      <c r="F58" s="29"/>
      <c r="G58" s="29"/>
      <c r="H58" s="29"/>
      <c r="I58" s="29"/>
      <c r="J58" s="29"/>
    </row>
    <row r="59" spans="1:14">
      <c r="A59" s="31"/>
      <c r="C59" s="29"/>
      <c r="D59" s="29"/>
      <c r="E59" s="29"/>
      <c r="F59" s="29"/>
      <c r="G59" s="29"/>
      <c r="H59" s="29"/>
      <c r="I59" s="29"/>
      <c r="J59" s="29"/>
    </row>
    <row r="60" spans="1:14">
      <c r="C60" s="29"/>
      <c r="D60" s="29"/>
      <c r="E60" s="29"/>
      <c r="F60" s="29"/>
      <c r="G60" s="29"/>
      <c r="H60" s="29"/>
      <c r="I60" s="29"/>
      <c r="J60" s="29"/>
    </row>
    <row r="61" spans="1:14">
      <c r="C61" s="29"/>
      <c r="D61" s="29"/>
      <c r="E61" s="29"/>
      <c r="F61" s="29"/>
      <c r="G61" s="29"/>
      <c r="H61" s="29"/>
      <c r="I61" s="29"/>
      <c r="J61" s="29"/>
    </row>
    <row r="62" spans="1:14">
      <c r="B62" s="29"/>
      <c r="C62" s="29"/>
      <c r="D62" s="29"/>
      <c r="E62" s="29"/>
      <c r="F62" s="29"/>
      <c r="G62" s="29"/>
      <c r="H62" s="29"/>
      <c r="I62" s="29"/>
      <c r="J62" s="29"/>
    </row>
    <row r="63" spans="1:14">
      <c r="B63" s="29"/>
      <c r="C63" s="29"/>
      <c r="D63" s="29"/>
      <c r="E63" s="29"/>
      <c r="F63" s="29"/>
      <c r="G63" s="29"/>
      <c r="H63" s="29"/>
      <c r="I63" s="29"/>
      <c r="J63" s="29"/>
    </row>
    <row r="64" spans="1:14">
      <c r="A64" s="31"/>
      <c r="C64" s="29"/>
      <c r="D64" s="29"/>
      <c r="E64" s="29"/>
      <c r="F64" s="29"/>
      <c r="G64" s="29"/>
      <c r="H64" s="29"/>
      <c r="I64" s="29"/>
      <c r="J64" s="29"/>
    </row>
    <row r="65" spans="1:10">
      <c r="A65" s="31"/>
      <c r="C65" s="29"/>
      <c r="D65" s="29"/>
      <c r="E65" s="29"/>
      <c r="F65" s="29"/>
      <c r="G65" s="29"/>
      <c r="H65" s="29"/>
      <c r="I65" s="29"/>
      <c r="J65" s="29"/>
    </row>
    <row r="66" spans="1:10">
      <c r="C66" s="29"/>
      <c r="D66" s="29"/>
      <c r="E66" s="29"/>
      <c r="F66" s="29"/>
      <c r="G66" s="29"/>
      <c r="H66" s="29"/>
      <c r="I66" s="29"/>
      <c r="J66" s="29"/>
    </row>
    <row r="67" spans="1:10">
      <c r="C67" s="29"/>
      <c r="D67" s="29"/>
      <c r="E67" s="29"/>
      <c r="F67" s="29"/>
      <c r="G67" s="29"/>
      <c r="H67" s="29"/>
      <c r="I67" s="29"/>
      <c r="J67" s="29"/>
    </row>
    <row r="68" spans="1:10">
      <c r="B68" s="29"/>
      <c r="C68" s="29"/>
      <c r="D68" s="29"/>
      <c r="E68" s="29"/>
      <c r="F68" s="29"/>
      <c r="G68" s="29"/>
      <c r="H68" s="29"/>
      <c r="I68" s="29"/>
      <c r="J68" s="29"/>
    </row>
    <row r="69" spans="1:10">
      <c r="B69" s="29"/>
      <c r="C69" s="29"/>
      <c r="D69" s="29"/>
      <c r="E69" s="29"/>
      <c r="F69" s="29"/>
      <c r="G69" s="29"/>
      <c r="H69" s="29"/>
      <c r="I69" s="29"/>
      <c r="J69" s="29"/>
    </row>
    <row r="70" spans="1:10">
      <c r="A70" s="31"/>
      <c r="C70" s="29"/>
      <c r="D70" s="29"/>
      <c r="E70" s="29"/>
      <c r="F70" s="29"/>
      <c r="G70" s="29"/>
      <c r="H70" s="29"/>
      <c r="I70" s="29"/>
      <c r="J70" s="29"/>
    </row>
    <row r="71" spans="1:10">
      <c r="A71" s="31"/>
      <c r="C71" s="29"/>
      <c r="D71" s="29"/>
      <c r="E71" s="29"/>
      <c r="F71" s="29"/>
      <c r="G71" s="29"/>
      <c r="H71" s="29"/>
      <c r="I71" s="29"/>
      <c r="J71" s="29"/>
    </row>
    <row r="72" spans="1:10">
      <c r="C72" s="29"/>
      <c r="D72" s="29"/>
      <c r="E72" s="29"/>
      <c r="F72" s="29"/>
      <c r="G72" s="29"/>
      <c r="H72" s="29"/>
      <c r="I72" s="29"/>
      <c r="J72" s="29"/>
    </row>
    <row r="73" spans="1:10">
      <c r="C73" s="29"/>
      <c r="D73" s="29"/>
      <c r="E73" s="29"/>
      <c r="F73" s="29"/>
      <c r="G73" s="29"/>
      <c r="H73" s="29"/>
      <c r="I73" s="29"/>
      <c r="J73" s="29"/>
    </row>
    <row r="74" spans="1:10">
      <c r="B74" s="29"/>
      <c r="C74" s="29"/>
      <c r="D74" s="29"/>
      <c r="E74" s="29"/>
      <c r="F74" s="29"/>
      <c r="G74" s="29"/>
      <c r="H74" s="29"/>
      <c r="I74" s="29"/>
      <c r="J74" s="29"/>
    </row>
    <row r="75" spans="1:10">
      <c r="B75" s="29"/>
      <c r="C75" s="29"/>
      <c r="D75" s="29"/>
      <c r="E75" s="29"/>
      <c r="F75" s="29"/>
      <c r="G75" s="29"/>
      <c r="H75" s="29"/>
      <c r="I75" s="29"/>
      <c r="J75" s="29"/>
    </row>
    <row r="76" spans="1:10">
      <c r="A76" s="31"/>
      <c r="C76" s="29"/>
      <c r="D76" s="29"/>
      <c r="E76" s="29"/>
      <c r="F76" s="29"/>
      <c r="G76" s="29"/>
      <c r="H76" s="29"/>
      <c r="I76" s="29"/>
      <c r="J76" s="29"/>
    </row>
    <row r="77" spans="1:10">
      <c r="A77" s="31"/>
      <c r="C77" s="29"/>
      <c r="D77" s="29"/>
      <c r="E77" s="29"/>
      <c r="F77" s="29"/>
      <c r="G77" s="29"/>
      <c r="H77" s="29"/>
      <c r="I77" s="29"/>
      <c r="J77" s="29"/>
    </row>
    <row r="78" spans="1:10">
      <c r="C78" s="29"/>
      <c r="D78" s="29"/>
      <c r="E78" s="29"/>
      <c r="F78" s="29"/>
      <c r="G78" s="29"/>
      <c r="H78" s="29"/>
      <c r="I78" s="29"/>
      <c r="J78" s="29"/>
    </row>
    <row r="79" spans="1:10">
      <c r="C79" s="29"/>
      <c r="D79" s="29"/>
      <c r="E79" s="29"/>
      <c r="F79" s="29"/>
      <c r="G79" s="29"/>
      <c r="H79" s="29"/>
      <c r="I79" s="29"/>
      <c r="J79" s="29"/>
    </row>
    <row r="80" spans="1:10">
      <c r="B80" s="29"/>
      <c r="C80" s="29"/>
      <c r="D80" s="29"/>
      <c r="E80" s="29"/>
      <c r="F80" s="29"/>
      <c r="G80" s="29"/>
      <c r="H80" s="29"/>
      <c r="I80" s="29"/>
      <c r="J80" s="29"/>
    </row>
    <row r="81" spans="1:10">
      <c r="B81" s="29"/>
      <c r="C81" s="29"/>
      <c r="D81" s="29"/>
      <c r="E81" s="29"/>
      <c r="F81" s="29"/>
      <c r="G81" s="29"/>
      <c r="H81" s="29"/>
      <c r="I81" s="29"/>
      <c r="J81" s="29"/>
    </row>
    <row r="83" spans="1:10">
      <c r="A83" s="31"/>
      <c r="B83" s="32"/>
      <c r="C83" s="29"/>
    </row>
    <row r="84" spans="1:10">
      <c r="A84" s="31"/>
      <c r="B84" s="32"/>
      <c r="C84" s="29"/>
    </row>
    <row r="85" spans="1:10">
      <c r="B85" s="32"/>
      <c r="C85" s="29"/>
    </row>
    <row r="86" spans="1:10">
      <c r="B86" s="32"/>
      <c r="C86" s="29"/>
    </row>
    <row r="87" spans="1:10">
      <c r="B87" s="32"/>
      <c r="C87" s="29"/>
    </row>
    <row r="89" spans="1:10">
      <c r="A89" s="31"/>
      <c r="B89" s="32"/>
      <c r="C89" s="29"/>
      <c r="D89" s="29"/>
    </row>
    <row r="90" spans="1:10">
      <c r="A90" s="31"/>
      <c r="B90" s="32"/>
      <c r="C90" s="29"/>
      <c r="D90" s="29"/>
    </row>
    <row r="91" spans="1:10">
      <c r="B91" s="32"/>
      <c r="C91" s="29"/>
      <c r="D91" s="29"/>
    </row>
    <row r="92" spans="1:10">
      <c r="B92" s="32"/>
      <c r="C92" s="29"/>
      <c r="D92" s="29"/>
    </row>
    <row r="93" spans="1:10">
      <c r="D93" s="29"/>
    </row>
    <row r="94" spans="1:10">
      <c r="D94" s="29"/>
    </row>
    <row r="95" spans="1:10">
      <c r="A95" s="31"/>
      <c r="B95" s="32"/>
      <c r="C95" s="29"/>
      <c r="D95" s="29"/>
    </row>
    <row r="96" spans="1:10">
      <c r="A96" s="31"/>
      <c r="B96" s="32"/>
      <c r="C96" s="29"/>
      <c r="D96" s="29"/>
    </row>
    <row r="97" spans="1:4">
      <c r="B97" s="32"/>
      <c r="C97" s="29"/>
      <c r="D97" s="29"/>
    </row>
    <row r="98" spans="1:4">
      <c r="B98" s="32"/>
      <c r="C98" s="29"/>
      <c r="D98" s="29"/>
    </row>
    <row r="99" spans="1:4">
      <c r="D99" s="29"/>
    </row>
    <row r="100" spans="1:4">
      <c r="D100" s="29"/>
    </row>
    <row r="101" spans="1:4">
      <c r="A101" s="31"/>
      <c r="B101" s="32"/>
      <c r="C101" s="29"/>
      <c r="D101" s="29"/>
    </row>
    <row r="102" spans="1:4">
      <c r="A102" s="31"/>
      <c r="B102" s="32"/>
      <c r="C102" s="29"/>
      <c r="D102" s="29"/>
    </row>
    <row r="103" spans="1:4">
      <c r="B103" s="32"/>
      <c r="C103" s="29"/>
      <c r="D103" s="29"/>
    </row>
    <row r="104" spans="1:4">
      <c r="B104" s="32"/>
      <c r="C104" s="29"/>
      <c r="D104" s="29"/>
    </row>
    <row r="105" spans="1:4">
      <c r="D105" s="29"/>
    </row>
    <row r="106" spans="1:4">
      <c r="D106" s="29"/>
    </row>
    <row r="107" spans="1:4">
      <c r="A107" s="31"/>
      <c r="B107" s="32"/>
      <c r="C107" s="29"/>
      <c r="D107" s="29"/>
    </row>
    <row r="108" spans="1:4">
      <c r="A108" s="31"/>
      <c r="B108" s="32"/>
      <c r="C108" s="29"/>
      <c r="D108" s="29"/>
    </row>
    <row r="109" spans="1:4">
      <c r="B109" s="32"/>
      <c r="C109" s="29"/>
      <c r="D109" s="29"/>
    </row>
    <row r="110" spans="1:4">
      <c r="B110" s="32"/>
      <c r="C110" s="29"/>
      <c r="D110" s="29"/>
    </row>
    <row r="111" spans="1:4">
      <c r="D111" s="29"/>
    </row>
    <row r="112" spans="1:4">
      <c r="D112" s="29"/>
    </row>
    <row r="113" spans="1:4">
      <c r="A113" s="31"/>
      <c r="B113" s="32"/>
      <c r="C113" s="29"/>
      <c r="D113" s="29"/>
    </row>
    <row r="114" spans="1:4">
      <c r="A114" s="31"/>
      <c r="B114" s="32"/>
      <c r="C114" s="29"/>
      <c r="D114" s="29"/>
    </row>
    <row r="115" spans="1:4">
      <c r="B115" s="32"/>
      <c r="C115" s="29"/>
      <c r="D115" s="29"/>
    </row>
    <row r="116" spans="1:4">
      <c r="B116" s="32"/>
      <c r="C116" s="29"/>
      <c r="D116" s="29"/>
    </row>
    <row r="117" spans="1:4">
      <c r="D117" s="29"/>
    </row>
    <row r="118" spans="1:4">
      <c r="D118" s="29"/>
    </row>
    <row r="119" spans="1:4">
      <c r="A119" s="31"/>
      <c r="B119" s="32"/>
      <c r="C119" s="29"/>
      <c r="D119" s="29"/>
    </row>
    <row r="120" spans="1:4">
      <c r="A120" s="31"/>
      <c r="B120" s="32"/>
      <c r="C120" s="29"/>
      <c r="D120" s="29"/>
    </row>
    <row r="121" spans="1:4">
      <c r="B121" s="32"/>
      <c r="C121" s="29"/>
      <c r="D121" s="29"/>
    </row>
    <row r="122" spans="1:4">
      <c r="B122" s="32"/>
      <c r="C122" s="29"/>
      <c r="D122" s="29"/>
    </row>
    <row r="123" spans="1:4">
      <c r="D123" s="29"/>
    </row>
  </sheetData>
  <mergeCells count="129">
    <mergeCell ref="A1:B1"/>
    <mergeCell ref="E1:F1"/>
    <mergeCell ref="H1:I1"/>
    <mergeCell ref="E2:F2"/>
    <mergeCell ref="E4:F4"/>
    <mergeCell ref="Q5:R5"/>
    <mergeCell ref="H6:I6"/>
    <mergeCell ref="A16:C16"/>
    <mergeCell ref="E16:G16"/>
    <mergeCell ref="I16:K16"/>
    <mergeCell ref="M16:O16"/>
    <mergeCell ref="Q16:S16"/>
    <mergeCell ref="U16:W16"/>
    <mergeCell ref="Y16:AA16"/>
    <mergeCell ref="AC16:AE16"/>
    <mergeCell ref="AG16:AI16"/>
    <mergeCell ref="AK16:AM16"/>
    <mergeCell ref="A17:B17"/>
    <mergeCell ref="E17:F17"/>
    <mergeCell ref="I17:J17"/>
    <mergeCell ref="M17:N17"/>
    <mergeCell ref="Q17:R17"/>
    <mergeCell ref="U17:V17"/>
    <mergeCell ref="Y17:Z17"/>
    <mergeCell ref="AC17:AD17"/>
    <mergeCell ref="AG17:AH17"/>
    <mergeCell ref="AK17:AL17"/>
    <mergeCell ref="A18:B18"/>
    <mergeCell ref="E18:F18"/>
    <mergeCell ref="I18:J18"/>
    <mergeCell ref="M18:N18"/>
    <mergeCell ref="Q18:R18"/>
    <mergeCell ref="U18:V18"/>
    <mergeCell ref="Y18:Z18"/>
    <mergeCell ref="AC18:AD18"/>
    <mergeCell ref="AG18:AH18"/>
    <mergeCell ref="AK18:AL18"/>
    <mergeCell ref="B23:C23"/>
    <mergeCell ref="F23:G23"/>
    <mergeCell ref="J23:K23"/>
    <mergeCell ref="N23:O23"/>
    <mergeCell ref="R23:S23"/>
    <mergeCell ref="V23:W23"/>
    <mergeCell ref="Z23:AA23"/>
    <mergeCell ref="AD23:AE23"/>
    <mergeCell ref="AH23:AI23"/>
    <mergeCell ref="AL23:AM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B25:C25"/>
    <mergeCell ref="F25:G25"/>
    <mergeCell ref="J25:K25"/>
    <mergeCell ref="N25:O25"/>
    <mergeCell ref="R25:S25"/>
    <mergeCell ref="V25:W25"/>
    <mergeCell ref="Z25:AA25"/>
    <mergeCell ref="AD25:AE25"/>
    <mergeCell ref="AH25:AI25"/>
    <mergeCell ref="AL25:AM25"/>
    <mergeCell ref="B26:C26"/>
    <mergeCell ref="F26:G26"/>
    <mergeCell ref="J26:K26"/>
    <mergeCell ref="N26:O26"/>
    <mergeCell ref="R26:S26"/>
    <mergeCell ref="V26:W26"/>
    <mergeCell ref="Z26:AA26"/>
    <mergeCell ref="AD26:AE26"/>
    <mergeCell ref="AH26:AI26"/>
    <mergeCell ref="AL26:AM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B28:C28"/>
    <mergeCell ref="F28:G28"/>
    <mergeCell ref="J28:K28"/>
    <mergeCell ref="N28:O28"/>
    <mergeCell ref="R28:S28"/>
    <mergeCell ref="V28:W28"/>
    <mergeCell ref="Z28:AA28"/>
    <mergeCell ref="AD28:AE28"/>
    <mergeCell ref="AH28:AI28"/>
    <mergeCell ref="AL28:AM28"/>
    <mergeCell ref="B29:C29"/>
    <mergeCell ref="F29:G29"/>
    <mergeCell ref="J29:K29"/>
    <mergeCell ref="N29:O29"/>
    <mergeCell ref="R29:S29"/>
    <mergeCell ref="V29:W29"/>
    <mergeCell ref="Z29:AA29"/>
    <mergeCell ref="AD29:AE29"/>
    <mergeCell ref="AH29:AI29"/>
    <mergeCell ref="AL29:AM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L30:AM30"/>
    <mergeCell ref="A19:A22"/>
    <mergeCell ref="E19:E22"/>
    <mergeCell ref="I19:I22"/>
    <mergeCell ref="M19:M22"/>
    <mergeCell ref="N32:N51"/>
    <mergeCell ref="Q19:Q22"/>
    <mergeCell ref="U19:U22"/>
    <mergeCell ref="Y19:Y22"/>
    <mergeCell ref="AC19:AC22"/>
    <mergeCell ref="AG19:AG22"/>
    <mergeCell ref="AK19:AK22"/>
    <mergeCell ref="R1:V3"/>
  </mergeCells>
  <conditionalFormatting sqref="M23:M30">
    <cfRule type="expression" dxfId="2" priority="14">
      <formula>AND(M23&lt;=$E$2,M23&lt;&gt;0)</formula>
    </cfRule>
  </conditionalFormatting>
  <conditionalFormatting sqref="Q23:Q30">
    <cfRule type="expression" dxfId="2" priority="12">
      <formula>AND(Q23&lt;=$E$2,Q23&lt;&gt;0)</formula>
    </cfRule>
  </conditionalFormatting>
  <conditionalFormatting sqref="U23:U30">
    <cfRule type="expression" dxfId="2" priority="10">
      <formula>AND(U23&lt;=$E$2,U23&lt;&gt;0)</formula>
    </cfRule>
  </conditionalFormatting>
  <conditionalFormatting sqref="Y23:Y30">
    <cfRule type="expression" dxfId="2" priority="8">
      <formula>AND(Y23&lt;=$E$2,Y23&lt;&gt;0)</formula>
    </cfRule>
  </conditionalFormatting>
  <conditionalFormatting sqref="AC23:AC30">
    <cfRule type="expression" dxfId="2" priority="6">
      <formula>AND(AC23&lt;=$E$2,AC23&lt;&gt;0)</formula>
    </cfRule>
  </conditionalFormatting>
  <conditionalFormatting sqref="AG23:AG30">
    <cfRule type="expression" dxfId="2" priority="4">
      <formula>AND(AG23&lt;=$E$2,AG23&lt;&gt;0)</formula>
    </cfRule>
  </conditionalFormatting>
  <conditionalFormatting sqref="AK23:AK30">
    <cfRule type="expression" dxfId="2" priority="2">
      <formula>AND(AK23&lt;=$E$2,AK23&lt;&gt;0)</formula>
    </cfRule>
  </conditionalFormatting>
  <conditionalFormatting sqref="E4:F14 A23:C30">
    <cfRule type="expression" dxfId="2" priority="20">
      <formula>AND(A4&lt;=$E$2,A4&lt;&gt;0)</formula>
    </cfRule>
  </conditionalFormatting>
  <conditionalFormatting sqref="E23:G30">
    <cfRule type="expression" dxfId="2" priority="16">
      <formula>AND(E23&lt;=$E$2,E23&lt;&gt;0)</formula>
    </cfRule>
  </conditionalFormatting>
  <conditionalFormatting sqref="I23:K30">
    <cfRule type="expression" dxfId="2" priority="15">
      <formula>AND(I23&lt;=$E$2,I23&lt;&gt;0)</formula>
    </cfRule>
  </conditionalFormatting>
  <conditionalFormatting sqref="N23:O30">
    <cfRule type="expression" dxfId="2" priority="13">
      <formula>AND(N23&lt;=$E$2,N23&lt;&gt;0)</formula>
    </cfRule>
  </conditionalFormatting>
  <conditionalFormatting sqref="R23:S30">
    <cfRule type="expression" dxfId="2" priority="11">
      <formula>AND(R23&lt;=$E$2,R23&lt;&gt;0)</formula>
    </cfRule>
  </conditionalFormatting>
  <conditionalFormatting sqref="V23:W30">
    <cfRule type="expression" dxfId="2" priority="9">
      <formula>AND(V23&lt;=$E$2,V23&lt;&gt;0)</formula>
    </cfRule>
  </conditionalFormatting>
  <conditionalFormatting sqref="Z23:AA30">
    <cfRule type="expression" dxfId="2" priority="7">
      <formula>AND(Z23&lt;=$E$2,Z23&lt;&gt;0)</formula>
    </cfRule>
  </conditionalFormatting>
  <conditionalFormatting sqref="AD23:AE30">
    <cfRule type="expression" dxfId="2" priority="5">
      <formula>AND(AD23&lt;=$E$2,AD23&lt;&gt;0)</formula>
    </cfRule>
  </conditionalFormatting>
  <conditionalFormatting sqref="AH23:AI30">
    <cfRule type="expression" dxfId="2" priority="3">
      <formula>AND(AH23&lt;=$E$2,AH23&lt;&gt;0)</formula>
    </cfRule>
  </conditionalFormatting>
  <conditionalFormatting sqref="AL23:AM30">
    <cfRule type="expression" dxfId="2" priority="1">
      <formula>AND(AL23&lt;=$E$2,AL23&lt;&gt;0)</formula>
    </cfRule>
  </conditionalFormatting>
  <conditionalFormatting sqref="A32:L36">
    <cfRule type="expression" dxfId="2" priority="17">
      <formula>AND(A32&lt;=$E$2,A32&lt;&gt;0)</formula>
    </cfRule>
  </conditionalFormatting>
  <dataValidations count="3">
    <dataValidation type="list" allowBlank="1" showInputMessage="1" showErrorMessage="1" sqref="R6">
      <formula1>"攻击,防御,生命,速度"</formula1>
    </dataValidation>
    <dataValidation type="list" allowBlank="1" showInputMessage="1" showErrorMessage="1" sqref="R7">
      <formula1>"0星,1星,2星,3星,4星,5星,觉醒"</formula1>
    </dataValidation>
    <dataValidation type="list" allowBlank="1" showInputMessage="1" showErrorMessage="1" sqref="C17 G17 K17 O17 S17 W17 AA17 AE17 AI17 AM17">
      <formula1>"奇迹,传说,史诗"</formula1>
    </dataValidation>
  </dataValidations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P32"/>
  <sheetViews>
    <sheetView workbookViewId="0">
      <selection activeCell="J8" sqref="J8"/>
    </sheetView>
  </sheetViews>
  <sheetFormatPr defaultColWidth="9" defaultRowHeight="13.5"/>
  <cols>
    <col min="1" max="1" width="8.88333333333333" customWidth="1"/>
    <col min="2" max="2" width="10.8833333333333" customWidth="1"/>
    <col min="3" max="3" width="12.8833333333333" customWidth="1"/>
    <col min="4" max="4" width="7" customWidth="1"/>
    <col min="5" max="5" width="10.8833333333333" customWidth="1"/>
    <col min="6" max="6" width="15" customWidth="1"/>
    <col min="7" max="7" width="10.3833333333333" customWidth="1"/>
    <col min="11" max="11" width="9.13333333333333" customWidth="1"/>
    <col min="12" max="12" width="7" customWidth="1"/>
    <col min="14" max="14" width="9.88333333333333" customWidth="1"/>
    <col min="15" max="15" width="10.8833333333333" customWidth="1"/>
    <col min="16" max="16" width="15" customWidth="1"/>
  </cols>
  <sheetData>
    <row r="1" spans="1:16">
      <c r="A1" s="1"/>
      <c r="B1" s="1" t="s">
        <v>963</v>
      </c>
      <c r="C1" s="2">
        <v>3300</v>
      </c>
      <c r="D1" s="1"/>
      <c r="E1" s="1" t="s">
        <v>181</v>
      </c>
      <c r="F1" s="2" t="s">
        <v>334</v>
      </c>
      <c r="G1" s="1"/>
      <c r="J1" s="3"/>
    </row>
    <row r="2" spans="1:16">
      <c r="A2" s="4"/>
      <c r="B2" s="4" t="s">
        <v>964</v>
      </c>
      <c r="C2" s="4" t="s">
        <v>965</v>
      </c>
      <c r="D2" s="4" t="s">
        <v>966</v>
      </c>
      <c r="E2" s="4" t="s">
        <v>967</v>
      </c>
      <c r="F2" s="4" t="s">
        <v>968</v>
      </c>
      <c r="G2" s="4" t="s">
        <v>969</v>
      </c>
      <c r="J2" s="3"/>
    </row>
    <row r="3" spans="1:16">
      <c r="A3" s="4" t="s">
        <v>970</v>
      </c>
      <c r="B3" s="5">
        <f>数据计算表!AL22</f>
        <v>0.26</v>
      </c>
      <c r="C3" s="5">
        <f>数据计算表!AM22</f>
        <v>0.216</v>
      </c>
      <c r="D3" s="6" t="s">
        <v>382</v>
      </c>
      <c r="E3" s="4">
        <f>(1+IF(D3="有",0.1,0)+C3+B3)*0.98*8+0.02*50</f>
        <v>12.57184</v>
      </c>
      <c r="F3" s="7">
        <v>233</v>
      </c>
      <c r="G3" s="4">
        <f t="shared" ref="G3:G6" si="0">E3*F3/10</f>
        <v>292.923872</v>
      </c>
      <c r="J3" s="3"/>
    </row>
    <row r="4" spans="1:16">
      <c r="A4" s="4" t="s">
        <v>971</v>
      </c>
      <c r="B4" s="5">
        <f>数据计算表!AL22</f>
        <v>0.26</v>
      </c>
      <c r="C4" s="5">
        <f>数据计算表!AM22</f>
        <v>0.216</v>
      </c>
      <c r="D4" s="6" t="s">
        <v>382</v>
      </c>
      <c r="E4" s="4">
        <f>(1+IF(D4="有",0.1,0)+C4+B4)*(0.972*10+0.028*50)</f>
        <v>16.41312</v>
      </c>
      <c r="F4" s="7">
        <v>233</v>
      </c>
      <c r="G4" s="4">
        <f t="shared" si="0"/>
        <v>382.425696</v>
      </c>
      <c r="H4" s="3"/>
      <c r="I4" s="3"/>
      <c r="J4" s="3"/>
    </row>
    <row r="5" spans="1:16">
      <c r="A5" s="4"/>
      <c r="B5" s="5" t="s">
        <v>964</v>
      </c>
      <c r="C5" s="5" t="s">
        <v>965</v>
      </c>
      <c r="D5" s="4" t="s">
        <v>966</v>
      </c>
      <c r="E5" s="4" t="s">
        <v>972</v>
      </c>
      <c r="F5" s="4" t="s">
        <v>973</v>
      </c>
      <c r="G5" s="4" t="s">
        <v>969</v>
      </c>
      <c r="H5" s="3"/>
      <c r="I5" s="3"/>
      <c r="J5" s="3"/>
    </row>
    <row r="6" spans="1:16">
      <c r="A6" s="4" t="s">
        <v>974</v>
      </c>
      <c r="B6" s="5">
        <f>数据计算表!AL22</f>
        <v>0.26</v>
      </c>
      <c r="C6" s="5">
        <f>数据计算表!AM22</f>
        <v>0.216</v>
      </c>
      <c r="D6" s="6" t="s">
        <v>975</v>
      </c>
      <c r="E6" s="4">
        <f>(1+IF(D6="有",0.1,0)+C6+B6)*(0.964*30+0.02*150+0.016*500)</f>
        <v>62.91392</v>
      </c>
      <c r="F6" s="7">
        <v>50</v>
      </c>
      <c r="G6" s="4">
        <f t="shared" si="0"/>
        <v>314.5696</v>
      </c>
      <c r="H6" s="3"/>
      <c r="I6" s="3"/>
      <c r="J6" s="3"/>
    </row>
    <row r="7" spans="1:16">
      <c r="H7" s="3"/>
      <c r="I7" s="3"/>
      <c r="J7" s="3"/>
    </row>
    <row r="8" spans="1:16">
      <c r="H8" s="3"/>
      <c r="I8" s="3"/>
      <c r="J8" s="3"/>
    </row>
    <row r="9" spans="1:16">
      <c r="H9" s="3"/>
      <c r="I9" s="3"/>
      <c r="J9" s="3"/>
    </row>
    <row r="10" spans="1:16"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>
      <c r="L17" s="3"/>
      <c r="M17" s="3"/>
      <c r="N17" s="3"/>
      <c r="O17" s="3"/>
      <c r="P17" s="3"/>
    </row>
    <row r="18" spans="2:16">
      <c r="L18" s="3"/>
      <c r="M18" s="3"/>
      <c r="N18" s="3"/>
      <c r="O18" s="3"/>
      <c r="P18" s="3"/>
    </row>
    <row r="19" spans="2:16">
      <c r="L19" s="3"/>
      <c r="M19" s="3"/>
      <c r="N19" s="3"/>
      <c r="O19" s="3"/>
      <c r="P19" s="3"/>
    </row>
    <row r="20" spans="2:16">
      <c r="L20" s="3"/>
      <c r="M20" s="3"/>
      <c r="N20" s="3"/>
      <c r="O20" s="3"/>
      <c r="P20" s="3"/>
    </row>
    <row r="21" spans="2:16">
      <c r="L21" s="3"/>
      <c r="M21" s="3"/>
      <c r="N21" s="3"/>
      <c r="O21" s="3"/>
      <c r="P21" s="3"/>
    </row>
    <row r="22" spans="2:16">
      <c r="L22" s="3"/>
      <c r="M22" s="3"/>
      <c r="N22" s="3"/>
      <c r="O22" s="3"/>
      <c r="P22" s="3"/>
    </row>
    <row r="23" spans="2:16">
      <c r="L23" s="3"/>
      <c r="M23" s="3"/>
      <c r="N23" s="3"/>
      <c r="O23" s="3"/>
      <c r="P23" s="3"/>
    </row>
    <row r="24" spans="2:16">
      <c r="L24" s="3"/>
      <c r="M24" s="3"/>
      <c r="N24" s="3"/>
      <c r="O24" s="3"/>
      <c r="P24" s="3"/>
    </row>
    <row r="25" spans="2:16">
      <c r="L25" s="3"/>
      <c r="M25" s="3"/>
      <c r="N25" s="3"/>
      <c r="O25" s="3"/>
      <c r="P25" s="3"/>
    </row>
    <row r="26" spans="2:16">
      <c r="L26" s="3"/>
      <c r="M26" s="3"/>
      <c r="N26" s="3"/>
      <c r="O26" s="3"/>
      <c r="P26" s="3"/>
    </row>
    <row r="27" spans="2:16">
      <c r="L27" s="3"/>
      <c r="M27" s="3"/>
      <c r="N27" s="3"/>
      <c r="O27" s="3"/>
      <c r="P27" s="3"/>
    </row>
    <row r="28" spans="2:16">
      <c r="L28" s="3"/>
      <c r="M28" s="3"/>
      <c r="N28" s="3"/>
      <c r="O28" s="3"/>
      <c r="P28" s="3"/>
    </row>
    <row r="29" spans="2:16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2:16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2:16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2:16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dataValidations count="3">
    <dataValidation type="list" allowBlank="1" showInputMessage="1" showErrorMessage="1" sqref="C1">
      <formula1>数据计算表!$AO$21:$AO$42</formula1>
    </dataValidation>
    <dataValidation type="list" allowBlank="1" showInputMessage="1" showErrorMessage="1" sqref="F1">
      <formula1>数据计算表!$AQ$21:$AQ$32</formula1>
    </dataValidation>
    <dataValidation type="list" allowBlank="1" showInputMessage="1" showErrorMessage="1" sqref="D6 D3:D4">
      <formula1>"有,无"</formula1>
    </dataValidation>
  </dataValidations>
  <pageMargins left="0.75" right="0.75" top="1" bottom="1" header="0.5" footer="0.5"/>
  <headerFooter/>
  <ignoredErrors>
    <ignoredError sqref="A1:B1 G3:J3 G1:J1 A2:J2 A3:A4 G4:P4 A5:P5 A6 G6:P6 A7:P32" listDataValidation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8" master="" otherUserPermission="visible"/>
  <rangeList sheetStid="2" master="" otherUserPermission="visible"/>
  <rangeList sheetStid="5" master="" otherUserPermission="visible"/>
  <rangeList sheetStid="7" master="" otherUserPermission="visible"/>
  <rangeList sheetStid="9" master="" otherUserPermission="visible"/>
  <rangeList sheetStid="10" master="" otherUserPermission="visible"/>
  <rangeList sheetStid="29" master="" otherUserPermission="visible"/>
  <rangeList sheetStid="26" master="" otherUserPermission="visible"/>
  <rangeList sheetStid="3" master="" otherUserPermission="visible"/>
  <rangeList sheetStid="12" master="" otherUserPermission="visible"/>
  <rangeList sheetStid="14" master="" otherUserPermission="visible"/>
  <rangeList sheetStid="16" master="" otherUserPermission="visible"/>
  <rangeList sheetStid="18" master="" otherUserPermission="visible"/>
  <rangeList sheetStid="21" master="" otherUserPermission="visible"/>
  <rangeList sheetStid="20" master="" otherUserPermission="visible"/>
  <rangeList sheetStid="22" master="" otherUserPermission="visible"/>
  <rangeList sheetStid="23" master="" otherUserPermission="visible"/>
  <rangeList sheetStid="24" master="" otherUserPermission="visible"/>
  <rangeList sheetStid="27" master="" otherUserPermission="visible"/>
  <rangeList sheetStid="3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秘宝大作战</vt:lpstr>
      <vt:lpstr>幻兽同调计算器</vt:lpstr>
      <vt:lpstr>数据计算表</vt:lpstr>
      <vt:lpstr>副本相关</vt:lpstr>
      <vt:lpstr>泽国星象合约计算器</vt:lpstr>
      <vt:lpstr>龙国星象合约计算器</vt:lpstr>
      <vt:lpstr>羽国星象合约计算器</vt:lpstr>
      <vt:lpstr>哈帕迪星象合约计算器</vt:lpstr>
      <vt:lpstr>羽国原初成本</vt:lpstr>
      <vt:lpstr>星眷档位</vt:lpstr>
      <vt:lpstr>开图相关</vt:lpstr>
      <vt:lpstr>道具价值</vt:lpstr>
      <vt:lpstr>合服相关</vt:lpstr>
      <vt:lpstr>幻兽</vt:lpstr>
      <vt:lpstr>伙伴相关</vt:lpstr>
      <vt:lpstr>每日委托</vt:lpstr>
      <vt:lpstr>幸运转盘</vt:lpstr>
      <vt:lpstr>强袭破甲收益</vt:lpstr>
      <vt:lpstr>伤害公式</vt:lpstr>
      <vt:lpstr>属性晨星性价比</vt:lpstr>
      <vt:lpstr>副本晨星收益计算器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99220</dc:creator>
  <cp:lastModifiedBy>音璃</cp:lastModifiedBy>
  <dcterms:created xsi:type="dcterms:W3CDTF">2025-08-04T12:41:00Z</dcterms:created>
  <dcterms:modified xsi:type="dcterms:W3CDTF">2026-06-07T02:30:57Z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true</vt:bool>
  </property>
  <property fmtid="{D5CDD505-2E9C-101B-9397-08002B2CF9AE}" pid="4" name="ICV">
    <vt:lpwstr>6116FEBC892D4652BA714049E2EB8249_13</vt:lpwstr>
  </property>
  <property fmtid="{D5CDD505-2E9C-101B-9397-08002B2CF9AE}" pid="5" name="KSOProductBuildVer">
    <vt:lpwstr>2052-12.1.0.26895</vt:lpwstr>
  </property>
</Properties>
</file>