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updateLinks="never" codeName="ThisWorkbook" defaultThemeVersion="124226"/>
  <mc:AlternateContent xmlns:mc="http://schemas.openxmlformats.org/markup-compatibility/2006">
    <mc:Choice Requires="x15">
      <x15ac:absPath xmlns:x15ac="http://schemas.microsoft.com/office/spreadsheetml/2010/11/ac" url="C:\Users\dma4abt\Documents\MAS_BSPA_Automation_Thesis\data\Input-Sheets\"/>
    </mc:Choice>
  </mc:AlternateContent>
  <xr:revisionPtr revIDLastSave="0" documentId="13_ncr:1_{F05C7672-EA13-4DEC-89AA-1BACC10F0212}" xr6:coauthVersionLast="47" xr6:coauthVersionMax="47" xr10:uidLastSave="{00000000-0000-0000-0000-000000000000}"/>
  <bookViews>
    <workbookView xWindow="-108" yWindow="-108" windowWidth="23256" windowHeight="13896" tabRatio="605" xr2:uid="{00000000-000D-0000-FFFF-FFFF00000000}"/>
  </bookViews>
  <sheets>
    <sheet name="Parameter_Template" sheetId="1" r:id="rId1"/>
    <sheet name="Features" sheetId="14" r:id="rId2"/>
    <sheet name="What is new  " sheetId="11" r:id="rId3"/>
    <sheet name="Dropdowns" sheetId="13" state="hidden" r:id="rId4"/>
    <sheet name="FAQ" sheetId="6" r:id="rId5"/>
    <sheet name="TMC Matrix" sheetId="10" state="hidden" r:id="rId6"/>
    <sheet name="acronyms" sheetId="4" state="hidden" r:id="rId7"/>
    <sheet name="Checkbox" sheetId="12" state="hidden" r:id="rId8"/>
  </sheets>
  <functionGroups builtInGroupCount="19"/>
  <definedNames>
    <definedName name="tab_3" localSheetId="1">tab_IPB_Blending_strategy[IPB Blending strategy]</definedName>
    <definedName name="tab_3">tab_IPB_Blending_strategy[IPB Blending strategy]</definedName>
    <definedName name="tab_Booster_Jump_in_variant">Dropdowns!$A$294:$G$296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69" i="1" l="1"/>
  <c r="E68" i="1"/>
  <c r="E67" i="1"/>
  <c r="E66" i="1"/>
  <c r="G93" i="1" a="1"/>
  <c r="G93" i="1" s="1"/>
  <c r="G59" i="1"/>
  <c r="Q324" i="1" a="1"/>
  <c r="S324" i="1" a="1"/>
  <c r="T324" i="1" a="1"/>
  <c r="U324" i="1" a="1"/>
  <c r="O324" i="1" a="1"/>
  <c r="I324" i="1" a="1"/>
  <c r="P324" i="1" a="1"/>
  <c r="L324" i="1" a="1"/>
  <c r="N324" i="1" a="1"/>
  <c r="K324" i="1" a="1"/>
  <c r="M324" i="1" a="1"/>
  <c r="H324" i="1" a="1"/>
  <c r="J324" i="1" a="1"/>
  <c r="G324" i="1" a="1"/>
  <c r="R324" i="1" a="1"/>
  <c r="R324" i="1" l="1"/>
  <c r="G324" i="1"/>
  <c r="O324" i="1"/>
  <c r="U324" i="1"/>
  <c r="T324" i="1"/>
  <c r="S324" i="1"/>
  <c r="Q324" i="1"/>
  <c r="H324" i="1"/>
  <c r="K324" i="1"/>
  <c r="N324" i="1"/>
  <c r="J324" i="1"/>
  <c r="M324" i="1"/>
  <c r="L324" i="1"/>
  <c r="I324" i="1"/>
  <c r="P324" i="1"/>
  <c r="M36" i="1"/>
  <c r="G36" i="1"/>
  <c r="M33" i="1"/>
  <c r="M32" i="1"/>
  <c r="M31" i="1"/>
  <c r="M30" i="1"/>
  <c r="G34" i="1"/>
  <c r="G33" i="1"/>
  <c r="G32" i="1"/>
  <c r="G31" i="1"/>
  <c r="G30" i="1"/>
  <c r="E363" i="1" l="1"/>
  <c r="H59" i="1"/>
  <c r="I59" i="1"/>
  <c r="J59" i="1"/>
  <c r="K59" i="1"/>
  <c r="L59" i="1"/>
  <c r="M59" i="1"/>
  <c r="E58" i="1" s="1"/>
  <c r="N59" i="1"/>
  <c r="O59" i="1"/>
  <c r="P59" i="1"/>
  <c r="Q59" i="1"/>
  <c r="R59" i="1"/>
  <c r="S59" i="1"/>
  <c r="T59" i="1"/>
  <c r="U59" i="1"/>
  <c r="G23" i="1" l="1"/>
  <c r="A79" i="14"/>
  <c r="A4" i="14"/>
  <c r="E171" i="1"/>
  <c r="B93" i="14"/>
  <c r="AC38" i="13" a="1"/>
  <c r="AE169" i="13" a="1"/>
  <c r="N191" i="13" a="1"/>
  <c r="H183" i="13" a="1"/>
  <c r="N191" i="13" l="1"/>
  <c r="AC38" i="13"/>
  <c r="AE169" i="13"/>
  <c r="H183" i="13"/>
  <c r="C168" i="10" l="1"/>
  <c r="D168" i="10"/>
  <c r="E168" i="10"/>
  <c r="F168" i="10"/>
  <c r="G168" i="10"/>
  <c r="H168" i="10"/>
  <c r="I168" i="10"/>
  <c r="J168" i="10"/>
  <c r="K168" i="10"/>
  <c r="L168" i="10"/>
  <c r="M168" i="10"/>
  <c r="N168" i="10"/>
  <c r="O168" i="10"/>
  <c r="P168" i="10"/>
  <c r="B168" i="10"/>
  <c r="A103" i="14" l="1"/>
  <c r="B98" i="14" l="1"/>
  <c r="A98" i="14"/>
  <c r="A93" i="14"/>
  <c r="B92" i="14"/>
  <c r="B91" i="14"/>
  <c r="A90" i="14"/>
  <c r="B90" i="14"/>
  <c r="B69" i="14"/>
  <c r="A85" i="14"/>
  <c r="A80" i="14"/>
  <c r="E168" i="1" l="1"/>
  <c r="AE167" i="1"/>
  <c r="A74" i="14" l="1"/>
  <c r="A69" i="14"/>
  <c r="A64" i="14"/>
  <c r="A59" i="14"/>
  <c r="A54" i="14"/>
  <c r="A49" i="14"/>
  <c r="A44" i="14"/>
  <c r="A39" i="14"/>
  <c r="A34" i="14"/>
  <c r="A29" i="14"/>
  <c r="A24" i="14"/>
  <c r="A19" i="14"/>
  <c r="F19" i="14" s="1"/>
  <c r="A9" i="14"/>
  <c r="B74" i="14"/>
  <c r="B64" i="14"/>
  <c r="B59" i="14"/>
  <c r="B49" i="14"/>
  <c r="B44" i="14"/>
  <c r="B39" i="14"/>
  <c r="B34" i="14"/>
  <c r="B24" i="14"/>
  <c r="B19" i="14"/>
  <c r="B14" i="14"/>
  <c r="B9" i="14"/>
  <c r="B4" i="14"/>
  <c r="F69" i="14" l="1"/>
  <c r="E538" i="1" l="1"/>
  <c r="H358" i="1" l="1"/>
  <c r="I358" i="1"/>
  <c r="J358" i="1"/>
  <c r="K358" i="1"/>
  <c r="L358" i="1"/>
  <c r="M358" i="1"/>
  <c r="N358" i="1"/>
  <c r="O358" i="1"/>
  <c r="P358" i="1"/>
  <c r="Q358" i="1"/>
  <c r="R358" i="1"/>
  <c r="S358" i="1"/>
  <c r="T358" i="1"/>
  <c r="U358" i="1"/>
  <c r="G358" i="1"/>
  <c r="H341" i="1"/>
  <c r="I341" i="1"/>
  <c r="J341" i="1"/>
  <c r="K341" i="1"/>
  <c r="L341" i="1"/>
  <c r="M341" i="1"/>
  <c r="N341" i="1"/>
  <c r="O341" i="1"/>
  <c r="P341" i="1"/>
  <c r="Q341" i="1"/>
  <c r="R341" i="1"/>
  <c r="S341" i="1"/>
  <c r="T341" i="1"/>
  <c r="U341" i="1"/>
  <c r="G341" i="1"/>
  <c r="E166" i="1"/>
  <c r="E56" i="1"/>
  <c r="E87" i="1" l="1"/>
  <c r="E357" i="1" l="1"/>
  <c r="E340" i="1"/>
  <c r="M21" i="1"/>
  <c r="M20" i="1"/>
  <c r="T44" i="1" s="1"/>
  <c r="M19" i="1"/>
  <c r="S44" i="1" s="1"/>
  <c r="M18" i="1"/>
  <c r="R44" i="1" s="1"/>
  <c r="M17" i="1"/>
  <c r="Q44" i="1" s="1"/>
  <c r="M16" i="1"/>
  <c r="P44" i="1" s="1"/>
  <c r="M15" i="1"/>
  <c r="O44" i="1" s="1"/>
  <c r="M14" i="1"/>
  <c r="N44" i="1" s="1"/>
  <c r="M44" i="1"/>
  <c r="K44" i="1"/>
  <c r="J44" i="1"/>
  <c r="I44" i="1"/>
  <c r="H44" i="1"/>
  <c r="G44" i="1"/>
  <c r="E323" i="1"/>
  <c r="E322" i="1"/>
  <c r="E321" i="1"/>
  <c r="E320" i="1"/>
  <c r="E319" i="1"/>
  <c r="E318" i="1"/>
  <c r="E317" i="1"/>
  <c r="E316" i="1"/>
  <c r="E315" i="1"/>
  <c r="E314" i="1"/>
  <c r="E313" i="1"/>
  <c r="E312" i="1"/>
  <c r="E311" i="1"/>
  <c r="U89" i="1"/>
  <c r="T89" i="1"/>
  <c r="S89" i="1"/>
  <c r="R89" i="1"/>
  <c r="Q89" i="1"/>
  <c r="P89" i="1"/>
  <c r="O89" i="1"/>
  <c r="N89" i="1"/>
  <c r="E81" i="1"/>
  <c r="E80" i="1"/>
  <c r="G362" i="1"/>
  <c r="H362" i="1"/>
  <c r="I362" i="1"/>
  <c r="J362" i="1"/>
  <c r="K362" i="1"/>
  <c r="L362" i="1"/>
  <c r="M362" i="1"/>
  <c r="N362" i="1"/>
  <c r="O362" i="1"/>
  <c r="P362" i="1"/>
  <c r="Q362" i="1"/>
  <c r="R362" i="1"/>
  <c r="S362" i="1"/>
  <c r="T362" i="1"/>
  <c r="U362" i="1"/>
  <c r="E156" i="1"/>
  <c r="E157" i="1"/>
  <c r="E158" i="1"/>
  <c r="E160" i="1"/>
  <c r="E161" i="1"/>
  <c r="E162" i="1"/>
  <c r="B501" i="1"/>
  <c r="B465" i="1"/>
  <c r="U84" i="1"/>
  <c r="T84" i="1"/>
  <c r="S84" i="1"/>
  <c r="R84" i="1"/>
  <c r="Q84" i="1"/>
  <c r="P84" i="1"/>
  <c r="O84" i="1"/>
  <c r="N84" i="1"/>
  <c r="M84" i="1"/>
  <c r="E83" i="1" s="1"/>
  <c r="L84" i="1"/>
  <c r="K84" i="1"/>
  <c r="J84" i="1"/>
  <c r="I84" i="1"/>
  <c r="H84" i="1"/>
  <c r="G84" i="1"/>
  <c r="E375" i="1"/>
  <c r="B343" i="1"/>
  <c r="B429" i="1"/>
  <c r="S10" i="13"/>
  <c r="S6" i="13"/>
  <c r="G92" i="1" a="1"/>
  <c r="G92" i="1" s="1"/>
  <c r="AE109" i="1"/>
  <c r="AC167" i="1"/>
  <c r="AD167" i="1"/>
  <c r="AF167" i="1"/>
  <c r="AG167" i="1"/>
  <c r="AH167" i="1"/>
  <c r="AI167" i="1"/>
  <c r="AJ167" i="1"/>
  <c r="AK167" i="1"/>
  <c r="AL167" i="1"/>
  <c r="AM167" i="1"/>
  <c r="AN167" i="1"/>
  <c r="AO167" i="1"/>
  <c r="AP167" i="1"/>
  <c r="AB167" i="1"/>
  <c r="C59" i="10"/>
  <c r="D59" i="10"/>
  <c r="E59" i="10"/>
  <c r="F59" i="10"/>
  <c r="G59" i="10"/>
  <c r="H59" i="10"/>
  <c r="I59" i="10"/>
  <c r="J59" i="10"/>
  <c r="K59" i="10"/>
  <c r="L59" i="10"/>
  <c r="M59" i="10"/>
  <c r="N59" i="10"/>
  <c r="O59" i="10"/>
  <c r="P59" i="10"/>
  <c r="B59" i="10"/>
  <c r="C56" i="10"/>
  <c r="D56" i="10"/>
  <c r="E56" i="10"/>
  <c r="F56" i="10"/>
  <c r="G56" i="10"/>
  <c r="H56" i="10"/>
  <c r="I56" i="10"/>
  <c r="J56" i="10"/>
  <c r="K56" i="10"/>
  <c r="L56" i="10"/>
  <c r="M56" i="10"/>
  <c r="N56" i="10"/>
  <c r="O56" i="10"/>
  <c r="P56" i="10"/>
  <c r="C57" i="10"/>
  <c r="D57" i="10"/>
  <c r="E57" i="10"/>
  <c r="F57" i="10"/>
  <c r="G57" i="10"/>
  <c r="H57" i="10"/>
  <c r="I57" i="10"/>
  <c r="J57" i="10"/>
  <c r="K57" i="10"/>
  <c r="L57" i="10"/>
  <c r="M57" i="10"/>
  <c r="N57" i="10"/>
  <c r="O57" i="10"/>
  <c r="P57" i="10"/>
  <c r="B57" i="10"/>
  <c r="B56" i="10"/>
  <c r="B53" i="10"/>
  <c r="C27" i="10"/>
  <c r="D27" i="10"/>
  <c r="E27" i="10"/>
  <c r="F27" i="10"/>
  <c r="G27" i="10"/>
  <c r="H27" i="10"/>
  <c r="I27" i="10"/>
  <c r="J27" i="10"/>
  <c r="K27" i="10"/>
  <c r="L27" i="10"/>
  <c r="M27" i="10"/>
  <c r="N27" i="10"/>
  <c r="O27" i="10"/>
  <c r="P27" i="10"/>
  <c r="B27" i="10"/>
  <c r="C5" i="10"/>
  <c r="D5" i="10"/>
  <c r="E5" i="10"/>
  <c r="F5" i="10"/>
  <c r="G5" i="10"/>
  <c r="H5" i="10"/>
  <c r="I5" i="10"/>
  <c r="J5" i="10"/>
  <c r="K5" i="10"/>
  <c r="L5" i="10"/>
  <c r="M5" i="10"/>
  <c r="N5" i="10"/>
  <c r="O5" i="10"/>
  <c r="P5" i="10"/>
  <c r="B5" i="10"/>
  <c r="N111" i="1"/>
  <c r="O111" i="1"/>
  <c r="P111" i="1"/>
  <c r="Q111" i="1"/>
  <c r="R111" i="1"/>
  <c r="S111" i="1"/>
  <c r="T111" i="1"/>
  <c r="U111" i="1"/>
  <c r="N110" i="1"/>
  <c r="O110" i="1"/>
  <c r="P110" i="1"/>
  <c r="Q110" i="1"/>
  <c r="R110" i="1"/>
  <c r="S110" i="1"/>
  <c r="T110" i="1"/>
  <c r="U110" i="1"/>
  <c r="E346" i="1"/>
  <c r="E347" i="1"/>
  <c r="E348" i="1"/>
  <c r="E349" i="1"/>
  <c r="E350" i="1"/>
  <c r="E351" i="1"/>
  <c r="E352" i="1"/>
  <c r="E353" i="1"/>
  <c r="E354" i="1"/>
  <c r="E355" i="1"/>
  <c r="E356" i="1"/>
  <c r="E345" i="1"/>
  <c r="G4" i="12"/>
  <c r="E108" i="1" s="1"/>
  <c r="D4" i="12"/>
  <c r="A4" i="12"/>
  <c r="AQ107" i="1"/>
  <c r="AP107" i="1"/>
  <c r="AO107" i="1"/>
  <c r="AN107" i="1"/>
  <c r="AM107" i="1"/>
  <c r="AL107" i="1"/>
  <c r="AK107" i="1"/>
  <c r="AJ107" i="1"/>
  <c r="AI107" i="1"/>
  <c r="AH107" i="1"/>
  <c r="AG107" i="1"/>
  <c r="AF107" i="1"/>
  <c r="AE107" i="1"/>
  <c r="AD107" i="1"/>
  <c r="AC107" i="1"/>
  <c r="E107" i="1"/>
  <c r="E560" i="1"/>
  <c r="E559" i="1"/>
  <c r="E178" i="1"/>
  <c r="E177" i="1"/>
  <c r="G61" i="6"/>
  <c r="H99" i="1" s="1"/>
  <c r="H61" i="6"/>
  <c r="I99" i="1" s="1"/>
  <c r="I61" i="6"/>
  <c r="J99" i="1" s="1"/>
  <c r="J61" i="6"/>
  <c r="K99" i="1" s="1"/>
  <c r="K61" i="6"/>
  <c r="L99" i="1" s="1"/>
  <c r="L61" i="6"/>
  <c r="M99" i="1" s="1"/>
  <c r="M61" i="6"/>
  <c r="N99" i="1" s="1"/>
  <c r="N61" i="6"/>
  <c r="O99" i="1" s="1"/>
  <c r="O61" i="6"/>
  <c r="P99" i="1" s="1"/>
  <c r="P61" i="6"/>
  <c r="Q99" i="1" s="1"/>
  <c r="Q61" i="6"/>
  <c r="R99" i="1" s="1"/>
  <c r="R61" i="6"/>
  <c r="S99" i="1" s="1"/>
  <c r="S61" i="6"/>
  <c r="T99" i="1" s="1"/>
  <c r="T61" i="6"/>
  <c r="U99" i="1" s="1"/>
  <c r="G60" i="6"/>
  <c r="H98" i="1" s="1"/>
  <c r="H60" i="6"/>
  <c r="I98" i="1" s="1"/>
  <c r="I60" i="6"/>
  <c r="J98" i="1" s="1"/>
  <c r="J60" i="6"/>
  <c r="K98" i="1" s="1"/>
  <c r="K60" i="6"/>
  <c r="L98" i="1" s="1"/>
  <c r="L60" i="6"/>
  <c r="M98" i="1" s="1"/>
  <c r="M60" i="6"/>
  <c r="N98" i="1" s="1"/>
  <c r="N60" i="6"/>
  <c r="O98" i="1" s="1"/>
  <c r="O60" i="6"/>
  <c r="P98" i="1" s="1"/>
  <c r="P60" i="6"/>
  <c r="Q98" i="1" s="1"/>
  <c r="Q60" i="6"/>
  <c r="R98" i="1" s="1"/>
  <c r="R60" i="6"/>
  <c r="S98" i="1" s="1"/>
  <c r="S60" i="6"/>
  <c r="T98" i="1" s="1"/>
  <c r="T60" i="6"/>
  <c r="U98" i="1" s="1"/>
  <c r="G59" i="6"/>
  <c r="H97" i="1" s="1"/>
  <c r="H59" i="6"/>
  <c r="I97" i="1" s="1"/>
  <c r="I59" i="6"/>
  <c r="J97" i="1" s="1"/>
  <c r="J59" i="6"/>
  <c r="K97" i="1" s="1"/>
  <c r="K59" i="6"/>
  <c r="L97" i="1" s="1"/>
  <c r="L59" i="6"/>
  <c r="M97" i="1" s="1"/>
  <c r="M59" i="6"/>
  <c r="N97" i="1" s="1"/>
  <c r="N59" i="6"/>
  <c r="O97" i="1" s="1"/>
  <c r="O59" i="6"/>
  <c r="P97" i="1" s="1"/>
  <c r="P59" i="6"/>
  <c r="Q97" i="1" s="1"/>
  <c r="Q59" i="6"/>
  <c r="R97" i="1" s="1"/>
  <c r="R59" i="6"/>
  <c r="S97" i="1" s="1"/>
  <c r="S59" i="6"/>
  <c r="T97" i="1" s="1"/>
  <c r="T59" i="6"/>
  <c r="U97" i="1" s="1"/>
  <c r="T58" i="6"/>
  <c r="U96" i="1" s="1"/>
  <c r="G58" i="6"/>
  <c r="H96" i="1" s="1"/>
  <c r="H58" i="6"/>
  <c r="I96" i="1" s="1"/>
  <c r="I58" i="6"/>
  <c r="J96" i="1" s="1"/>
  <c r="J58" i="6"/>
  <c r="K96" i="1" s="1"/>
  <c r="K58" i="6"/>
  <c r="L96" i="1" s="1"/>
  <c r="L58" i="6"/>
  <c r="M96" i="1" s="1"/>
  <c r="M58" i="6"/>
  <c r="N96" i="1" s="1"/>
  <c r="N58" i="6"/>
  <c r="O96" i="1" s="1"/>
  <c r="O58" i="6"/>
  <c r="P96" i="1" s="1"/>
  <c r="P58" i="6"/>
  <c r="Q96" i="1" s="1"/>
  <c r="Q58" i="6"/>
  <c r="R96" i="1" s="1"/>
  <c r="R58" i="6"/>
  <c r="S96" i="1" s="1"/>
  <c r="S58" i="6"/>
  <c r="T96" i="1" s="1"/>
  <c r="F59" i="6"/>
  <c r="G97" i="1" s="1"/>
  <c r="F61" i="6"/>
  <c r="G99" i="1" s="1"/>
  <c r="F60" i="6"/>
  <c r="G98" i="1" s="1"/>
  <c r="F58" i="6"/>
  <c r="G96" i="1" s="1"/>
  <c r="E229" i="1"/>
  <c r="E228" i="1"/>
  <c r="E85" i="1"/>
  <c r="AG553" i="1"/>
  <c r="AH553" i="1"/>
  <c r="AI553" i="1"/>
  <c r="AJ553" i="1"/>
  <c r="AK553" i="1"/>
  <c r="AL553" i="1"/>
  <c r="AM553" i="1"/>
  <c r="AN553" i="1"/>
  <c r="AO553" i="1"/>
  <c r="AP553" i="1"/>
  <c r="AQ553" i="1"/>
  <c r="AR553" i="1"/>
  <c r="AS553" i="1"/>
  <c r="AT553" i="1"/>
  <c r="AF553" i="1"/>
  <c r="AG554" i="1"/>
  <c r="AH554" i="1"/>
  <c r="AI554" i="1"/>
  <c r="AJ554" i="1"/>
  <c r="AK554" i="1"/>
  <c r="AL554" i="1"/>
  <c r="AM554" i="1"/>
  <c r="AN554" i="1"/>
  <c r="AO554" i="1"/>
  <c r="AP554" i="1"/>
  <c r="AQ554" i="1"/>
  <c r="AR554" i="1"/>
  <c r="AS554" i="1"/>
  <c r="AT554" i="1"/>
  <c r="AF554" i="1"/>
  <c r="AG555" i="1"/>
  <c r="AH555" i="1"/>
  <c r="AI555" i="1"/>
  <c r="AJ555" i="1"/>
  <c r="AK555" i="1"/>
  <c r="AL555" i="1"/>
  <c r="AM555" i="1"/>
  <c r="AN555" i="1"/>
  <c r="AO555" i="1"/>
  <c r="AP555" i="1"/>
  <c r="AQ555" i="1"/>
  <c r="AR555" i="1"/>
  <c r="AS555" i="1"/>
  <c r="AT555" i="1"/>
  <c r="AF555" i="1"/>
  <c r="E338" i="1"/>
  <c r="E339" i="1"/>
  <c r="E337" i="1"/>
  <c r="E336" i="1"/>
  <c r="E335" i="1"/>
  <c r="E334" i="1"/>
  <c r="E333" i="1"/>
  <c r="E332" i="1"/>
  <c r="E331" i="1"/>
  <c r="Z53" i="1"/>
  <c r="E53" i="1" s="1"/>
  <c r="E371" i="1"/>
  <c r="E370" i="1"/>
  <c r="E374" i="1"/>
  <c r="E365" i="1"/>
  <c r="E364" i="1"/>
  <c r="E182" i="1"/>
  <c r="E181" i="1"/>
  <c r="E154" i="1"/>
  <c r="E153" i="1"/>
  <c r="E152" i="1"/>
  <c r="E151" i="1"/>
  <c r="E150" i="1"/>
  <c r="E149" i="1"/>
  <c r="E148" i="1"/>
  <c r="E147" i="1"/>
  <c r="E146" i="1"/>
  <c r="E79" i="1"/>
  <c r="E65" i="1"/>
  <c r="E64" i="1"/>
  <c r="E63" i="1"/>
  <c r="E62" i="1"/>
  <c r="E61" i="1"/>
  <c r="E60" i="1"/>
  <c r="E57" i="1"/>
  <c r="E55" i="1"/>
  <c r="E52" i="1"/>
  <c r="E51" i="1"/>
  <c r="E329" i="1"/>
  <c r="E330" i="1"/>
  <c r="E328" i="1"/>
  <c r="E540" i="1"/>
  <c r="E402" i="1"/>
  <c r="E403" i="1"/>
  <c r="E404" i="1"/>
  <c r="E405" i="1"/>
  <c r="E406" i="1"/>
  <c r="E407" i="1"/>
  <c r="E408" i="1"/>
  <c r="E409" i="1"/>
  <c r="E410" i="1"/>
  <c r="E411" i="1"/>
  <c r="E401" i="1"/>
  <c r="E396" i="1"/>
  <c r="E395" i="1"/>
  <c r="E394" i="1"/>
  <c r="E390" i="1"/>
  <c r="E389" i="1"/>
  <c r="Z54" i="1"/>
  <c r="E54" i="1" s="1"/>
  <c r="F107" i="6"/>
  <c r="F108" i="6"/>
  <c r="F109" i="6"/>
  <c r="F110" i="6"/>
  <c r="F111" i="6"/>
  <c r="F112" i="6"/>
  <c r="F113" i="6"/>
  <c r="F114" i="6"/>
  <c r="F115" i="6"/>
  <c r="F116" i="6"/>
  <c r="F117" i="6"/>
  <c r="F106" i="6"/>
  <c r="C107" i="6"/>
  <c r="C108" i="6"/>
  <c r="C109" i="6"/>
  <c r="C110" i="6"/>
  <c r="C111" i="6"/>
  <c r="C112" i="6"/>
  <c r="C113" i="6"/>
  <c r="C114" i="6"/>
  <c r="C115" i="6"/>
  <c r="C116" i="6"/>
  <c r="C117" i="6"/>
  <c r="C106" i="6"/>
  <c r="F45" i="6"/>
  <c r="R55" i="6"/>
  <c r="S95" i="1" s="1"/>
  <c r="S55" i="6"/>
  <c r="T95" i="1" s="1"/>
  <c r="T55" i="6"/>
  <c r="U95" i="1" s="1"/>
  <c r="R54" i="6"/>
  <c r="S94" i="1" s="1"/>
  <c r="S54" i="6"/>
  <c r="T94" i="1" s="1"/>
  <c r="T54" i="6"/>
  <c r="U94" i="1" s="1"/>
  <c r="G45" i="6"/>
  <c r="H45" i="6"/>
  <c r="I45" i="6"/>
  <c r="J45" i="6"/>
  <c r="K45" i="6"/>
  <c r="L45" i="6"/>
  <c r="M45" i="6"/>
  <c r="N45" i="6"/>
  <c r="O45" i="6"/>
  <c r="P45" i="6"/>
  <c r="Q45" i="6"/>
  <c r="R45" i="6"/>
  <c r="S45" i="6"/>
  <c r="T45" i="6"/>
  <c r="G46" i="6"/>
  <c r="H46" i="6"/>
  <c r="I46" i="6"/>
  <c r="J46" i="6"/>
  <c r="K46" i="6"/>
  <c r="L46" i="6"/>
  <c r="M46" i="6"/>
  <c r="N46" i="6"/>
  <c r="O46" i="6"/>
  <c r="P46" i="6"/>
  <c r="Q46" i="6"/>
  <c r="R46" i="6"/>
  <c r="S46" i="6"/>
  <c r="T46" i="6"/>
  <c r="F46" i="6"/>
  <c r="G55" i="6"/>
  <c r="H55" i="6"/>
  <c r="I55" i="6"/>
  <c r="J55" i="6"/>
  <c r="K55" i="6"/>
  <c r="L55" i="6"/>
  <c r="M55" i="6"/>
  <c r="N95" i="1" s="1"/>
  <c r="N55" i="6"/>
  <c r="O95" i="1" s="1"/>
  <c r="O55" i="6"/>
  <c r="P95" i="1" s="1"/>
  <c r="P55" i="6"/>
  <c r="Q95" i="1" s="1"/>
  <c r="Q55" i="6"/>
  <c r="R95" i="1" s="1"/>
  <c r="F55" i="6"/>
  <c r="G54" i="6"/>
  <c r="H54" i="6"/>
  <c r="I54" i="6"/>
  <c r="J54" i="6"/>
  <c r="K54" i="6"/>
  <c r="L54" i="6"/>
  <c r="M54" i="6"/>
  <c r="N94" i="1" s="1"/>
  <c r="N54" i="6"/>
  <c r="O94" i="1" s="1"/>
  <c r="O54" i="6"/>
  <c r="P94" i="1" s="1"/>
  <c r="P54" i="6"/>
  <c r="Q94" i="1" s="1"/>
  <c r="Q54" i="6"/>
  <c r="R94" i="1" s="1"/>
  <c r="F54" i="6"/>
  <c r="E82" i="1" l="1"/>
  <c r="J159" i="10"/>
  <c r="J160" i="10"/>
  <c r="I159" i="10"/>
  <c r="I160" i="10"/>
  <c r="H159" i="10"/>
  <c r="H160" i="10"/>
  <c r="P160" i="10"/>
  <c r="P159" i="10"/>
  <c r="G160" i="10"/>
  <c r="G159" i="10"/>
  <c r="E159" i="10"/>
  <c r="E160" i="10"/>
  <c r="K159" i="10"/>
  <c r="K160" i="10"/>
  <c r="F160" i="10"/>
  <c r="F159" i="10"/>
  <c r="D159" i="10"/>
  <c r="D160" i="10"/>
  <c r="N159" i="10"/>
  <c r="N160" i="10"/>
  <c r="M159" i="10"/>
  <c r="M160" i="10"/>
  <c r="L159" i="10"/>
  <c r="L160" i="10"/>
  <c r="O160" i="10"/>
  <c r="O159" i="10"/>
  <c r="C159" i="10"/>
  <c r="C160" i="10"/>
  <c r="B160" i="10"/>
  <c r="B159" i="10"/>
  <c r="L44" i="1"/>
  <c r="L367" i="1" s="1"/>
  <c r="U44" i="1"/>
  <c r="U164" i="1" s="1"/>
  <c r="D135" i="10"/>
  <c r="D134" i="10"/>
  <c r="C135" i="10"/>
  <c r="C134" i="10"/>
  <c r="P134" i="10"/>
  <c r="P135" i="10"/>
  <c r="O134" i="10"/>
  <c r="O135" i="10"/>
  <c r="N134" i="10"/>
  <c r="N135" i="10"/>
  <c r="M135" i="10"/>
  <c r="M134" i="10"/>
  <c r="L135" i="10"/>
  <c r="L134" i="10"/>
  <c r="K134" i="10"/>
  <c r="K135" i="10"/>
  <c r="J135" i="10"/>
  <c r="J134" i="10"/>
  <c r="I134" i="10"/>
  <c r="I135" i="10"/>
  <c r="H135" i="10"/>
  <c r="H134" i="10"/>
  <c r="G135" i="10"/>
  <c r="G134" i="10"/>
  <c r="F134" i="10"/>
  <c r="F135" i="10"/>
  <c r="E134" i="10"/>
  <c r="E135" i="10"/>
  <c r="B134" i="10"/>
  <c r="B135" i="10"/>
  <c r="B68" i="10"/>
  <c r="B69" i="10"/>
  <c r="I69" i="10"/>
  <c r="I68" i="10"/>
  <c r="J68" i="10"/>
  <c r="J69" i="10"/>
  <c r="P69" i="10"/>
  <c r="P68" i="10"/>
  <c r="H69" i="10"/>
  <c r="H68" i="10"/>
  <c r="O48" i="10"/>
  <c r="O69" i="10"/>
  <c r="O68" i="10"/>
  <c r="G48" i="10"/>
  <c r="G69" i="10"/>
  <c r="G68" i="10"/>
  <c r="N68" i="10"/>
  <c r="N69" i="10"/>
  <c r="F68" i="10"/>
  <c r="F69" i="10"/>
  <c r="L69" i="10"/>
  <c r="L68" i="10"/>
  <c r="D69" i="10"/>
  <c r="D68" i="10"/>
  <c r="M68" i="10"/>
  <c r="M69" i="10"/>
  <c r="E68" i="10"/>
  <c r="E69" i="10"/>
  <c r="K68" i="10"/>
  <c r="K69" i="10"/>
  <c r="C69" i="10"/>
  <c r="C68" i="10"/>
  <c r="K48" i="10"/>
  <c r="C48" i="10"/>
  <c r="J48" i="10"/>
  <c r="B48" i="10"/>
  <c r="I48" i="10"/>
  <c r="P48" i="10"/>
  <c r="H48" i="10"/>
  <c r="N48" i="10"/>
  <c r="F48" i="10"/>
  <c r="M48" i="10"/>
  <c r="E48" i="10"/>
  <c r="L48" i="10"/>
  <c r="D48" i="10"/>
  <c r="J49" i="10"/>
  <c r="B49" i="10"/>
  <c r="I49" i="10"/>
  <c r="P49" i="10"/>
  <c r="H49" i="10"/>
  <c r="N49" i="10"/>
  <c r="F49" i="10"/>
  <c r="O49" i="10"/>
  <c r="M49" i="10"/>
  <c r="E49" i="10"/>
  <c r="G49" i="10"/>
  <c r="L49" i="10"/>
  <c r="D49" i="10"/>
  <c r="K49" i="10"/>
  <c r="C49" i="10"/>
  <c r="O58" i="10"/>
  <c r="O72" i="10" s="1"/>
  <c r="G58" i="10"/>
  <c r="G74" i="10" s="1"/>
  <c r="N58" i="10"/>
  <c r="N72" i="10" s="1"/>
  <c r="P58" i="10"/>
  <c r="P73" i="10" s="1"/>
  <c r="H58" i="10"/>
  <c r="H73" i="10" s="1"/>
  <c r="E539" i="1"/>
  <c r="B58" i="10"/>
  <c r="B73" i="10" s="1"/>
  <c r="J58" i="10"/>
  <c r="J74" i="10" s="1"/>
  <c r="L58" i="10"/>
  <c r="L73" i="10" s="1"/>
  <c r="M58" i="10"/>
  <c r="M73" i="10" s="1"/>
  <c r="K58" i="10"/>
  <c r="K72" i="10" s="1"/>
  <c r="C58" i="10"/>
  <c r="C74" i="10" s="1"/>
  <c r="I58" i="10"/>
  <c r="I72" i="10" s="1"/>
  <c r="AC108" i="1"/>
  <c r="AR167" i="1"/>
  <c r="E167" i="1" s="1"/>
  <c r="AV553" i="1"/>
  <c r="AV554" i="1"/>
  <c r="E58" i="10"/>
  <c r="E73" i="10" s="1"/>
  <c r="AV555" i="1"/>
  <c r="F58" i="10"/>
  <c r="F73" i="10" s="1"/>
  <c r="D58" i="10"/>
  <c r="D74" i="10" s="1"/>
  <c r="H231" i="1"/>
  <c r="H367" i="1"/>
  <c r="H550" i="1"/>
  <c r="H465" i="1"/>
  <c r="H173" i="1"/>
  <c r="H144" i="1"/>
  <c r="H536" i="1"/>
  <c r="H429" i="1"/>
  <c r="H101" i="1"/>
  <c r="H359" i="1"/>
  <c r="H226" i="1"/>
  <c r="H564" i="1"/>
  <c r="H342" i="1"/>
  <c r="H105" i="1"/>
  <c r="H501" i="1"/>
  <c r="H164" i="1"/>
  <c r="H398" i="1"/>
  <c r="N325" i="1"/>
  <c r="N173" i="1"/>
  <c r="N342" i="1"/>
  <c r="N226" i="1"/>
  <c r="N105" i="1"/>
  <c r="N536" i="1"/>
  <c r="N101" i="1"/>
  <c r="N550" i="1"/>
  <c r="N359" i="1"/>
  <c r="N144" i="1"/>
  <c r="N465" i="1"/>
  <c r="N398" i="1"/>
  <c r="N367" i="1"/>
  <c r="N501" i="1"/>
  <c r="N429" i="1"/>
  <c r="N564" i="1"/>
  <c r="N164" i="1"/>
  <c r="O307" i="1"/>
  <c r="O367" i="1"/>
  <c r="O164" i="1"/>
  <c r="H307" i="1"/>
  <c r="P231" i="1"/>
  <c r="P164" i="1"/>
  <c r="P342" i="1"/>
  <c r="P226" i="1"/>
  <c r="P359" i="1"/>
  <c r="P550" i="1"/>
  <c r="P144" i="1"/>
  <c r="P501" i="1"/>
  <c r="P173" i="1"/>
  <c r="P101" i="1"/>
  <c r="P105" i="1"/>
  <c r="P564" i="1"/>
  <c r="P429" i="1"/>
  <c r="P307" i="1"/>
  <c r="P465" i="1"/>
  <c r="P398" i="1"/>
  <c r="P536" i="1"/>
  <c r="P367" i="1"/>
  <c r="G307" i="1"/>
  <c r="G359" i="1"/>
  <c r="G367" i="1"/>
  <c r="G325" i="1"/>
  <c r="G231" i="1"/>
  <c r="G144" i="1"/>
  <c r="G550" i="1"/>
  <c r="G342" i="1"/>
  <c r="G501" i="1"/>
  <c r="G536" i="1"/>
  <c r="G101" i="1"/>
  <c r="G429" i="1"/>
  <c r="G564" i="1"/>
  <c r="G465" i="1"/>
  <c r="G173" i="1"/>
  <c r="G105" i="1"/>
  <c r="G226" i="1"/>
  <c r="G164" i="1"/>
  <c r="G398" i="1"/>
  <c r="T325" i="1"/>
  <c r="T164" i="1"/>
  <c r="T101" i="1"/>
  <c r="T465" i="1"/>
  <c r="T536" i="1"/>
  <c r="T550" i="1"/>
  <c r="T359" i="1"/>
  <c r="T501" i="1"/>
  <c r="T342" i="1"/>
  <c r="T173" i="1"/>
  <c r="T429" i="1"/>
  <c r="T226" i="1"/>
  <c r="T398" i="1"/>
  <c r="T367" i="1"/>
  <c r="O144" i="1"/>
  <c r="O564" i="1"/>
  <c r="O465" i="1"/>
  <c r="O173" i="1"/>
  <c r="O359" i="1"/>
  <c r="O342" i="1"/>
  <c r="O550" i="1"/>
  <c r="O226" i="1"/>
  <c r="O101" i="1"/>
  <c r="O501" i="1"/>
  <c r="O325" i="1"/>
  <c r="O536" i="1"/>
  <c r="O398" i="1"/>
  <c r="O105" i="1"/>
  <c r="O429" i="1"/>
  <c r="O231" i="1"/>
  <c r="R429" i="1"/>
  <c r="R536" i="1"/>
  <c r="R367" i="1"/>
  <c r="R342" i="1"/>
  <c r="R105" i="1"/>
  <c r="R164" i="1"/>
  <c r="R465" i="1"/>
  <c r="R398" i="1"/>
  <c r="R226" i="1"/>
  <c r="R501" i="1"/>
  <c r="R101" i="1"/>
  <c r="R564" i="1"/>
  <c r="R173" i="1"/>
  <c r="R325" i="1"/>
  <c r="R231" i="1"/>
  <c r="R550" i="1"/>
  <c r="R307" i="1"/>
  <c r="R144" i="1"/>
  <c r="R359" i="1"/>
  <c r="S429" i="1"/>
  <c r="S325" i="1"/>
  <c r="S536" i="1"/>
  <c r="S465" i="1"/>
  <c r="S173" i="1"/>
  <c r="S164" i="1"/>
  <c r="S359" i="1"/>
  <c r="S342" i="1"/>
  <c r="S101" i="1"/>
  <c r="S550" i="1"/>
  <c r="S231" i="1"/>
  <c r="S367" i="1"/>
  <c r="S501" i="1"/>
  <c r="S144" i="1"/>
  <c r="S564" i="1"/>
  <c r="S307" i="1"/>
  <c r="S398" i="1"/>
  <c r="S226" i="1"/>
  <c r="S105" i="1"/>
  <c r="N92" i="1"/>
  <c r="I92" i="1"/>
  <c r="S92" i="1"/>
  <c r="M92" i="1"/>
  <c r="K92" i="1"/>
  <c r="T92" i="1"/>
  <c r="H92" i="1"/>
  <c r="L92" i="1"/>
  <c r="R92" i="1"/>
  <c r="O92" i="1"/>
  <c r="J92" i="1"/>
  <c r="Q92" i="1"/>
  <c r="U92" i="1"/>
  <c r="P92" i="1"/>
  <c r="S93" i="1"/>
  <c r="J93" i="1"/>
  <c r="K93" i="1"/>
  <c r="Q93" i="1"/>
  <c r="H93" i="1"/>
  <c r="I93" i="1"/>
  <c r="P93" i="1"/>
  <c r="N93" i="1"/>
  <c r="T93" i="1"/>
  <c r="R93" i="1"/>
  <c r="U93" i="1"/>
  <c r="M93" i="1"/>
  <c r="L93" i="1"/>
  <c r="O93" i="1"/>
  <c r="J429" i="1"/>
  <c r="J226" i="1"/>
  <c r="J367" i="1"/>
  <c r="J550" i="1"/>
  <c r="J564" i="1"/>
  <c r="J164" i="1"/>
  <c r="J501" i="1"/>
  <c r="J342" i="1"/>
  <c r="J101" i="1"/>
  <c r="J105" i="1"/>
  <c r="J398" i="1"/>
  <c r="J325" i="1"/>
  <c r="J231" i="1"/>
  <c r="J465" i="1"/>
  <c r="J173" i="1"/>
  <c r="J536" i="1"/>
  <c r="J359" i="1"/>
  <c r="J307" i="1"/>
  <c r="J144" i="1"/>
  <c r="I307" i="1"/>
  <c r="I367" i="1"/>
  <c r="I536" i="1"/>
  <c r="I173" i="1"/>
  <c r="I398" i="1"/>
  <c r="I501" i="1"/>
  <c r="I564" i="1"/>
  <c r="I359" i="1"/>
  <c r="I325" i="1"/>
  <c r="I226" i="1"/>
  <c r="I105" i="1"/>
  <c r="I164" i="1"/>
  <c r="I342" i="1"/>
  <c r="I101" i="1"/>
  <c r="I550" i="1"/>
  <c r="I429" i="1"/>
  <c r="I465" i="1"/>
  <c r="I144" i="1"/>
  <c r="I231" i="1"/>
  <c r="K398" i="1"/>
  <c r="K550" i="1"/>
  <c r="K101" i="1"/>
  <c r="K173" i="1"/>
  <c r="K105" i="1"/>
  <c r="K325" i="1"/>
  <c r="K465" i="1"/>
  <c r="K342" i="1"/>
  <c r="K564" i="1"/>
  <c r="K536" i="1"/>
  <c r="K231" i="1"/>
  <c r="K144" i="1"/>
  <c r="K367" i="1"/>
  <c r="K429" i="1"/>
  <c r="K164" i="1"/>
  <c r="K307" i="1"/>
  <c r="K359" i="1"/>
  <c r="K226" i="1"/>
  <c r="K501" i="1"/>
  <c r="M465" i="1"/>
  <c r="M105" i="1"/>
  <c r="M564" i="1"/>
  <c r="M226" i="1"/>
  <c r="M231" i="1"/>
  <c r="M173" i="1"/>
  <c r="M398" i="1"/>
  <c r="M307" i="1"/>
  <c r="M101" i="1"/>
  <c r="M325" i="1"/>
  <c r="M367" i="1"/>
  <c r="M342" i="1"/>
  <c r="M536" i="1"/>
  <c r="M429" i="1"/>
  <c r="M359" i="1"/>
  <c r="M144" i="1"/>
  <c r="M550" i="1"/>
  <c r="M164" i="1"/>
  <c r="M501" i="1"/>
  <c r="Q307" i="1"/>
  <c r="Q164" i="1"/>
  <c r="Q398" i="1"/>
  <c r="Q101" i="1"/>
  <c r="Q536" i="1"/>
  <c r="Q325" i="1"/>
  <c r="Q144" i="1"/>
  <c r="Q465" i="1"/>
  <c r="Q550" i="1"/>
  <c r="Q173" i="1"/>
  <c r="Q226" i="1"/>
  <c r="Q367" i="1"/>
  <c r="Q342" i="1"/>
  <c r="Q429" i="1"/>
  <c r="Q105" i="1"/>
  <c r="Q359" i="1"/>
  <c r="Q501" i="1"/>
  <c r="Q564" i="1"/>
  <c r="Q231" i="1"/>
  <c r="T307" i="1"/>
  <c r="T144" i="1"/>
  <c r="T105" i="1"/>
  <c r="T231" i="1"/>
  <c r="H325" i="1"/>
  <c r="P325" i="1"/>
  <c r="N307" i="1"/>
  <c r="N231" i="1"/>
  <c r="T564" i="1"/>
  <c r="U398" i="1" l="1"/>
  <c r="U550" i="1"/>
  <c r="U325" i="1"/>
  <c r="U226" i="1"/>
  <c r="U173" i="1"/>
  <c r="L429" i="1"/>
  <c r="L342" i="1"/>
  <c r="L501" i="1"/>
  <c r="L231" i="1"/>
  <c r="L101" i="1"/>
  <c r="L105" i="1"/>
  <c r="L173" i="1"/>
  <c r="L226" i="1"/>
  <c r="L550" i="1"/>
  <c r="L536" i="1"/>
  <c r="L564" i="1"/>
  <c r="L307" i="1"/>
  <c r="L398" i="1"/>
  <c r="U144" i="1"/>
  <c r="U501" i="1"/>
  <c r="L359" i="1"/>
  <c r="L465" i="1"/>
  <c r="L325" i="1"/>
  <c r="L164" i="1"/>
  <c r="L144" i="1"/>
  <c r="U367" i="1"/>
  <c r="U231" i="1"/>
  <c r="U564" i="1"/>
  <c r="U465" i="1"/>
  <c r="U429" i="1"/>
  <c r="U536" i="1"/>
  <c r="U101" i="1"/>
  <c r="U105" i="1"/>
  <c r="U359" i="1"/>
  <c r="U307" i="1"/>
  <c r="U342" i="1"/>
  <c r="N73" i="10"/>
  <c r="O74" i="10"/>
  <c r="O73" i="10"/>
  <c r="N74" i="10"/>
  <c r="H72" i="10"/>
  <c r="H74" i="10"/>
  <c r="L72" i="10"/>
  <c r="G73" i="10"/>
  <c r="G72" i="10"/>
  <c r="K73" i="10"/>
  <c r="B72" i="10"/>
  <c r="L74" i="10"/>
  <c r="C73" i="10"/>
  <c r="P74" i="10"/>
  <c r="J72" i="10"/>
  <c r="J73" i="10"/>
  <c r="P72" i="10"/>
  <c r="E74" i="10"/>
  <c r="B74" i="10"/>
  <c r="M72" i="10"/>
  <c r="F72" i="10"/>
  <c r="F74" i="10"/>
  <c r="I73" i="10"/>
  <c r="D72" i="10"/>
  <c r="D73" i="10"/>
  <c r="M74" i="10"/>
  <c r="C72" i="10"/>
  <c r="I74" i="10"/>
  <c r="K74" i="10"/>
  <c r="E72" i="10"/>
  <c r="N75" i="10" l="1"/>
  <c r="H75" i="10"/>
  <c r="O75" i="10"/>
  <c r="G75" i="10"/>
  <c r="B75" i="10"/>
  <c r="B77" i="10" s="1"/>
  <c r="B64" i="10" s="1"/>
  <c r="B166" i="10" s="1"/>
  <c r="M75" i="10"/>
  <c r="F75" i="10"/>
  <c r="L75" i="10"/>
  <c r="J75" i="10"/>
  <c r="E75" i="10"/>
  <c r="K75" i="10"/>
  <c r="P75" i="10"/>
  <c r="I75" i="10"/>
  <c r="C75" i="10"/>
  <c r="D75" i="10"/>
  <c r="L77" i="10" l="1"/>
  <c r="L64" i="10" s="1"/>
  <c r="L166" i="10" s="1"/>
  <c r="L78" i="10"/>
  <c r="L65" i="10" s="1"/>
  <c r="L165" i="10" s="1"/>
  <c r="I78" i="10"/>
  <c r="I65" i="10" s="1"/>
  <c r="I165" i="10" s="1"/>
  <c r="I77" i="10"/>
  <c r="I64" i="10" s="1"/>
  <c r="I166" i="10" s="1"/>
  <c r="F77" i="10"/>
  <c r="F64" i="10" s="1"/>
  <c r="F166" i="10" s="1"/>
  <c r="F78" i="10"/>
  <c r="F65" i="10" s="1"/>
  <c r="F165" i="10" s="1"/>
  <c r="G78" i="10"/>
  <c r="G65" i="10" s="1"/>
  <c r="G165" i="10" s="1"/>
  <c r="G77" i="10"/>
  <c r="G64" i="10" s="1"/>
  <c r="G166" i="10" s="1"/>
  <c r="C77" i="10"/>
  <c r="C64" i="10" s="1"/>
  <c r="C166" i="10" s="1"/>
  <c r="C78" i="10"/>
  <c r="C65" i="10" s="1"/>
  <c r="C165" i="10" s="1"/>
  <c r="K77" i="10"/>
  <c r="K64" i="10" s="1"/>
  <c r="K166" i="10" s="1"/>
  <c r="K78" i="10"/>
  <c r="K65" i="10" s="1"/>
  <c r="K165" i="10" s="1"/>
  <c r="O78" i="10"/>
  <c r="O65" i="10" s="1"/>
  <c r="O165" i="10" s="1"/>
  <c r="O77" i="10"/>
  <c r="O64" i="10" s="1"/>
  <c r="O166" i="10" s="1"/>
  <c r="D77" i="10"/>
  <c r="D64" i="10" s="1"/>
  <c r="D166" i="10" s="1"/>
  <c r="D78" i="10"/>
  <c r="D65" i="10" s="1"/>
  <c r="D165" i="10" s="1"/>
  <c r="M77" i="10"/>
  <c r="M64" i="10" s="1"/>
  <c r="M166" i="10" s="1"/>
  <c r="M78" i="10"/>
  <c r="M65" i="10" s="1"/>
  <c r="M165" i="10" s="1"/>
  <c r="P78" i="10"/>
  <c r="P65" i="10" s="1"/>
  <c r="P165" i="10" s="1"/>
  <c r="P77" i="10"/>
  <c r="P64" i="10" s="1"/>
  <c r="P166" i="10" s="1"/>
  <c r="E77" i="10"/>
  <c r="E64" i="10" s="1"/>
  <c r="E166" i="10" s="1"/>
  <c r="E78" i="10"/>
  <c r="E65" i="10" s="1"/>
  <c r="E165" i="10" s="1"/>
  <c r="H77" i="10"/>
  <c r="H64" i="10" s="1"/>
  <c r="H166" i="10" s="1"/>
  <c r="H78" i="10"/>
  <c r="H65" i="10" s="1"/>
  <c r="H165" i="10" s="1"/>
  <c r="J78" i="10"/>
  <c r="J65" i="10" s="1"/>
  <c r="J165" i="10" s="1"/>
  <c r="J77" i="10"/>
  <c r="J64" i="10" s="1"/>
  <c r="J166" i="10" s="1"/>
  <c r="N78" i="10"/>
  <c r="N65" i="10" s="1"/>
  <c r="N165" i="10" s="1"/>
  <c r="N77" i="10"/>
  <c r="N64" i="10" s="1"/>
  <c r="N166" i="10" s="1"/>
  <c r="B78" i="10"/>
  <c r="B65" i="10" s="1"/>
  <c r="B16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Bregeault Julien (CC-AS/EYB7)</author>
    <author>FIXED-TERM Hansla Timmo (CC-AS/EYB7)</author>
    <author>tsc2abt</author>
    <author>FIXED-TERM Huetter Rene (CC-AS/EYB7)</author>
    <author>Nelwin Reynaldo (CC/EYB7)</author>
    <author>Bregeault Julien (VM/EYB10)</author>
    <author>FIXED-TERM Kurz Matthias (CC-AS/EYB7)</author>
    <author>FIXED-TERM Nelwin Reynaldo (VM/EYB10)</author>
    <author>FIXED-TERM Zedi Daniel (CC-AS/EYB7)</author>
    <author>FIXED-TERM Romig Markus (CC/EYB1)</author>
  </authors>
  <commentList>
    <comment ref="M6" authorId="0" shapeId="0" xr:uid="{BBB90043-F792-455F-872C-295D9277ECF8}">
      <text>
        <r>
          <rPr>
            <b/>
            <sz val="9"/>
            <color indexed="81"/>
            <rFont val="Segoe UI"/>
            <family val="2"/>
          </rPr>
          <t xml:space="preserve">Please choose a unic and clearly identifiable name for the vehicle variant.
For IPD/DPB: this name will be used in addition to the "Platform" and "Subproject" information to generate DCM-files.
</t>
        </r>
        <r>
          <rPr>
            <sz val="9"/>
            <color indexed="81"/>
            <rFont val="Segoe UI"/>
            <family val="2"/>
          </rPr>
          <t xml:space="preserve">See also FAQ Section for a good practice example
</t>
        </r>
      </text>
    </comment>
    <comment ref="N6" authorId="0" shapeId="0" xr:uid="{00000000-0006-0000-0000-000001000000}">
      <text>
        <r>
          <rPr>
            <b/>
            <sz val="9"/>
            <color indexed="81"/>
            <rFont val="Segoe UI"/>
            <family val="2"/>
          </rPr>
          <t xml:space="preserve">please use english alphabet.
</t>
        </r>
        <r>
          <rPr>
            <sz val="9"/>
            <color indexed="81"/>
            <rFont val="Segoe UI"/>
            <family val="2"/>
          </rPr>
          <t>Specific characters like "%, $,…" or asian language characters will be set back to "_" to avoid later export issues</t>
        </r>
        <r>
          <rPr>
            <sz val="9"/>
            <color indexed="81"/>
            <rFont val="Segoe UI"/>
            <family val="2"/>
          </rPr>
          <t xml:space="preserve">
</t>
        </r>
      </text>
    </comment>
    <comment ref="Q6" authorId="1" shapeId="0" xr:uid="{00000000-0006-0000-0000-000002000000}">
      <text>
        <r>
          <rPr>
            <b/>
            <sz val="9"/>
            <color indexed="81"/>
            <rFont val="Segoe UI"/>
            <family val="2"/>
          </rPr>
          <t xml:space="preserve">Please fill in the information which status apllies to the variant:
- Unofficial Study -&gt; </t>
        </r>
        <r>
          <rPr>
            <sz val="9"/>
            <color indexed="81"/>
            <rFont val="Segoe UI"/>
            <family val="2"/>
          </rPr>
          <t>the variant will be evaluated but the result won't be considered for the overall project rating</t>
        </r>
        <r>
          <rPr>
            <b/>
            <sz val="9"/>
            <color indexed="81"/>
            <rFont val="Segoe UI"/>
            <family val="2"/>
          </rPr>
          <t xml:space="preserve">
- New</t>
        </r>
        <r>
          <rPr>
            <sz val="9"/>
            <color indexed="81"/>
            <rFont val="Segoe UI"/>
            <family val="2"/>
          </rPr>
          <t xml:space="preserve"> -&gt; The variant is new and wasn't evaluated before. An evaluation will be performed and the rating will be considered for the overall project rating</t>
        </r>
        <r>
          <rPr>
            <b/>
            <sz val="9"/>
            <color indexed="81"/>
            <rFont val="Segoe UI"/>
            <family val="2"/>
          </rPr>
          <t xml:space="preserve">
- Cancelled </t>
        </r>
        <r>
          <rPr>
            <sz val="9"/>
            <color indexed="81"/>
            <rFont val="Segoe UI"/>
            <family val="2"/>
          </rPr>
          <t>-&gt; The BSPA for the variant was requested but then cancalled. No evaluation will be performed and the variant won't be considered for the overall project rating</t>
        </r>
        <r>
          <rPr>
            <b/>
            <sz val="9"/>
            <color indexed="81"/>
            <rFont val="Segoe UI"/>
            <family val="2"/>
          </rPr>
          <t xml:space="preserve">
- No parameter change</t>
        </r>
        <r>
          <rPr>
            <sz val="9"/>
            <color indexed="81"/>
            <rFont val="Segoe UI"/>
            <family val="2"/>
          </rPr>
          <t xml:space="preserve"> -&gt; The parameter of this variant were already sent to BSPA. No parameter has changed since then. No evaluation will be performed but the previous rating will be considered for the overall project rating</t>
        </r>
        <r>
          <rPr>
            <b/>
            <sz val="9"/>
            <color indexed="81"/>
            <rFont val="Segoe UI"/>
            <family val="2"/>
          </rPr>
          <t xml:space="preserve">
- Parameter change</t>
        </r>
        <r>
          <rPr>
            <sz val="9"/>
            <color indexed="81"/>
            <rFont val="Segoe UI"/>
            <family val="2"/>
          </rPr>
          <t xml:space="preserve"> -&gt; The parameter of this variant were already sent to BSPA but have changed. An evaluation will be performed and the new rating will be considered for the overall project rating.</t>
        </r>
      </text>
    </comment>
    <comment ref="B8" authorId="0" shapeId="0" xr:uid="{00000000-0006-0000-0000-000004000000}">
      <text>
        <r>
          <rPr>
            <b/>
            <sz val="9"/>
            <color indexed="81"/>
            <rFont val="Segoe UI"/>
            <family val="2"/>
          </rPr>
          <t xml:space="preserve">For ex.
Audi
please use english alphabet.
</t>
        </r>
        <r>
          <rPr>
            <sz val="9"/>
            <color indexed="81"/>
            <rFont val="Segoe UI"/>
            <family val="2"/>
          </rPr>
          <t>Specific characters like "%, $,…" or asian language characters will be set back to "_" to avoid later export issues</t>
        </r>
      </text>
    </comment>
    <comment ref="B9" authorId="2" shapeId="0" xr:uid="{00000000-0006-0000-0000-000005000000}">
      <text>
        <r>
          <rPr>
            <sz val="9"/>
            <color indexed="81"/>
            <rFont val="Tahoma"/>
            <family val="2"/>
          </rPr>
          <t xml:space="preserve">naming of customer platform. For e.g. Audi </t>
        </r>
        <r>
          <rPr>
            <b/>
            <sz val="9"/>
            <color indexed="81"/>
            <rFont val="Tahoma"/>
            <family val="2"/>
          </rPr>
          <t xml:space="preserve">PPE
please use english alphabet.
</t>
        </r>
        <r>
          <rPr>
            <sz val="9"/>
            <color indexed="81"/>
            <rFont val="Tahoma"/>
            <family val="2"/>
          </rPr>
          <t>Specific characters like "%, $,…" or asian language characters will be set back to "_" to avoid later export issues</t>
        </r>
      </text>
    </comment>
    <comment ref="B10" authorId="0" shapeId="0" xr:uid="{00000000-0006-0000-0000-000006000000}">
      <text>
        <r>
          <rPr>
            <sz val="9"/>
            <color indexed="81"/>
            <rFont val="Segoe UI"/>
            <family val="2"/>
          </rPr>
          <t xml:space="preserve">For ex. Audi PPE </t>
        </r>
        <r>
          <rPr>
            <b/>
            <sz val="9"/>
            <color indexed="81"/>
            <rFont val="Segoe UI"/>
            <family val="2"/>
          </rPr>
          <t>PO426</t>
        </r>
        <r>
          <rPr>
            <sz val="9"/>
            <color indexed="81"/>
            <rFont val="Segoe UI"/>
            <family val="2"/>
          </rPr>
          <t xml:space="preserve">
For projects covered by one ePC number but splitted between different TPM's, please mention here the part of the project for which you are submitting the Input Sheet.
This is important to find easily the future BSPA results.
Please inform as soon as possible the BSPA Coordination in this case.
</t>
        </r>
        <r>
          <rPr>
            <b/>
            <sz val="9"/>
            <color indexed="81"/>
            <rFont val="Segoe UI"/>
            <family val="2"/>
          </rPr>
          <t xml:space="preserve">For the other projects: not necessary
please use english alphabet.
</t>
        </r>
        <r>
          <rPr>
            <sz val="9"/>
            <color indexed="81"/>
            <rFont val="Segoe UI"/>
            <family val="2"/>
          </rPr>
          <t xml:space="preserve">Specific characters like "%, $,…" or asian language characters will be set back to "_" to avoid later export issues
</t>
        </r>
      </text>
    </comment>
    <comment ref="B14" authorId="2" shapeId="0" xr:uid="{00000000-0006-0000-0000-000007000000}">
      <text>
        <r>
          <rPr>
            <sz val="9"/>
            <color indexed="81"/>
            <rFont val="Tahoma"/>
            <family val="2"/>
          </rPr>
          <t>select your system to reduce the necessary vehicle parameters in the sheet</t>
        </r>
      </text>
    </comment>
    <comment ref="B15" authorId="2" shapeId="0" xr:uid="{00000000-0006-0000-0000-000008000000}">
      <text>
        <r>
          <rPr>
            <sz val="9"/>
            <color indexed="81"/>
            <rFont val="Tahoma"/>
            <family val="2"/>
          </rPr>
          <t>select your system to reduce the necessary vehicle parameters in the sheet</t>
        </r>
      </text>
    </comment>
    <comment ref="B17" authorId="1" shapeId="0" xr:uid="{00000000-0006-0000-0000-000009000000}">
      <text>
        <r>
          <rPr>
            <sz val="9"/>
            <color indexed="81"/>
            <rFont val="Segoe UI"/>
            <family val="2"/>
          </rPr>
          <t>If a Pedal Feel Simulator analysis should be done for the IPB or DPB system, choose "yes"</t>
        </r>
      </text>
    </comment>
    <comment ref="B18" authorId="0" shapeId="0" xr:uid="{00000000-0006-0000-0000-00000A000000}">
      <text>
        <r>
          <rPr>
            <sz val="9"/>
            <color indexed="81"/>
            <rFont val="Segoe UI"/>
            <family val="2"/>
          </rPr>
          <t xml:space="preserve">Please mention here on which SW version your IPB or DPB project will be based: for ex. Deuterium 2019.4, Carbon,…
</t>
        </r>
      </text>
    </comment>
    <comment ref="B19" authorId="2" shapeId="0" xr:uid="{00000000-0006-0000-0000-00000B000000}">
      <text>
        <r>
          <rPr>
            <sz val="9"/>
            <color indexed="81"/>
            <rFont val="Tahoma"/>
            <family val="2"/>
          </rPr>
          <t>if not II or X, please contact system development immediately</t>
        </r>
      </text>
    </comment>
    <comment ref="B21" authorId="1" shapeId="0" xr:uid="{00000000-0006-0000-0000-00000C000000}">
      <text>
        <r>
          <rPr>
            <sz val="9"/>
            <color indexed="81"/>
            <rFont val="Segoe UI"/>
            <family val="2"/>
          </rPr>
          <t>Integrated Inertial Sensor (IIS) included in ECU?</t>
        </r>
      </text>
    </comment>
    <comment ref="B22" authorId="3" shapeId="0" xr:uid="{00000000-0006-0000-0000-00000D000000}">
      <text>
        <r>
          <rPr>
            <b/>
            <sz val="9"/>
            <color indexed="81"/>
            <rFont val="Segoe UI"/>
            <family val="2"/>
          </rPr>
          <t xml:space="preserve">AEB-VRU </t>
        </r>
        <r>
          <rPr>
            <sz val="9"/>
            <color indexed="81"/>
            <rFont val="Segoe UI"/>
            <family val="2"/>
          </rPr>
          <t>Autonomous Emergency Braking – Vulnerable Road User
Modulationtyp mandatory
Actuationtyp optional</t>
        </r>
      </text>
    </comment>
    <comment ref="B46" authorId="0" shapeId="0" xr:uid="{00000000-0006-0000-0000-00000E000000}">
      <text>
        <r>
          <rPr>
            <b/>
            <sz val="9"/>
            <color indexed="81"/>
            <rFont val="Segoe UI"/>
            <family val="2"/>
          </rPr>
          <t>Homologation class:
Please see the FAQ "how to choose the Homologation class".
If you are not sure about the homologation class please contact the BSPA Coordination</t>
        </r>
      </text>
    </comment>
    <comment ref="B47" authorId="0" shapeId="0" xr:uid="{424E8C57-0E34-410C-B607-06A9D8CA049A}">
      <text>
        <r>
          <rPr>
            <b/>
            <sz val="9"/>
            <color indexed="81"/>
            <rFont val="Segoe UI"/>
            <family val="2"/>
          </rPr>
          <t>Voltage Supply for Modulation System:
Low Volt battery: 12V
High Volt Battery: 48V</t>
        </r>
        <r>
          <rPr>
            <sz val="9"/>
            <color indexed="81"/>
            <rFont val="Segoe UI"/>
            <family val="2"/>
          </rPr>
          <t xml:space="preserve">
Note: IPB seen a Modulation System, please choose the Voltage Supply for it here</t>
        </r>
      </text>
    </comment>
    <comment ref="B48" authorId="4" shapeId="0" xr:uid="{DDC74B47-FB3B-4D11-9E2C-2AC8BC78F628}">
      <text>
        <r>
          <rPr>
            <b/>
            <sz val="9"/>
            <color indexed="81"/>
            <rFont val="Tahoma"/>
            <family val="2"/>
          </rPr>
          <t>Voltage Supply for Actuation System:
Low Volt battery: 12V
High Volt Battery: 48V</t>
        </r>
      </text>
    </comment>
    <comment ref="B49" authorId="5" shapeId="0" xr:uid="{0CF7E9C7-809F-453D-B6EC-C30C9E565357}">
      <text>
        <r>
          <rPr>
            <b/>
            <sz val="9"/>
            <color indexed="81"/>
            <rFont val="Segoe UI"/>
            <family val="2"/>
          </rPr>
          <t xml:space="preserve">For DPB+ESP: if "yes" please remind to fill also the Features List "BDR" information. </t>
        </r>
        <r>
          <rPr>
            <sz val="9"/>
            <color indexed="81"/>
            <rFont val="Segoe UI"/>
            <family val="2"/>
          </rPr>
          <t xml:space="preserve">
</t>
        </r>
      </text>
    </comment>
    <comment ref="B51" authorId="2" shapeId="0" xr:uid="{00000000-0006-0000-0000-00000F000000}">
      <text>
        <r>
          <rPr>
            <b/>
            <sz val="9"/>
            <color indexed="81"/>
            <rFont val="Tahoma"/>
            <family val="2"/>
          </rPr>
          <t>GVW</t>
        </r>
        <r>
          <rPr>
            <sz val="9"/>
            <color indexed="81"/>
            <rFont val="Tahoma"/>
            <family val="2"/>
          </rPr>
          <t xml:space="preserve"> gross vehicle weight
Usual parameter range: 700kg - 7000 kg</t>
        </r>
      </text>
    </comment>
    <comment ref="B52" authorId="2" shapeId="0" xr:uid="{00000000-0006-0000-0000-000010000000}">
      <text>
        <r>
          <rPr>
            <b/>
            <sz val="9"/>
            <color indexed="81"/>
            <rFont val="Tahoma"/>
            <family val="2"/>
          </rPr>
          <t>GVW</t>
        </r>
        <r>
          <rPr>
            <sz val="9"/>
            <color indexed="81"/>
            <rFont val="Tahoma"/>
            <family val="2"/>
          </rPr>
          <t xml:space="preserve"> gross vehicle weight</t>
        </r>
      </text>
    </comment>
    <comment ref="B53" authorId="3" shapeId="0" xr:uid="{00000000-0006-0000-0000-000011000000}">
      <text>
        <r>
          <rPr>
            <b/>
            <sz val="9"/>
            <color indexed="81"/>
            <rFont val="Segoe UI"/>
            <family val="2"/>
          </rPr>
          <t xml:space="preserve">LLVW </t>
        </r>
        <r>
          <rPr>
            <sz val="9"/>
            <color indexed="81"/>
            <rFont val="Segoe UI"/>
            <family val="2"/>
          </rPr>
          <t>lightly loaded vehicle weight
(unloaded vehicle weight plus the weight of a mass of 180 kg including driver, fluids filled up)</t>
        </r>
      </text>
    </comment>
    <comment ref="B54" authorId="3" shapeId="0" xr:uid="{00000000-0006-0000-0000-000012000000}">
      <text>
        <r>
          <rPr>
            <b/>
            <sz val="9"/>
            <color indexed="81"/>
            <rFont val="Segoe UI"/>
            <family val="2"/>
          </rPr>
          <t xml:space="preserve">LLVW </t>
        </r>
        <r>
          <rPr>
            <sz val="9"/>
            <color indexed="81"/>
            <rFont val="Segoe UI"/>
            <family val="2"/>
          </rPr>
          <t>lightly loaded vehicle weight
(unloaded vehicle weight plus the weight of a mass of 180 kg including driver, fluids filled up)</t>
        </r>
      </text>
    </comment>
    <comment ref="B55" authorId="6" shapeId="0" xr:uid="{00000000-0006-0000-0000-000013000000}">
      <text>
        <r>
          <rPr>
            <b/>
            <sz val="9"/>
            <color indexed="81"/>
            <rFont val="Segoe UI"/>
            <family val="2"/>
          </rPr>
          <t>COG</t>
        </r>
        <r>
          <rPr>
            <sz val="9"/>
            <color indexed="81"/>
            <rFont val="Segoe UI"/>
            <family val="2"/>
          </rPr>
          <t xml:space="preserve"> center of gravity
(height above ground)</t>
        </r>
      </text>
    </comment>
    <comment ref="B58" authorId="5" shapeId="0" xr:uid="{470F380B-7BA9-47EE-BF65-D6D55805AD08}">
      <text>
        <r>
          <rPr>
            <b/>
            <sz val="9"/>
            <color indexed="81"/>
            <rFont val="Segoe UI"/>
            <family val="2"/>
          </rPr>
          <t xml:space="preserve">Lane width:
</t>
        </r>
        <r>
          <rPr>
            <sz val="9"/>
            <color indexed="81"/>
            <rFont val="Segoe UI"/>
            <family val="2"/>
          </rPr>
          <t xml:space="preserve">smallest Lane width between front and rear lane width
</t>
        </r>
      </text>
    </comment>
    <comment ref="B59" authorId="5" shapeId="0" xr:uid="{8BB11EF5-1BE9-4132-8FEB-1685683CAB2A}">
      <text>
        <r>
          <rPr>
            <b/>
            <sz val="9"/>
            <color indexed="81"/>
            <rFont val="Segoe UI"/>
            <family val="2"/>
          </rPr>
          <t xml:space="preserve">SSF: Static Stability Factor
</t>
        </r>
        <r>
          <rPr>
            <sz val="9"/>
            <color indexed="81"/>
            <rFont val="Segoe UI"/>
            <family val="2"/>
          </rPr>
          <t>based on vehicle parameters, the SSF is used to trigger TTL One wheel evaluation
See also GEN_FD_0047_RMF_Roll_Movement_Functions</t>
        </r>
      </text>
    </comment>
    <comment ref="B60" authorId="0" shapeId="0" xr:uid="{00000000-0006-0000-0000-000014000000}">
      <text>
        <r>
          <rPr>
            <sz val="9"/>
            <color indexed="81"/>
            <rFont val="Segoe UI"/>
            <family val="2"/>
          </rPr>
          <t xml:space="preserve">for a worst case evaluation, the maximum tire radius should considered
</t>
        </r>
      </text>
    </comment>
    <comment ref="B61" authorId="0" shapeId="0" xr:uid="{00000000-0006-0000-0000-000015000000}">
      <text>
        <r>
          <rPr>
            <sz val="9"/>
            <color indexed="81"/>
            <rFont val="Segoe UI"/>
            <family val="2"/>
          </rPr>
          <t xml:space="preserve">for a worst case evaluation, the maximum tire radius should considered
</t>
        </r>
      </text>
    </comment>
    <comment ref="B62" authorId="2" shapeId="0" xr:uid="{00000000-0006-0000-0000-000016000000}">
      <text>
        <r>
          <rPr>
            <b/>
            <sz val="9"/>
            <color indexed="81"/>
            <rFont val="Segoe UI"/>
            <family val="2"/>
          </rPr>
          <t>GVW</t>
        </r>
        <r>
          <rPr>
            <sz val="9"/>
            <color indexed="81"/>
            <rFont val="Segoe UI"/>
            <family val="2"/>
          </rPr>
          <t xml:space="preserve"> gross vehicle weight
nominal value after pressure stabilization (after first 300 ms)</t>
        </r>
        <r>
          <rPr>
            <sz val="10"/>
            <color indexed="81"/>
            <rFont val="Tahoma"/>
            <family val="2"/>
          </rPr>
          <t xml:space="preserve">
</t>
        </r>
      </text>
    </comment>
    <comment ref="B63" authorId="3" shapeId="0" xr:uid="{00000000-0006-0000-0000-000017000000}">
      <text>
        <r>
          <rPr>
            <b/>
            <sz val="9"/>
            <color indexed="81"/>
            <rFont val="Segoe UI"/>
            <family val="2"/>
          </rPr>
          <t xml:space="preserve">GVW </t>
        </r>
        <r>
          <rPr>
            <sz val="9"/>
            <color indexed="81"/>
            <rFont val="Segoe UI"/>
            <family val="2"/>
          </rPr>
          <t>gross vehicle weight
nominal value after pressure stabilization (after first 300 ms)</t>
        </r>
      </text>
    </comment>
    <comment ref="B64" authorId="3" shapeId="0" xr:uid="{00000000-0006-0000-0000-000018000000}">
      <text>
        <r>
          <rPr>
            <b/>
            <sz val="9"/>
            <color indexed="81"/>
            <rFont val="Segoe UI"/>
            <family val="2"/>
          </rPr>
          <t xml:space="preserve">LLVW </t>
        </r>
        <r>
          <rPr>
            <sz val="9"/>
            <color indexed="81"/>
            <rFont val="Segoe UI"/>
            <family val="2"/>
          </rPr>
          <t>lightly loaded vehicle weight
(unloaded vehicle weight plus the weight of a mass of 180 kg including driver, fluids filled up)
nominal value after pressure stabilization (after first 300 ms)</t>
        </r>
      </text>
    </comment>
    <comment ref="B65" authorId="3" shapeId="0" xr:uid="{00000000-0006-0000-0000-000019000000}">
      <text>
        <r>
          <rPr>
            <b/>
            <sz val="9"/>
            <color indexed="81"/>
            <rFont val="Segoe UI"/>
            <family val="2"/>
          </rPr>
          <t xml:space="preserve">LLVW </t>
        </r>
        <r>
          <rPr>
            <sz val="9"/>
            <color indexed="81"/>
            <rFont val="Segoe UI"/>
            <family val="2"/>
          </rPr>
          <t>lightly loaded vehicle weight
(unloaded vehicle weight plus the weight of a mass of 180 kg including driver, fluids filled up)
nominal value after pressure stabilization (after first 300 ms)</t>
        </r>
      </text>
    </comment>
    <comment ref="B66" authorId="7" shapeId="0" xr:uid="{F4B69B78-6980-4D10-A929-9D5492F11F76}">
      <text>
        <r>
          <rPr>
            <b/>
            <sz val="9"/>
            <color indexed="81"/>
            <rFont val="Tahoma"/>
            <family val="2"/>
          </rPr>
          <t>GVW</t>
        </r>
        <r>
          <rPr>
            <sz val="9"/>
            <color indexed="81"/>
            <rFont val="Tahoma"/>
            <family val="2"/>
          </rPr>
          <t xml:space="preserve"> gross vehicle weight
nominal value after pressure stabilization (after first 300 ms)</t>
        </r>
        <r>
          <rPr>
            <sz val="9"/>
            <color indexed="81"/>
            <rFont val="Tahoma"/>
            <family val="2"/>
          </rPr>
          <t xml:space="preserve">
</t>
        </r>
      </text>
    </comment>
    <comment ref="B67" authorId="7" shapeId="0" xr:uid="{49C58220-5BD8-4D06-B7C7-2856A69A38E0}">
      <text>
        <r>
          <rPr>
            <b/>
            <sz val="9"/>
            <color indexed="81"/>
            <rFont val="Tahoma"/>
            <family val="2"/>
          </rPr>
          <t>GVW</t>
        </r>
        <r>
          <rPr>
            <sz val="9"/>
            <color indexed="81"/>
            <rFont val="Tahoma"/>
            <family val="2"/>
          </rPr>
          <t xml:space="preserve"> gross vehicle weight
nominal value after pressure stabilization (after first 300 ms)</t>
        </r>
      </text>
    </comment>
    <comment ref="B68" authorId="7" shapeId="0" xr:uid="{0AB229F9-7301-4061-9B92-E6CD4D368F21}">
      <text>
        <r>
          <rPr>
            <b/>
            <sz val="9"/>
            <color indexed="81"/>
            <rFont val="Tahoma"/>
            <family val="2"/>
          </rPr>
          <t>LLVW</t>
        </r>
        <r>
          <rPr>
            <sz val="9"/>
            <color indexed="81"/>
            <rFont val="Tahoma"/>
            <family val="2"/>
          </rPr>
          <t xml:space="preserve"> lightly loaded vehicle weight
(unloaded vehicle weight plus the weight of a mass of 180 kg including driver, fluids filled up)
nominal value after pressure stabilization (after first 300 ms)
</t>
        </r>
      </text>
    </comment>
    <comment ref="B69" authorId="7" shapeId="0" xr:uid="{94720700-BE70-44B8-B146-B49FD20F3692}">
      <text>
        <r>
          <rPr>
            <b/>
            <sz val="9"/>
            <color indexed="81"/>
            <rFont val="Tahoma"/>
            <family val="2"/>
          </rPr>
          <t>LLVW</t>
        </r>
        <r>
          <rPr>
            <sz val="9"/>
            <color indexed="81"/>
            <rFont val="Tahoma"/>
            <family val="2"/>
          </rPr>
          <t xml:space="preserve"> lightly loaded vehicle weight
(unloaded vehicle weight plus the weight of a mass of 180 kg including driver, fluids filled up)
nominal value after pressure stabilization (after first 300 ms)
</t>
        </r>
      </text>
    </comment>
    <comment ref="B71" authorId="7" shapeId="0" xr:uid="{A1AEC8FF-31A8-42FE-9F05-84F1AEC01C3B}">
      <text>
        <r>
          <rPr>
            <sz val="9"/>
            <color indexed="81"/>
            <rFont val="Tahoma"/>
            <family val="2"/>
          </rPr>
          <t>Only relevant if "fixed value" is selected for Brake force</t>
        </r>
      </text>
    </comment>
    <comment ref="B72" authorId="0" shapeId="0" xr:uid="{D67C6593-6D15-4E7A-9CFB-60D812D74644}">
      <text>
        <r>
          <rPr>
            <sz val="9"/>
            <color indexed="81"/>
            <rFont val="Segoe UI"/>
            <family val="2"/>
          </rPr>
          <t>deceleration with vehicle GVM on high-mu</t>
        </r>
        <r>
          <rPr>
            <sz val="9"/>
            <color indexed="81"/>
            <rFont val="Segoe UI"/>
            <family val="2"/>
          </rPr>
          <t xml:space="preserve">
</t>
        </r>
      </text>
    </comment>
    <comment ref="B76" authorId="7" shapeId="0" xr:uid="{F6BBE8F5-BFA1-4DDC-8F14-7FF62AB8D083}">
      <text>
        <r>
          <rPr>
            <sz val="9"/>
            <color indexed="81"/>
            <rFont val="Tahoma"/>
            <family val="2"/>
          </rPr>
          <t>rear axle or both axles</t>
        </r>
      </text>
    </comment>
    <comment ref="B79" authorId="3" shapeId="0" xr:uid="{00000000-0006-0000-0000-00001A000000}">
      <text>
        <r>
          <rPr>
            <b/>
            <sz val="9"/>
            <color indexed="81"/>
            <rFont val="Segoe UI"/>
            <family val="2"/>
          </rPr>
          <t>TTL</t>
        </r>
        <r>
          <rPr>
            <sz val="9"/>
            <color indexed="81"/>
            <rFont val="Segoe UI"/>
            <family val="2"/>
          </rPr>
          <t xml:space="preserve"> Time To Lock
Note: if the customer requirement doesn't refer to a specified time, please use the comment cell and inform the BSPA coordination.
</t>
        </r>
      </text>
    </comment>
    <comment ref="B80" authorId="0" shapeId="0" xr:uid="{127D44C0-C037-407D-935E-9C1E255A60FC}">
      <text>
        <r>
          <rPr>
            <sz val="9"/>
            <color indexed="81"/>
            <rFont val="Segoe UI"/>
            <family val="2"/>
          </rPr>
          <t xml:space="preserve">related flowrate given at dp 40bar
</t>
        </r>
      </text>
    </comment>
    <comment ref="B81" authorId="0" shapeId="0" xr:uid="{9BFA0656-0C62-4E63-9438-3608C5CAB2C5}">
      <text>
        <r>
          <rPr>
            <sz val="9"/>
            <color indexed="81"/>
            <rFont val="Segoe UI"/>
            <family val="2"/>
          </rPr>
          <t xml:space="preserve">related flowrate given at dp 40bar
</t>
        </r>
      </text>
    </comment>
    <comment ref="B84" authorId="8" shapeId="0" xr:uid="{00000000-0006-0000-0000-00001F000000}">
      <text>
        <r>
          <rPr>
            <sz val="9"/>
            <color indexed="81"/>
            <rFont val="Segoe UI"/>
            <family val="2"/>
          </rPr>
          <t>see FAQ under IPB relevant questions</t>
        </r>
      </text>
    </comment>
    <comment ref="B85" authorId="2" shapeId="0" xr:uid="{00000000-0006-0000-0000-000020000000}">
      <text>
        <r>
          <rPr>
            <b/>
            <sz val="9"/>
            <color indexed="81"/>
            <rFont val="Tahoma"/>
            <family val="2"/>
          </rPr>
          <t>ciritical deceleration</t>
        </r>
        <r>
          <rPr>
            <sz val="9"/>
            <color indexed="81"/>
            <rFont val="Tahoma"/>
            <family val="2"/>
          </rPr>
          <t xml:space="preserve">: intersection of installed and ideal brake force distribution (front - rear) -&gt; fester wert
You can either chose a range or a fixed value for your z-critical.
</t>
        </r>
      </text>
    </comment>
    <comment ref="B86" authorId="9" shapeId="0" xr:uid="{00000000-0006-0000-0000-000021000000}">
      <text>
        <r>
          <rPr>
            <sz val="9"/>
            <color indexed="81"/>
            <rFont val="Segoe UI"/>
            <family val="2"/>
          </rPr>
          <t xml:space="preserve">Typical voltage supply for the systems supporting the AEB pressure build-up
</t>
        </r>
        <r>
          <rPr>
            <b/>
            <sz val="9"/>
            <color indexed="81"/>
            <rFont val="Segoe UI"/>
            <family val="2"/>
          </rPr>
          <t xml:space="preserve">
default value:</t>
        </r>
        <r>
          <rPr>
            <sz val="9"/>
            <color indexed="81"/>
            <rFont val="Segoe UI"/>
            <family val="2"/>
          </rPr>
          <t xml:space="preserve"> 14 V</t>
        </r>
        <r>
          <rPr>
            <b/>
            <sz val="9"/>
            <color indexed="81"/>
            <rFont val="Segoe UI"/>
            <family val="2"/>
          </rPr>
          <t xml:space="preserve">
</t>
        </r>
      </text>
    </comment>
    <comment ref="B87" authorId="9" shapeId="0" xr:uid="{00000000-0006-0000-0000-000022000000}">
      <text>
        <r>
          <rPr>
            <b/>
            <sz val="9"/>
            <color indexed="81"/>
            <rFont val="Segoe UI"/>
            <family val="2"/>
          </rPr>
          <t>default value:</t>
        </r>
        <r>
          <rPr>
            <sz val="9"/>
            <color indexed="81"/>
            <rFont val="Segoe UI"/>
            <family val="2"/>
          </rPr>
          <t xml:space="preserve"> 0,02 Ohm
</t>
        </r>
        <r>
          <rPr>
            <b/>
            <sz val="9"/>
            <color indexed="81"/>
            <rFont val="Segoe UI"/>
            <family val="2"/>
          </rPr>
          <t xml:space="preserve">
</t>
        </r>
        <r>
          <rPr>
            <sz val="9"/>
            <color indexed="81"/>
            <rFont val="Segoe UI"/>
            <family val="2"/>
          </rPr>
          <t>Bosch wiring harness from battery to control unit clamp</t>
        </r>
      </text>
    </comment>
    <comment ref="B89" authorId="4" shapeId="0" xr:uid="{602F0ACA-4F1E-49E3-AE16-E1B8056741B3}">
      <text>
        <r>
          <rPr>
            <b/>
            <sz val="9"/>
            <color indexed="81"/>
            <rFont val="Tahoma"/>
            <family val="2"/>
          </rPr>
          <t>Motor Control is mandatory for:
- HAD/HAP  
Reason: depending on the motor control, the availability of the BAT test will be checked</t>
        </r>
        <r>
          <rPr>
            <sz val="9"/>
            <color indexed="81"/>
            <rFont val="Tahoma"/>
            <family val="2"/>
          </rPr>
          <t xml:space="preserve">
</t>
        </r>
      </text>
    </comment>
    <comment ref="B94" authorId="8" shapeId="0" xr:uid="{00000000-0006-0000-0000-000024000000}">
      <text>
        <r>
          <rPr>
            <sz val="9"/>
            <color indexed="81"/>
            <rFont val="Segoe UI"/>
            <family val="2"/>
          </rPr>
          <t>Values are beeing calculated in the FAQ sheet after the the parameter sheet is filled. The calculted pressure values must be checked with the OEM and corrected if necessary. See FAQ</t>
        </r>
      </text>
    </comment>
    <comment ref="B95" authorId="8" shapeId="0" xr:uid="{00000000-0006-0000-0000-000025000000}">
      <text>
        <r>
          <rPr>
            <sz val="9"/>
            <color indexed="81"/>
            <rFont val="Segoe UI"/>
            <family val="2"/>
          </rPr>
          <t xml:space="preserve">Values are beeing calculated in the FAQ sheet after the the parameter sheet is filled. The calculted pressure values must be checked with the OEM and corrected if necessary. See FAQ
</t>
        </r>
      </text>
    </comment>
    <comment ref="B96" authorId="1" shapeId="0" xr:uid="{00000000-0006-0000-0000-000026000000}">
      <text>
        <r>
          <rPr>
            <sz val="9"/>
            <color indexed="81"/>
            <rFont val="Segoe UI"/>
            <family val="2"/>
          </rPr>
          <t>Values are beeing calculated in the FAQ sheet after the the parameter sheet is filled. The calculted pressure values must be checked with the OEM and corrected if necessary. See FAQ</t>
        </r>
      </text>
    </comment>
    <comment ref="B97" authorId="1" shapeId="0" xr:uid="{00000000-0006-0000-0000-000027000000}">
      <text>
        <r>
          <rPr>
            <sz val="9"/>
            <color indexed="81"/>
            <rFont val="Segoe UI"/>
            <family val="2"/>
          </rPr>
          <t>Values are beeing calculated in the FAQ sheet after the the parameter sheet is filled. The calculted pressure values must be checked with the OEM and corrected if necessary. See FAQ</t>
        </r>
      </text>
    </comment>
    <comment ref="B98" authorId="1" shapeId="0" xr:uid="{00000000-0006-0000-0000-000028000000}">
      <text>
        <r>
          <rPr>
            <sz val="9"/>
            <color indexed="81"/>
            <rFont val="Segoe UI"/>
            <family val="2"/>
          </rPr>
          <t>Values are beeing calculated in the FAQ sheet after the the parameter sheet is filled. The calculted pressure values must be checked with the OEM and corrected if necessary. See FAQ</t>
        </r>
      </text>
    </comment>
    <comment ref="B99" authorId="1" shapeId="0" xr:uid="{00000000-0006-0000-0000-000029000000}">
      <text>
        <r>
          <rPr>
            <sz val="9"/>
            <color indexed="81"/>
            <rFont val="Segoe UI"/>
            <family val="2"/>
          </rPr>
          <t>Values are beeing calculated in the FAQ sheet after the the parameter sheet is filled. The calculted pressure values must be checked with the OEM and corrected if necessary. See FAQ</t>
        </r>
      </text>
    </comment>
    <comment ref="B103" authorId="8" shapeId="0" xr:uid="{00000000-0006-0000-0000-00002A000000}">
      <text>
        <r>
          <rPr>
            <sz val="9"/>
            <color indexed="81"/>
            <rFont val="Segoe UI"/>
            <family val="2"/>
          </rPr>
          <t>trailer weight &lt; 750 kg -&gt; unbreaked trailer
trailer weight &gt; 750 kg -&gt; breaked trailer</t>
        </r>
        <r>
          <rPr>
            <b/>
            <sz val="9"/>
            <color indexed="81"/>
            <rFont val="Segoe UI"/>
            <family val="2"/>
          </rPr>
          <t xml:space="preserve">
</t>
        </r>
      </text>
    </comment>
    <comment ref="B107" authorId="2" shapeId="0" xr:uid="{BA9FC460-6CF5-4A6F-8190-3F56D7029827}">
      <text>
        <r>
          <rPr>
            <sz val="9"/>
            <color indexed="81"/>
            <rFont val="Tahoma"/>
            <family val="2"/>
          </rPr>
          <t>mastercylinder diameter</t>
        </r>
      </text>
    </comment>
    <comment ref="B110" authorId="8" shapeId="0" xr:uid="{955AF3C8-98F5-474C-90FD-3D04814147E7}">
      <text>
        <r>
          <rPr>
            <sz val="9"/>
            <color indexed="81"/>
            <rFont val="Segoe UI"/>
            <family val="2"/>
          </rPr>
          <t xml:space="preserve">MC1 spring preload will be </t>
        </r>
        <r>
          <rPr>
            <b/>
            <sz val="9"/>
            <color indexed="81"/>
            <rFont val="Segoe UI"/>
            <family val="2"/>
          </rPr>
          <t xml:space="preserve">automatically calculated </t>
        </r>
        <r>
          <rPr>
            <sz val="9"/>
            <color indexed="81"/>
            <rFont val="Segoe UI"/>
            <family val="2"/>
          </rPr>
          <t xml:space="preserve">depending on the given parameter for Modulation, Actuation, Brakecircuit Split, TMC Piston diameter and MC1 &amp; MC2 Piston Stroke.
(Standard TMC variants)
</t>
        </r>
        <r>
          <rPr>
            <b/>
            <sz val="9"/>
            <color indexed="81"/>
            <rFont val="Segoe UI"/>
            <family val="2"/>
          </rPr>
          <t>If a different customer value is available</t>
        </r>
        <r>
          <rPr>
            <sz val="9"/>
            <color indexed="81"/>
            <rFont val="Segoe UI"/>
            <family val="2"/>
          </rPr>
          <t xml:space="preserve"> you can </t>
        </r>
        <r>
          <rPr>
            <b/>
            <sz val="9"/>
            <color indexed="81"/>
            <rFont val="Segoe UI"/>
            <family val="2"/>
          </rPr>
          <t>overwrite</t>
        </r>
        <r>
          <rPr>
            <sz val="9"/>
            <color indexed="81"/>
            <rFont val="Segoe UI"/>
            <family val="2"/>
          </rPr>
          <t xml:space="preserve"> the values.
Hint 1 for</t>
        </r>
        <r>
          <rPr>
            <b/>
            <sz val="9"/>
            <color indexed="81"/>
            <rFont val="Segoe UI"/>
            <family val="2"/>
          </rPr>
          <t xml:space="preserve"> Vacuum Booster</t>
        </r>
        <r>
          <rPr>
            <sz val="9"/>
            <color indexed="81"/>
            <rFont val="Segoe UI"/>
            <family val="2"/>
          </rPr>
          <t xml:space="preserve">: for TMC Piston Diameter 25,4 mm TMC1 spring preload can be estimated with 95 N if no other data is availeble
Hint 2 for </t>
        </r>
        <r>
          <rPr>
            <b/>
            <sz val="9"/>
            <color indexed="81"/>
            <rFont val="Segoe UI"/>
            <family val="2"/>
          </rPr>
          <t>IPB</t>
        </r>
        <r>
          <rPr>
            <sz val="9"/>
            <color indexed="81"/>
            <rFont val="Segoe UI"/>
            <family val="2"/>
          </rPr>
          <t xml:space="preserve">: Standard Default values (90N)
Hint 3 for </t>
        </r>
        <r>
          <rPr>
            <b/>
            <sz val="9"/>
            <color indexed="81"/>
            <rFont val="Segoe UI"/>
            <family val="2"/>
          </rPr>
          <t>iBooster Gen2</t>
        </r>
        <r>
          <rPr>
            <sz val="9"/>
            <color indexed="81"/>
            <rFont val="Segoe UI"/>
            <family val="2"/>
          </rPr>
          <t>: If "n.a." is shown, please clarify with  Vaisakh Ammassam Veettil (MS/EBS12-VM)
)
Hint 4  for</t>
        </r>
        <r>
          <rPr>
            <b/>
            <sz val="9"/>
            <color indexed="81"/>
            <rFont val="Segoe UI"/>
            <family val="2"/>
          </rPr>
          <t xml:space="preserve"> iBooster Gen2</t>
        </r>
        <r>
          <rPr>
            <sz val="9"/>
            <color indexed="81"/>
            <rFont val="Segoe UI"/>
            <family val="2"/>
          </rPr>
          <t>: By default the high load TMC springs will be selected. If the customer requires old spring parameters, please enter them manually</t>
        </r>
      </text>
    </comment>
    <comment ref="B111" authorId="8" shapeId="0" xr:uid="{FDAAF3C9-6091-4428-92BC-425592DF1787}">
      <text>
        <r>
          <rPr>
            <sz val="9"/>
            <color indexed="81"/>
            <rFont val="Segoe UI"/>
            <family val="2"/>
          </rPr>
          <t xml:space="preserve">MC2 spring preload will be </t>
        </r>
        <r>
          <rPr>
            <b/>
            <sz val="9"/>
            <color indexed="81"/>
            <rFont val="Segoe UI"/>
            <family val="2"/>
          </rPr>
          <t>automatically calculated</t>
        </r>
        <r>
          <rPr>
            <sz val="9"/>
            <color indexed="81"/>
            <rFont val="Segoe UI"/>
            <family val="2"/>
          </rPr>
          <t xml:space="preserve"> depending on the given parameter for Modulation, Actuation, Brakecircuit Split, TMC Piston diameter and MC1 &amp; MC2 Piston Stroke.
(Standard TMC variants)
</t>
        </r>
        <r>
          <rPr>
            <b/>
            <sz val="9"/>
            <color indexed="81"/>
            <rFont val="Segoe UI"/>
            <family val="2"/>
          </rPr>
          <t xml:space="preserve">
If a different customer value is available</t>
        </r>
        <r>
          <rPr>
            <sz val="9"/>
            <color indexed="81"/>
            <rFont val="Segoe UI"/>
            <family val="2"/>
          </rPr>
          <t xml:space="preserve"> you can </t>
        </r>
        <r>
          <rPr>
            <b/>
            <sz val="9"/>
            <color indexed="81"/>
            <rFont val="Segoe UI"/>
            <family val="2"/>
          </rPr>
          <t>overwrite</t>
        </r>
        <r>
          <rPr>
            <sz val="9"/>
            <color indexed="81"/>
            <rFont val="Segoe UI"/>
            <family val="2"/>
          </rPr>
          <t xml:space="preserve"> the values.
Hint 1 for </t>
        </r>
        <r>
          <rPr>
            <b/>
            <sz val="9"/>
            <color indexed="81"/>
            <rFont val="Segoe UI"/>
            <family val="2"/>
          </rPr>
          <t>Vacuum Booste</t>
        </r>
        <r>
          <rPr>
            <sz val="9"/>
            <color indexed="81"/>
            <rFont val="Segoe UI"/>
            <family val="2"/>
          </rPr>
          <t xml:space="preserve">r: for TMC Piston Diameter 25,4 mm TMC2 spring preload can be estimated with 60 N if no other data is availeble
Hint 2 for </t>
        </r>
        <r>
          <rPr>
            <b/>
            <sz val="9"/>
            <color indexed="81"/>
            <rFont val="Segoe UI"/>
            <family val="2"/>
          </rPr>
          <t>IPB:</t>
        </r>
        <r>
          <rPr>
            <sz val="9"/>
            <color indexed="81"/>
            <rFont val="Segoe UI"/>
            <family val="2"/>
          </rPr>
          <t xml:space="preserve"> Default value 110 N
Hint 3 for </t>
        </r>
        <r>
          <rPr>
            <b/>
            <sz val="9"/>
            <color indexed="81"/>
            <rFont val="Segoe UI"/>
            <family val="2"/>
          </rPr>
          <t>iBooster Gen2</t>
        </r>
        <r>
          <rPr>
            <sz val="9"/>
            <color indexed="81"/>
            <rFont val="Segoe UI"/>
            <family val="2"/>
          </rPr>
          <t>: If "n.a." is shown, please clarify with  Vaisakh Ammassam Veettil (MS/EBS12-VM)
Hint 4  for</t>
        </r>
        <r>
          <rPr>
            <b/>
            <sz val="9"/>
            <color indexed="81"/>
            <rFont val="Segoe UI"/>
            <family val="2"/>
          </rPr>
          <t xml:space="preserve"> iBooster Gen2</t>
        </r>
        <r>
          <rPr>
            <sz val="9"/>
            <color indexed="81"/>
            <rFont val="Segoe UI"/>
            <family val="2"/>
          </rPr>
          <t>: By default the high load TMC springs will be selected. If the customer requires old spring parameters, please enter them manually</t>
        </r>
      </text>
    </comment>
    <comment ref="B115" authorId="1" shapeId="0" xr:uid="{92D871A4-3729-4EA5-890B-1CA51FDF8F45}">
      <text>
        <r>
          <rPr>
            <b/>
            <sz val="9"/>
            <color indexed="81"/>
            <rFont val="Segoe UI"/>
            <family val="2"/>
          </rPr>
          <t xml:space="preserve">Example:
</t>
        </r>
        <r>
          <rPr>
            <sz val="9"/>
            <color indexed="81"/>
            <rFont val="Segoe UI"/>
            <family val="2"/>
          </rPr>
          <t>layout number including dot variant e.g. EV7120.22</t>
        </r>
      </text>
    </comment>
    <comment ref="B119" authorId="1" shapeId="0" xr:uid="{FE44BDC5-ED59-49DB-A24F-A8DE29336F8F}">
      <text>
        <r>
          <rPr>
            <sz val="9"/>
            <color indexed="81"/>
            <rFont val="Segoe UI"/>
            <family val="2"/>
          </rPr>
          <t>Electrolytic Capacitor - UZP</t>
        </r>
      </text>
    </comment>
    <comment ref="B120" authorId="1" shapeId="0" xr:uid="{E730F315-0505-4084-A3DE-3DF66B48196C}">
      <text>
        <r>
          <rPr>
            <sz val="9"/>
            <color indexed="81"/>
            <rFont val="Segoe UI"/>
            <family val="2"/>
          </rPr>
          <t>Electrolytic Capacitor - B6-Bridge</t>
        </r>
      </text>
    </comment>
    <comment ref="B121" authorId="1" shapeId="0" xr:uid="{EFD3C030-311F-44EE-A1CE-BA2BC96DCD1C}">
      <text>
        <r>
          <rPr>
            <sz val="9"/>
            <color indexed="81"/>
            <rFont val="Segoe UI"/>
            <family val="2"/>
          </rPr>
          <t>Electrolytic Capacitor - B6-Bridge</t>
        </r>
      </text>
    </comment>
    <comment ref="B122" authorId="1" shapeId="0" xr:uid="{FF4824BA-CD4E-468C-9D7A-E7D1A56E6350}">
      <text>
        <r>
          <rPr>
            <sz val="9"/>
            <color indexed="81"/>
            <rFont val="Segoe UI"/>
            <family val="2"/>
          </rPr>
          <t>Electrolytic Capacitor - B6-Bridge</t>
        </r>
      </text>
    </comment>
    <comment ref="B123" authorId="1" shapeId="0" xr:uid="{AEBA6556-6C00-467F-895D-30E8262B01FC}">
      <text>
        <r>
          <rPr>
            <sz val="9"/>
            <color indexed="81"/>
            <rFont val="Segoe UI"/>
            <family val="2"/>
          </rPr>
          <t>System ASIC</t>
        </r>
      </text>
    </comment>
    <comment ref="B124" authorId="1" shapeId="0" xr:uid="{9FB695AE-8267-4816-BCB1-DD6D9237374A}">
      <text>
        <r>
          <rPr>
            <sz val="9"/>
            <color indexed="81"/>
            <rFont val="Segoe UI"/>
            <family val="2"/>
          </rPr>
          <t>Controller</t>
        </r>
      </text>
    </comment>
    <comment ref="B125" authorId="1" shapeId="0" xr:uid="{8EEC762E-CCB1-4794-9ECC-74A1D9CDEFFD}">
      <text>
        <r>
          <rPr>
            <sz val="9"/>
            <color indexed="81"/>
            <rFont val="Segoe UI"/>
            <family val="2"/>
          </rPr>
          <t>Motor Switch</t>
        </r>
      </text>
    </comment>
    <comment ref="B126" authorId="1" shapeId="0" xr:uid="{49F1E311-8C9B-43CE-9F96-4DF2816DC796}">
      <text>
        <r>
          <rPr>
            <sz val="9"/>
            <color indexed="81"/>
            <rFont val="Segoe UI"/>
            <family val="2"/>
          </rPr>
          <t>Motor Switch</t>
        </r>
      </text>
    </comment>
    <comment ref="B127" authorId="1" shapeId="0" xr:uid="{107DDF08-0CCC-496B-A600-1DF430D64AE2}">
      <text>
        <r>
          <rPr>
            <sz val="9"/>
            <color indexed="81"/>
            <rFont val="Segoe UI"/>
            <family val="2"/>
          </rPr>
          <t>System ASIC Heatsink</t>
        </r>
      </text>
    </comment>
    <comment ref="B128" authorId="1" shapeId="0" xr:uid="{D087EE70-67B7-45CD-98F5-7CF06F14B6C0}">
      <text>
        <r>
          <rPr>
            <sz val="9"/>
            <color indexed="81"/>
            <rFont val="Segoe UI"/>
            <family val="2"/>
          </rPr>
          <t>Motor Switch</t>
        </r>
      </text>
    </comment>
    <comment ref="B129" authorId="1" shapeId="0" xr:uid="{454F2909-AA18-4CA1-B48B-BC0B64DC06D8}">
      <text>
        <r>
          <rPr>
            <sz val="9"/>
            <color indexed="81"/>
            <rFont val="Segoe UI"/>
            <family val="2"/>
          </rPr>
          <t>Motor Switch</t>
        </r>
      </text>
    </comment>
    <comment ref="B130" authorId="1" shapeId="0" xr:uid="{DAC3B86C-0B0F-44FD-A579-813E0662036D}">
      <text>
        <r>
          <rPr>
            <sz val="9"/>
            <color indexed="81"/>
            <rFont val="Segoe UI"/>
            <family val="2"/>
          </rPr>
          <t>Motor Switch</t>
        </r>
      </text>
    </comment>
    <comment ref="B131" authorId="1" shapeId="0" xr:uid="{6CD0120B-FE10-4691-8D2C-5EF0B54086AB}">
      <text>
        <r>
          <rPr>
            <sz val="9"/>
            <color indexed="81"/>
            <rFont val="Segoe UI"/>
            <family val="2"/>
          </rPr>
          <t>Motor Switch</t>
        </r>
      </text>
    </comment>
    <comment ref="B132" authorId="1" shapeId="0" xr:uid="{B7004A85-D492-4603-BE3D-CB1681E59264}">
      <text>
        <r>
          <rPr>
            <sz val="9"/>
            <color indexed="81"/>
            <rFont val="Segoe UI"/>
            <family val="2"/>
          </rPr>
          <t>Motor Switch</t>
        </r>
      </text>
    </comment>
    <comment ref="B133" authorId="1" shapeId="0" xr:uid="{1AA1FB6B-50A6-42FB-AAA7-CFD121F3A68A}">
      <text>
        <r>
          <rPr>
            <sz val="9"/>
            <color indexed="81"/>
            <rFont val="Segoe UI"/>
            <family val="2"/>
          </rPr>
          <t>Motor Switch</t>
        </r>
      </text>
    </comment>
    <comment ref="B134" authorId="1" shapeId="0" xr:uid="{C0B09F50-31C8-4AD4-8FDB-150102A9208B}">
      <text>
        <r>
          <rPr>
            <sz val="9"/>
            <color indexed="81"/>
            <rFont val="Segoe UI"/>
            <family val="2"/>
          </rPr>
          <t>Motor Switch</t>
        </r>
      </text>
    </comment>
    <comment ref="B135" authorId="1" shapeId="0" xr:uid="{60613C3D-0F30-4834-9158-3A7328361A95}">
      <text>
        <r>
          <rPr>
            <sz val="9"/>
            <color indexed="81"/>
            <rFont val="Segoe UI"/>
            <family val="2"/>
          </rPr>
          <t>System ASIC Heatsink</t>
        </r>
      </text>
    </comment>
    <comment ref="B136" authorId="1" shapeId="0" xr:uid="{1E3AA652-D1F2-4510-B3E4-253DEF1AABC9}">
      <text>
        <r>
          <rPr>
            <sz val="9"/>
            <color indexed="81"/>
            <rFont val="Segoe UI"/>
            <family val="2"/>
          </rPr>
          <t>Motor Switch Heatsink</t>
        </r>
      </text>
    </comment>
    <comment ref="B137" authorId="1" shapeId="0" xr:uid="{4B6F7C91-0FFE-45CD-BE66-E0F0CF6BDA8D}">
      <text>
        <r>
          <rPr>
            <sz val="9"/>
            <color indexed="81"/>
            <rFont val="Segoe UI"/>
            <family val="2"/>
          </rPr>
          <t>Motor Switch Heatsink</t>
        </r>
      </text>
    </comment>
    <comment ref="B138" authorId="1" shapeId="0" xr:uid="{1189B276-193E-4891-B335-088992A31AEC}">
      <text>
        <r>
          <rPr>
            <sz val="9"/>
            <color indexed="81"/>
            <rFont val="Segoe UI"/>
            <family val="2"/>
          </rPr>
          <t>Motor Switch Heatsink</t>
        </r>
      </text>
    </comment>
    <comment ref="B139" authorId="1" shapeId="0" xr:uid="{92A1A39D-9FCF-47C5-8F96-7ADE65C2CBEC}">
      <text>
        <r>
          <rPr>
            <sz val="9"/>
            <color indexed="81"/>
            <rFont val="Segoe UI"/>
            <family val="2"/>
          </rPr>
          <t>Motor Switch Heatsink</t>
        </r>
      </text>
    </comment>
    <comment ref="B140" authorId="1" shapeId="0" xr:uid="{D555C9F3-708F-436E-B9EB-CB4423295C22}">
      <text>
        <r>
          <rPr>
            <sz val="9"/>
            <color indexed="81"/>
            <rFont val="Segoe UI"/>
            <family val="2"/>
          </rPr>
          <t>Motor Switch Heatsink</t>
        </r>
      </text>
    </comment>
    <comment ref="B141" authorId="1" shapeId="0" xr:uid="{6C7BC614-8AA4-46F8-939F-664C899F8021}">
      <text>
        <r>
          <rPr>
            <sz val="9"/>
            <color indexed="81"/>
            <rFont val="Segoe UI"/>
            <family val="2"/>
          </rPr>
          <t>Motor Switch Heatsink</t>
        </r>
      </text>
    </comment>
    <comment ref="B142" authorId="1" shapeId="0" xr:uid="{F5E94C53-5DE2-4C5D-BF61-1FFDC4FC281F}">
      <text>
        <r>
          <rPr>
            <sz val="9"/>
            <color indexed="81"/>
            <rFont val="Segoe UI"/>
            <family val="2"/>
          </rPr>
          <t>Motor Switch Heatsink</t>
        </r>
      </text>
    </comment>
    <comment ref="B146" authorId="8" shapeId="0" xr:uid="{00000000-0006-0000-0000-00004B000000}">
      <text>
        <r>
          <rPr>
            <sz val="9"/>
            <color indexed="81"/>
            <rFont val="Tahoma"/>
            <family val="2"/>
          </rPr>
          <t>Diameter of line between TMC and ESP (usually 4.6mm or 6.6mm)
Default value: 6,6mm</t>
        </r>
      </text>
    </comment>
    <comment ref="B147" authorId="8" shapeId="0" xr:uid="{00000000-0006-0000-0000-00004C000000}">
      <text>
        <r>
          <rPr>
            <sz val="9"/>
            <color indexed="81"/>
            <rFont val="Tahoma"/>
            <family val="2"/>
          </rPr>
          <t>Length of line between TMC and ESP for circuit1
Default value: 1000mm</t>
        </r>
      </text>
    </comment>
    <comment ref="B148" authorId="8" shapeId="0" xr:uid="{00000000-0006-0000-0000-00004D000000}">
      <text>
        <r>
          <rPr>
            <sz val="9"/>
            <color indexed="81"/>
            <rFont val="Tahoma"/>
            <family val="2"/>
          </rPr>
          <t xml:space="preserve">Length of line between TMC and ESP for circuit2
Default value: 1000mm
</t>
        </r>
      </text>
    </comment>
    <comment ref="B149" authorId="8" shapeId="0" xr:uid="{00000000-0006-0000-0000-00004E000000}">
      <text>
        <r>
          <rPr>
            <sz val="9"/>
            <color indexed="81"/>
            <rFont val="Tahoma"/>
            <family val="2"/>
          </rPr>
          <t xml:space="preserve">Vertical distance between TMC outlet and ESP inlet
Default value: 130mm
</t>
        </r>
      </text>
    </comment>
    <comment ref="B150" authorId="8" shapeId="0" xr:uid="{00000000-0006-0000-0000-00004F000000}">
      <text>
        <r>
          <rPr>
            <sz val="9"/>
            <color indexed="81"/>
            <rFont val="Tahoma"/>
            <family val="2"/>
          </rPr>
          <t>Diameter of metal wheel lines (From HU to start of rubber hoses at wheel)
Default value: 3,3mm</t>
        </r>
      </text>
    </comment>
    <comment ref="B151" authorId="8" shapeId="0" xr:uid="{00000000-0006-0000-0000-000050000000}">
      <text>
        <r>
          <rPr>
            <sz val="9"/>
            <color indexed="81"/>
            <rFont val="Tahoma"/>
            <family val="2"/>
          </rPr>
          <t>Length of metal line to wheel (From HU to start of rubber hoses at wheel)
Default value: 1000mm</t>
        </r>
      </text>
    </comment>
    <comment ref="B152" authorId="8" shapeId="0" xr:uid="{00000000-0006-0000-0000-000051000000}">
      <text>
        <r>
          <rPr>
            <sz val="9"/>
            <color indexed="81"/>
            <rFont val="Tahoma"/>
            <family val="2"/>
          </rPr>
          <t>Length of metal line to wheel (From HU to start of rubber hoses at wheel)
Default value: 2000mm</t>
        </r>
      </text>
    </comment>
    <comment ref="B153" authorId="8" shapeId="0" xr:uid="{00000000-0006-0000-0000-000052000000}">
      <text>
        <r>
          <rPr>
            <sz val="9"/>
            <color indexed="81"/>
            <rFont val="Tahoma"/>
            <family val="2"/>
          </rPr>
          <t>Length of metal line to wheel (From HU to start of rubber hoses at wheel)
Default value: 6000mm</t>
        </r>
      </text>
    </comment>
    <comment ref="B154" authorId="8" shapeId="0" xr:uid="{00000000-0006-0000-0000-000053000000}">
      <text>
        <r>
          <rPr>
            <sz val="9"/>
            <color indexed="81"/>
            <rFont val="Tahoma"/>
            <family val="2"/>
          </rPr>
          <t xml:space="preserve">Length of metal line to wheel (From HU to start of rubber hoses at wheel)
Default value: 6000mm
</t>
        </r>
      </text>
    </comment>
    <comment ref="B156" authorId="1" shapeId="0" xr:uid="{00000000-0006-0000-0000-000054000000}">
      <text>
        <r>
          <rPr>
            <b/>
            <sz val="9"/>
            <color indexed="81"/>
            <rFont val="Segoe UI"/>
            <family val="2"/>
          </rPr>
          <t xml:space="preserve">TMC dp-q characteristics: </t>
        </r>
        <r>
          <rPr>
            <sz val="9"/>
            <color indexed="81"/>
            <rFont val="Segoe UI"/>
            <family val="2"/>
          </rPr>
          <t>Volume flow [ccm/s] through the TMC as a function of pressure drop [bar] measured between the TMC inlet connecting to the reservoir and the TMC outlet towards the ESP. If measurements for both circuits are available, please provide the average values of them. For example 50 mbar.</t>
        </r>
      </text>
    </comment>
    <comment ref="B157" authorId="1" shapeId="0" xr:uid="{00000000-0006-0000-0000-000055000000}">
      <text>
        <r>
          <rPr>
            <b/>
            <sz val="9"/>
            <color indexed="81"/>
            <rFont val="Segoe UI"/>
            <family val="2"/>
          </rPr>
          <t xml:space="preserve">TMC dp-q characteristics: </t>
        </r>
        <r>
          <rPr>
            <sz val="9"/>
            <color indexed="81"/>
            <rFont val="Segoe UI"/>
            <family val="2"/>
          </rPr>
          <t>Volume flow [ccm/s] through the TMC as a function of pressure drop [bar] measured between the TMC inlet connecting to the reservoir and the TMC outlet towards the ESP. If measurements for both circuits are available, please provide the average values of them. For example 100 mbar.</t>
        </r>
      </text>
    </comment>
    <comment ref="B158" authorId="1" shapeId="0" xr:uid="{00000000-0006-0000-0000-000056000000}">
      <text>
        <r>
          <rPr>
            <b/>
            <sz val="9"/>
            <color indexed="81"/>
            <rFont val="Segoe UI"/>
            <family val="2"/>
          </rPr>
          <t>TMC dp-q characteristics:</t>
        </r>
        <r>
          <rPr>
            <sz val="9"/>
            <color indexed="81"/>
            <rFont val="Segoe UI"/>
            <family val="2"/>
          </rPr>
          <t xml:space="preserve"> Volume flow [ccm/s] through the TMC as a function of pressure drop [bar] measured between the TMC inlet connecting to the reservoir and the TMC outlet towards the ESP. If measurements for both circuits are available, please provide the average values of them. For example 150 mbar.</t>
        </r>
      </text>
    </comment>
    <comment ref="B160" authorId="1" shapeId="0" xr:uid="{00000000-0006-0000-0000-000057000000}">
      <text>
        <r>
          <rPr>
            <b/>
            <sz val="9"/>
            <color indexed="81"/>
            <rFont val="Segoe UI"/>
            <family val="2"/>
          </rPr>
          <t xml:space="preserve">TMC dp-q characteristics: </t>
        </r>
        <r>
          <rPr>
            <sz val="9"/>
            <color indexed="81"/>
            <rFont val="Segoe UI"/>
            <family val="2"/>
          </rPr>
          <t>Volume flow [ccm/s] through the TMC as a function of pressure drop [bar] measured between the TMC inlet connecting to the reservoir and the TMC outlet towards the ESP. If measurements for both circuits are available, please provide the average values of them. For example 10 cm^3/s</t>
        </r>
      </text>
    </comment>
    <comment ref="B161" authorId="1" shapeId="0" xr:uid="{00000000-0006-0000-0000-000058000000}">
      <text>
        <r>
          <rPr>
            <b/>
            <sz val="9"/>
            <color indexed="81"/>
            <rFont val="Segoe UI"/>
            <family val="2"/>
          </rPr>
          <t>TMC dp-q characteristics:</t>
        </r>
        <r>
          <rPr>
            <sz val="9"/>
            <color indexed="81"/>
            <rFont val="Segoe UI"/>
            <family val="2"/>
          </rPr>
          <t xml:space="preserve"> Volume flow [ccm/s] through the TMC as a function of pressure drop [bar] measured between the TMC inlet connecting to the reservoir and the TMC outlet towards the ESP. If measurements for both circuits are available, please provide the average values of them. For example 15 cm^3/s.</t>
        </r>
      </text>
    </comment>
    <comment ref="B162" authorId="1" shapeId="0" xr:uid="{00000000-0006-0000-0000-000059000000}">
      <text>
        <r>
          <rPr>
            <b/>
            <sz val="9"/>
            <color indexed="81"/>
            <rFont val="Segoe UI"/>
            <family val="2"/>
          </rPr>
          <t xml:space="preserve">TMC dp-q characteristics: </t>
        </r>
        <r>
          <rPr>
            <sz val="9"/>
            <color indexed="81"/>
            <rFont val="Segoe UI"/>
            <family val="2"/>
          </rPr>
          <t>Volume flow [ccm/s] through the TMC as a function of pressure drop [bar] measured between the TMC inlet connecting to the reservoir and the TMC outlet towards the ESP. If measurements for both circuits are available, please provide the average values of them. For example 20 cm^3/s.</t>
        </r>
      </text>
    </comment>
    <comment ref="B166" authorId="2" shapeId="0" xr:uid="{00000000-0006-0000-0000-00005A000000}">
      <text>
        <r>
          <rPr>
            <sz val="9"/>
            <color indexed="81"/>
            <rFont val="Tahoma"/>
            <family val="2"/>
          </rPr>
          <t xml:space="preserve">ratio of the brake pedal
</t>
        </r>
      </text>
    </comment>
    <comment ref="B167" authorId="1" shapeId="0" xr:uid="{00000000-0006-0000-0000-00005B000000}">
      <text>
        <r>
          <rPr>
            <sz val="9"/>
            <color indexed="81"/>
            <rFont val="Segoe UI"/>
            <family val="2"/>
          </rPr>
          <t>The max. available pedal stroke should be longer than
(TMC stroke 1 + TMC stroke 2) * Pedal ration</t>
        </r>
      </text>
    </comment>
    <comment ref="B168" authorId="0" shapeId="0" xr:uid="{F2F2B973-502E-4B05-B1F9-1CCA1B79EBD5}">
      <text>
        <r>
          <rPr>
            <b/>
            <sz val="9"/>
            <color indexed="81"/>
            <rFont val="Segoe UI"/>
            <family val="2"/>
          </rPr>
          <t>maximum pedal ratio till 3kN driver force</t>
        </r>
        <r>
          <rPr>
            <sz val="9"/>
            <color indexed="81"/>
            <rFont val="Segoe UI"/>
            <family val="2"/>
          </rPr>
          <t xml:space="preserve">
</t>
        </r>
      </text>
    </comment>
    <comment ref="B169" authorId="0" shapeId="0" xr:uid="{2A7C9DEE-CC0F-4609-8255-12C331203A48}">
      <text>
        <r>
          <rPr>
            <b/>
            <sz val="9"/>
            <color indexed="81"/>
            <rFont val="Segoe UI"/>
            <family val="2"/>
          </rPr>
          <t>for BWA+ESP only</t>
        </r>
        <r>
          <rPr>
            <sz val="9"/>
            <color indexed="81"/>
            <rFont val="Segoe UI"/>
            <family val="2"/>
          </rPr>
          <t xml:space="preserve">
Based on this information, a minimum legal deceleration at a pedal position will be generated and set in the DCM-file for BWA to ensure safety requirement. 
for ex for BCP: only 600N, for BPM: 275N,</t>
        </r>
        <r>
          <rPr>
            <u/>
            <sz val="9"/>
            <color indexed="81"/>
            <rFont val="Segoe UI"/>
            <family val="2"/>
          </rPr>
          <t xml:space="preserve"> to be confirmed - Drop down</t>
        </r>
        <r>
          <rPr>
            <sz val="9"/>
            <color indexed="81"/>
            <rFont val="Segoe UI"/>
            <family val="2"/>
          </rPr>
          <t xml:space="preserve">
for competitor ePedal: free text to enter the value</t>
        </r>
      </text>
    </comment>
    <comment ref="B177" authorId="1" shapeId="0" xr:uid="{00000000-0006-0000-0000-00005C000000}">
      <text>
        <r>
          <rPr>
            <b/>
            <sz val="9"/>
            <color indexed="81"/>
            <rFont val="Segoe UI"/>
            <family val="2"/>
          </rPr>
          <t xml:space="preserve">Restoring pressure of Low Drag Caliper:
</t>
        </r>
        <r>
          <rPr>
            <sz val="9"/>
            <color indexed="81"/>
            <rFont val="Segoe UI"/>
            <family val="2"/>
          </rPr>
          <t>Pressure at which the brake pad is pulled back to it’s idle position (typ. 0.5 – 1 bar). 
Only relevant for recuperative braking in combination with low drag calipers.
Otherwise 0 bar.</t>
        </r>
      </text>
    </comment>
    <comment ref="B178" authorId="1" shapeId="0" xr:uid="{00000000-0006-0000-0000-00005D000000}">
      <text>
        <r>
          <rPr>
            <b/>
            <sz val="9"/>
            <color indexed="81"/>
            <rFont val="Segoe UI"/>
            <family val="2"/>
          </rPr>
          <t xml:space="preserve">Restoring pressure of Low Drag Caliper:
</t>
        </r>
        <r>
          <rPr>
            <sz val="9"/>
            <color indexed="81"/>
            <rFont val="Segoe UI"/>
            <family val="2"/>
          </rPr>
          <t>Pressure at which the brake pad is pulled back to it’s idle position (typ. 0.5 – 1 bar). 
Only relevant for recuperative braking in combination with low drag calipers.
Otherwise 0 bar.</t>
        </r>
      </text>
    </comment>
    <comment ref="B181" authorId="2" shapeId="0" xr:uid="{00000000-0006-0000-0000-00005E000000}">
      <text>
        <r>
          <rPr>
            <sz val="9"/>
            <color indexed="81"/>
            <rFont val="Tahoma"/>
            <family val="2"/>
          </rPr>
          <t xml:space="preserve">required volume to compensate the air gap of the caliper at one front wheel
Default values:
for ESP/iBooster: 0,5 ccm
for TTL: 0 ccm
</t>
        </r>
        <r>
          <rPr>
            <b/>
            <sz val="9"/>
            <color indexed="81"/>
            <rFont val="Tahoma"/>
            <family val="2"/>
          </rPr>
          <t>Note: In case the parameters are left empty, default values will be automatically used. Please ensure correct handling in relation to the PV data's.</t>
        </r>
        <r>
          <rPr>
            <sz val="9"/>
            <color indexed="81"/>
            <rFont val="Tahoma"/>
            <family val="2"/>
          </rPr>
          <t xml:space="preserve">
</t>
        </r>
      </text>
    </comment>
    <comment ref="B182" authorId="2" shapeId="0" xr:uid="{00000000-0006-0000-0000-00005F000000}">
      <text>
        <r>
          <rPr>
            <sz val="9"/>
            <color indexed="81"/>
            <rFont val="Tahoma"/>
            <family val="2"/>
          </rPr>
          <t xml:space="preserve">required volume to compensate the air gap of the caliper at one rear wheel
Default values:
for ESP/iBooster: 0,25 ccm
for TTL: 0 ccm
</t>
        </r>
        <r>
          <rPr>
            <b/>
            <sz val="9"/>
            <color indexed="81"/>
            <rFont val="Tahoma"/>
            <family val="2"/>
          </rPr>
          <t xml:space="preserve">
Note: In case the parameters are left empty, default values will be automatically used. Please ensure correct handling in relation to the PV data's.</t>
        </r>
      </text>
    </comment>
    <comment ref="B183" authorId="7" shapeId="0" xr:uid="{10E991D3-B3D9-4399-B55D-F7217EE60666}">
      <text>
        <r>
          <rPr>
            <sz val="9"/>
            <color indexed="81"/>
            <rFont val="Tahoma"/>
            <family val="2"/>
          </rPr>
          <t xml:space="preserve">mu brake pad during driving front wheel
</t>
        </r>
      </text>
    </comment>
    <comment ref="B195" authorId="7" shapeId="0" xr:uid="{3C7269F4-1D77-42F2-B69B-ACC208410643}">
      <text>
        <r>
          <rPr>
            <sz val="9"/>
            <color indexed="81"/>
            <rFont val="Tahoma"/>
            <family val="2"/>
          </rPr>
          <t xml:space="preserve">mu brake pad during driving front wheel
</t>
        </r>
      </text>
    </comment>
    <comment ref="B207" authorId="7" shapeId="0" xr:uid="{BE1F0F1E-1274-423A-AD26-6C4DAB58FA8A}">
      <text>
        <r>
          <rPr>
            <sz val="9"/>
            <color indexed="81"/>
            <rFont val="Tahoma"/>
            <family val="2"/>
          </rPr>
          <t xml:space="preserve">mu brake pad fading front wheel
</t>
        </r>
      </text>
    </comment>
    <comment ref="B208" authorId="7" shapeId="0" xr:uid="{84C366AE-DB1E-4109-869F-37DABF3EB3F2}">
      <text>
        <r>
          <rPr>
            <sz val="9"/>
            <color indexed="81"/>
            <rFont val="Tahoma"/>
            <family val="2"/>
          </rPr>
          <t xml:space="preserve">mu brake pad fading rear wheel
</t>
        </r>
      </text>
    </comment>
    <comment ref="B209" authorId="7" shapeId="0" xr:uid="{3E23930D-6478-4F10-837C-7FB89F40E41F}">
      <text>
        <r>
          <rPr>
            <sz val="9"/>
            <color indexed="81"/>
            <rFont val="Tahoma"/>
            <family val="2"/>
          </rPr>
          <t xml:space="preserve">mu static nominal for APB/PLU front wheel
</t>
        </r>
      </text>
    </comment>
    <comment ref="B210" authorId="7" shapeId="0" xr:uid="{BA58E308-6ECD-4C28-8012-72B27657D910}">
      <text>
        <r>
          <rPr>
            <sz val="9"/>
            <color indexed="81"/>
            <rFont val="Tahoma"/>
            <family val="2"/>
          </rPr>
          <t xml:space="preserve">mu static nominal for APB/PLU rear wheel
</t>
        </r>
      </text>
    </comment>
    <comment ref="B211" authorId="7" shapeId="0" xr:uid="{0CDC34F6-58BE-4E35-A5BA-20E065A25ABE}">
      <text>
        <r>
          <rPr>
            <sz val="9"/>
            <color indexed="81"/>
            <rFont val="Tahoma"/>
            <family val="2"/>
          </rPr>
          <t xml:space="preserve">mu static minimum for APB/PLU front wheel
</t>
        </r>
      </text>
    </comment>
    <comment ref="B212" authorId="7" shapeId="0" xr:uid="{17E7F7FC-2BA8-4E2D-B08F-B53629336527}">
      <text>
        <r>
          <rPr>
            <sz val="9"/>
            <color indexed="81"/>
            <rFont val="Tahoma"/>
            <family val="2"/>
          </rPr>
          <t xml:space="preserve">mu static minimum for APB/PLU rear wheel
</t>
        </r>
      </text>
    </comment>
    <comment ref="B213" authorId="7" shapeId="0" xr:uid="{E963758F-5FB2-48D5-B86F-A602E265A657}">
      <text>
        <r>
          <rPr>
            <sz val="9"/>
            <color indexed="81"/>
            <rFont val="Tahoma"/>
            <family val="2"/>
          </rPr>
          <t xml:space="preserve">mu brbake pad during driving @ non-operating temperature
</t>
        </r>
        <r>
          <rPr>
            <b/>
            <i/>
            <sz val="9"/>
            <color indexed="81"/>
            <rFont val="Tahoma"/>
            <family val="2"/>
          </rPr>
          <t xml:space="preserve">OPTIONAL
</t>
        </r>
        <r>
          <rPr>
            <sz val="9"/>
            <color indexed="81"/>
            <rFont val="Tahoma"/>
            <family val="2"/>
          </rPr>
          <t xml:space="preserve"> </t>
        </r>
      </text>
    </comment>
    <comment ref="B214" authorId="7" shapeId="0" xr:uid="{92AD4840-90D2-4237-BB29-103AC53A150B}">
      <text>
        <r>
          <rPr>
            <sz val="9"/>
            <color indexed="81"/>
            <rFont val="Tahoma"/>
            <family val="2"/>
          </rPr>
          <t xml:space="preserve">mu brake pad during driving @ non-operating temperature
</t>
        </r>
        <r>
          <rPr>
            <b/>
            <i/>
            <sz val="9"/>
            <color indexed="81"/>
            <rFont val="Tahoma"/>
            <family val="2"/>
          </rPr>
          <t>OPTIONAL</t>
        </r>
      </text>
    </comment>
    <comment ref="B215" authorId="7" shapeId="0" xr:uid="{A4E2CBB4-CFE0-4F89-8410-04E5E0241563}">
      <text>
        <r>
          <rPr>
            <sz val="9"/>
            <color indexed="81"/>
            <rFont val="Tahoma"/>
            <family val="2"/>
          </rPr>
          <t xml:space="preserve"> brake pad area front wheel
</t>
        </r>
        <r>
          <rPr>
            <b/>
            <i/>
            <sz val="9"/>
            <color indexed="81"/>
            <rFont val="Tahoma"/>
            <family val="2"/>
          </rPr>
          <t>OPTIONAL</t>
        </r>
      </text>
    </comment>
    <comment ref="B216" authorId="7" shapeId="0" xr:uid="{4B1AD84C-DD70-4167-9E8C-4859B86D5326}">
      <text>
        <r>
          <rPr>
            <sz val="9"/>
            <color indexed="81"/>
            <rFont val="Tahoma"/>
            <family val="2"/>
          </rPr>
          <t xml:space="preserve">brake pad height front wheel
</t>
        </r>
        <r>
          <rPr>
            <b/>
            <i/>
            <sz val="9"/>
            <color indexed="81"/>
            <rFont val="Tahoma"/>
            <family val="2"/>
          </rPr>
          <t>OPTIONAL</t>
        </r>
      </text>
    </comment>
    <comment ref="B217" authorId="7" shapeId="0" xr:uid="{858C06FE-B1B3-4562-A0C5-AF8A4FDD10F0}">
      <text>
        <r>
          <rPr>
            <sz val="9"/>
            <color indexed="81"/>
            <rFont val="Tahoma"/>
            <family val="2"/>
          </rPr>
          <t xml:space="preserve">brake pad area rear wheel
</t>
        </r>
        <r>
          <rPr>
            <b/>
            <i/>
            <sz val="9"/>
            <color indexed="81"/>
            <rFont val="Tahoma"/>
            <family val="2"/>
          </rPr>
          <t>OPTIONAL</t>
        </r>
      </text>
    </comment>
    <comment ref="B218" authorId="7" shapeId="0" xr:uid="{77241A43-9ED6-4ADF-85EC-FD128E409F76}">
      <text>
        <r>
          <rPr>
            <sz val="9"/>
            <color indexed="81"/>
            <rFont val="Tahoma"/>
            <family val="2"/>
          </rPr>
          <t xml:space="preserve">brake pad height rear wheel
</t>
        </r>
        <r>
          <rPr>
            <b/>
            <i/>
            <sz val="9"/>
            <color indexed="81"/>
            <rFont val="Tahoma"/>
            <family val="2"/>
          </rPr>
          <t>OPTIONAL</t>
        </r>
      </text>
    </comment>
    <comment ref="B228" authorId="2" shapeId="0" xr:uid="{00000000-0006-0000-0000-000060000000}">
      <text>
        <r>
          <rPr>
            <sz val="9"/>
            <color indexed="81"/>
            <rFont val="Tahoma"/>
            <family val="2"/>
          </rPr>
          <t>nominal Cp value per wheel at front axle.
See FAQ</t>
        </r>
      </text>
    </comment>
    <comment ref="B229" authorId="2" shapeId="0" xr:uid="{00000000-0006-0000-0000-000061000000}">
      <text>
        <r>
          <rPr>
            <sz val="9"/>
            <color indexed="81"/>
            <rFont val="Tahoma"/>
            <family val="2"/>
          </rPr>
          <t>nominal Cp value per wheel at rear axle.
See FAQ</t>
        </r>
      </text>
    </comment>
    <comment ref="B308" authorId="8" shapeId="0" xr:uid="{246E5DA7-BF90-42F0-8878-FCFD820CCE2D}">
      <text>
        <r>
          <rPr>
            <sz val="9"/>
            <color indexed="81"/>
            <rFont val="Tahoma"/>
            <family val="2"/>
          </rPr>
          <t xml:space="preserve">See FAQ Sheet
</t>
        </r>
      </text>
    </comment>
    <comment ref="B309" authorId="8" shapeId="0" xr:uid="{975DC98D-6F2A-47D8-98F5-7DCC65E86281}">
      <text>
        <r>
          <rPr>
            <sz val="9"/>
            <color indexed="81"/>
            <rFont val="Tahoma"/>
            <family val="2"/>
          </rPr>
          <t>volume consumption for one wheel at the front axle from hydraulic unit to caliper
If the PV's for the left and right wheel differs, please put the average values</t>
        </r>
      </text>
    </comment>
    <comment ref="B326" authorId="2" shapeId="0" xr:uid="{00000000-0006-0000-0000-000064000000}">
      <text>
        <r>
          <rPr>
            <sz val="9"/>
            <color indexed="81"/>
            <rFont val="Tahoma"/>
            <family val="2"/>
          </rPr>
          <t>volume consumption for one wheel at the rear axle
from hydraulic unit to caliper
If the PV's for the left and right wheel differs, please put the average values</t>
        </r>
      </text>
    </comment>
    <comment ref="B362" authorId="2" shapeId="0" xr:uid="{00000000-0006-0000-0000-000065000000}">
      <text>
        <r>
          <rPr>
            <sz val="9"/>
            <color indexed="81"/>
            <rFont val="Tahoma"/>
            <family val="2"/>
          </rPr>
          <t>ABS volume consumption</t>
        </r>
      </text>
    </comment>
    <comment ref="B363" authorId="5" shapeId="0" xr:uid="{6DC9889E-CDBB-4744-90F2-1E2DCA406072}">
      <text>
        <r>
          <rPr>
            <b/>
            <sz val="9"/>
            <color indexed="81"/>
            <rFont val="Segoe UI"/>
            <family val="2"/>
          </rPr>
          <t xml:space="preserve">Maximum APB clamping pressure
</t>
        </r>
        <r>
          <rPr>
            <sz val="9"/>
            <color indexed="81"/>
            <rFont val="Segoe UI"/>
            <family val="2"/>
          </rPr>
          <t>maxmimum APB clamping pressure with customer specific boundaries (with or without unbraked trailer, maximum slope, vehicle weight as defined by customer). Will be used for correction of LEM/AIM Monitoring parameters in Use Case: APB ON, vehicle in standstill</t>
        </r>
        <r>
          <rPr>
            <sz val="9"/>
            <color indexed="81"/>
            <rFont val="Segoe UI"/>
            <family val="2"/>
          </rPr>
          <t xml:space="preserve">
</t>
        </r>
        <r>
          <rPr>
            <b/>
            <sz val="9"/>
            <color indexed="81"/>
            <rFont val="Segoe UI"/>
            <family val="2"/>
          </rPr>
          <t>Attention: only in case the APB clamping is realised with the same caliper and has an influence on the PV curves for IPB/DPB.
For external APB, please enter the value 0 bar</t>
        </r>
      </text>
    </comment>
    <comment ref="B364" authorId="9" shapeId="0" xr:uid="{00000000-0006-0000-0000-000066000000}">
      <text>
        <r>
          <rPr>
            <b/>
            <sz val="9"/>
            <color indexed="81"/>
            <rFont val="Segoe UI"/>
            <family val="2"/>
          </rPr>
          <t>Brakecircuit 1</t>
        </r>
      </text>
    </comment>
    <comment ref="B365" authorId="9" shapeId="0" xr:uid="{00000000-0006-0000-0000-000067000000}">
      <text>
        <r>
          <rPr>
            <b/>
            <sz val="9"/>
            <color indexed="81"/>
            <rFont val="Segoe UI"/>
            <family val="2"/>
          </rPr>
          <t>Brakecircuit 2</t>
        </r>
      </text>
    </comment>
    <comment ref="B370" authorId="0" shapeId="0" xr:uid="{89B8778F-AD1F-4B14-9EB9-2E670ACD36A5}">
      <text>
        <r>
          <rPr>
            <b/>
            <sz val="9"/>
            <color indexed="81"/>
            <rFont val="Segoe UI"/>
            <family val="2"/>
          </rPr>
          <t>customer requirement</t>
        </r>
      </text>
    </comment>
    <comment ref="B371" authorId="0" shapeId="0" xr:uid="{762BD16B-E999-4727-A4A4-5F619A794285}">
      <text>
        <r>
          <rPr>
            <b/>
            <sz val="9"/>
            <color indexed="81"/>
            <rFont val="Segoe UI"/>
            <family val="2"/>
          </rPr>
          <t>customer requirement</t>
        </r>
      </text>
    </comment>
    <comment ref="B372" authorId="0" shapeId="0" xr:uid="{B3D1A5C4-77BA-452C-9976-35A422B1FDED}">
      <text>
        <r>
          <rPr>
            <sz val="9"/>
            <color indexed="81"/>
            <rFont val="Segoe UI"/>
            <family val="2"/>
          </rPr>
          <t xml:space="preserve">For customer specific value, please contact the BPSA Coordinator or the iBooster Collegue
</t>
        </r>
      </text>
    </comment>
    <comment ref="B374" authorId="0" shapeId="0" xr:uid="{274CEDD6-4F9D-415B-8130-4A4709997E12}">
      <text>
        <r>
          <rPr>
            <sz val="9"/>
            <color indexed="81"/>
            <rFont val="Segoe UI"/>
            <family val="2"/>
          </rPr>
          <t xml:space="preserve">iBooster SW gain
</t>
        </r>
      </text>
    </comment>
    <comment ref="B375" authorId="0" shapeId="0" xr:uid="{B3AF83D7-EF12-4DFE-A202-649590FD3C1A}">
      <text>
        <r>
          <rPr>
            <b/>
            <sz val="9"/>
            <color indexed="81"/>
            <rFont val="Segoe UI"/>
            <family val="2"/>
          </rPr>
          <t>customer requirement</t>
        </r>
      </text>
    </comment>
    <comment ref="B376" authorId="1" shapeId="0" xr:uid="{D018E21D-E3CE-48C9-9211-2814AC8D43A3}">
      <text>
        <r>
          <rPr>
            <b/>
            <sz val="9"/>
            <color indexed="81"/>
            <rFont val="Segoe UI"/>
            <family val="2"/>
          </rPr>
          <t>Actuation motor size</t>
        </r>
        <r>
          <rPr>
            <sz val="9"/>
            <color indexed="81"/>
            <rFont val="Segoe UI"/>
            <family val="2"/>
          </rPr>
          <t xml:space="preserve">
(e.g. for iBooster: size 1, …)
</t>
        </r>
      </text>
    </comment>
    <comment ref="B389" authorId="8" shapeId="0" xr:uid="{00000000-0006-0000-0000-000068000000}">
      <text>
        <r>
          <rPr>
            <sz val="9"/>
            <color indexed="81"/>
            <rFont val="Tahoma"/>
            <family val="2"/>
          </rPr>
          <t>iBooster does not move beyond the specified spindle stroke due to driver foot protection
Spindle stroke value for hard stroke limitation ( default:20mm; 50mm for inactive limitation)</t>
        </r>
      </text>
    </comment>
    <comment ref="B390" authorId="8" shapeId="0" xr:uid="{00000000-0006-0000-0000-000069000000}">
      <text>
        <r>
          <rPr>
            <sz val="9"/>
            <color indexed="81"/>
            <rFont val="Tahoma"/>
            <family val="2"/>
          </rPr>
          <t xml:space="preserve">iBooster moves forward with limited torque, supports ESP with given TMC preload pressure
Spindle stroke value for banking mode start ( default:50mm; 50mm for inactive limitation)
</t>
        </r>
      </text>
    </comment>
    <comment ref="B391" authorId="8" shapeId="0" xr:uid="{00000000-0006-0000-0000-00006A000000}">
      <text>
        <r>
          <rPr>
            <sz val="9"/>
            <color indexed="81"/>
            <rFont val="Tahoma"/>
            <family val="2"/>
          </rPr>
          <t xml:space="preserve">iBooster torque limit value for banking mode
Default value: 0,6Nm
</t>
        </r>
      </text>
    </comment>
    <comment ref="B392" authorId="8" shapeId="0" xr:uid="{00000000-0006-0000-0000-00006B000000}">
      <text>
        <r>
          <rPr>
            <sz val="9"/>
            <color indexed="81"/>
            <rFont val="Tahoma"/>
            <family val="2"/>
          </rPr>
          <t>To limit the kinetic energy of the motor and pedal-forces in case of a blocked pedal
Default value: 400rad/s</t>
        </r>
      </text>
    </comment>
    <comment ref="B394" authorId="9" shapeId="0" xr:uid="{00000000-0006-0000-0000-00006C000000}">
      <text>
        <r>
          <rPr>
            <sz val="9"/>
            <color indexed="81"/>
            <rFont val="Arial"/>
            <family val="2"/>
          </rPr>
          <t xml:space="preserve">Typicall values for maximum support force of diffrent booster sizes at a vehicle vacuum level (VL) of </t>
        </r>
        <r>
          <rPr>
            <b/>
            <sz val="9"/>
            <color indexed="81"/>
            <rFont val="Arial"/>
            <family val="2"/>
          </rPr>
          <t>0,80 bar</t>
        </r>
        <r>
          <rPr>
            <sz val="9"/>
            <color indexed="81"/>
            <rFont val="Arial"/>
            <family val="2"/>
          </rPr>
          <t xml:space="preserve">
Booster Size:   max.Sup.F [N]
8"                    3092.76 N
9"                    3368 N
9,5"                 3688 N
10"                  4160 N
10,5"               4560 N
11"                  4976 N
7+8"                4976 N
8+8"                5168 N
8+9"                5808 N
9+9"                6296 N
9+10"              7064 N
10+10"            7848 N
</t>
        </r>
        <r>
          <rPr>
            <b/>
            <sz val="9"/>
            <color indexed="81"/>
            <rFont val="Arial"/>
            <family val="2"/>
          </rPr>
          <t>Hint</t>
        </r>
        <r>
          <rPr>
            <sz val="9"/>
            <color indexed="81"/>
            <rFont val="Arial"/>
            <family val="2"/>
          </rPr>
          <t>: real project specific vacuum level has to be considerd</t>
        </r>
      </text>
    </comment>
    <comment ref="B538" authorId="8" shapeId="0" xr:uid="{D2A061DB-CBB0-4CD8-BF95-7BE4B4D7D305}">
      <text>
        <r>
          <rPr>
            <sz val="9"/>
            <color indexed="81"/>
            <rFont val="Tahoma"/>
            <family val="2"/>
          </rPr>
          <t>requested from BRS
BRS: Boost Recuperation System
default value: 0 Nm
Describes the maximum torque at wheel level in recuperation mode, whereby the input parameter represents the sum of all 4 wheels</t>
        </r>
      </text>
    </comment>
    <comment ref="B539" authorId="0" shapeId="0" xr:uid="{AB108F0F-4DBC-404A-BDAB-39FE8E59C3E7}">
      <text>
        <r>
          <rPr>
            <b/>
            <sz val="9"/>
            <color indexed="81"/>
            <rFont val="Segoe UI"/>
            <family val="2"/>
          </rPr>
          <t xml:space="preserve">For IPB System: </t>
        </r>
        <r>
          <rPr>
            <sz val="9"/>
            <color indexed="81"/>
            <rFont val="Segoe UI"/>
            <family val="2"/>
          </rPr>
          <t>Regenerative strategy</t>
        </r>
        <r>
          <rPr>
            <sz val="9"/>
            <color indexed="81"/>
            <rFont val="Segoe UI"/>
            <family val="2"/>
          </rPr>
          <t xml:space="preserve">
</t>
        </r>
      </text>
    </comment>
    <comment ref="B540" authorId="2" shapeId="0" xr:uid="{00000000-0006-0000-0000-00006F000000}">
      <text>
        <r>
          <rPr>
            <sz val="9"/>
            <color indexed="81"/>
            <rFont val="Tahoma"/>
            <family val="2"/>
          </rPr>
          <t xml:space="preserve">maximum regenerative potential of generator, deceleration
Platform assumption: Reference vehicle weight for further calculation of regenerative brake torque is (GVM + LLVM)/2. 
</t>
        </r>
      </text>
    </comment>
    <comment ref="B544" authorId="7" shapeId="0" xr:uid="{B045CC7A-97C4-432A-84BC-1009B62D59C0}">
      <text>
        <r>
          <rPr>
            <b/>
            <i/>
            <sz val="9"/>
            <color indexed="81"/>
            <rFont val="Tahoma"/>
            <family val="2"/>
          </rPr>
          <t>OPTIONAL</t>
        </r>
        <r>
          <rPr>
            <sz val="9"/>
            <color indexed="81"/>
            <rFont val="Tahoma"/>
            <family val="2"/>
          </rPr>
          <t xml:space="preserve">
default value: 0 Nm
</t>
        </r>
      </text>
    </comment>
    <comment ref="B545" authorId="7" shapeId="0" xr:uid="{37484E9E-2D46-4AA6-8E6A-BDA2607D9052}">
      <text>
        <r>
          <rPr>
            <b/>
            <i/>
            <sz val="9"/>
            <color indexed="81"/>
            <rFont val="Tahoma"/>
            <family val="2"/>
          </rPr>
          <t xml:space="preserve">OPTIONAL
</t>
        </r>
        <r>
          <rPr>
            <sz val="9"/>
            <color indexed="81"/>
            <rFont val="Tahoma"/>
            <family val="2"/>
          </rPr>
          <t>default value: 0 Nm</t>
        </r>
        <r>
          <rPr>
            <b/>
            <i/>
            <sz val="9"/>
            <color indexed="81"/>
            <rFont val="Tahoma"/>
            <family val="2"/>
          </rPr>
          <t xml:space="preserve">
</t>
        </r>
      </text>
    </comment>
    <comment ref="B546" authorId="7" shapeId="0" xr:uid="{9D6FF203-6667-4587-B510-5758FBB8602A}">
      <text>
        <r>
          <rPr>
            <b/>
            <i/>
            <sz val="9"/>
            <color indexed="81"/>
            <rFont val="Tahoma"/>
            <family val="2"/>
          </rPr>
          <t>OPTIONAL</t>
        </r>
        <r>
          <rPr>
            <i/>
            <sz val="9"/>
            <color indexed="81"/>
            <rFont val="Tahoma"/>
            <family val="2"/>
          </rPr>
          <t xml:space="preserve">
</t>
        </r>
        <r>
          <rPr>
            <sz val="9"/>
            <color indexed="81"/>
            <rFont val="Tahoma"/>
            <family val="2"/>
          </rPr>
          <t xml:space="preserve">
default value: 0 Nm</t>
        </r>
        <r>
          <rPr>
            <i/>
            <sz val="9"/>
            <color indexed="81"/>
            <rFont val="Tahoma"/>
            <family val="2"/>
          </rPr>
          <t xml:space="preserve">
</t>
        </r>
      </text>
    </comment>
    <comment ref="B547" authorId="7" shapeId="0" xr:uid="{274000BA-C858-4F71-845A-D7B00E08164C}">
      <text>
        <r>
          <rPr>
            <b/>
            <i/>
            <sz val="9"/>
            <color indexed="81"/>
            <rFont val="Tahoma"/>
            <family val="2"/>
          </rPr>
          <t xml:space="preserve">OPTIONAL
</t>
        </r>
        <r>
          <rPr>
            <sz val="9"/>
            <color indexed="81"/>
            <rFont val="Tahoma"/>
            <family val="2"/>
          </rPr>
          <t>default value: 0 Nm</t>
        </r>
      </text>
    </comment>
    <comment ref="B552" authorId="2" shapeId="0" xr:uid="{00000000-0006-0000-0000-000070000000}">
      <text>
        <r>
          <rPr>
            <sz val="9"/>
            <color indexed="81"/>
            <rFont val="Segoe UI"/>
            <family val="2"/>
          </rPr>
          <t>Parking pawl is a second device for securing the vehicle (besides the parking brake). Another solution to ensure redundancy in securing vehicle can be the "Remove of Parking Pawl" (RoPP) solution</t>
        </r>
      </text>
    </comment>
    <comment ref="B553" authorId="2" shapeId="0" xr:uid="{00000000-0006-0000-0000-000071000000}">
      <text>
        <r>
          <rPr>
            <sz val="9"/>
            <color indexed="81"/>
            <rFont val="Segoe UI"/>
            <family val="2"/>
          </rPr>
          <t>Degree of automation for driving according to SAE definition</t>
        </r>
      </text>
    </comment>
    <comment ref="B554" authorId="2" shapeId="0" xr:uid="{00000000-0006-0000-0000-000072000000}">
      <text>
        <r>
          <rPr>
            <sz val="9"/>
            <color indexed="81"/>
            <rFont val="Segoe UI"/>
            <family val="2"/>
          </rPr>
          <t xml:space="preserve">features:
remote control parking or infrastructure based valet parking (type 2*)
*: According to ISO 23374 (release expected in 2021) </t>
        </r>
      </text>
    </comment>
    <comment ref="B555" authorId="2" shapeId="0" xr:uid="{00000000-0006-0000-0000-000073000000}">
      <text>
        <r>
          <rPr>
            <sz val="9"/>
            <color indexed="81"/>
            <rFont val="Segoe UI"/>
            <family val="2"/>
          </rPr>
          <t xml:space="preserve">features:
automated parking (Level4) or automated valet parking (type 1* - Level4)
*: According to ISO 23374 (release expected in 2021) 
</t>
        </r>
      </text>
    </comment>
    <comment ref="B556" authorId="2" shapeId="0" xr:uid="{00000000-0006-0000-0000-000074000000}">
      <text>
        <r>
          <rPr>
            <sz val="9"/>
            <color indexed="81"/>
            <rFont val="Segoe UI"/>
            <family val="2"/>
          </rPr>
          <t xml:space="preserve">Redundancy of the brake system. Two-box approach (e.g. iBooster &amp; ESP or IPB &amp; RBU), solo approach for ESP or IPB.
</t>
        </r>
        <r>
          <rPr>
            <b/>
            <sz val="9"/>
            <color indexed="81"/>
            <rFont val="Segoe UI"/>
            <family val="2"/>
          </rPr>
          <t>New for DPB+ESP combination: 
If there is only 1 powernet for DPB and ESP, please select "no", if there are 2 independant powernet, please select "Two-Box"</t>
        </r>
      </text>
    </comment>
    <comment ref="B557" authorId="8" shapeId="0" xr:uid="{00000000-0006-0000-0000-000075000000}">
      <text>
        <r>
          <rPr>
            <sz val="9"/>
            <color indexed="81"/>
            <rFont val="Tahoma"/>
            <family val="2"/>
          </rPr>
          <t xml:space="preserve">WSS: Wheel Speed Sensor
WSS for HAD: WSS with integrated signal redundancy
Standard WSS: Standard WSS with additional measures on brakesystem ECU (Signal and power supply switching)
</t>
        </r>
      </text>
    </comment>
    <comment ref="B558" authorId="2" shapeId="0" xr:uid="{00000000-0006-0000-0000-000076000000}">
      <text>
        <r>
          <rPr>
            <sz val="9"/>
            <color indexed="81"/>
            <rFont val="Segoe UI"/>
            <family val="2"/>
          </rPr>
          <t xml:space="preserve">Ppressure sensor on ESP or IPB.
</t>
        </r>
      </text>
    </comment>
    <comment ref="B559" authorId="2" shapeId="0" xr:uid="{00000000-0006-0000-0000-000077000000}">
      <text>
        <r>
          <rPr>
            <sz val="9"/>
            <color indexed="81"/>
            <rFont val="Segoe UI"/>
            <family val="2"/>
          </rPr>
          <t>Tthe time in the fallback level after a failure has occured. Use case automated driving</t>
        </r>
      </text>
    </comment>
    <comment ref="B560" authorId="2" shapeId="0" xr:uid="{00000000-0006-0000-0000-000078000000}">
      <text>
        <r>
          <rPr>
            <sz val="9"/>
            <color indexed="81"/>
            <rFont val="Segoe UI"/>
            <family val="2"/>
          </rPr>
          <t>The time in the fallback level after a failure has occured. Use case automated parking or remote control parking</t>
        </r>
      </text>
    </comment>
    <comment ref="B561" authorId="2" shapeId="0" xr:uid="{00000000-0006-0000-0000-000079000000}">
      <text>
        <r>
          <rPr>
            <sz val="9"/>
            <color indexed="81"/>
            <rFont val="Segoe UI"/>
            <family val="2"/>
          </rPr>
          <t>Maximum velocity for the use case parking. Automated parking or remote control parking</t>
        </r>
      </text>
    </comment>
    <comment ref="B562" authorId="2" shapeId="0" xr:uid="{00000000-0006-0000-0000-00007A000000}">
      <text>
        <r>
          <rPr>
            <sz val="9"/>
            <color indexed="81"/>
            <rFont val="Segoe UI"/>
            <family val="2"/>
          </rPr>
          <t xml:space="preserve">The maximum time for a driver take-over in case of a failure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Bregeault Julien (VM/EYB10)</author>
    <author>Bregeault Julien (CC-AS/EYB7)</author>
    <author>tsc2abt</author>
    <author>FIXED-TERM Zedi Daniel (CC-AS/EYB7)</author>
    <author>FIXED-TERM Hansla Timmo (CC-AS/EYB7)</author>
  </authors>
  <commentList>
    <comment ref="A3" authorId="0" shapeId="0" xr:uid="{0273F2C0-5A5B-4FEE-8FEF-5C53F2874105}">
      <text>
        <r>
          <rPr>
            <b/>
            <sz val="9"/>
            <color indexed="81"/>
            <rFont val="Segoe UI"/>
            <family val="2"/>
          </rPr>
          <t xml:space="preserve">previously declared as "Availability" </t>
        </r>
      </text>
    </comment>
    <comment ref="B3" authorId="0" shapeId="0" xr:uid="{9D25A42A-1886-4C3B-8A0C-8886E47962BC}">
      <text>
        <r>
          <rPr>
            <b/>
            <sz val="9"/>
            <color indexed="81"/>
            <rFont val="Segoe UI"/>
            <family val="2"/>
          </rPr>
          <t>previously declared as "EBR function"</t>
        </r>
        <r>
          <rPr>
            <sz val="9"/>
            <color indexed="81"/>
            <rFont val="Segoe UI"/>
            <family val="2"/>
          </rPr>
          <t xml:space="preserve">
</t>
        </r>
      </text>
    </comment>
    <comment ref="E3" authorId="1" shapeId="0" xr:uid="{104D26A8-43E6-4AE9-A1C8-0052AC2D04A1}">
      <text>
        <r>
          <rPr>
            <b/>
            <sz val="9"/>
            <color indexed="81"/>
            <rFont val="Segoe UI"/>
            <family val="2"/>
          </rPr>
          <t>Availability:</t>
        </r>
        <r>
          <rPr>
            <sz val="9"/>
            <color indexed="81"/>
            <rFont val="Segoe UI"/>
            <family val="2"/>
          </rPr>
          <t xml:space="preserve"> 
The Feature selection is oriented to the possible selections in ePC for the Bosch internal defined Value Added Functions
In case of uncertaincies, please contact BSPA Coordination or VM/EYB10-Bregeault Julien
</t>
        </r>
        <r>
          <rPr>
            <b/>
            <sz val="9"/>
            <color indexed="81"/>
            <rFont val="Segoe UI"/>
            <family val="2"/>
          </rPr>
          <t xml:space="preserve">
</t>
        </r>
        <r>
          <rPr>
            <sz val="9"/>
            <color indexed="81"/>
            <rFont val="Segoe UI"/>
            <family val="2"/>
          </rPr>
          <t xml:space="preserve">
</t>
        </r>
      </text>
    </comment>
    <comment ref="C4" authorId="2" shapeId="0" xr:uid="{06FB197A-35DE-4A13-9ADC-E566A08B5FD9}">
      <text>
        <r>
          <rPr>
            <sz val="9"/>
            <color indexed="81"/>
            <rFont val="Tahoma"/>
            <family val="2"/>
          </rPr>
          <t>Automatic Emergency Braking</t>
        </r>
      </text>
    </comment>
    <comment ref="C9" authorId="2" shapeId="0" xr:uid="{EE43E2B8-7D39-4D77-A0C6-3D06A19521C0}">
      <text>
        <r>
          <rPr>
            <sz val="9"/>
            <color indexed="81"/>
            <rFont val="Tahoma"/>
            <family val="2"/>
          </rPr>
          <t>Automatic Parking Brake integrated</t>
        </r>
      </text>
    </comment>
    <comment ref="C14" authorId="1" shapeId="0" xr:uid="{F87026CC-4F05-476C-8561-253618B53CF5}">
      <text>
        <r>
          <rPr>
            <b/>
            <sz val="9"/>
            <color indexed="81"/>
            <rFont val="Segoe UI"/>
            <family val="2"/>
          </rPr>
          <t xml:space="preserve">Hydraulic Pressure Overlay
Specifc for combination iBooster and for ex. APBNano
</t>
        </r>
        <r>
          <rPr>
            <sz val="9"/>
            <color indexed="81"/>
            <rFont val="Segoe UI"/>
            <family val="2"/>
          </rPr>
          <t xml:space="preserve">HPO is in this case an EBR function for iBooster which will  support with hydraulic pressure on rear wheels to reach target clamp forces, even with small APBnano motor
</t>
        </r>
      </text>
    </comment>
    <comment ref="C19" authorId="2" shapeId="0" xr:uid="{CB44C571-ABE0-4509-9450-368D638AC8A2}">
      <text>
        <r>
          <rPr>
            <sz val="9"/>
            <color indexed="81"/>
            <rFont val="Tahoma"/>
            <family val="2"/>
          </rPr>
          <t xml:space="preserve">Automatic Vehicle Hold
</t>
        </r>
      </text>
    </comment>
    <comment ref="C24" authorId="2" shapeId="0" xr:uid="{0D0754FC-7F98-41D6-B6D9-31D9E03EE800}">
      <text>
        <r>
          <rPr>
            <sz val="9"/>
            <color indexed="81"/>
            <rFont val="Tahoma"/>
            <family val="2"/>
          </rPr>
          <t>Automatic Warning Brake</t>
        </r>
      </text>
    </comment>
    <comment ref="C29" authorId="2" shapeId="0" xr:uid="{B829450F-A661-4399-9519-BCC747561311}">
      <text>
        <r>
          <rPr>
            <sz val="9"/>
            <color indexed="81"/>
            <rFont val="Tahoma"/>
            <family val="2"/>
          </rPr>
          <t>Brake Fluid Support
Note: not relevant for IPB projects</t>
        </r>
      </text>
    </comment>
    <comment ref="C34" authorId="2" shapeId="0" xr:uid="{0683074D-C5B1-4916-BF6E-B75EFBB2EFCB}">
      <text>
        <r>
          <rPr>
            <sz val="9"/>
            <color indexed="81"/>
            <rFont val="Tahoma"/>
            <family val="2"/>
          </rPr>
          <t>Cruise Control Braking</t>
        </r>
      </text>
    </comment>
    <comment ref="C39" authorId="2" shapeId="0" xr:uid="{FBDF5E66-4086-45C6-9628-9085D3CF3A1B}">
      <text>
        <r>
          <rPr>
            <sz val="9"/>
            <color indexed="81"/>
            <rFont val="Tahoma"/>
            <family val="2"/>
          </rPr>
          <t xml:space="preserve">Cruise Control Limiter
</t>
        </r>
      </text>
    </comment>
    <comment ref="C44" authorId="3" shapeId="0" xr:uid="{B01DFBE9-6F3C-4FC3-A906-DE151B8AC955}">
      <text>
        <r>
          <rPr>
            <sz val="9"/>
            <color indexed="81"/>
            <rFont val="Tahoma"/>
            <family val="2"/>
          </rPr>
          <t xml:space="preserve">Controlled Deceleration for Driver Assistance Systems - Basic &gt; 30kmh
</t>
        </r>
      </text>
    </comment>
    <comment ref="C49" authorId="3" shapeId="0" xr:uid="{BBAEBCF1-6393-471F-B0A3-079965189D14}">
      <text>
        <r>
          <rPr>
            <sz val="9"/>
            <color indexed="81"/>
            <rFont val="Segoe UI"/>
            <family val="2"/>
          </rPr>
          <t>Hydraulic Brake Boost - Overboost
Note: not relevant for IPB projects</t>
        </r>
      </text>
    </comment>
    <comment ref="C54" authorId="3" shapeId="0" xr:uid="{5D391FC6-0806-45F0-AE7F-216F3C02FCDE}">
      <text>
        <r>
          <rPr>
            <sz val="9"/>
            <color indexed="81"/>
            <rFont val="Segoe UI"/>
            <family val="2"/>
          </rPr>
          <t>Hydraulic Brake Boost - Cold Start
Note: not relevant for IPB project</t>
        </r>
      </text>
    </comment>
    <comment ref="C59" authorId="2" shapeId="0" xr:uid="{FC183EE3-E205-4712-8184-7CF317AC5929}">
      <text>
        <r>
          <rPr>
            <sz val="9"/>
            <color indexed="81"/>
            <rFont val="Tahoma"/>
            <family val="2"/>
          </rPr>
          <t>Hydraulic Boost Compensation
Note: not relevant for IPB project</t>
        </r>
      </text>
    </comment>
    <comment ref="C64" authorId="2" shapeId="0" xr:uid="{869CC10E-35F3-43ED-9935-F20A170CCC56}">
      <text>
        <r>
          <rPr>
            <sz val="9"/>
            <color indexed="81"/>
            <rFont val="Tahoma"/>
            <family val="2"/>
          </rPr>
          <t>Hydraulic Fading Compensation</t>
        </r>
      </text>
    </comment>
    <comment ref="C69" authorId="2" shapeId="0" xr:uid="{9F208B60-F4B6-4CC8-A03B-7663311DF18D}">
      <text>
        <r>
          <rPr>
            <sz val="9"/>
            <color indexed="81"/>
            <rFont val="Tahoma"/>
            <family val="2"/>
          </rPr>
          <t>Hill Hold Control</t>
        </r>
      </text>
    </comment>
    <comment ref="C74" authorId="2" shapeId="0" xr:uid="{D4E3AA8B-3E9E-4254-A6A6-E1CBDA54C7A3}">
      <text>
        <r>
          <rPr>
            <sz val="9"/>
            <color indexed="81"/>
            <rFont val="Tahoma"/>
            <family val="2"/>
          </rPr>
          <t>Hydraulic Rear Wheel Boost</t>
        </r>
      </text>
    </comment>
    <comment ref="C79" authorId="0" shapeId="0" xr:uid="{2541164F-8FF4-4752-B487-08AD2FBC68AF}">
      <text>
        <r>
          <rPr>
            <b/>
            <sz val="9"/>
            <color indexed="81"/>
            <rFont val="Segoe UI"/>
            <family val="2"/>
          </rPr>
          <t>RAI: Rear Axle Isolation</t>
        </r>
        <r>
          <rPr>
            <sz val="9"/>
            <color indexed="81"/>
            <rFont val="Segoe UI"/>
            <family val="2"/>
          </rPr>
          <t xml:space="preserve">
decoupling of rear axle, mechanical backup with front wheel and rear axle with APB support. Improve backup performance in case of failure</t>
        </r>
      </text>
    </comment>
    <comment ref="C80" authorId="0" shapeId="0" xr:uid="{2B826D0C-0852-4C4B-B645-4D8E29EAED9D}">
      <text>
        <r>
          <rPr>
            <b/>
            <sz val="9"/>
            <color indexed="81"/>
            <rFont val="Segoe UI"/>
            <family val="2"/>
          </rPr>
          <t>Roll Over Mitigation</t>
        </r>
        <r>
          <rPr>
            <sz val="9"/>
            <color indexed="81"/>
            <rFont val="Segoe UI"/>
            <family val="2"/>
          </rPr>
          <t xml:space="preserve">
</t>
        </r>
      </text>
    </comment>
    <comment ref="C85" authorId="0" shapeId="0" xr:uid="{EE924E66-2348-458A-9324-30AE0B131946}">
      <text>
        <r>
          <rPr>
            <b/>
            <sz val="9"/>
            <color indexed="81"/>
            <rFont val="Segoe UI"/>
            <family val="2"/>
          </rPr>
          <t>Roll Movement Intervention</t>
        </r>
        <r>
          <rPr>
            <sz val="9"/>
            <color indexed="81"/>
            <rFont val="Segoe UI"/>
            <family val="2"/>
          </rPr>
          <t xml:space="preserve">
</t>
        </r>
      </text>
    </comment>
    <comment ref="C90" authorId="4" shapeId="0" xr:uid="{129C481D-6C6F-4C30-B6B9-35F2DA3D5E61}">
      <text>
        <r>
          <rPr>
            <sz val="9"/>
            <color indexed="81"/>
            <rFont val="Segoe UI"/>
            <family val="2"/>
          </rPr>
          <t>Mastercylinder Volume Replacement
Please note:
MVR function requires pedal travel sensor
Note: not relevant for IPB project</t>
        </r>
      </text>
    </comment>
    <comment ref="C91" authorId="1" shapeId="0" xr:uid="{9ABE620A-E332-4D01-BAF2-8CB39F7A7DD1}">
      <text>
        <r>
          <rPr>
            <b/>
            <sz val="9"/>
            <color indexed="81"/>
            <rFont val="Segoe UI"/>
            <family val="2"/>
          </rPr>
          <t>One Pedal Deceleration</t>
        </r>
        <r>
          <rPr>
            <sz val="9"/>
            <color indexed="81"/>
            <rFont val="Segoe UI"/>
            <family val="2"/>
          </rPr>
          <t xml:space="preserve">
specificaly considered for iBooster load evaluation</t>
        </r>
      </text>
    </comment>
    <comment ref="C92" authorId="0" shapeId="0" xr:uid="{CE6A03BD-0C6E-4C5F-BE63-03AF6DA7ED57}">
      <text>
        <r>
          <rPr>
            <b/>
            <sz val="9"/>
            <color indexed="81"/>
            <rFont val="Segoe UI"/>
            <family val="2"/>
          </rPr>
          <t>BDR: Boost by Drive Pedal Release
information required for DPB Monitoring threshold calculation</t>
        </r>
        <r>
          <rPr>
            <sz val="9"/>
            <color indexed="81"/>
            <rFont val="Segoe UI"/>
            <family val="2"/>
          </rPr>
          <t xml:space="preserve">
</t>
        </r>
      </text>
    </comment>
    <comment ref="C93" authorId="3" shapeId="0" xr:uid="{5C1415FF-A6E5-41A1-9A0D-FA0BFD2F66DE}">
      <text>
        <r>
          <rPr>
            <sz val="9"/>
            <color indexed="81"/>
            <rFont val="Segoe UI"/>
            <family val="2"/>
          </rPr>
          <t>Highly Automated Parking
Note: RPA (=RPC) Remote Park Assist, actuated via separate actuator</t>
        </r>
      </text>
    </comment>
    <comment ref="C98" authorId="2" shapeId="0" xr:uid="{5EB02B07-173D-41BB-82B9-6B0E0522EC1B}">
      <text>
        <r>
          <rPr>
            <sz val="9"/>
            <color indexed="81"/>
            <rFont val="Tahoma"/>
            <family val="2"/>
          </rPr>
          <t>Park Assist Stop function
for SAE Level 2</t>
        </r>
      </text>
    </comment>
    <comment ref="C103" authorId="0" shapeId="0" xr:uid="{BD286EAC-B421-4347-B313-8EA7DB076654}">
      <text>
        <r>
          <rPr>
            <sz val="9"/>
            <color indexed="81"/>
            <rFont val="Segoe UI"/>
            <family val="2"/>
          </rPr>
          <t xml:space="preserve">Needed to ensure IIS specific release conditions are taken into account.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FIXED-TERM Zedi Daniel (CC-AS/EYB7)</author>
  </authors>
  <commentList>
    <comment ref="B54" authorId="0" shapeId="0" xr:uid="{00000000-0006-0000-0500-000001000000}">
      <text>
        <r>
          <rPr>
            <sz val="9"/>
            <color indexed="81"/>
            <rFont val="Segoe UI"/>
            <family val="2"/>
          </rPr>
          <t>Values are beeing calculated after the the parameter sheet is filled. The calculted pressure values must be checked with the OEM and corrected if necessary.</t>
        </r>
      </text>
    </comment>
    <comment ref="B55" authorId="0" shapeId="0" xr:uid="{00000000-0006-0000-0500-000002000000}">
      <text>
        <r>
          <rPr>
            <sz val="9"/>
            <color indexed="81"/>
            <rFont val="Segoe UI"/>
            <family val="2"/>
          </rPr>
          <t xml:space="preserve">Vallues are beeing calculated after the the parameter sheet is filled. The calculted pressure values must be checked with the OEM and corrected if necessary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<sst xmlns="http://schemas.openxmlformats.org/spreadsheetml/2006/main" count="6540" uniqueCount="1192">
  <si>
    <t>Date:</t>
  </si>
  <si>
    <t>dd.mm.yyyy</t>
  </si>
  <si>
    <t>ABA</t>
  </si>
  <si>
    <t>ABP</t>
  </si>
  <si>
    <t>AEB</t>
  </si>
  <si>
    <t>AVH</t>
  </si>
  <si>
    <t>AWB</t>
  </si>
  <si>
    <t>CCB</t>
  </si>
  <si>
    <t>CDP</t>
  </si>
  <si>
    <t>EUC</t>
  </si>
  <si>
    <t>HBA</t>
  </si>
  <si>
    <t>HBC</t>
  </si>
  <si>
    <t>HFC</t>
  </si>
  <si>
    <t>HHC</t>
  </si>
  <si>
    <t>HRB</t>
  </si>
  <si>
    <t>PAP</t>
  </si>
  <si>
    <t>RMI</t>
  </si>
  <si>
    <t>SCM</t>
  </si>
  <si>
    <t>TSM</t>
  </si>
  <si>
    <t>Project Description</t>
  </si>
  <si>
    <t>Customer</t>
  </si>
  <si>
    <t>Contact Person for Assessment</t>
  </si>
  <si>
    <t>Project Assessment</t>
  </si>
  <si>
    <t>Start of Production</t>
  </si>
  <si>
    <t>Brake System Modulation</t>
  </si>
  <si>
    <t>Actuation</t>
  </si>
  <si>
    <t>Vacuum Booster</t>
  </si>
  <si>
    <t>iBoosterGen1</t>
  </si>
  <si>
    <t>iBoosterGen2</t>
  </si>
  <si>
    <t>Brakecircuit Split</t>
  </si>
  <si>
    <t>X-Split</t>
  </si>
  <si>
    <t>II-Split</t>
  </si>
  <si>
    <t>Others</t>
  </si>
  <si>
    <t>Foundation Brake</t>
  </si>
  <si>
    <t>Brake caliper</t>
  </si>
  <si>
    <t>[mm]</t>
  </si>
  <si>
    <t>Brake pads</t>
  </si>
  <si>
    <t>Cp value one front wheel</t>
  </si>
  <si>
    <t>Cp value one rear wheel</t>
  </si>
  <si>
    <t>[Nm/bar]</t>
  </si>
  <si>
    <t>pressure [bar]</t>
  </si>
  <si>
    <t>[cm³]</t>
  </si>
  <si>
    <t>volume consumption</t>
  </si>
  <si>
    <t>Mastercylinder</t>
  </si>
  <si>
    <t>TMC Piston diameter</t>
  </si>
  <si>
    <t>[N]</t>
  </si>
  <si>
    <t>[-]</t>
  </si>
  <si>
    <t>Dynamic Tire Radius rear axle</t>
  </si>
  <si>
    <t>Dynamic Tire Radius front axle</t>
  </si>
  <si>
    <t>[kg]</t>
  </si>
  <si>
    <t>[bar]</t>
  </si>
  <si>
    <t>Brake pedal</t>
  </si>
  <si>
    <t>Pedal ratio</t>
  </si>
  <si>
    <t>Output pressure @ P2</t>
  </si>
  <si>
    <t>Input force @ P1</t>
  </si>
  <si>
    <t>Output pressure @ P3</t>
  </si>
  <si>
    <t>Recuperation</t>
  </si>
  <si>
    <t>Front axle</t>
  </si>
  <si>
    <t>One for both axles</t>
  </si>
  <si>
    <t>One for each wheel</t>
  </si>
  <si>
    <t>Regenerative potential</t>
  </si>
  <si>
    <t>Booster Characteristics</t>
  </si>
  <si>
    <t>One for each axle</t>
  </si>
  <si>
    <t>[g]</t>
  </si>
  <si>
    <t>yes</t>
  </si>
  <si>
    <t>no</t>
  </si>
  <si>
    <t xml:space="preserve">Number: </t>
  </si>
  <si>
    <t>// allocation after request</t>
  </si>
  <si>
    <t>Miscellaneous</t>
  </si>
  <si>
    <t>APB_MI</t>
  </si>
  <si>
    <t>BFS</t>
  </si>
  <si>
    <t>CBC</t>
  </si>
  <si>
    <t>CCL</t>
  </si>
  <si>
    <t>CCO</t>
  </si>
  <si>
    <t>CSC</t>
  </si>
  <si>
    <t>LBF</t>
  </si>
  <si>
    <t>LCMS</t>
  </si>
  <si>
    <t>LKS</t>
  </si>
  <si>
    <t>SLS</t>
  </si>
  <si>
    <t>SWA</t>
  </si>
  <si>
    <t>VDC</t>
  </si>
  <si>
    <t>Availability</t>
  </si>
  <si>
    <t>Please take care of the "Features" page ►</t>
  </si>
  <si>
    <t>HEV</t>
  </si>
  <si>
    <t>PHEV</t>
  </si>
  <si>
    <t>EV</t>
  </si>
  <si>
    <t>Frequency during vehicle life</t>
  </si>
  <si>
    <t>EBR function</t>
  </si>
  <si>
    <t>Short feature description</t>
  </si>
  <si>
    <t>ICE</t>
  </si>
  <si>
    <t>DWT-B</t>
  </si>
  <si>
    <t>ESS</t>
  </si>
  <si>
    <t>HBB</t>
  </si>
  <si>
    <t>ROM</t>
  </si>
  <si>
    <t>HDC</t>
  </si>
  <si>
    <t>BDW</t>
  </si>
  <si>
    <t>EBP</t>
  </si>
  <si>
    <t>CDD</t>
  </si>
  <si>
    <t>Features</t>
  </si>
  <si>
    <t>Platform compliant usage</t>
  </si>
  <si>
    <t>Variant 1</t>
  </si>
  <si>
    <t>Variant 2</t>
  </si>
  <si>
    <t>Variant 3</t>
  </si>
  <si>
    <t>Variant 4</t>
  </si>
  <si>
    <t>Variant 5</t>
  </si>
  <si>
    <t>Variant 6</t>
  </si>
  <si>
    <t>Variant 8</t>
  </si>
  <si>
    <t>Variant 9</t>
  </si>
  <si>
    <t>Variant 7</t>
  </si>
  <si>
    <t>Description of specific variant characteristics</t>
  </si>
  <si>
    <t>Brake System Project Assessment (BSPA)</t>
  </si>
  <si>
    <t>Premises</t>
  </si>
  <si>
    <r>
      <t xml:space="preserve">                           </t>
    </r>
    <r>
      <rPr>
        <sz val="11"/>
        <color theme="1"/>
        <rFont val="Arial"/>
        <family val="2"/>
      </rPr>
      <t>•</t>
    </r>
    <r>
      <rPr>
        <sz val="11"/>
        <color theme="1"/>
        <rFont val="Bosch Office Sans"/>
        <family val="2"/>
      </rPr>
      <t xml:space="preserve"> Brake frequency</t>
    </r>
  </si>
  <si>
    <r>
      <t xml:space="preserve">                           </t>
    </r>
    <r>
      <rPr>
        <sz val="11"/>
        <color theme="1"/>
        <rFont val="Arial"/>
        <family val="2"/>
      </rPr>
      <t>•</t>
    </r>
    <r>
      <rPr>
        <sz val="9.35"/>
        <color theme="1"/>
        <rFont val="Bosch Office Sans"/>
        <family val="2"/>
      </rPr>
      <t xml:space="preserve"> </t>
    </r>
    <r>
      <rPr>
        <sz val="11"/>
        <color theme="1"/>
        <rFont val="Bosch Office Sans"/>
        <family val="2"/>
      </rPr>
      <t>Distribution of vehicle decelerations</t>
    </r>
  </si>
  <si>
    <r>
      <t xml:space="preserve">                           </t>
    </r>
    <r>
      <rPr>
        <sz val="11"/>
        <color theme="1"/>
        <rFont val="Arial"/>
        <family val="2"/>
      </rPr>
      <t xml:space="preserve">• </t>
    </r>
    <r>
      <rPr>
        <sz val="11"/>
        <color theme="1"/>
        <rFont val="Bosch Office Sans"/>
        <family val="2"/>
      </rPr>
      <t>Distribution of initial braking vehicle velocities</t>
    </r>
  </si>
  <si>
    <r>
      <rPr>
        <sz val="11"/>
        <color theme="1"/>
        <rFont val="Arial"/>
        <family val="2"/>
      </rPr>
      <t xml:space="preserve">                           •</t>
    </r>
    <r>
      <rPr>
        <sz val="9.35"/>
        <color theme="1"/>
        <rFont val="Bosch Office Sans"/>
        <family val="2"/>
      </rPr>
      <t xml:space="preserve"> </t>
    </r>
    <r>
      <rPr>
        <sz val="11"/>
        <color theme="1"/>
        <rFont val="Bosch Office Sans"/>
        <family val="2"/>
      </rPr>
      <t>Brake apply and release gradients</t>
    </r>
  </si>
  <si>
    <r>
      <rPr>
        <sz val="11"/>
        <color theme="1"/>
        <rFont val="Arial"/>
        <family val="2"/>
      </rPr>
      <t xml:space="preserve">                           •</t>
    </r>
    <r>
      <rPr>
        <sz val="9.35"/>
        <color theme="1"/>
        <rFont val="Bosch Office Sans"/>
        <family val="2"/>
      </rPr>
      <t xml:space="preserve"> </t>
    </r>
    <r>
      <rPr>
        <sz val="11"/>
        <color theme="1"/>
        <rFont val="Bosch Office Sans"/>
        <family val="2"/>
      </rPr>
      <t>Driver demand modulation</t>
    </r>
  </si>
  <si>
    <r>
      <rPr>
        <sz val="11"/>
        <color theme="1"/>
        <rFont val="Arial"/>
        <family val="2"/>
      </rPr>
      <t xml:space="preserve">                           •</t>
    </r>
    <r>
      <rPr>
        <sz val="9.35"/>
        <color theme="1"/>
        <rFont val="Bosch Office Sans"/>
        <family val="2"/>
      </rPr>
      <t xml:space="preserve"> </t>
    </r>
    <r>
      <rPr>
        <sz val="11"/>
        <color theme="1"/>
        <rFont val="Bosch Office Sans"/>
        <family val="2"/>
      </rPr>
      <t xml:space="preserve">ACC specification </t>
    </r>
  </si>
  <si>
    <t>[ccm]</t>
  </si>
  <si>
    <t>[cm³/s]</t>
  </si>
  <si>
    <t>HPS</t>
  </si>
  <si>
    <t>TJP</t>
  </si>
  <si>
    <t>HWP</t>
  </si>
  <si>
    <t>[ms]</t>
  </si>
  <si>
    <t>[V]</t>
  </si>
  <si>
    <t>Low pressure accumulator volume 1</t>
  </si>
  <si>
    <t>Low pressure accumulator volume 2</t>
  </si>
  <si>
    <t>Battery voltage @ AEB</t>
  </si>
  <si>
    <t>[OHM]</t>
  </si>
  <si>
    <t>Brake system project assessment is completely based on AK BRS 2.0 specification for:</t>
  </si>
  <si>
    <t>If there is any deviation to AK BRS 2.0 specification in your project, please contact us immediately</t>
  </si>
  <si>
    <t>free-text for comments</t>
  </si>
  <si>
    <t>AEB-VRU</t>
  </si>
  <si>
    <t>ESP Motoren</t>
  </si>
  <si>
    <t>F-LU</t>
  </si>
  <si>
    <t>F-LD</t>
  </si>
  <si>
    <t>F-LL</t>
  </si>
  <si>
    <t>LD</t>
  </si>
  <si>
    <t>Name:</t>
  </si>
  <si>
    <t>F-TE08</t>
  </si>
  <si>
    <t>F-TE09</t>
  </si>
  <si>
    <t>CDD Damper</t>
  </si>
  <si>
    <t>LS</t>
  </si>
  <si>
    <t>F-LDB</t>
  </si>
  <si>
    <t>ABS volume consumption</t>
  </si>
  <si>
    <t>Max. available pedal stroke</t>
  </si>
  <si>
    <t>Inlet Valve throttle diameter @ front axle</t>
  </si>
  <si>
    <t>Inlet Valve throttle diameter @ rear axle</t>
  </si>
  <si>
    <r>
      <t xml:space="preserve">pV Curve of </t>
    </r>
    <r>
      <rPr>
        <b/>
        <sz val="10"/>
        <color theme="1"/>
        <rFont val="Arial"/>
        <family val="2"/>
      </rPr>
      <t>one</t>
    </r>
    <r>
      <rPr>
        <sz val="10"/>
        <color theme="1"/>
        <rFont val="Arial"/>
        <family val="2"/>
      </rPr>
      <t xml:space="preserve"> rear wheel</t>
    </r>
  </si>
  <si>
    <t>Variant 10</t>
  </si>
  <si>
    <t>Variant 11</t>
  </si>
  <si>
    <t>Variant 12</t>
  </si>
  <si>
    <t>Variant 13</t>
  </si>
  <si>
    <t>Variant 14</t>
  </si>
  <si>
    <t>Variant 15</t>
  </si>
  <si>
    <t>LLVW</t>
  </si>
  <si>
    <t>GVM</t>
  </si>
  <si>
    <t>TTL</t>
  </si>
  <si>
    <t>RT</t>
  </si>
  <si>
    <t>TMC</t>
  </si>
  <si>
    <t>Cp value</t>
  </si>
  <si>
    <t>Autonomous Emergency Braking – Vulnerable Road User</t>
  </si>
  <si>
    <t>Lightly Loaded Vehicle Weight</t>
  </si>
  <si>
    <t>Gross Vehicle Weigth</t>
  </si>
  <si>
    <t>Time To Lock</t>
  </si>
  <si>
    <t>Autonomous Emergency Braking</t>
  </si>
  <si>
    <t>Room Temperature</t>
  </si>
  <si>
    <t>Controlled Deceleration for Driver Assistance Systems</t>
  </si>
  <si>
    <t>Tandem Master Cylinder</t>
  </si>
  <si>
    <t>Traffic Jam Pilot</t>
  </si>
  <si>
    <t>Highway Pilot</t>
  </si>
  <si>
    <t>Highly Automated Driving (SAE-Level 3-4)</t>
  </si>
  <si>
    <t>HAD</t>
  </si>
  <si>
    <t>Adaptive Brake Assist</t>
  </si>
  <si>
    <t>Automatic Brake Pre-fill</t>
  </si>
  <si>
    <t>Automatic Vehicle Hold</t>
  </si>
  <si>
    <t>Brake Disc Wiping</t>
  </si>
  <si>
    <t>Automatic Warning Brake</t>
  </si>
  <si>
    <t>Cornering Brake Control</t>
  </si>
  <si>
    <t>Cruise Control Braking</t>
  </si>
  <si>
    <t>Cruise Control Limiter</t>
  </si>
  <si>
    <t>Cruise Control Offroad</t>
  </si>
  <si>
    <t>Controlled Deceleration for Parking Brake</t>
  </si>
  <si>
    <t>Dynamic Wheel Torque Control by Brake</t>
  </si>
  <si>
    <t>Electronic Brake Pre-fill</t>
  </si>
  <si>
    <t>Evasive Steering Support</t>
  </si>
  <si>
    <t>Enhanced Under Steer Control</t>
  </si>
  <si>
    <t>Hydraulic Brake Assist</t>
  </si>
  <si>
    <t>Hydraulic Brake Booster</t>
  </si>
  <si>
    <t>Hydraulic Boost Compensation</t>
  </si>
  <si>
    <t>Hill Descent Control</t>
  </si>
  <si>
    <t>Hydraulic Fading Compensation</t>
  </si>
  <si>
    <t>Hill Hold Control</t>
  </si>
  <si>
    <t>Lane Keeping Support</t>
  </si>
  <si>
    <t>Roll Movement Intervention</t>
  </si>
  <si>
    <t>Roll Over Mitigation</t>
  </si>
  <si>
    <t>Secondary Collision Mitigation</t>
  </si>
  <si>
    <t>Straight Line Stability</t>
  </si>
  <si>
    <t>Trailer Sway Mitigation</t>
  </si>
  <si>
    <t>Vehicle dynamic control</t>
  </si>
  <si>
    <t>Brake Fluid Support</t>
  </si>
  <si>
    <t>Cornering Stability Control</t>
  </si>
  <si>
    <t>Hydraulic Rear Wheel Boost</t>
  </si>
  <si>
    <t xml:space="preserve">Park Assist stop for Parallel parking </t>
  </si>
  <si>
    <t>Spurwechselassistent (Lane Change Assist)</t>
  </si>
  <si>
    <t>Low Brake Friction Compensation</t>
  </si>
  <si>
    <t>Lateral Collision Mitigation System</t>
  </si>
  <si>
    <t>Hydraulic Pressure Support for APB_MI</t>
  </si>
  <si>
    <t>Brake torque ratio</t>
  </si>
  <si>
    <t>acronym</t>
  </si>
  <si>
    <t>description</t>
  </si>
  <si>
    <t>Wiring harness resistance @ RT</t>
  </si>
  <si>
    <t xml:space="preserve"> </t>
  </si>
  <si>
    <r>
      <t>Automatic Parking Brake 
(</t>
    </r>
    <r>
      <rPr>
        <b/>
        <sz val="10"/>
        <color theme="1"/>
        <rFont val="Arial"/>
        <family val="2"/>
      </rPr>
      <t>M</t>
    </r>
    <r>
      <rPr>
        <sz val="10"/>
        <color theme="1"/>
        <rFont val="Arial"/>
        <family val="2"/>
      </rPr>
      <t xml:space="preserve">otor on caliper, Integrated: </t>
    </r>
    <r>
      <rPr>
        <b/>
        <sz val="10"/>
        <color theme="1"/>
        <rFont val="Arial"/>
        <family val="2"/>
      </rPr>
      <t>C</t>
    </r>
    <r>
      <rPr>
        <sz val="10"/>
        <color theme="1"/>
        <rFont val="Arial"/>
        <family val="2"/>
      </rPr>
      <t>ontolled by ESP)</t>
    </r>
  </si>
  <si>
    <t>[m/s²]</t>
  </si>
  <si>
    <t>Trailer</t>
  </si>
  <si>
    <t>Input rod force @ cut in</t>
  </si>
  <si>
    <t>LL</t>
  </si>
  <si>
    <t>Jump-In level</t>
  </si>
  <si>
    <t>Email to: "BSPA Coordination" or "TTL Mailbox"</t>
  </si>
  <si>
    <t>Customer Platform Variants</t>
  </si>
  <si>
    <t>AEB-VRU (Time-to-Lock Requirements relevant)</t>
  </si>
  <si>
    <t>MS2</t>
  </si>
  <si>
    <t>pV Curves (wheel and brake tubes from hydraulic unit to wheel brakes)</t>
  </si>
  <si>
    <t>pressure @ 0,25g @ LLVW</t>
  </si>
  <si>
    <t>without airgap!</t>
  </si>
  <si>
    <t>Dropdownmenüs</t>
  </si>
  <si>
    <t>Modulation</t>
  </si>
  <si>
    <t>iBoostergen2</t>
  </si>
  <si>
    <t>Hydromax</t>
  </si>
  <si>
    <t>TMC Diameter</t>
  </si>
  <si>
    <t>ESP9.3CP - ESP Standard</t>
  </si>
  <si>
    <t>ESP9UHDS - ESP Standard</t>
  </si>
  <si>
    <t>ESP9.3HP - ESP hevX</t>
  </si>
  <si>
    <t>ESP9.3HU - ESP hevII</t>
  </si>
  <si>
    <t>ESP9UHDH - ESP hevX</t>
  </si>
  <si>
    <t>ESP9.3TE - ESP Standard for light trucks</t>
  </si>
  <si>
    <t>ESP9.3TA - ESP Standard for medium heavy trucks</t>
  </si>
  <si>
    <t>Abhängige Actuation von Modulation</t>
  </si>
  <si>
    <t>ESP9.3CB - ESP Standard</t>
  </si>
  <si>
    <t>F-TE11</t>
  </si>
  <si>
    <t>AER-VRU</t>
  </si>
  <si>
    <t>Air-Gap volume one front wheel</t>
  </si>
  <si>
    <t>Air-Gap volume one rear wheel</t>
  </si>
  <si>
    <t>z-critical</t>
  </si>
  <si>
    <t>0,3 - 0,5</t>
  </si>
  <si>
    <t>&gt; 0,5</t>
  </si>
  <si>
    <t>&lt; 0,3</t>
  </si>
  <si>
    <t>location of Generator</t>
  </si>
  <si>
    <t>Competitor</t>
  </si>
  <si>
    <t>FAQ</t>
  </si>
  <si>
    <t>I want to fill in a parameter in the sheet and the following error message comes up:</t>
  </si>
  <si>
    <t>Caliper piston area rear wheel</t>
  </si>
  <si>
    <t>Caliper piston area front wheel</t>
  </si>
  <si>
    <t>Effective radius from caliper (one front wheel)</t>
  </si>
  <si>
    <t>Effective radius from caliper (one rear wheel)</t>
  </si>
  <si>
    <t>Cp value one front wheel (calculated)</t>
  </si>
  <si>
    <t>Cp value one rear wheel (calculated)</t>
  </si>
  <si>
    <t>unit</t>
  </si>
  <si>
    <t>[mm²]</t>
  </si>
  <si>
    <t>Question</t>
  </si>
  <si>
    <t>Answer</t>
  </si>
  <si>
    <t>I don´t know the CP Values. How can I calculate them?</t>
  </si>
  <si>
    <t>What shall I do if some of the parameters are not known?</t>
  </si>
  <si>
    <t>I dont know the pressure @ 0,25g @ GVW and pressure @ 0,25g @ LLVW</t>
  </si>
  <si>
    <t>pressure @ 0,25g @ GVW</t>
  </si>
  <si>
    <t>The following table will calculate the values automatically after you have filled in the remaining parameters</t>
  </si>
  <si>
    <t>Initial pressure to close air gap @ front axle</t>
  </si>
  <si>
    <t>Initial pressure to close air gap @ rear axle</t>
  </si>
  <si>
    <t>Low drag caliper @ front axle</t>
  </si>
  <si>
    <t>Low drag caliper @ rear axle</t>
  </si>
  <si>
    <t>S</t>
  </si>
  <si>
    <t>M</t>
  </si>
  <si>
    <t>Max. System Pressure</t>
  </si>
  <si>
    <t>friction resistance coefficient (µpad)</t>
  </si>
  <si>
    <t>Axle load @ GVM rear axle</t>
  </si>
  <si>
    <t>Axle load @ GVM front axle</t>
  </si>
  <si>
    <t>Axle load @ LLVM front axle</t>
  </si>
  <si>
    <t>Axle load @ LLVM rear axle</t>
  </si>
  <si>
    <t>z-critical Level (LLVM)</t>
  </si>
  <si>
    <t>If you have any questions regarding this parameter sheet please look at the the FAQ page on the bottom.</t>
  </si>
  <si>
    <t>If you don´t know a relevant parameter in the sheet please procede as follows: look further down in the FAQ section, empirical values, best guess, contact BSPA Coordination Team. The BSPA will only be executed with the given values. If the emerical or the best guess values are not in harmony with the real values the BSPA has to be repeated with the actual values.</t>
  </si>
  <si>
    <t>If the note above appears your value for this cell is either to high or to low. If you only have 1 variant put your values as a comment in the "free-text for Comment" section. If you have more variants please contact the BSPA Coordination Team.</t>
  </si>
  <si>
    <t>boosterless</t>
  </si>
  <si>
    <t>HBB_OB</t>
  </si>
  <si>
    <t>HBB_CS</t>
  </si>
  <si>
    <t>HAP</t>
  </si>
  <si>
    <t>X - Split</t>
  </si>
  <si>
    <t>II - Split</t>
  </si>
  <si>
    <t xml:space="preserve">Engine type </t>
  </si>
  <si>
    <t>Engine Types</t>
  </si>
  <si>
    <r>
      <t xml:space="preserve">Fill out the following table for each variant. The CP values will be calculated. Please transfere the calculated values in the main parameter sheet. </t>
    </r>
    <r>
      <rPr>
        <b/>
        <sz val="10"/>
        <color theme="1"/>
        <rFont val="Arial"/>
        <family val="2"/>
      </rPr>
      <t>Attention: Only valid for disc brakes. For drum brakes, C* values are usually higher (e.g. typical C* = 1,8 … 2,3 for simplex drum brakes)</t>
    </r>
  </si>
  <si>
    <t>[Nm]</t>
  </si>
  <si>
    <t>pV Data nominal or specification limit</t>
  </si>
  <si>
    <t>nominal</t>
  </si>
  <si>
    <t>specification limit</t>
  </si>
  <si>
    <t>ESP10CB - ESP Standard</t>
  </si>
  <si>
    <t>ESP10HB - ESP hevX</t>
  </si>
  <si>
    <t>ESP10CE - ESP Standard</t>
  </si>
  <si>
    <t>ESP10HE - ESP hevX</t>
  </si>
  <si>
    <t>ESP10CP - ESP Standard</t>
  </si>
  <si>
    <t>ESP10HP - ESP hevX</t>
  </si>
  <si>
    <t>ESP10CU - ESP Standard</t>
  </si>
  <si>
    <t>ESP10HU - ESP hevX</t>
  </si>
  <si>
    <t>Drivetrain Layout</t>
  </si>
  <si>
    <t>Front wheel drive</t>
  </si>
  <si>
    <t>Rear wheel drive</t>
  </si>
  <si>
    <t>Four wheel drive</t>
  </si>
  <si>
    <t>Suction Damper</t>
  </si>
  <si>
    <t>All visible parameters are mandatory!</t>
  </si>
  <si>
    <t>MD2</t>
  </si>
  <si>
    <t>MD3</t>
  </si>
  <si>
    <t>MC1 Piston stroke</t>
  </si>
  <si>
    <t>Vehicle Parameters</t>
  </si>
  <si>
    <t>Parking Pawl</t>
  </si>
  <si>
    <t>Redundancy in WSS Signal</t>
  </si>
  <si>
    <t>8 WSS</t>
  </si>
  <si>
    <t>other</t>
  </si>
  <si>
    <t>short time</t>
  </si>
  <si>
    <t>long time</t>
  </si>
  <si>
    <t>Level 3</t>
  </si>
  <si>
    <t>Parking pawl available</t>
  </si>
  <si>
    <t>WSS for HAD</t>
  </si>
  <si>
    <t>Standard WSS</t>
  </si>
  <si>
    <t>Level 5</t>
  </si>
  <si>
    <t>Generator power (Recuperation capacity)</t>
  </si>
  <si>
    <t>[kW]</t>
  </si>
  <si>
    <t xml:space="preserve">The OEM is responsible for all the data and must confirm them! </t>
  </si>
  <si>
    <t>Nominal: Nominal volume consumption in production</t>
  </si>
  <si>
    <t>Specification limit:Maximum allowed volume consumption in production due to max. allowed production tolerances</t>
  </si>
  <si>
    <t>Booster Return spring preload</t>
  </si>
  <si>
    <t>Vehicle HAD SAE Level</t>
  </si>
  <si>
    <t>Kind of pressure sensor</t>
  </si>
  <si>
    <t>[km/h]</t>
  </si>
  <si>
    <t>Level 4</t>
  </si>
  <si>
    <t>DS8</t>
  </si>
  <si>
    <t>DS10</t>
  </si>
  <si>
    <t>pV Curve of one front wheel</t>
  </si>
  <si>
    <t>What is the max. System pressure?</t>
  </si>
  <si>
    <t>Outlet Valve throttle diameter @ rear axle</t>
  </si>
  <si>
    <t>unknown</t>
  </si>
  <si>
    <t>Primary Spring preload</t>
  </si>
  <si>
    <t>TMC diameter</t>
  </si>
  <si>
    <t>Normal stroke [mm]</t>
  </si>
  <si>
    <t>Secondary Spring preload</t>
  </si>
  <si>
    <t>Normal stroke 1 [mm]</t>
  </si>
  <si>
    <t>Normal stroke 2 [mm]</t>
  </si>
  <si>
    <t>Long stroke [mm]</t>
  </si>
  <si>
    <t>Stroke</t>
  </si>
  <si>
    <t>New Parameters in this version</t>
  </si>
  <si>
    <t>MC1 spring preload (please fill out for IPB)</t>
  </si>
  <si>
    <t>MC2 spring preload (please fill out for IPB)</t>
  </si>
  <si>
    <t>TMC Spring Load</t>
  </si>
  <si>
    <t>Automated Driving/Automated Parking/Remote Parking</t>
  </si>
  <si>
    <t>If your car has one of these features choose yes. On the bottom of the template there will be additional parameters in that case.</t>
  </si>
  <si>
    <t>This parameter will be filled out automatically as soon as you chose a stroke and the MC diameter. If you feel like correcting this value please do so, espacially for the IPB.</t>
  </si>
  <si>
    <t>Hydro-Boost</t>
  </si>
  <si>
    <t>Vac Booster/Hydro-Boost</t>
  </si>
  <si>
    <t>Max support force @ project specific vacuum level/pump relief</t>
  </si>
  <si>
    <t>The Hydro-Boost is a brake booster based on an hydraulically provided support force with the Power Steering Pump. It can only be chosen for ESP TE Versions</t>
  </si>
  <si>
    <t>The pedal travel has to be calculated by scaling the inputrod stroke using the mean pedal ratio from column 79, NOT the real pedal ratio</t>
  </si>
  <si>
    <t>The deceleration has to be calculated by scaling the system pressure using the pressure for 0,25g @GVW from column 59</t>
  </si>
  <si>
    <t>Pressure Damper (CDD-Damper)</t>
  </si>
  <si>
    <t>Max. admissible TTL</t>
  </si>
  <si>
    <t xml:space="preserve">Pressure @ 0,25g @ GVM </t>
  </si>
  <si>
    <t>Pressure @ 0,25g @ LLVM</t>
  </si>
  <si>
    <t>Unbraked trailer weight</t>
  </si>
  <si>
    <t>immediately stop</t>
  </si>
  <si>
    <t>Rear axle</t>
  </si>
  <si>
    <t>How are the pV Curves calculated?</t>
  </si>
  <si>
    <t>Volume consumption rear wheel (default from Mamba)</t>
  </si>
  <si>
    <t>Volume consumption front wheel (default from MAMBA)</t>
  </si>
  <si>
    <t>Volume consumption peripherals (default from MAMBA)</t>
  </si>
  <si>
    <r>
      <t>[cm</t>
    </r>
    <r>
      <rPr>
        <vertAlign val="superscript"/>
        <sz val="11"/>
        <color theme="1"/>
        <rFont val="Calibri"/>
        <family val="2"/>
        <scheme val="minor"/>
      </rPr>
      <t>3</t>
    </r>
    <r>
      <rPr>
        <sz val="10"/>
        <color theme="1"/>
        <rFont val="Arial"/>
        <family val="2"/>
      </rPr>
      <t>]</t>
    </r>
  </si>
  <si>
    <t>Volume consumption overall
 (w/o airgap)</t>
  </si>
  <si>
    <t>Volume consumption overall
 (w. airgap)</t>
  </si>
  <si>
    <t>You can also choose an airgap (line 89 and 90)</t>
  </si>
  <si>
    <t>The airgap is shown on the picture on the right</t>
  </si>
  <si>
    <t>What's the difference if my pV curves are nominal or specification limit</t>
  </si>
  <si>
    <t>Air gap Volume rear wheel</t>
  </si>
  <si>
    <t>Air gap Volume front wheel</t>
  </si>
  <si>
    <t>Example (you can edit the Volume parameters to see the effects in the diagramm)</t>
  </si>
  <si>
    <t>Height COG @ GVM</t>
  </si>
  <si>
    <t>Height COG @ LLVM</t>
  </si>
  <si>
    <t>Wheel Base</t>
  </si>
  <si>
    <t>Version 5.3</t>
  </si>
  <si>
    <t>Input rod stroke @ End of Jump In</t>
  </si>
  <si>
    <t>Input rod force @ End of Jump In</t>
  </si>
  <si>
    <t>Input rod stroke in Gain @ 1g (LLVM)</t>
  </si>
  <si>
    <t>Deceleration @ End of Jump In (LLVM)</t>
  </si>
  <si>
    <t>Input rod force in Gain @ 1g (LLVM)</t>
  </si>
  <si>
    <t>Input rod stroke @ Start of Run out</t>
  </si>
  <si>
    <t>Input rod force @ Start of Run out</t>
  </si>
  <si>
    <t>Deceleration @ Start of Run out (LLVM)</t>
  </si>
  <si>
    <t>Inputrod Stroke for each variant</t>
  </si>
  <si>
    <t>line 1</t>
  </si>
  <si>
    <t>line 2</t>
  </si>
  <si>
    <t>line 3</t>
  </si>
  <si>
    <t>line 4</t>
  </si>
  <si>
    <t>line 5</t>
  </si>
  <si>
    <t>line 6</t>
  </si>
  <si>
    <t>line 7</t>
  </si>
  <si>
    <t>line 8</t>
  </si>
  <si>
    <t>line 9</t>
  </si>
  <si>
    <t>line 10</t>
  </si>
  <si>
    <t>line 11</t>
  </si>
  <si>
    <t>line 12</t>
  </si>
  <si>
    <t>line 13</t>
  </si>
  <si>
    <t>line 14</t>
  </si>
  <si>
    <t>line 15</t>
  </si>
  <si>
    <t>True Pedal Ratio for each variant</t>
  </si>
  <si>
    <t>Pedal return spring preload force @ input rod</t>
  </si>
  <si>
    <t>Pedal return spring rate @ input rod</t>
  </si>
  <si>
    <t>[N/mm]</t>
  </si>
  <si>
    <t>Homologation Class</t>
  </si>
  <si>
    <t>Category</t>
  </si>
  <si>
    <t>Transport of passenger / carriage of goods</t>
  </si>
  <si>
    <t>Comments</t>
  </si>
  <si>
    <t>Number of seat</t>
  </si>
  <si>
    <t>GVM weight</t>
  </si>
  <si>
    <t>M1</t>
  </si>
  <si>
    <t>Passenger car</t>
  </si>
  <si>
    <t>Vehicles used for the carriage of passengers and comprising not more than eight seats in addition to the driver's seat</t>
  </si>
  <si>
    <t>1&lt;=9</t>
  </si>
  <si>
    <t>-</t>
  </si>
  <si>
    <t>M2</t>
  </si>
  <si>
    <t>Vehicles used for the carriage of passengers, comprising more than eight seats in addition to the driver's seat, and having a maximum mass not exceeding 5 tonnes</t>
  </si>
  <si>
    <t>&gt;9</t>
  </si>
  <si>
    <t>&lt;=5t</t>
  </si>
  <si>
    <t>M3</t>
  </si>
  <si>
    <t>Vehicles used for the carriage of passengers, comprising more than eight seats in addition to the driver's seat, and having a maximum mass exceeding 5 tonnes</t>
  </si>
  <si>
    <t>&gt;5t</t>
  </si>
  <si>
    <t>N1</t>
  </si>
  <si>
    <t>Commercial vehicle</t>
  </si>
  <si>
    <t>Vehicles used for the carriage of goods and having a maximum mass not exceeding 3.5 tonnes</t>
  </si>
  <si>
    <t>&lt;=3.5t</t>
  </si>
  <si>
    <t>N2</t>
  </si>
  <si>
    <t>Vehicles used for the carriage of goods and having a maximum mass exceeding 3.5 tonnes but not exceeding 12 tonnes</t>
  </si>
  <si>
    <t>&gt;3.5t &lt;=12t</t>
  </si>
  <si>
    <t>N3</t>
  </si>
  <si>
    <t>Vehicles used for the carriage of goods and having a maximum mass exceeding 12 tonnes</t>
  </si>
  <si>
    <t>&gt;12t</t>
  </si>
  <si>
    <t>Homolgation Class</t>
  </si>
  <si>
    <t>Hard stroke limit value</t>
  </si>
  <si>
    <t>Banking mode starting stroke value</t>
  </si>
  <si>
    <t>Banking mode torque limit value</t>
  </si>
  <si>
    <t xml:space="preserve">Motor speed limitation </t>
  </si>
  <si>
    <t>[rad/s]</t>
  </si>
  <si>
    <t>iBooster (TTL relevant parameters)</t>
  </si>
  <si>
    <t>TTL Parameters (detailed)</t>
  </si>
  <si>
    <t>Suction line length circuit1</t>
  </si>
  <si>
    <t>Suction line length circuit2</t>
  </si>
  <si>
    <t>Wheel line length FL</t>
  </si>
  <si>
    <t>Wheel line length FR</t>
  </si>
  <si>
    <t>Wheel line length RL</t>
  </si>
  <si>
    <t>Wheel line length RR</t>
  </si>
  <si>
    <t>Height difference</t>
  </si>
  <si>
    <t>TTL relevant Parameters</t>
  </si>
  <si>
    <t>For ESP9UHDS, ESP9UHDH, ESP10CU, ESP10HU, ESP10CP, ESP10HP</t>
  </si>
  <si>
    <t>The sheet provides some new parameters for a more detailed pressure build-up simulation (for TTL Simulation)</t>
  </si>
  <si>
    <t>Version 5.2</t>
  </si>
  <si>
    <t>For iBooster</t>
  </si>
  <si>
    <t>Output (plunger-) Pressure for each variant</t>
  </si>
  <si>
    <t>ME4</t>
  </si>
  <si>
    <t>ME5</t>
  </si>
  <si>
    <t>Inputrod Force for each variant</t>
  </si>
  <si>
    <t>New Parameters</t>
  </si>
  <si>
    <t>High COG @ GVM</t>
  </si>
  <si>
    <t>High COG @ LLVM</t>
  </si>
  <si>
    <t>What are the parameters for iBooster limitation during EBR?</t>
  </si>
  <si>
    <t>PFS available</t>
  </si>
  <si>
    <t>Software</t>
  </si>
  <si>
    <t>PFS calculation for IPB necessary</t>
  </si>
  <si>
    <t>PD w/ RV</t>
  </si>
  <si>
    <t>PD w/o RV</t>
  </si>
  <si>
    <t>Layout</t>
  </si>
  <si>
    <t>Thermal Package</t>
  </si>
  <si>
    <t>Population of relevant elements</t>
  </si>
  <si>
    <t>Parametercheck</t>
  </si>
  <si>
    <t xml:space="preserve">IIS </t>
  </si>
  <si>
    <t>Nominal locking pressure front @ GVM (@ high mue)</t>
  </si>
  <si>
    <t>Nominal locking pressure rear @ GVM (@ high mue)</t>
  </si>
  <si>
    <t>Nominal locking pressure front @ LLVM (@ high mue)</t>
  </si>
  <si>
    <t>Nominal locking pressure rear @ LLVM (@ high mue)</t>
  </si>
  <si>
    <t>Max. electrical system torque @wheel level</t>
  </si>
  <si>
    <t>Outlet Valve thorttle diameter @ rear axle</t>
  </si>
  <si>
    <t>Based on IPB platform SW version</t>
  </si>
  <si>
    <t>What are the Conditions of Use and what do I need to do?</t>
  </si>
  <si>
    <t>HAD/HAP relevant questions</t>
  </si>
  <si>
    <t>During the autonomous operation of the iBooster (e.g. AEB) the limitation of motor speed and torque is needed due to driver foot / hardware protection. There are two different strategies for this purpose. First one is using hard stroke limitation, meaning that the iBooster will not move ( motor speed = 0 ) beyond the specified spindle stroke, and thus will limit pedal travel. The second one is banking mode, where the iBooster is allowed to move beyond the given stroke, but only with a limited motor torque. In both cases the ESP will take over the pressure build-up. In the first case the ESP will not get additional support from the iBooster, and the TMC piston might even restrict the achievable volume flow rate. In the second case the iBooster will try to keep a specified pressure in the TMC, serving as a preload for the ESP pump. These two startegies can be combined.
If your project does not use banking mode, please set the 'Banking mode starting stroke' to 50mm, and leave the 'Banking mode torque limit' on default value. Motor speed is limited to 400rad/s by default, but in special cases - after aligned with experts - speed limitation can be turned off, or set to a different value.</t>
  </si>
  <si>
    <t>The Conditions of Use describe limitations of the brake system and assumptions during the development, which are important for automated use cases. The document shall be discussed with the OEM. Target: clarify if expectations are matching and split responsibility between OEM and Bosch. For further Question please contact Wolf Martin (CC-AS/EYB7)</t>
  </si>
  <si>
    <t>lowest usual value</t>
  </si>
  <si>
    <t>highest usual value</t>
  </si>
  <si>
    <t>max: see "Axle load @ GVM front axle"</t>
  </si>
  <si>
    <t>max: see "Axle load @ GVM rear axle"</t>
  </si>
  <si>
    <t>ePC2.0 System No.</t>
  </si>
  <si>
    <t>Brake System Actuation</t>
  </si>
  <si>
    <t>RBU available</t>
  </si>
  <si>
    <t>none</t>
  </si>
  <si>
    <t>Thermal Layout</t>
  </si>
  <si>
    <t>TP2</t>
  </si>
  <si>
    <t>TP3</t>
  </si>
  <si>
    <t>TP4</t>
  </si>
  <si>
    <t>ECU Components</t>
  </si>
  <si>
    <t>RBU</t>
  </si>
  <si>
    <t>Version 5.5</t>
  </si>
  <si>
    <t>TMC dp-q characteristics - pressure drop vector</t>
  </si>
  <si>
    <t>TMC dp-q characteristics - volume flow vector</t>
  </si>
  <si>
    <t>[mbar]</t>
  </si>
  <si>
    <t>dp_1</t>
  </si>
  <si>
    <t>dp_2</t>
  </si>
  <si>
    <t>dp_3</t>
  </si>
  <si>
    <t>q@dp_1</t>
  </si>
  <si>
    <t>q@dp_2</t>
  </si>
  <si>
    <t>q@dp_3</t>
  </si>
  <si>
    <t>[cm^3/s]</t>
  </si>
  <si>
    <t>If a cell in the pV Curve turns red, please check if the value in this cell is bigger than in the previous ones. (The pV curve must always be monotone)</t>
  </si>
  <si>
    <t>ECU Parameter for IIS check</t>
  </si>
  <si>
    <t>IIS</t>
  </si>
  <si>
    <t>Integrated Inertial Sensor</t>
  </si>
  <si>
    <t>IIS available</t>
  </si>
  <si>
    <t>Version 5.4</t>
  </si>
  <si>
    <t>IIS available / Integrated Inertial Sensor (IIS) included in ECU?</t>
  </si>
  <si>
    <t>If your car has an ESP UHD and the IIS included in ECU, then the ECU Paremeter Check has to be filled out.</t>
  </si>
  <si>
    <t>New Parameter in this version</t>
  </si>
  <si>
    <t>TMC dp-q characteristics</t>
  </si>
  <si>
    <t>If your car has ESP UHD or ESP10 and the TTL simulation is necessary, please fill out the TMC dp-q charactestics in the table "TTL Paramter (detailed)"</t>
  </si>
  <si>
    <t xml:space="preserve">New Boundaries for nearly all Parameter are avsailable, that will check if the given input data is within the normal range </t>
  </si>
  <si>
    <t>New Parameter in this version:</t>
  </si>
  <si>
    <t>The PV Curve has a new check that will inform you if the input data given in the PV-Curve section is monotone</t>
  </si>
  <si>
    <t>The PV Curve has new checks:</t>
  </si>
  <si>
    <t>The PV Curve is shown as a diagram based on the given input data</t>
  </si>
  <si>
    <t>What is the IIS?</t>
  </si>
  <si>
    <t>Steffen Benzler</t>
  </si>
  <si>
    <t>IIS relevant questions</t>
  </si>
  <si>
    <t>An FAQ for the IIS is availbable</t>
  </si>
  <si>
    <t>For which ESP systems can the IIS system be used?</t>
  </si>
  <si>
    <t>The IIS is available for all ESP Standard, ESP hev and ESP UHD Systems</t>
  </si>
  <si>
    <t>How do I know if the IIS is used in my project</t>
  </si>
  <si>
    <t>Which information is needed / important when the IIS system is used?</t>
  </si>
  <si>
    <t>Which tests will be performed with the provided data?</t>
  </si>
  <si>
    <t>Who can give me more information regarding the ECU Layout and can tell me what compnents I need for my project?</t>
  </si>
  <si>
    <t>The ECU PCM (ECU Project Component Manager) is responsible for the ECU.</t>
  </si>
  <si>
    <t>Who is the contact person for the IIS?</t>
  </si>
  <si>
    <t>Level 2 Hand free</t>
  </si>
  <si>
    <t>ROPP</t>
  </si>
  <si>
    <t>Automated Features (like HAD, Automated or Remote Control Parking)</t>
  </si>
  <si>
    <t>Automated Features for Automated and Handsfree Driving, Automated Parking, Remote Parking</t>
  </si>
  <si>
    <t>&lt; Level 2</t>
  </si>
  <si>
    <t>Remote Parking</t>
  </si>
  <si>
    <t>Automated Parking</t>
  </si>
  <si>
    <t>Requested Brake System Redundancy</t>
  </si>
  <si>
    <t>Requested_Redundancy</t>
  </si>
  <si>
    <t>Two-Box</t>
  </si>
  <si>
    <t>ESPSolo</t>
  </si>
  <si>
    <t>IPBSolo</t>
  </si>
  <si>
    <t>Duration in Backup for Driving</t>
  </si>
  <si>
    <t>Duration in Backup for driving</t>
  </si>
  <si>
    <t>Duration in Backup for Parking</t>
  </si>
  <si>
    <t>fail operational</t>
  </si>
  <si>
    <t>[s]</t>
  </si>
  <si>
    <t>Driver takeover time in failure case</t>
  </si>
  <si>
    <t>&lt; 2s</t>
  </si>
  <si>
    <t>&gt; 2s</t>
  </si>
  <si>
    <t>Version 5.6</t>
  </si>
  <si>
    <t>IIS stands for Integrated Inertial Sensor. An Inertial Sensor measures the vehicle acceleration in longitudinal and lateral direction as well as the vehicle yaw rate necessary for various functions, e.g. VDC and ALC (ABS). IIS means that the intertial sensor is integrated in the ESP system, located in the ECU.
Approximately half of all ESP9.3 projects from Bosch are coming with an IIS, these systems are also called 'ESPi' systems. Another common solution has the inertial sensor placed in the airbag ECU (usually rreferred to as 'AB+'), and only a few projects use a standalone sensor cluster.</t>
  </si>
  <si>
    <t>If a project shoud come with IIS or not has to be specified together with the customer. If the Inertial Sensor should be included in the ESP system, please put the "IIS available" field in this parameter sheet on "yes", in every other cases on "no".</t>
  </si>
  <si>
    <t xml:space="preserve">Besides to the normal information from the BSPA process, some additional information about the ECU Layout is required. The  electronic components requested by the input sheet have significant influence on the tranfser function of vibrations from HU via ECU to the sensor and therefor are importand to evaluate the robustness of the system. </t>
  </si>
  <si>
    <t xml:space="preserve">Bosch has already performed a set of tests to prove robustness of selected ESP9.3 platform configurations. With the given project information it is checked, if the project is covered by the platform tests (the so called reference project) and therefor if the system is robust against the internal vibrations. </t>
  </si>
  <si>
    <t>The FAQ for the IIS section was updated.</t>
  </si>
  <si>
    <t>The section for "Automated Features for Automated and Handsfree Driving, Automated Parking, Remote Parking" was updated.</t>
  </si>
  <si>
    <t>The request for Automated Parking or Remote Parking was moved from the "Project Description" section to "Automated Features for Automated and Handsfree Driving, Automated Parking, Remote Parking"</t>
  </si>
  <si>
    <t>Automated Features:</t>
  </si>
  <si>
    <t>New parameter were added to this section</t>
  </si>
  <si>
    <t>Version 5.7</t>
  </si>
  <si>
    <t>In the parameter template you can fill in the pV Curves (line 164 - 206) for one front wheel, one rear wheel and the peripherals.</t>
  </si>
  <si>
    <t>Outlet Valve throttle diameter @ front axle</t>
  </si>
  <si>
    <t>Size 1</t>
  </si>
  <si>
    <t>Size 1+</t>
  </si>
  <si>
    <t>Size 2</t>
  </si>
  <si>
    <t>M1 or N1 - ECE-R13H</t>
  </si>
  <si>
    <t>How to choose the Homologation class for a vehicle variant</t>
  </si>
  <si>
    <t>The Homologation class is used to set the right backup deceleration criteria during the BSPA evaluation</t>
  </si>
  <si>
    <t>Regulation</t>
  </si>
  <si>
    <t>seat</t>
  </si>
  <si>
    <t>Criteria Booster failure</t>
  </si>
  <si>
    <t>Test conditions (only extract, see regulation)</t>
  </si>
  <si>
    <t>ECE R13H</t>
  </si>
  <si>
    <t>ECE R13</t>
  </si>
  <si>
    <t>ECE R13H
or/and
ECE R13 (1)</t>
  </si>
  <si>
    <t xml:space="preserve">(1):ECE R13H offers an alternative set of requirements for category N1 vehicles to those contained in Regulation No. 13. Contracting Parties that apply both Regulation No. 13 and this Regulation recognize approvals to either Regulation as equally valid.
</t>
  </si>
  <si>
    <t>The different classes for the countries covered by the UNECE R13/13H and the related minimum performance criteria in case of a booster failure are:</t>
  </si>
  <si>
    <t>Passenger car, trucks and buses</t>
  </si>
  <si>
    <t>FMVSS 135</t>
  </si>
  <si>
    <t>&lt; 7716lbs (3500kg)</t>
  </si>
  <si>
    <t>(a) Passenger car</t>
  </si>
  <si>
    <t>This standard applies to multi-purpose passenger vehicles, trucks, and buses with a GVWR greater than 3,500 kilograms (7,716 pounds) that are equipped with hydraulic or electric brake systems.</t>
  </si>
  <si>
    <t>FMVSS 105</t>
  </si>
  <si>
    <t>&gt; 7716lbs (3500kg)</t>
  </si>
  <si>
    <t>&lt; 8000lbs (3629kg)</t>
  </si>
  <si>
    <t>&gt;10000lbs (4536kg)</t>
  </si>
  <si>
    <t>This standard applies to passenger cars manufactured on or after September 1, 2000 and to multi-purpose passenger vehicles, trucks and buses with a gross vehicle weight rating (GVWR) of 3,500 kilograms (7,716 pounds) or less, manufactured on or after September 1,2002. In addition, at the option of the manufacturer, passenger cars manufactured before September 1, 2000, and multi-purpose passenger vehicles, trucks and buses with a GVWR of 3,500 kilograms (7,716 pounds) or less, manufactured before September 1, 2002, may meet the requirements of this standard instead of Federal Motor Vehicle No. 105, Hydraulic Brake Systems.</t>
  </si>
  <si>
    <r>
      <t xml:space="preserve">(b) All except passenger car
</t>
    </r>
    <r>
      <rPr>
        <sz val="6"/>
        <color rgb="FF000000"/>
        <rFont val="Bosch Office Sans"/>
      </rPr>
      <t>. Vehicles other than passenger cars with GVWR of less then 8,000 Ibs</t>
    </r>
  </si>
  <si>
    <t>&gt;8000lbs (3629kg)
&lt;10000lbs (4536kg)</t>
  </si>
  <si>
    <r>
      <rPr>
        <sz val="9"/>
        <color rgb="FF000000"/>
        <rFont val="Bosch Office Sans"/>
      </rPr>
      <t>(c) all vehicles</t>
    </r>
    <r>
      <rPr>
        <sz val="10"/>
        <color rgb="FF000000"/>
        <rFont val="Bosch Office Sans"/>
      </rPr>
      <t xml:space="preserve">
</t>
    </r>
    <r>
      <rPr>
        <sz val="6"/>
        <color rgb="FF000000"/>
        <rFont val="Bosch Office Sans"/>
      </rPr>
      <t>. Vehicles with GVWR of not less than 8,000 Ibs and not more than 10,000 lbs</t>
    </r>
  </si>
  <si>
    <t>weight
(tonnes)</t>
  </si>
  <si>
    <t>Weight (GVWR)
(lbs resp. Kg)</t>
  </si>
  <si>
    <r>
      <t xml:space="preserve"> . Stopping distance from 100 km/h test speed: &lt; 168 m (551 ft).
 . Stopping distance for reduced test speed: S &lt; 0.10 V + 0.0158 V².
Equivalent to </t>
    </r>
    <r>
      <rPr>
        <b/>
        <sz val="8"/>
        <color rgb="FFFF0000"/>
        <rFont val="Bosch Office Sans"/>
      </rPr>
      <t>2.44m/s²</t>
    </r>
  </si>
  <si>
    <r>
      <t>Stopping distance 456ft, equivalent to deceleration 8.5 ft/s2 (</t>
    </r>
    <r>
      <rPr>
        <b/>
        <sz val="8"/>
        <color rgb="FFFF0000"/>
        <rFont val="Bosch Office Sans"/>
      </rPr>
      <t>2,6 m/s2</t>
    </r>
    <r>
      <rPr>
        <sz val="8"/>
        <color rgb="FF000000"/>
        <rFont val="Bosch Office Sans"/>
      </rPr>
      <t>)</t>
    </r>
  </si>
  <si>
    <r>
      <t>Stopping distance 517ft, equivalent to deceleration 7.5 ft/s2 (</t>
    </r>
    <r>
      <rPr>
        <b/>
        <sz val="8"/>
        <color rgb="FFFF0000"/>
        <rFont val="Bosch Office Sans"/>
      </rPr>
      <t>2,3m/s2</t>
    </r>
    <r>
      <rPr>
        <sz val="8"/>
        <color rgb="FF000000"/>
        <rFont val="Bosch Office Sans"/>
      </rPr>
      <t>)</t>
    </r>
  </si>
  <si>
    <r>
      <t>Stopping distance 613ft, equivalent to deceleration 6.3 ft/s2 (</t>
    </r>
    <r>
      <rPr>
        <b/>
        <sz val="8"/>
        <color rgb="FFFF0000"/>
        <rFont val="Bosch Office Sans"/>
      </rPr>
      <t>1,9m/s2</t>
    </r>
    <r>
      <rPr>
        <sz val="8"/>
        <color rgb="FF000000"/>
        <rFont val="Bosch Office Sans"/>
      </rPr>
      <t>)</t>
    </r>
  </si>
  <si>
    <r>
      <t xml:space="preserve">V_initial: 60mph (96,56 km/h)
</t>
    </r>
    <r>
      <rPr>
        <b/>
        <sz val="6"/>
        <color rgb="FFFF0000"/>
        <rFont val="Bosch Office Sans"/>
      </rPr>
      <t>Pedal force 67 to 667N</t>
    </r>
    <r>
      <rPr>
        <sz val="6"/>
        <color rgb="FF000000"/>
        <rFont val="Bosch Office Sans"/>
      </rPr>
      <t xml:space="preserve">
Brake temperature 150F-200F (66-93°C)
Vehicle load GVWR, transmission position: neutral</t>
    </r>
  </si>
  <si>
    <r>
      <t xml:space="preserve">V_initial: 100km/h (62.1 mph)
</t>
    </r>
    <r>
      <rPr>
        <b/>
        <sz val="6"/>
        <color rgb="FFFF0000"/>
        <rFont val="Bosch Office Sans"/>
      </rPr>
      <t>Pedal force 65 to 500N</t>
    </r>
    <r>
      <rPr>
        <sz val="6"/>
        <color rgb="FF000000"/>
        <rFont val="Bosch Office Sans"/>
      </rPr>
      <t xml:space="preserve">
brake temperature 65-100°C
vehicle load GVWR, transmission position: neutral</t>
    </r>
  </si>
  <si>
    <r>
      <t xml:space="preserve">Stopping distance not exceeding the following value: 
 0.1 v + 0.0158 v2 (m) 
 and a mean fully developed deceleration not less than </t>
    </r>
    <r>
      <rPr>
        <b/>
        <sz val="6"/>
        <color rgb="FFFF0000"/>
        <rFont val="Bosch Office Sans"/>
      </rPr>
      <t xml:space="preserve">2.44 m/s² </t>
    </r>
    <r>
      <rPr>
        <sz val="6"/>
        <color rgb="FF000000"/>
        <rFont val="Bosch Office Sans"/>
      </rPr>
      <t xml:space="preserve">(corresponding to the second term of the above formula). </t>
    </r>
  </si>
  <si>
    <r>
      <t xml:space="preserve">Stopping distance not exceeding the following value:
 0.15v +2 · (v2/115) 
the second term corresponds to a mean fully developed deceleration dm= </t>
    </r>
    <r>
      <rPr>
        <b/>
        <sz val="6"/>
        <color rgb="FFFF0000"/>
        <rFont val="Bosch Office Sans"/>
      </rPr>
      <t>2.2 m/s²</t>
    </r>
  </si>
  <si>
    <r>
      <t xml:space="preserve">Typ 0 test:
V_initial: 100km/h
</t>
    </r>
    <r>
      <rPr>
        <b/>
        <sz val="6"/>
        <color rgb="FFFF0000"/>
        <rFont val="Bosch Office Sans"/>
      </rPr>
      <t>Pedal force 65 to 500N</t>
    </r>
    <r>
      <rPr>
        <sz val="6"/>
        <color rgb="FF000000"/>
        <rFont val="Bosch Office Sans"/>
      </rPr>
      <t xml:space="preserve">
brake temperature 65-100°C
vehicle fully loaded, engine disconnected </t>
    </r>
  </si>
  <si>
    <r>
      <t xml:space="preserve">Typ 0 test:
V_initial: 70km/h
</t>
    </r>
    <r>
      <rPr>
        <b/>
        <sz val="6"/>
        <color rgb="FFFF0000"/>
        <rFont val="Bosch Office Sans"/>
      </rPr>
      <t>Pedal force &lt;=700N</t>
    </r>
    <r>
      <rPr>
        <sz val="6"/>
        <color rgb="FF000000"/>
        <rFont val="Bosch Office Sans"/>
      </rPr>
      <t xml:space="preserve">
brake temperature below 100°C
vehicle fully loaded, engine disconnected </t>
    </r>
  </si>
  <si>
    <r>
      <t xml:space="preserve">Typ 0 test:
V_initial: 50km/h
</t>
    </r>
    <r>
      <rPr>
        <b/>
        <sz val="6"/>
        <color rgb="FFFF0000"/>
        <rFont val="Bosch Office Sans"/>
      </rPr>
      <t>Pedal force &lt;=700N</t>
    </r>
    <r>
      <rPr>
        <sz val="6"/>
        <color rgb="FF000000"/>
        <rFont val="Bosch Office Sans"/>
      </rPr>
      <t xml:space="preserve">
brake temperature below 100°C
vehicle fully loaded, engine disconnected </t>
    </r>
  </si>
  <si>
    <r>
      <t xml:space="preserve">Typ 0 test:
V_initial: 40km/h
</t>
    </r>
    <r>
      <rPr>
        <b/>
        <sz val="6"/>
        <color rgb="FFFF0000"/>
        <rFont val="Bosch Office Sans"/>
      </rPr>
      <t xml:space="preserve">Pedal force &lt;=700N
</t>
    </r>
    <r>
      <rPr>
        <sz val="6"/>
        <color rgb="FF000000"/>
        <rFont val="Bosch Office Sans"/>
      </rPr>
      <t xml:space="preserve">brake temperature below 100°C
vehicle fully loaded, engine disconnected </t>
    </r>
  </si>
  <si>
    <r>
      <t xml:space="preserve">Stopping distance not exceeding the following value: 
 0.15v +2 · (v2/130) 
the second term corresponds to a mean fully developed deceleration dm= </t>
    </r>
    <r>
      <rPr>
        <b/>
        <sz val="6"/>
        <color rgb="FFFF0000"/>
        <rFont val="Bosch Office Sans"/>
      </rPr>
      <t>2.5 m/s²</t>
    </r>
  </si>
  <si>
    <r>
      <t>Stopping distance not exceeding the following value: 
 0.15v +2 · (v2/130) 
the second term corresponds to a mean fully developed deceleration dm=</t>
    </r>
    <r>
      <rPr>
        <b/>
        <sz val="6"/>
        <color rgb="FFFF0000"/>
        <rFont val="Bosch Office Sans"/>
      </rPr>
      <t xml:space="preserve"> 2.5 m/s²</t>
    </r>
  </si>
  <si>
    <r>
      <t xml:space="preserve">Typ 0 test:
V_initial: 60km/h
</t>
    </r>
    <r>
      <rPr>
        <b/>
        <sz val="6"/>
        <color rgb="FFFF0000"/>
        <rFont val="Bosch Office Sans"/>
      </rPr>
      <t>Pedal force &lt;=700N</t>
    </r>
    <r>
      <rPr>
        <sz val="6"/>
        <color rgb="FF000000"/>
        <rFont val="Bosch Office Sans"/>
      </rPr>
      <t xml:space="preserve">
brake temperature below 100°C
vehicle fully loaded, engine disconnected </t>
    </r>
  </si>
  <si>
    <t>Homologation class for the vehicle variant</t>
  </si>
  <si>
    <t>rework of the Homologation class selection depending of the region of a vehicle variant (EU resp. countries covered by the UNECE R-13/13H or US, covered by the FMVSS135/105)</t>
  </si>
  <si>
    <t>M2 or M3 - ECE-R13</t>
  </si>
  <si>
    <t>The different classes covered by the FMVSS135 and 105 and the related minimum performance criteria in case of a booster failure are:</t>
  </si>
  <si>
    <t>Homologation class relevant questions</t>
  </si>
  <si>
    <t>[cm3/s]</t>
  </si>
  <si>
    <t>Customer Platform Subproject</t>
  </si>
  <si>
    <t>US - passenger car - FMVSS135 or 105</t>
  </si>
  <si>
    <t>C1512</t>
  </si>
  <si>
    <t>C5201</t>
  </si>
  <si>
    <t>C5202</t>
  </si>
  <si>
    <t>C5203</t>
  </si>
  <si>
    <t>I1000</t>
  </si>
  <si>
    <t>IA6000</t>
  </si>
  <si>
    <t>TA4010</t>
  </si>
  <si>
    <t>TA4030</t>
  </si>
  <si>
    <t>I1000CU</t>
  </si>
  <si>
    <t>L5200</t>
  </si>
  <si>
    <t>T5160</t>
  </si>
  <si>
    <t>T5240</t>
  </si>
  <si>
    <t>T5245</t>
  </si>
  <si>
    <t>T5250</t>
  </si>
  <si>
    <t>T5255</t>
  </si>
  <si>
    <t>T5260</t>
  </si>
  <si>
    <t>T5265</t>
  </si>
  <si>
    <t>T5160CU</t>
  </si>
  <si>
    <t>T5240CU</t>
  </si>
  <si>
    <t>T5245CU</t>
  </si>
  <si>
    <t>T5250CU</t>
  </si>
  <si>
    <t>T5255CU</t>
  </si>
  <si>
    <t>T5260CU</t>
  </si>
  <si>
    <t>T5265CU</t>
  </si>
  <si>
    <t>DPB</t>
  </si>
  <si>
    <t>MVR</t>
  </si>
  <si>
    <t>new</t>
  </si>
  <si>
    <t>no parameter change</t>
  </si>
  <si>
    <t>cancelled</t>
  </si>
  <si>
    <t>parameter change</t>
  </si>
  <si>
    <t>Variant Status</t>
  </si>
  <si>
    <t xml:space="preserve"> Status:</t>
  </si>
  <si>
    <t>N1, N2 or N3 - ECE-R13</t>
  </si>
  <si>
    <t>Attention!</t>
  </si>
  <si>
    <r>
      <t xml:space="preserve">Please give the information about the </t>
    </r>
    <r>
      <rPr>
        <b/>
        <sz val="11"/>
        <color theme="1"/>
        <rFont val="Arial"/>
        <family val="2"/>
      </rPr>
      <t>status of each variant!</t>
    </r>
  </si>
  <si>
    <t>For more information, have a look at the comment on the "status"-field</t>
  </si>
  <si>
    <t>Max. velocity during parking</t>
  </si>
  <si>
    <t>Outlet Valve thorttle diameter @ front axle</t>
  </si>
  <si>
    <t>iBooster 2</t>
  </si>
  <si>
    <t>MC1 piston stroke</t>
  </si>
  <si>
    <t>MC2 piston stroke</t>
  </si>
  <si>
    <t>Secondary PS</t>
  </si>
  <si>
    <t>Primary PS</t>
  </si>
  <si>
    <t>n.a.</t>
  </si>
  <si>
    <t>Spalte1</t>
  </si>
  <si>
    <t>Spalte2</t>
  </si>
  <si>
    <t>Spalte3</t>
  </si>
  <si>
    <t xml:space="preserve">Secondary Stroke </t>
  </si>
  <si>
    <t>Primary Stroke</t>
  </si>
  <si>
    <t>TMC total stroke</t>
  </si>
  <si>
    <t>&lt;= 41</t>
  </si>
  <si>
    <t>&lt;= 25</t>
  </si>
  <si>
    <t>&lt;= 16</t>
  </si>
  <si>
    <t>&lt;= 42</t>
  </si>
  <si>
    <t>&lt;= 27</t>
  </si>
  <si>
    <t>&lt;= 15</t>
  </si>
  <si>
    <t>&lt;= 30</t>
  </si>
  <si>
    <t>&lt;= 12</t>
  </si>
  <si>
    <t>Total TMC stroke</t>
  </si>
  <si>
    <t>Bedingung A</t>
  </si>
  <si>
    <t>Bedingung B</t>
  </si>
  <si>
    <t>Bedingung C</t>
  </si>
  <si>
    <t>A</t>
  </si>
  <si>
    <t>B</t>
  </si>
  <si>
    <t>C</t>
  </si>
  <si>
    <t>IPB</t>
  </si>
  <si>
    <t>Result</t>
  </si>
  <si>
    <t>table check:</t>
  </si>
  <si>
    <t>General information</t>
  </si>
  <si>
    <t>Primary SP</t>
  </si>
  <si>
    <t>Secondary SP</t>
  </si>
  <si>
    <t>=&gt; Secondary SP</t>
  </si>
  <si>
    <t>=&gt; Primary SP</t>
  </si>
  <si>
    <t>Vehicle SAE Level for automated Driving</t>
  </si>
  <si>
    <t>Pressure @ 0,25g @ GVM  @ Front Axle</t>
  </si>
  <si>
    <t>Pressure @ 0,25g @ GVM  @ Rear Axle</t>
  </si>
  <si>
    <t>Pressure @ 0,25g @ LLVM @ Front Axle</t>
  </si>
  <si>
    <t>Pressure @ 0,25g @ LLVM @ Rear Axle</t>
  </si>
  <si>
    <t>For X-Split:</t>
  </si>
  <si>
    <t>For II-Split:</t>
  </si>
  <si>
    <t>Case 1: IPB + II-Split</t>
  </si>
  <si>
    <t>MC2 Piston stroke</t>
  </si>
  <si>
    <t>Version 5.10</t>
  </si>
  <si>
    <t>PFS curve</t>
  </si>
  <si>
    <t>DBR Curve</t>
  </si>
  <si>
    <t>True pedal feel curve</t>
  </si>
  <si>
    <t>What is the restoring pressure of the low drag caliper? (column 151+152)</t>
  </si>
  <si>
    <t>How to fill in the system DBR curve in column Nr 317-352?</t>
  </si>
  <si>
    <t>At a very low pressure the low drag calipers create an air gap between brake pad and brake disk by pulling the pads back to it's idle position (typ. 0.5 – 1 bar).
Insert the pressure at which this effect happens.
To ensure the legal/fusi deceleration in case of a mechanical backup the brake system will be prefilled even during pure regenerative braking. 
This is needed to avoid an offset of the pV curve in case of too much air in the system. 
If your vehicle does not have low drag calipers or no regenerative system or no IPB enter 0bar.</t>
  </si>
  <si>
    <t>Caliper restoring pressure @ front axle</t>
  </si>
  <si>
    <t>Caliper restoring pressure @ rear axle</t>
  </si>
  <si>
    <t>Motor Control (ESP/RBU)</t>
  </si>
  <si>
    <t>IFS</t>
  </si>
  <si>
    <t>HFA</t>
  </si>
  <si>
    <t>MD1</t>
  </si>
  <si>
    <t>ESP10CL - ESP Standard</t>
  </si>
  <si>
    <t>Version 5.8</t>
  </si>
  <si>
    <t>Modulation:</t>
  </si>
  <si>
    <t>"IPB 2.0" and "DPB" were added to the modulation list. Both systems are now available for the BSPA check.</t>
  </si>
  <si>
    <t>Features:</t>
  </si>
  <si>
    <t>Mastercylinder Volume Replacement ("MVR") was added to the list of available features.</t>
  </si>
  <si>
    <r>
      <rPr>
        <b/>
        <sz val="10"/>
        <color theme="1"/>
        <rFont val="Arial"/>
        <family val="2"/>
      </rPr>
      <t>New -&gt;</t>
    </r>
    <r>
      <rPr>
        <sz val="10"/>
        <color theme="1"/>
        <rFont val="Arial"/>
        <family val="2"/>
      </rPr>
      <t xml:space="preserve"> The variant is new and wasn't evaluated before. An evaluation will be performed and the rating will be considered for the overall project rating</t>
    </r>
  </si>
  <si>
    <r>
      <rPr>
        <b/>
        <sz val="10"/>
        <color theme="1"/>
        <rFont val="Arial"/>
        <family val="2"/>
      </rPr>
      <t>Cancelled -&gt;</t>
    </r>
    <r>
      <rPr>
        <sz val="10"/>
        <color theme="1"/>
        <rFont val="Arial"/>
        <family val="2"/>
      </rPr>
      <t xml:space="preserve"> The BSPA for the variant was requested but then cancalled. No evaluation will be performed and the variant won't be considered for the overall project rating</t>
    </r>
  </si>
  <si>
    <r>
      <rPr>
        <b/>
        <sz val="10"/>
        <color theme="1"/>
        <rFont val="Arial"/>
        <family val="2"/>
      </rPr>
      <t>No parameter change -&gt;</t>
    </r>
    <r>
      <rPr>
        <sz val="10"/>
        <color theme="1"/>
        <rFont val="Arial"/>
        <family val="2"/>
      </rPr>
      <t xml:space="preserve"> The parameter of this variant were already sent to BSPA. No parameter has changed since then. No evaluation will be performed but the previous rating will be considered for the overall project rating</t>
    </r>
  </si>
  <si>
    <r>
      <rPr>
        <b/>
        <sz val="10"/>
        <color theme="1"/>
        <rFont val="Arial"/>
        <family val="2"/>
      </rPr>
      <t>Parameter change -&gt;</t>
    </r>
    <r>
      <rPr>
        <sz val="10"/>
        <color theme="1"/>
        <rFont val="Arial"/>
        <family val="2"/>
      </rPr>
      <t xml:space="preserve"> The parameter of this variant were already sent to BSPA but have changed. An evaluation will be performed and the new rating will be considered for the overall project rating.</t>
    </r>
  </si>
  <si>
    <t>A field was implemented where the status of the variant has to be chosen, whether the variant is new, cancelled or the parameter have changed:</t>
  </si>
  <si>
    <t>Version 5.9</t>
  </si>
  <si>
    <t>New Parameter</t>
  </si>
  <si>
    <t>"Vehicle HAD SAE Level" -&gt; "Vehicle SAE Level for automated Driving"</t>
  </si>
  <si>
    <t>The following parameter in the HAD / HAP section was renamed:</t>
  </si>
  <si>
    <t>Renamed Parameter</t>
  </si>
  <si>
    <t xml:space="preserve">Customer Platform Variant Description: </t>
  </si>
  <si>
    <t>The following parameter were added to the vehicle parameter section and are relevant for all II-split systems in combination with "IPB 1.0 / 1.1" or "IPB 2.0" or "DPB"</t>
  </si>
  <si>
    <t xml:space="preserve">"ESP10CL – ESP Standard" was added to the modulation list and is now available for the BSPA check </t>
  </si>
  <si>
    <t>ESP Motor:</t>
  </si>
  <si>
    <t>"F-TE08" was added to the input sheet and is available for the ESP9.3HP system</t>
  </si>
  <si>
    <t>"MD1" was added to the input sheet and is available for all ESP10 Modulation Units</t>
  </si>
  <si>
    <t>"Caliper restoring pressure @ front / rear axle" was added to the foundation brake section. The parameter is mandatory for "IPB 1.0 / 1.1", "IPB 2.0" and "DPB"-systems.</t>
  </si>
  <si>
    <t>"Motor Control (ESP/RBU)" was added to the HAD-HAP section. The parameter is mandatory for all variants with automated driving or parking without RBU.</t>
  </si>
  <si>
    <t xml:space="preserve">Pedal Feel Characteristics - IPB (details): </t>
  </si>
  <si>
    <t>The following parameter in the "Project Description" was renamed:</t>
  </si>
  <si>
    <t>"PFS calculation for IPB necessary" -&gt; "PFS calculation / dimension for IPB"</t>
  </si>
  <si>
    <t>The section was completely revised. The support points for the PFS, DBR and True Pedal Feel curve are now requested seperately. The following parameter are requested for the curves:</t>
  </si>
  <si>
    <t>PFS: Inputrod Stroke for each variant / Inputrod Force for each variant</t>
  </si>
  <si>
    <t>DBR: Inputrod Stroke for each variant / Output (plunger-) Pressure for each variant</t>
  </si>
  <si>
    <t>True Pedal Feel Curve: Inputrod Stroke for each variant / True Pedal Ratio for each variant</t>
  </si>
  <si>
    <t>New Parameter:</t>
  </si>
  <si>
    <t>Renamed Parameter:</t>
  </si>
  <si>
    <t xml:space="preserve">The Parameter describes the pressure at which the brake pad is pulled back to it’s idle position. (typically 0.5 – 1 bar) 
</t>
  </si>
  <si>
    <t>Contact Person</t>
  </si>
  <si>
    <t>CC/EYB6</t>
  </si>
  <si>
    <t>C.Kärcher</t>
  </si>
  <si>
    <t>CC/EYB2</t>
  </si>
  <si>
    <t>C.Meister</t>
  </si>
  <si>
    <t>CC/CIT</t>
  </si>
  <si>
    <t>M.Calcinaro</t>
  </si>
  <si>
    <t>Only relevant for recuperative braking in combination with low drag calipers. Otherwise 0 bar.</t>
  </si>
  <si>
    <t>CC/EYB1</t>
  </si>
  <si>
    <t>W.Lu</t>
  </si>
  <si>
    <t>Version 5.11</t>
  </si>
  <si>
    <t>Deleted Parameter:</t>
  </si>
  <si>
    <t>Low Drag Caliper @ front axle</t>
  </si>
  <si>
    <t xml:space="preserve">Low Drag Caliper @ rear axle </t>
  </si>
  <si>
    <t>Ramp in gradient of generator</t>
  </si>
  <si>
    <t>New Default Values:</t>
  </si>
  <si>
    <t>US - other than passenger car - FMVSS135 or 105</t>
  </si>
  <si>
    <t>Booster motor size</t>
  </si>
  <si>
    <t>Pedal Feel Characteristics - IPB / DPB</t>
  </si>
  <si>
    <t>Pedal Feel Characteristics - IPB / DPB (details)</t>
  </si>
  <si>
    <t>Case 3: all other cases</t>
  </si>
  <si>
    <t>Case 2: DPB + II-Split</t>
  </si>
  <si>
    <t>Updated "Actuation" list:</t>
  </si>
  <si>
    <t>"DPB" is now available as an "Actuation" (was listed as "Modulation" before)</t>
  </si>
  <si>
    <t>PFS calculation / dimension for IPB or DPB</t>
  </si>
  <si>
    <t>Based on IPB/ DPB  platform SW version</t>
  </si>
  <si>
    <t>Suction line inner diameter</t>
  </si>
  <si>
    <t xml:space="preserve">Customer Platform </t>
  </si>
  <si>
    <t>Motor Control EC</t>
  </si>
  <si>
    <t>Customer Version</t>
  </si>
  <si>
    <t>Version</t>
  </si>
  <si>
    <t>Version 5.13</t>
  </si>
  <si>
    <t>Version 5.12</t>
  </si>
  <si>
    <t>Project Description:</t>
  </si>
  <si>
    <t xml:space="preserve">"PFS calculation / dimension for IPB" -&gt; "PFS calculation / dimension for IPB or DPB" </t>
  </si>
  <si>
    <t>"Based on IPB platform SW version" 	-&gt; "Based on IPB / DPB platform SW version"</t>
  </si>
  <si>
    <t>TTL parameter (detailed):</t>
  </si>
  <si>
    <r>
      <t xml:space="preserve">"Suction line diameter" -&gt; "Suction </t>
    </r>
    <r>
      <rPr>
        <sz val="10"/>
        <rFont val="Arial"/>
        <family val="2"/>
      </rPr>
      <t>line</t>
    </r>
    <r>
      <rPr>
        <sz val="10"/>
        <color theme="1"/>
        <rFont val="Arial"/>
        <family val="2"/>
      </rPr>
      <t xml:space="preserve"> </t>
    </r>
    <r>
      <rPr>
        <sz val="10"/>
        <color rgb="FFFF0000"/>
        <rFont val="Arial"/>
        <family val="2"/>
      </rPr>
      <t>inner</t>
    </r>
    <r>
      <rPr>
        <sz val="10"/>
        <color theme="1"/>
        <rFont val="Arial"/>
        <family val="2"/>
      </rPr>
      <t xml:space="preserve"> diameter"</t>
    </r>
  </si>
  <si>
    <t>CC/EYB-Bp</t>
  </si>
  <si>
    <t>I.Miljanovits</t>
  </si>
  <si>
    <r>
      <t xml:space="preserve">"Wheel line diameter" -&gt; "Wheel line </t>
    </r>
    <r>
      <rPr>
        <sz val="10"/>
        <color rgb="FFFF0000"/>
        <rFont val="Arial"/>
        <family val="2"/>
      </rPr>
      <t>inner</t>
    </r>
    <r>
      <rPr>
        <sz val="10"/>
        <color theme="1"/>
        <rFont val="Arial"/>
        <family val="2"/>
      </rPr>
      <t xml:space="preserve"> diameter"</t>
    </r>
  </si>
  <si>
    <t>Alignment Gen10 Motor Types on ePC available data</t>
  </si>
  <si>
    <t>CC/EYB7</t>
  </si>
  <si>
    <t>J. Bregeault</t>
  </si>
  <si>
    <t>MC1 dead travel: this parameter will be fixed in the evaluation tool (Mamba), based on system specific design values</t>
  </si>
  <si>
    <t>MC2 dead travel  this parameter will be fixed in the evaluation tool (Mamba), based on system specific design values</t>
  </si>
  <si>
    <t>System Expert</t>
  </si>
  <si>
    <t>See BSPA Bosch Connect</t>
  </si>
  <si>
    <t>New Check Values:</t>
  </si>
  <si>
    <t>Adapt check for PV peripherals : highlight unrealistic inputs for PV peripherals</t>
  </si>
  <si>
    <t>System Expert (see Bosch Connect)</t>
  </si>
  <si>
    <t xml:space="preserve">"Max support force @ project specific vacuum level/pump relief" and "Booster Return spring preload" are only relevant for vaccum booster or hydro-boost </t>
  </si>
  <si>
    <t>US - Buses incl. School bus - FMVSS135 or 105</t>
  </si>
  <si>
    <t>The parameter is calculated automatically. Please review it. 
Have a look at the comment for more information</t>
  </si>
  <si>
    <t>row 85 + 86: MC Piston Stroke</t>
  </si>
  <si>
    <t>Elasticity @ high pressure [mm³/bar]</t>
  </si>
  <si>
    <t>Version of Input sheet</t>
  </si>
  <si>
    <t>Bosch internal Version</t>
  </si>
  <si>
    <t>Note</t>
  </si>
  <si>
    <t xml:space="preserve">"Max. System Pressure": Default value for IPB: 180 bar
</t>
  </si>
  <si>
    <t>"Max. System Pressure": Default value for DPB: 120 bar</t>
  </si>
  <si>
    <r>
      <t xml:space="preserve">(d) all except buses
</t>
    </r>
    <r>
      <rPr>
        <sz val="6"/>
        <color rgb="FF000000"/>
        <rFont val="Bosch Office Sans"/>
      </rPr>
      <t>. Vehicles, other than buses, with GVWR greater than 10,000 lbs;</t>
    </r>
  </si>
  <si>
    <r>
      <t>e) buses</t>
    </r>
    <r>
      <rPr>
        <sz val="6"/>
        <color rgb="FF000000"/>
        <rFont val="Bosch Office Sans"/>
      </rPr>
      <t xml:space="preserve">
. Buses, including school buses, with GVWR greater than 10,000 lbs.</t>
    </r>
  </si>
  <si>
    <t>Criteria Service brake performance</t>
  </si>
  <si>
    <r>
      <t xml:space="preserve"> . Stopping distance from 100 km/h test speed: &lt; 70 m (230 ft).
 . Stopping distance for reduced test speed: S &lt; 0.10 V + 0.006 V².
Equivalent to </t>
    </r>
    <r>
      <rPr>
        <b/>
        <sz val="8"/>
        <color rgb="FFFF0000"/>
        <rFont val="Bosch Office Sans"/>
      </rPr>
      <t>6,43 m/s²</t>
    </r>
  </si>
  <si>
    <r>
      <t xml:space="preserve">2nd effectiveness stopping distance Column II table II
a) </t>
    </r>
    <r>
      <rPr>
        <b/>
        <sz val="8"/>
        <color rgb="FFFF0000"/>
        <rFont val="Bosch Office Sans"/>
      </rPr>
      <t xml:space="preserve">54 and 204ft, </t>
    </r>
    <r>
      <rPr>
        <sz val="8"/>
        <color theme="1"/>
        <rFont val="Bosch Office Sans"/>
      </rPr>
      <t>383ft</t>
    </r>
    <r>
      <rPr>
        <sz val="8"/>
        <color rgb="FF000000"/>
        <rFont val="Bosch Office Sans"/>
      </rPr>
      <t xml:space="preserve"> (if 80mph possible)</t>
    </r>
  </si>
  <si>
    <r>
      <t xml:space="preserve">V_initial: 30 and 60mph (48,28 and 96,56 km/h), if 80mph possible, then also 80
</t>
    </r>
    <r>
      <rPr>
        <b/>
        <sz val="6"/>
        <color rgb="FFFF0000"/>
        <rFont val="Bosch Office Sans"/>
      </rPr>
      <t>Pedal force 67 to 667N</t>
    </r>
    <r>
      <rPr>
        <sz val="6"/>
        <color rgb="FF000000"/>
        <rFont val="Bosch Office Sans"/>
      </rPr>
      <t xml:space="preserve">
Brake temperature 150F-200F (66-93°C)
Vehicle load GVWR, transmission position: neutral</t>
    </r>
  </si>
  <si>
    <r>
      <t xml:space="preserve">2nd effectiveness stopping distance Column II table II
b) </t>
    </r>
    <r>
      <rPr>
        <b/>
        <sz val="8"/>
        <color rgb="FFFF0000"/>
        <rFont val="Bosch Office Sans"/>
      </rPr>
      <t>57 and 216ft</t>
    </r>
  </si>
  <si>
    <r>
      <t xml:space="preserve">V_initial: 30 and 60mph (48,28 and 96,56 km/h)
</t>
    </r>
    <r>
      <rPr>
        <b/>
        <sz val="6"/>
        <color rgb="FFFF0000"/>
        <rFont val="Bosch Office Sans"/>
      </rPr>
      <t>Pedal force 67 to 667N</t>
    </r>
    <r>
      <rPr>
        <sz val="6"/>
        <color rgb="FF000000"/>
        <rFont val="Bosch Office Sans"/>
      </rPr>
      <t xml:space="preserve">
Brake temperature 150F-200F (66-93°C)
Vehicle load GVWR, transmission position: neutral</t>
    </r>
  </si>
  <si>
    <r>
      <t xml:space="preserve">2nd effectiveness stopping distance Column II table II
d) </t>
    </r>
    <r>
      <rPr>
        <b/>
        <sz val="8"/>
        <color rgb="FFFF0000"/>
        <rFont val="Bosch Office Sans"/>
      </rPr>
      <t>78 and 310ft</t>
    </r>
  </si>
  <si>
    <r>
      <t xml:space="preserve">2nd effectiveness stopping distance Column II table II
e) </t>
    </r>
    <r>
      <rPr>
        <b/>
        <sz val="8"/>
        <color rgb="FFFF0000"/>
        <rFont val="Bosch Office Sans"/>
      </rPr>
      <t>70 and 280ft</t>
    </r>
  </si>
  <si>
    <t>Version 5.14</t>
  </si>
  <si>
    <t>OPD</t>
  </si>
  <si>
    <t>RPA</t>
  </si>
  <si>
    <t>Inclusion of VAF's having an impact on iBooster load evaluation (HPO for APBNano, OPD, PAP, RPA, HWP, TJP, RT). Only information of availability with EBR is requested</t>
  </si>
  <si>
    <t>CC/EYB4</t>
  </si>
  <si>
    <t>F. Schnabel</t>
  </si>
  <si>
    <t>IPB/DPB Motor Size</t>
  </si>
  <si>
    <t>IPB/DPB Plunger Size</t>
  </si>
  <si>
    <t>ESP - Motor</t>
  </si>
  <si>
    <t>7,5ccm/s (diam 0,34)</t>
  </si>
  <si>
    <t>13ccm/s (diam 0,45)</t>
  </si>
  <si>
    <t>26ccm/s (diam 0,66)</t>
  </si>
  <si>
    <t>37ccm/s (diam 0,81)</t>
  </si>
  <si>
    <t>IPB 1.0 Size Se</t>
  </si>
  <si>
    <t>IPB 1.1 Size Sd</t>
  </si>
  <si>
    <t>IPB 1.1 Size Se</t>
  </si>
  <si>
    <t>IPB 2.0 Size S</t>
  </si>
  <si>
    <t>IPB 2.0 Size M</t>
  </si>
  <si>
    <t>IPB 2.0 Size L</t>
  </si>
  <si>
    <t>DPB Size M</t>
  </si>
  <si>
    <t>DPB Size L</t>
  </si>
  <si>
    <t xml:space="preserve">yes </t>
  </si>
  <si>
    <t>M2E</t>
  </si>
  <si>
    <t>Test if IPB or DPB</t>
  </si>
  <si>
    <t>4,5ccm/s (diam 0,3)</t>
  </si>
  <si>
    <t>7,9ccm/s (diam 0,4)</t>
  </si>
  <si>
    <t>11,2ccm/s (diam 0,51)</t>
  </si>
  <si>
    <t>19,2ccm/s (diam 1,2)</t>
  </si>
  <si>
    <t>25ccm/s (diam 1,5)</t>
  </si>
  <si>
    <t>15,5ccm/s (diam 0,74)</t>
  </si>
  <si>
    <t>Test if IPB</t>
  </si>
  <si>
    <t>Max Pedal ratio</t>
  </si>
  <si>
    <t>Se</t>
  </si>
  <si>
    <t>Sd</t>
  </si>
  <si>
    <t>HPO_for_APB_customer_specific</t>
  </si>
  <si>
    <t xml:space="preserve">New Check Values: </t>
  </si>
  <si>
    <t>Update Inlet valve: selection based on same naming as in ePC</t>
  </si>
  <si>
    <t>IPB / DPB Selection splited depending on system size. Motor and Plunger size are given for informations</t>
  </si>
  <si>
    <t>IIS check activated for Gen10 products</t>
  </si>
  <si>
    <t>C. Meister</t>
  </si>
  <si>
    <t>Version 5.15</t>
  </si>
  <si>
    <t>IPB Blending strategy</t>
  </si>
  <si>
    <t>Sequential</t>
  </si>
  <si>
    <t>System Level</t>
  </si>
  <si>
    <t>Regenerative Blending mode</t>
  </si>
  <si>
    <t>IPB 1.0 Size Se2</t>
  </si>
  <si>
    <t>ESP10TE - ESP Standard for trucks</t>
  </si>
  <si>
    <t>ESP10TP - ESP Standard for trucks</t>
  </si>
  <si>
    <t>ESP10TU - ESP Standard for trucks</t>
  </si>
  <si>
    <t>Jump-in variant</t>
  </si>
  <si>
    <t>Booster effective ratio / SW gain</t>
  </si>
  <si>
    <t>Booster Jump-in variant</t>
  </si>
  <si>
    <t>Booster mech. Gain</t>
  </si>
  <si>
    <t>S. Benzler</t>
  </si>
  <si>
    <t>new Gen10 ESP systems for trucks (ESP10TE, TP, TU) are included in the Modulation list, parameters updated accordingly for ESP Standard evaluation</t>
  </si>
  <si>
    <t>CC/EYB6 F. Mueller</t>
  </si>
  <si>
    <t>iBooster</t>
  </si>
  <si>
    <r>
      <t xml:space="preserve">new iBoosterGen2 parameters added: </t>
    </r>
    <r>
      <rPr>
        <i/>
        <sz val="10"/>
        <color theme="1"/>
        <rFont val="Arial"/>
        <family val="2"/>
      </rPr>
      <t>Jump-in variant</t>
    </r>
    <r>
      <rPr>
        <sz val="10"/>
        <color theme="1"/>
        <rFont val="Arial"/>
        <family val="2"/>
      </rPr>
      <t xml:space="preserve"> and </t>
    </r>
    <r>
      <rPr>
        <i/>
        <sz val="10"/>
        <color theme="1"/>
        <rFont val="Arial"/>
        <family val="2"/>
      </rPr>
      <t xml:space="preserve">mechanical Gain, </t>
    </r>
    <r>
      <rPr>
        <sz val="10"/>
        <color theme="1"/>
        <rFont val="Arial"/>
        <family val="2"/>
      </rPr>
      <t>the parameter "Booster effective ratio" is named differently "</t>
    </r>
    <r>
      <rPr>
        <i/>
        <sz val="10"/>
        <color theme="1"/>
        <rFont val="Arial"/>
        <family val="2"/>
      </rPr>
      <t>Booster effective ratio / SW gain</t>
    </r>
    <r>
      <rPr>
        <sz val="10"/>
        <color theme="1"/>
        <rFont val="Arial"/>
        <family val="2"/>
      </rPr>
      <t>" to differentiate it better</t>
    </r>
  </si>
  <si>
    <t>CC/EYB4 F. Schnabel</t>
  </si>
  <si>
    <t>Mechanical Gain</t>
  </si>
  <si>
    <t>CC/EYB2 B. Fischer</t>
  </si>
  <si>
    <t>Brake pads (details)</t>
  </si>
  <si>
    <t>Brake Pads Cp Value for each variant</t>
  </si>
  <si>
    <t>Brake Pads Force for each variant</t>
  </si>
  <si>
    <t>Wheel line inner diameter</t>
  </si>
  <si>
    <t>Version 5.17</t>
  </si>
  <si>
    <t>SMI750</t>
  </si>
  <si>
    <t>SMI850</t>
  </si>
  <si>
    <t>BWA Size S</t>
  </si>
  <si>
    <t>BWA Size M</t>
  </si>
  <si>
    <t>IIS Sensor</t>
  </si>
  <si>
    <t>Voltage Supply for Modulation</t>
  </si>
  <si>
    <t>Voltage Supply for Actuation</t>
  </si>
  <si>
    <t>12V</t>
  </si>
  <si>
    <t>48V</t>
  </si>
  <si>
    <t>Max measurable Pedal Force</t>
  </si>
  <si>
    <t>Max measureable Pedal Force</t>
  </si>
  <si>
    <t>{fill with free text}</t>
  </si>
  <si>
    <t>Version 5.16</t>
  </si>
  <si>
    <t>Motor control: parameter is now visible for Automated Features and ESP10CL</t>
  </si>
  <si>
    <t xml:space="preserve">VM/EYB2 Gashi Blerim </t>
  </si>
  <si>
    <t>VM/EYB6 F. Mueller</t>
  </si>
  <si>
    <t>new IPB parameters added: Brake pads parameter (Force and Cp Value), 230 bar for pV Curves</t>
  </si>
  <si>
    <t xml:space="preserve">"Wiring Harness": Range value: 0,005-0,06 </t>
  </si>
  <si>
    <t>"Jump-in Variant": High changed to 800N low change to 500N</t>
  </si>
  <si>
    <t>FAQ Cp Value Limitation of Caliper Piston extend limitation to 10.000</t>
  </si>
  <si>
    <t>VM/EYB7</t>
  </si>
  <si>
    <t>VM/EYB4 Vivien Wagner</t>
  </si>
  <si>
    <t>VM/EVW1 Wolf Matthias</t>
  </si>
  <si>
    <t>Feature combination for AVH and HHC is not supported by platform anymore</t>
  </si>
  <si>
    <t>new BWA size S and size M</t>
  </si>
  <si>
    <t>new BWA parameters added: Voltage Supply for Modulation &amp; Voltage Supply for Actuation, Max measureable pedal force</t>
  </si>
  <si>
    <t>new IIS parameters added: IIS Sensor</t>
  </si>
  <si>
    <t>VM/EYB6 C. J. Sweeney Linares</t>
  </si>
  <si>
    <t>updated TMC Matrix Diameters</t>
  </si>
  <si>
    <t>Motor Control is not mandatory anymore for ESP10CL</t>
  </si>
  <si>
    <t>Airgap Volume with value "0" is not possible anymore</t>
  </si>
  <si>
    <t>"Height Difference" (TTL Parameters): Range value: -1000 to 1500</t>
  </si>
  <si>
    <t>VM/EPD4-Bp Farkas Szilard</t>
  </si>
  <si>
    <t>Version 5.18</t>
  </si>
  <si>
    <t>variant analysis as "unofficial study" can be selected: the BSPA evaluation will be proceeded but is not included into the official BSPA rating for the project</t>
  </si>
  <si>
    <t>BWA</t>
  </si>
  <si>
    <t>iBoosterGen2evo</t>
  </si>
  <si>
    <t>BDR</t>
  </si>
  <si>
    <t>iBoostergen2evo</t>
  </si>
  <si>
    <t>Size S1</t>
  </si>
  <si>
    <t>ePedal supplier</t>
  </si>
  <si>
    <t>ePedal Supplier</t>
  </si>
  <si>
    <t>Bosch ePedal</t>
  </si>
  <si>
    <t>ePedal Spec_as_RB</t>
  </si>
  <si>
    <t>yes_no</t>
  </si>
  <si>
    <t>Power Supply redundancy Act / Mod</t>
  </si>
  <si>
    <t>unofficial 
study</t>
  </si>
  <si>
    <t>AEB-VRU via separate actuator</t>
  </si>
  <si>
    <t>AEB via separate actuator</t>
  </si>
  <si>
    <t>AEB customer specific via separate actuator</t>
  </si>
  <si>
    <t>AEB-VRU customer specific via separate actuator</t>
  </si>
  <si>
    <t>AEB actuated via ESP</t>
  </si>
  <si>
    <t>AEB customer specific actuated via ESP</t>
  </si>
  <si>
    <t>AEB-VRU actuated via ESP</t>
  </si>
  <si>
    <t>AEB-VRU customer specific actuated via ESP</t>
  </si>
  <si>
    <t>APB-Mi customer specific (platform load)</t>
  </si>
  <si>
    <t>external APB (non-Bosch)</t>
  </si>
  <si>
    <t>APB-Mi customer specific</t>
  </si>
  <si>
    <t>APB-Mi</t>
  </si>
  <si>
    <t>APB-Mi for RoPP</t>
  </si>
  <si>
    <t>HPO customer specific via separate actuator</t>
  </si>
  <si>
    <t>HPO via separate actuator</t>
  </si>
  <si>
    <t>AVH via separate actuator</t>
  </si>
  <si>
    <t>AVH customer specif. via separate actuator</t>
  </si>
  <si>
    <t>AVH actuated via ESP</t>
  </si>
  <si>
    <t>AVH customer specific actuated via ESP</t>
  </si>
  <si>
    <t>AWB via separate actuator</t>
  </si>
  <si>
    <t>AWB customer specific via separate actuator</t>
  </si>
  <si>
    <t>AWB actuated via ESP</t>
  </si>
  <si>
    <t>AWB customer specific actuated via ESP</t>
  </si>
  <si>
    <t>BFS customer specific (platform load)</t>
  </si>
  <si>
    <t>BFS customer specific</t>
  </si>
  <si>
    <t>CCB via separate actuator</t>
  </si>
  <si>
    <t>CCB customer specific via separate actuator</t>
  </si>
  <si>
    <t>CCB actuated via ESP</t>
  </si>
  <si>
    <t>CCB customer specific actuated via ESP</t>
  </si>
  <si>
    <t>CCL via separate actuator</t>
  </si>
  <si>
    <t>CCL customer specific via separate actuator</t>
  </si>
  <si>
    <t>CCL actuated via ESP</t>
  </si>
  <si>
    <t>CCL customer specific actuated via ESP</t>
  </si>
  <si>
    <t>CDD-Stop&amp;Go via separate actuator</t>
  </si>
  <si>
    <t>CDD customer specific via separate actuator</t>
  </si>
  <si>
    <t>CDD-Basic &gt;= 30 km/h via separate actuator</t>
  </si>
  <si>
    <t>CDD_x</t>
  </si>
  <si>
    <t>yes, run out point booster &gt;= 0,6 G</t>
  </si>
  <si>
    <t>HBB Over boost mode customer specific</t>
  </si>
  <si>
    <t>HBB Cold-start mode</t>
  </si>
  <si>
    <t>HBB Cold-start mode customer specific</t>
  </si>
  <si>
    <t>HBC customer specific (platform load)</t>
  </si>
  <si>
    <t>HBC customer specific</t>
  </si>
  <si>
    <t>HFC customer specific</t>
  </si>
  <si>
    <t>HHC customer specific via separate actuator</t>
  </si>
  <si>
    <t>HHC via separate actuator</t>
  </si>
  <si>
    <t>HHC actuated via ESP</t>
  </si>
  <si>
    <t>HHC customer specific actuated via ESP</t>
  </si>
  <si>
    <t>HRB customer specific</t>
  </si>
  <si>
    <t>PAP via separate actuator</t>
  </si>
  <si>
    <t>PAP customer specific via separate actuator</t>
  </si>
  <si>
    <t>PAP actuated via ESP</t>
  </si>
  <si>
    <t>PAP customer specific actuated via ESP</t>
  </si>
  <si>
    <t>via External Brake Request (EBR</t>
  </si>
  <si>
    <t>ESP10CP</t>
  </si>
  <si>
    <t>iB2.0CB</t>
  </si>
  <si>
    <t>HPO customer specific</t>
  </si>
  <si>
    <t>CDD-Basic &gt;= 30kph via External Brake Request (EBR</t>
  </si>
  <si>
    <t>CDD-Stop&amp;Go via External Brake Request (EBR)</t>
  </si>
  <si>
    <t>DPB-DPS</t>
  </si>
  <si>
    <t>AEB customer specific</t>
  </si>
  <si>
    <t>AEB-VRU customer specific</t>
  </si>
  <si>
    <t>AEB-VRU customer specific (platform load)</t>
  </si>
  <si>
    <t>AEB customer specific (platform load)</t>
  </si>
  <si>
    <t>HPO</t>
  </si>
  <si>
    <t>HPO customer specific (platform load)</t>
  </si>
  <si>
    <t>AVH Autom. Vehicle Hold</t>
  </si>
  <si>
    <t>AWB customer specific (platform load)</t>
  </si>
  <si>
    <t>AWB customer specific</t>
  </si>
  <si>
    <t>CCB customer specific</t>
  </si>
  <si>
    <t>CCB customer specific (platform load)</t>
  </si>
  <si>
    <t>CCL customer specific</t>
  </si>
  <si>
    <t>CCL customer specific (platform load)</t>
  </si>
  <si>
    <t>CDD customer specific</t>
  </si>
  <si>
    <t>CDD-Basic &gt;=30kmh</t>
  </si>
  <si>
    <t>CDD-Stop&amp;go</t>
  </si>
  <si>
    <t>CDD customer specific (platform load)</t>
  </si>
  <si>
    <t>HHC customer specific</t>
  </si>
  <si>
    <t>HHC customer specific (platform load)</t>
  </si>
  <si>
    <t>PAP customer specific (platform load)</t>
  </si>
  <si>
    <t>PAP customer specific</t>
  </si>
  <si>
    <t>relevant for ACT System</t>
  </si>
  <si>
    <t>relevant for MOD System</t>
  </si>
  <si>
    <t>max pedal ratio: parameter is activated for IPB and DPB systems</t>
  </si>
  <si>
    <t>ROM customer specific</t>
  </si>
  <si>
    <t>RMI customer specific</t>
  </si>
  <si>
    <t>RPA customer specific</t>
  </si>
  <si>
    <t>HAP customer specific via separate actuator</t>
  </si>
  <si>
    <t>HAP customer specific via ESP</t>
  </si>
  <si>
    <t>Version 5.19</t>
  </si>
  <si>
    <t>VM/EYB10 J. Bregeault</t>
  </si>
  <si>
    <t>new ePedal and Condition of Use consideration for By Wire systems (BWA)</t>
  </si>
  <si>
    <t>new Actuation System iBooster2evo</t>
  </si>
  <si>
    <t>Add. customer specific function in ePC? (1-10)</t>
  </si>
  <si>
    <t>CDD-Basic &gt;= 30km/h</t>
  </si>
  <si>
    <t>CDD-Stop&amp;Go</t>
  </si>
  <si>
    <t>In case a feature needs to consider customer specific load conditions, you have the possibility to describe till 5 different load profiles on the right. In case more than 5 profiles are necessary, please submit all the information separatly to BSPA_Coordination</t>
  </si>
  <si>
    <t>iBooster 2 evo</t>
  </si>
  <si>
    <t>Only the Value Added Functions that could have an impact on a BSPA evaluation are listed here</t>
  </si>
  <si>
    <t>The VAF nomenclature is aligned on the ePC nomenclature, please ensure there is no deviation with ePC</t>
  </si>
  <si>
    <t>For multiple projects with different VAF selection, please use for the BSPA the overall envelop approach</t>
  </si>
  <si>
    <t>(ex: 1 project with CDD-Stop&amp;Go, 1 project with CDD-B: select for BSPA: "CDD_x: CDD-Stop&amp;Go")</t>
  </si>
  <si>
    <t>Features list reworked and aligned on ePC nomenclature - the allocation to MOD or ACT system is done automatically</t>
  </si>
  <si>
    <t>New actuation system: "iBoosterGen2evo" with official design parameters in background</t>
  </si>
  <si>
    <t>competitor coupled electrical actuation</t>
  </si>
  <si>
    <t>competitor decoupled electrical actuation</t>
  </si>
  <si>
    <t>New actuation system: "Competitor coupled electrical actuation" is added</t>
  </si>
  <si>
    <t>New actuation system: "Competitor decoupled electrical actuation" is added</t>
  </si>
  <si>
    <t>VM/EYB10 J. Bregeault, VM/EYB6 F. Mueller</t>
  </si>
  <si>
    <t>Automated_Parking</t>
  </si>
  <si>
    <t>PAP_Park_Assist_Stop</t>
  </si>
  <si>
    <t>max. pressure during profile [bar]</t>
  </si>
  <si>
    <t>total control time over lifetime [hr]</t>
  </si>
  <si>
    <t>Does the ePedal specification fit with the Bosch specification (see link)</t>
  </si>
  <si>
    <t>Version 5.20</t>
  </si>
  <si>
    <t>RAI</t>
  </si>
  <si>
    <t>RAI Rear Axle Isolation included in Feature list for IPB systems</t>
  </si>
  <si>
    <t>VM/EYB2 Gashi Blerim</t>
  </si>
  <si>
    <t>Max APB clamping pressure</t>
  </si>
  <si>
    <t>Lane width</t>
  </si>
  <si>
    <t>Booster Motor Size</t>
  </si>
  <si>
    <t>Actuation-TMC diameter</t>
  </si>
  <si>
    <t>Modulation - TMC Diameter</t>
  </si>
  <si>
    <t>final list without blank</t>
  </si>
  <si>
    <t>TTL One-Wheel necessary?</t>
  </si>
  <si>
    <t>SSF</t>
  </si>
  <si>
    <t>Version 5.21</t>
  </si>
  <si>
    <t>Brake System Foundation front axle</t>
  </si>
  <si>
    <t>Brake System Foundation rear axle</t>
  </si>
  <si>
    <t>Foundation front</t>
  </si>
  <si>
    <t>Foundation rear</t>
  </si>
  <si>
    <t>EMB M-50kN</t>
  </si>
  <si>
    <t>EMB S-35kN</t>
  </si>
  <si>
    <t>Nominal locking force front @ GVM (@ high mue)</t>
  </si>
  <si>
    <t>Nominal locking force rear @ GVM (@ high mue)</t>
  </si>
  <si>
    <t>Nominal locking force front @ LLVM (@ high mue)</t>
  </si>
  <si>
    <t>Nominal locking force rear @ LLVM (@ high mue)</t>
  </si>
  <si>
    <t>Brake force distribution front / rear design</t>
  </si>
  <si>
    <t>APB / PLU location</t>
  </si>
  <si>
    <t>[%]</t>
  </si>
  <si>
    <t>Max. electrical brake torque @ front wheel</t>
  </si>
  <si>
    <t>Max electrical brake torque @ rear wheel</t>
  </si>
  <si>
    <t>Wheel volume used by APB is impacting the LEM/AIM monitoring parameters. To ensure the IPB monitoring is robust in such cases the parameters are adapted by using this information</t>
  </si>
  <si>
    <t>To estimate the max APB clamping pressure, following formula can be used:</t>
  </si>
  <si>
    <t>Fn</t>
  </si>
  <si>
    <t>Clamping force</t>
  </si>
  <si>
    <t>µ_hyd</t>
  </si>
  <si>
    <t>A_piston</t>
  </si>
  <si>
    <t>caliper piston area</t>
  </si>
  <si>
    <t>For further clarification, contact person: VM/EYB2 Abedini Bayghra Farid</t>
  </si>
  <si>
    <t>How do I know if the APB clamping has an influence on the rear wheel PV's for IPB/DPB?</t>
  </si>
  <si>
    <t>confirm with your OEM</t>
  </si>
  <si>
    <t>Below you can find 2 example of APB with which the clamping has no influence on the rear wheel PV's for IPB/DPB</t>
  </si>
  <si>
    <t>hydraulic efficiency (static pressure) - if no other information's are available, it can be estimated to µ=1 (see VDA-370)</t>
  </si>
  <si>
    <t>What is "max APB clamping pressure" required for IPB/DPB evaluation and how can it be estimated?</t>
  </si>
  <si>
    <t>IPB/DPB relevant question</t>
  </si>
  <si>
    <r>
      <t>The maximal system pressure is the maximal nominal</t>
    </r>
    <r>
      <rPr>
        <sz val="10"/>
        <color rgb="FFFF0000"/>
        <rFont val="Arial"/>
        <family val="2"/>
      </rPr>
      <t xml:space="preserve"> </t>
    </r>
    <r>
      <rPr>
        <sz val="10"/>
        <color theme="1"/>
        <rFont val="Arial"/>
        <family val="2"/>
      </rPr>
      <t>guaranteed system braking pressure. Its default value is 180 bar for IPB resp. 120 bar for DPB and can be changed manually if required.</t>
    </r>
  </si>
  <si>
    <t>only for IPB2.0</t>
  </si>
  <si>
    <t>preparation for EMB Supprt</t>
  </si>
  <si>
    <t>EMB L-65kN</t>
  </si>
  <si>
    <t>Redundancy concept: remaining EMBs after a single power supply failure</t>
  </si>
  <si>
    <t>RA-only</t>
  </si>
  <si>
    <t>FA-only</t>
  </si>
  <si>
    <t>FA+1RW</t>
  </si>
  <si>
    <t>FA+RA</t>
  </si>
  <si>
    <t>Redundancy concept</t>
  </si>
  <si>
    <t>RA+1FW</t>
  </si>
  <si>
    <t>Max vehicle speed</t>
  </si>
  <si>
    <t>Acceleration time 0-100 kph @ GVM</t>
  </si>
  <si>
    <t>Number of stops for AMS test</t>
  </si>
  <si>
    <t>[kph]</t>
  </si>
  <si>
    <t>Bosch definition (default)</t>
  </si>
  <si>
    <t>Fixed value</t>
  </si>
  <si>
    <t>Both axles</t>
  </si>
  <si>
    <t>Brake rotor type</t>
  </si>
  <si>
    <t>Carbon ceramic</t>
  </si>
  <si>
    <t>Steel (default)</t>
  </si>
  <si>
    <t>Steel coated</t>
  </si>
  <si>
    <t>Friction coefficient - Nominal @ rear axle</t>
  </si>
  <si>
    <t>Friction coefficient - Nominal @ front axle</t>
  </si>
  <si>
    <t>Friction coefficient - Static nominal @ front axle for parking use case</t>
  </si>
  <si>
    <t>Friction coefficient - Static nominal @ rear axle for parking use case</t>
  </si>
  <si>
    <t>Friction coefficient - Fading @ front axle</t>
  </si>
  <si>
    <t>Friction coefficient - Static minimum @ front axle for parking use case</t>
  </si>
  <si>
    <t>Friction coefficient - Static minimum @ rear axle for parking use case</t>
  </si>
  <si>
    <t>Friction coefficient - Cold @ front axle</t>
  </si>
  <si>
    <t>Friction coefficient - Cold @ rear axle</t>
  </si>
  <si>
    <t>Brake pad friction area @ front axle</t>
  </si>
  <si>
    <t>Brake pad height @ front axle</t>
  </si>
  <si>
    <t>Brake pad friction area @ rear axle</t>
  </si>
  <si>
    <t>Brake pad height @ rear axle</t>
  </si>
  <si>
    <t>Brake pad compressibility @ 50kN - front wheel</t>
  </si>
  <si>
    <t>Brake pad compressibility @ 50kN - rear wheel</t>
  </si>
  <si>
    <t>fixed value</t>
  </si>
  <si>
    <t>characteristic curve</t>
  </si>
  <si>
    <t>Friction coefficient nominal</t>
  </si>
  <si>
    <t>Max slope for parking use case (without trailer)</t>
  </si>
  <si>
    <t>Max slope for parking use case (with trailer)</t>
  </si>
  <si>
    <t>Average regenerative brake torque @ front wheel</t>
  </si>
  <si>
    <t>Average regenerative brake torque @ rear wheel</t>
  </si>
  <si>
    <t>Minimum regenerative brake torque @ rear wheel @ 100kph</t>
  </si>
  <si>
    <t>Minimum regenerative brake torque @ front wheel @ 100kph</t>
  </si>
  <si>
    <t>[kN]</t>
  </si>
  <si>
    <t>Hydraulic Brake</t>
  </si>
  <si>
    <t>rear axle or both axles</t>
  </si>
  <si>
    <t>Front brake effective radius</t>
  </si>
  <si>
    <t>Rear brake effective radius</t>
  </si>
  <si>
    <t>Target z-critical@ GVM (for "fixed value" only)</t>
  </si>
  <si>
    <t>Brake caliper stiffness @ 10kN - front wheel</t>
  </si>
  <si>
    <t>Brake caliper stiffness @ 10kN - rear wheel</t>
  </si>
  <si>
    <t>[kN/mm]</t>
  </si>
  <si>
    <t>Brake pads (details) are optional, the nominal Cp value one front wheel is mandatory.</t>
  </si>
  <si>
    <t>Brake pads (details) are optional, the nominal Cp value one rear wheel is mandatory.</t>
  </si>
  <si>
    <t>Brake Pads µ Value for each variant</t>
  </si>
  <si>
    <t>Optional</t>
  </si>
  <si>
    <t>Deceleration @ locking pressure / force @ GVM</t>
  </si>
  <si>
    <t>Brake disc type</t>
  </si>
  <si>
    <t>Friction coefficient - Fading @ rear axle</t>
  </si>
  <si>
    <t>Version 5.22</t>
  </si>
  <si>
    <t>predefined IPB1.x Plunger volume actualised and aligned with Modular set</t>
  </si>
  <si>
    <t>extend input parameters for EMB evaluation</t>
  </si>
  <si>
    <t>VM/EYB1 LU Wenpu</t>
  </si>
  <si>
    <t>July.2026</t>
  </si>
  <si>
    <t>L 2WD NAO 2ROW</t>
  </si>
  <si>
    <t>LHD : 2WD NAO 2ROW (Others)</t>
  </si>
  <si>
    <t>L 4WD NAO 2ROW US</t>
  </si>
  <si>
    <t>LHD : 4WD NAO TRUCK 2ROW (US)</t>
  </si>
  <si>
    <t>L 4WD NAO 2ROW</t>
  </si>
  <si>
    <t>LHD : 4WD NAO Std 2ROW (Others)</t>
  </si>
  <si>
    <t>L 4WD NAO 3ROW</t>
  </si>
  <si>
    <t>LHD : 4WD NAO Std 3ROW (Others)</t>
  </si>
  <si>
    <t>R 2WD NAO 2ROW</t>
  </si>
  <si>
    <t>RHD : 2WD NAO 2ROW (Others)</t>
  </si>
  <si>
    <t>R 4WD NAO 2ROW</t>
  </si>
  <si>
    <t>RHD : 4WD NAO Std 2ROW (Others)</t>
  </si>
  <si>
    <t>R 4WD NAO 3ROW</t>
  </si>
  <si>
    <t>RHD : 4WD NAO Std 3ROW (Others)</t>
  </si>
  <si>
    <t>same as customer ver20250922</t>
    <phoneticPr fontId="70" type="noConversion"/>
  </si>
  <si>
    <t>Application value</t>
    <phoneticPr fontId="70" type="noConversion"/>
  </si>
  <si>
    <t>same as customer ver20250922</t>
  </si>
  <si>
    <t>EV8511.04</t>
  </si>
  <si>
    <t>Carried from J42U</t>
  </si>
  <si>
    <t>Customer just feedback that the maximum clamping force of the APB is 20.5kN</t>
  </si>
  <si>
    <t>Customer confirmed</t>
  </si>
  <si>
    <t xml:space="preserve">132132, 165165165 1321321,1  681651 ,3213681, </t>
  </si>
  <si>
    <t xml:space="preserve">Ich bins abteilung xy </t>
  </si>
  <si>
    <t>OEM-XY</t>
  </si>
  <si>
    <t>MODELLBEISPIEL</t>
  </si>
  <si>
    <t>toto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</si>
</sst>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_ "/>
    <numFmt numFmtId="165" formatCode="#,##0.0_ "/>
    <numFmt numFmtId="166" formatCode="0.0"/>
    <numFmt numFmtId="167" formatCode="#,##0.0"/>
    <numFmt numFmtId="168" formatCode="0.000000"/>
    <numFmt numFmtId="169" formatCode="0.00_ "/>
  </numFmts>
  <fonts count="85">
    <font>
      <sz val="10"/>
      <color theme="1"/>
      <name val="Arial"/>
      <family val="2"/>
    </font>
    <font>
      <sz val="11"/>
      <name val="ＭＳ Ｐゴシック"/>
      <family val="3"/>
      <charset val="128"/>
    </font>
    <font>
      <b/>
      <sz val="14"/>
      <color theme="0"/>
      <name val="Bosch Office Sans"/>
      <family val="2"/>
    </font>
    <font>
      <b/>
      <sz val="10"/>
      <color rgb="FFFF0000"/>
      <name val="Bosch Office Sans"/>
      <family val="2"/>
    </font>
    <font>
      <sz val="11"/>
      <color indexed="55"/>
      <name val="ＭＳ Ｐゴシック"/>
      <family val="3"/>
      <charset val="128"/>
    </font>
    <font>
      <sz val="11"/>
      <name val="Arial"/>
      <family val="2"/>
    </font>
    <font>
      <sz val="11"/>
      <name val="Bosch Office Sans"/>
      <family val="2"/>
    </font>
    <font>
      <b/>
      <u/>
      <sz val="12"/>
      <color indexed="9"/>
      <name val="Bosch Office Sans"/>
      <family val="2"/>
    </font>
    <font>
      <sz val="11"/>
      <color indexed="9"/>
      <name val="Bosch Office Sans"/>
      <family val="2"/>
    </font>
    <font>
      <b/>
      <sz val="12"/>
      <color indexed="9"/>
      <name val="Bosch Office Sans"/>
      <family val="2"/>
    </font>
    <font>
      <b/>
      <sz val="11"/>
      <name val="Arial"/>
      <family val="2"/>
    </font>
    <font>
      <b/>
      <sz val="11"/>
      <name val="Bosch Office Sans"/>
      <family val="2"/>
    </font>
    <font>
      <sz val="10"/>
      <name val="Arial"/>
      <family val="2"/>
    </font>
    <font>
      <b/>
      <sz val="9"/>
      <color indexed="81"/>
      <name val="Tahoma"/>
      <family val="2"/>
    </font>
    <font>
      <sz val="9"/>
      <color indexed="81"/>
      <name val="Tahoma"/>
      <family val="2"/>
    </font>
    <font>
      <i/>
      <sz val="14"/>
      <color theme="0"/>
      <name val="Bosch Office Sans"/>
      <family val="2"/>
    </font>
    <font>
      <sz val="12"/>
      <color rgb="FF00B050"/>
      <name val="Arial"/>
      <family val="2"/>
    </font>
    <font>
      <sz val="10"/>
      <color rgb="FF00B050"/>
      <name val="Arial"/>
      <family val="2"/>
    </font>
    <font>
      <sz val="11"/>
      <color rgb="FF00B050"/>
      <name val="Arial"/>
      <family val="2"/>
    </font>
    <font>
      <b/>
      <sz val="24"/>
      <color theme="1"/>
      <name val="Arial"/>
      <family val="2"/>
    </font>
    <font>
      <b/>
      <sz val="10"/>
      <color theme="0"/>
      <name val="Arial"/>
      <family val="2"/>
    </font>
    <font>
      <b/>
      <sz val="12"/>
      <color theme="0"/>
      <name val="Bosch Office Sans"/>
      <family val="2"/>
    </font>
    <font>
      <b/>
      <sz val="10"/>
      <color theme="1"/>
      <name val="Arial"/>
      <family val="2"/>
    </font>
    <font>
      <sz val="11"/>
      <color theme="1"/>
      <name val="Bosch Office Sans"/>
      <family val="2"/>
    </font>
    <font>
      <sz val="11"/>
      <color theme="1"/>
      <name val="Arial"/>
      <family val="2"/>
    </font>
    <font>
      <sz val="9.35"/>
      <color theme="1"/>
      <name val="Bosch Office Sans"/>
      <family val="2"/>
    </font>
    <font>
      <sz val="9"/>
      <color indexed="81"/>
      <name val="Segoe UI"/>
      <family val="2"/>
    </font>
    <font>
      <b/>
      <sz val="9"/>
      <color indexed="81"/>
      <name val="Segoe UI"/>
      <family val="2"/>
    </font>
    <font>
      <sz val="10"/>
      <color theme="0"/>
      <name val="Arial"/>
      <family val="2"/>
    </font>
    <font>
      <sz val="9"/>
      <color indexed="81"/>
      <name val="Arial"/>
      <family val="2"/>
    </font>
    <font>
      <b/>
      <sz val="9"/>
      <color indexed="81"/>
      <name val="Arial"/>
      <family val="2"/>
    </font>
    <font>
      <sz val="10"/>
      <color indexed="81"/>
      <name val="Tahoma"/>
      <family val="2"/>
    </font>
    <font>
      <b/>
      <sz val="14"/>
      <color indexed="9"/>
      <name val="Bosch Office Sans"/>
    </font>
    <font>
      <b/>
      <sz val="11"/>
      <color theme="1"/>
      <name val="Arial"/>
      <family val="2"/>
    </font>
    <font>
      <sz val="10"/>
      <color theme="1"/>
      <name val="Bosch Office Sans"/>
      <family val="2"/>
    </font>
    <font>
      <b/>
      <sz val="14"/>
      <name val="Bosch Office Sans"/>
    </font>
    <font>
      <b/>
      <sz val="16"/>
      <color theme="0"/>
      <name val="Bosch Office Sans"/>
      <family val="2"/>
    </font>
    <font>
      <b/>
      <sz val="14"/>
      <color rgb="FFFF0000"/>
      <name val="Bosch Office Sans"/>
      <family val="2"/>
    </font>
    <font>
      <i/>
      <sz val="11"/>
      <name val="Bosch Office Sans"/>
    </font>
    <font>
      <sz val="10"/>
      <color rgb="FFFF0000"/>
      <name val="Arial"/>
      <family val="2"/>
    </font>
    <font>
      <sz val="10"/>
      <color theme="1"/>
      <name val="Arial"/>
      <family val="2"/>
    </font>
    <font>
      <sz val="11"/>
      <color theme="1"/>
      <name val="Calibri"/>
      <family val="2"/>
    </font>
    <font>
      <b/>
      <sz val="10"/>
      <color rgb="FF000000"/>
      <name val="Arial"/>
      <family val="2"/>
    </font>
    <font>
      <sz val="10"/>
      <color rgb="FF000000"/>
      <name val="Arial"/>
      <family val="2"/>
    </font>
    <font>
      <b/>
      <sz val="11"/>
      <color theme="1"/>
      <name val="Calibri"/>
      <family val="2"/>
      <scheme val="minor"/>
    </font>
    <font>
      <vertAlign val="superscript"/>
      <sz val="11"/>
      <color theme="1"/>
      <name val="Calibri"/>
      <family val="2"/>
      <scheme val="minor"/>
    </font>
    <font>
      <sz val="10"/>
      <color theme="1"/>
      <name val="Times New Roman"/>
      <family val="1"/>
    </font>
    <font>
      <b/>
      <sz val="10"/>
      <color rgb="FFFFFFFF"/>
      <name val="Arial"/>
      <family val="2"/>
    </font>
    <font>
      <b/>
      <sz val="10"/>
      <color rgb="FFFF0000"/>
      <name val="Arial"/>
      <family val="2"/>
    </font>
    <font>
      <b/>
      <sz val="12"/>
      <name val="Bosch Office Sans"/>
      <family val="2"/>
    </font>
    <font>
      <b/>
      <sz val="12"/>
      <color theme="1"/>
      <name val="Arial"/>
      <family val="2"/>
    </font>
    <font>
      <b/>
      <sz val="11"/>
      <color theme="3"/>
      <name val="Bosch Office Sans"/>
    </font>
    <font>
      <b/>
      <sz val="11"/>
      <color theme="1"/>
      <name val="Calibri"/>
      <family val="2"/>
    </font>
    <font>
      <b/>
      <sz val="9"/>
      <color rgb="FFFFFFFF"/>
      <name val="Bosch Office Sans"/>
    </font>
    <font>
      <sz val="9"/>
      <color rgb="FF000000"/>
      <name val="Bosch Office Sans"/>
    </font>
    <font>
      <sz val="7"/>
      <color rgb="FF000000"/>
      <name val="Bosch Office Sans"/>
    </font>
    <font>
      <sz val="6"/>
      <color rgb="FF000000"/>
      <name val="Bosch Office Sans"/>
    </font>
    <font>
      <b/>
      <sz val="6"/>
      <color rgb="FFFF0000"/>
      <name val="Bosch Office Sans"/>
    </font>
    <font>
      <sz val="8"/>
      <color rgb="FF000000"/>
      <name val="Bosch Office Sans"/>
    </font>
    <font>
      <sz val="10"/>
      <color rgb="FF000000"/>
      <name val="Bosch Office Sans"/>
    </font>
    <font>
      <b/>
      <sz val="8"/>
      <color rgb="FFFF0000"/>
      <name val="Bosch Office Sans"/>
    </font>
    <font>
      <u/>
      <sz val="10"/>
      <color theme="1"/>
      <name val="Arial"/>
      <family val="2"/>
    </font>
    <font>
      <b/>
      <sz val="11"/>
      <color theme="0"/>
      <name val="Arial"/>
      <family val="2"/>
    </font>
    <font>
      <b/>
      <sz val="11"/>
      <color theme="0"/>
      <name val="Bosch Office Sans"/>
      <family val="2"/>
    </font>
    <font>
      <b/>
      <sz val="10"/>
      <name val="Arial"/>
      <family val="2"/>
    </font>
    <font>
      <b/>
      <sz val="14"/>
      <color rgb="FF002060"/>
      <name val="Bosch Office Sans"/>
      <family val="2"/>
    </font>
    <font>
      <sz val="11"/>
      <color theme="0" tint="-0.499984740745262"/>
      <name val="Bosch Office Sans"/>
      <family val="2"/>
    </font>
    <font>
      <b/>
      <sz val="14"/>
      <name val="Bosch Office Sans"/>
      <family val="2"/>
    </font>
    <font>
      <sz val="8"/>
      <color theme="1"/>
      <name val="Bosch Office Sans"/>
    </font>
    <font>
      <sz val="8"/>
      <name val="Arial"/>
      <family val="2"/>
    </font>
    <font>
      <sz val="11"/>
      <color rgb="FF002060"/>
      <name val="Arial"/>
      <family val="2"/>
    </font>
    <font>
      <sz val="11"/>
      <color theme="0"/>
      <name val="Bosch Office Sans"/>
      <family val="2"/>
    </font>
    <font>
      <sz val="9"/>
      <color theme="1"/>
      <name val="Arial"/>
      <family val="2"/>
    </font>
    <font>
      <i/>
      <sz val="10"/>
      <color theme="1"/>
      <name val="Arial"/>
      <family val="2"/>
    </font>
    <font>
      <sz val="10"/>
      <color theme="1"/>
      <name val="Arial"/>
      <family val="2"/>
    </font>
    <font>
      <sz val="11"/>
      <color rgb="FFFF0000"/>
      <name val="Arial"/>
      <family val="2"/>
    </font>
    <font>
      <u/>
      <sz val="9"/>
      <color indexed="81"/>
      <name val="Segoe UI"/>
      <family val="2"/>
    </font>
    <font>
      <sz val="11"/>
      <color rgb="FFFF0000"/>
      <name val="Bosch Office Sans"/>
      <family val="2"/>
    </font>
    <font>
      <strike/>
      <sz val="10"/>
      <name val="Arial"/>
      <family val="2"/>
    </font>
    <font>
      <b/>
      <sz val="12"/>
      <name val="Arial"/>
      <family val="2"/>
    </font>
    <font>
      <sz val="12"/>
      <name val="Arial"/>
      <family val="2"/>
    </font>
    <font>
      <b/>
      <u/>
      <sz val="10"/>
      <name val="Arial"/>
      <family val="2"/>
    </font>
    <font>
      <b/>
      <i/>
      <sz val="9"/>
      <color indexed="81"/>
      <name val="Tahoma"/>
      <family val="2"/>
    </font>
    <font>
      <i/>
      <sz val="9"/>
      <color indexed="81"/>
      <name val="Tahoma"/>
      <family val="2"/>
    </font>
    <font>
      <i/>
      <sz val="11"/>
      <name val="Bosch Office Sans"/>
      <family val="3"/>
      <charset val="128"/>
    </font>
  </fonts>
  <fills count="43">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70C0"/>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0"/>
        <bgColor theme="2"/>
      </patternFill>
    </fill>
    <fill>
      <patternFill patternType="solid">
        <fgColor rgb="FFFFC000"/>
        <bgColor theme="2"/>
      </patternFill>
    </fill>
    <fill>
      <patternFill patternType="solid">
        <fgColor rgb="FF002060"/>
        <bgColor indexed="64"/>
      </patternFill>
    </fill>
    <fill>
      <patternFill patternType="solid">
        <fgColor rgb="FF0E78C5"/>
        <bgColor indexed="64"/>
      </patternFill>
    </fill>
    <fill>
      <patternFill patternType="solid">
        <fgColor rgb="FFCCD6EA"/>
        <bgColor indexed="64"/>
      </patternFill>
    </fill>
    <fill>
      <patternFill patternType="solid">
        <fgColor rgb="FFE7ECF5"/>
        <bgColor indexed="64"/>
      </patternFill>
    </fill>
    <fill>
      <patternFill patternType="solid">
        <fgColor theme="0"/>
        <bgColor theme="4" tint="0.59999389629810485"/>
      </patternFill>
    </fill>
    <fill>
      <patternFill patternType="solid">
        <fgColor theme="0"/>
        <bgColor theme="4" tint="0.79998168889431442"/>
      </patternFill>
    </fill>
    <fill>
      <patternFill patternType="solid">
        <fgColor theme="3" tint="-0.249977111117893"/>
        <bgColor indexed="64"/>
      </patternFill>
    </fill>
    <fill>
      <patternFill patternType="solid">
        <fgColor rgb="FF00B050"/>
        <bgColor indexed="64"/>
      </patternFill>
    </fill>
    <fill>
      <patternFill patternType="solid">
        <fgColor rgb="FFFFFF00"/>
        <bgColor indexed="64"/>
      </patternFill>
    </fill>
    <fill>
      <patternFill patternType="solid">
        <fgColor theme="5"/>
        <bgColor indexed="64"/>
      </patternFill>
    </fill>
    <fill>
      <patternFill patternType="solid">
        <fgColor theme="6"/>
        <bgColor indexed="64"/>
      </patternFill>
    </fill>
    <fill>
      <patternFill patternType="solid">
        <fgColor theme="6" tint="0.59999389629810485"/>
        <bgColor indexed="64"/>
      </patternFill>
    </fill>
    <fill>
      <patternFill patternType="solid">
        <fgColor theme="9"/>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0" tint="-0.14999847407452621"/>
        <bgColor theme="2"/>
      </patternFill>
    </fill>
    <fill>
      <patternFill patternType="solid">
        <fgColor theme="4" tint="0.79998168889431442"/>
        <bgColor theme="4" tint="0.59999389629810485"/>
      </patternFill>
    </fill>
    <fill>
      <patternFill patternType="solid">
        <fgColor theme="4" tint="0.59999389629810485"/>
        <bgColor theme="4" tint="0.79998168889431442"/>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153B63"/>
        <bgColor indexed="64"/>
      </patternFill>
    </fill>
    <fill>
      <patternFill patternType="solid">
        <fgColor rgb="FFBFBFBF"/>
        <bgColor indexed="64"/>
      </patternFill>
    </fill>
    <fill>
      <patternFill patternType="solid">
        <fgColor rgb="FFFFFFFF"/>
        <bgColor indexed="64"/>
      </patternFill>
    </fill>
    <fill>
      <patternFill patternType="solid">
        <fgColor theme="4"/>
        <bgColor theme="4"/>
      </patternFill>
    </fill>
    <fill>
      <patternFill patternType="solid">
        <fgColor theme="4" tint="0.59999389629810485"/>
        <bgColor indexed="64"/>
      </patternFill>
    </fill>
    <fill>
      <patternFill patternType="solid">
        <fgColor rgb="FF808080"/>
        <bgColor indexed="64"/>
      </patternFill>
    </fill>
    <fill>
      <patternFill patternType="solid">
        <fgColor theme="0" tint="-0.499984740745262"/>
        <bgColor indexed="64"/>
      </patternFill>
    </fill>
    <fill>
      <patternFill patternType="solid">
        <fgColor theme="4"/>
        <bgColor indexed="64"/>
      </patternFill>
    </fill>
    <fill>
      <patternFill patternType="solid">
        <fgColor rgb="FFFFFF00"/>
        <bgColor theme="2"/>
      </patternFill>
    </fill>
  </fills>
  <borders count="9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theme="0"/>
      </top>
      <bottom style="thin">
        <color theme="0"/>
      </bottom>
      <diagonal/>
    </border>
    <border>
      <left/>
      <right/>
      <top style="thin">
        <color indexed="64"/>
      </top>
      <bottom/>
      <diagonal/>
    </border>
    <border>
      <left/>
      <right/>
      <top style="thin">
        <color theme="0"/>
      </top>
      <bottom/>
      <diagonal/>
    </border>
    <border>
      <left style="medium">
        <color rgb="FFFFFFFF"/>
      </left>
      <right style="medium">
        <color rgb="FFFFFFFF"/>
      </right>
      <top style="medium">
        <color rgb="FFFFFFFF"/>
      </top>
      <bottom style="thick">
        <color rgb="FFFFFFFF"/>
      </bottom>
      <diagonal/>
    </border>
    <border>
      <left/>
      <right style="medium">
        <color rgb="FFFFFFFF"/>
      </right>
      <top style="medium">
        <color rgb="FFFFFFFF"/>
      </top>
      <bottom style="thick">
        <color rgb="FFFFFFFF"/>
      </bottom>
      <diagonal/>
    </border>
    <border>
      <left style="medium">
        <color rgb="FFFFFFFF"/>
      </left>
      <right style="medium">
        <color rgb="FFFFFFFF"/>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diagonal/>
    </border>
    <border>
      <left style="medium">
        <color rgb="FFFFFFFF"/>
      </left>
      <right style="medium">
        <color rgb="FFFFFFFF"/>
      </right>
      <top style="thick">
        <color rgb="FFFFFFFF"/>
      </top>
      <bottom/>
      <diagonal/>
    </border>
    <border>
      <left style="medium">
        <color rgb="FFFFFFFF"/>
      </left>
      <right style="medium">
        <color rgb="FFFFFFFF"/>
      </right>
      <top style="medium">
        <color rgb="FFFFFFFF"/>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top/>
      <bottom style="thin">
        <color theme="0"/>
      </bottom>
      <diagonal/>
    </border>
    <border>
      <left style="medium">
        <color rgb="FFFFFFFF"/>
      </left>
      <right/>
      <top style="medium">
        <color rgb="FFFFFFFF"/>
      </top>
      <bottom style="thick">
        <color rgb="FFFFFFFF"/>
      </bottom>
      <diagonal/>
    </border>
    <border>
      <left style="medium">
        <color rgb="FFFFFFFF"/>
      </left>
      <right/>
      <top style="thick">
        <color rgb="FFFFFFFF"/>
      </top>
      <bottom/>
      <diagonal/>
    </border>
    <border>
      <left/>
      <right style="medium">
        <color rgb="FFFFFFFF"/>
      </right>
      <top style="thick">
        <color rgb="FFFFFFFF"/>
      </top>
      <bottom/>
      <diagonal/>
    </border>
    <border>
      <left style="medium">
        <color rgb="FFFFFFFF"/>
      </left>
      <right/>
      <top/>
      <bottom/>
      <diagonal/>
    </border>
    <border>
      <left/>
      <right style="medium">
        <color rgb="FFFFFFFF"/>
      </right>
      <top/>
      <bottom/>
      <diagonal/>
    </border>
    <border>
      <left style="medium">
        <color rgb="FFFFFFFF"/>
      </left>
      <right/>
      <top/>
      <bottom style="medium">
        <color rgb="FFFFFFFF"/>
      </bottom>
      <diagonal/>
    </border>
    <border>
      <left style="medium">
        <color rgb="FFFFFFFF"/>
      </left>
      <right/>
      <top style="medium">
        <color rgb="FFFFFFFF"/>
      </top>
      <bottom/>
      <diagonal/>
    </border>
    <border>
      <left/>
      <right style="medium">
        <color rgb="FFFFFFFF"/>
      </right>
      <top style="medium">
        <color rgb="FFFFFFFF"/>
      </top>
      <bottom/>
      <diagonal/>
    </border>
    <border>
      <left style="medium">
        <color rgb="FFFFFFFF"/>
      </left>
      <right style="medium">
        <color rgb="FFFFFFFF"/>
      </right>
      <top style="medium">
        <color auto="1"/>
      </top>
      <bottom/>
      <diagonal/>
    </border>
    <border>
      <left style="medium">
        <color rgb="FFFFFFFF"/>
      </left>
      <right/>
      <top style="medium">
        <color auto="1"/>
      </top>
      <bottom/>
      <diagonal/>
    </border>
    <border>
      <left/>
      <right style="medium">
        <color rgb="FFFFFFFF"/>
      </right>
      <top style="medium">
        <color auto="1"/>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right/>
      <top/>
      <bottom style="thick">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medium">
        <color indexed="64"/>
      </left>
      <right style="thin">
        <color theme="0"/>
      </right>
      <top/>
      <bottom style="thick">
        <color theme="0"/>
      </bottom>
      <diagonal/>
    </border>
    <border>
      <left style="thin">
        <color theme="0"/>
      </left>
      <right/>
      <top/>
      <bottom style="thick">
        <color theme="0"/>
      </bottom>
      <diagonal/>
    </border>
    <border>
      <left style="medium">
        <color indexed="64"/>
      </left>
      <right style="thin">
        <color theme="0"/>
      </right>
      <top style="thin">
        <color theme="0"/>
      </top>
      <bottom style="thin">
        <color theme="0"/>
      </bottom>
      <diagonal/>
    </border>
    <border>
      <left style="thin">
        <color theme="0"/>
      </left>
      <right/>
      <top style="thin">
        <color theme="0"/>
      </top>
      <bottom style="thin">
        <color theme="0"/>
      </bottom>
      <diagonal/>
    </border>
    <border>
      <left style="medium">
        <color indexed="64"/>
      </left>
      <right style="thin">
        <color theme="0"/>
      </right>
      <top style="thin">
        <color theme="0"/>
      </top>
      <bottom/>
      <diagonal/>
    </border>
    <border>
      <left style="thin">
        <color theme="0"/>
      </left>
      <right/>
      <top style="thin">
        <color theme="0"/>
      </top>
      <bottom/>
      <diagonal/>
    </border>
    <border>
      <left/>
      <right/>
      <top style="medium">
        <color rgb="FFFFFFFF"/>
      </top>
      <bottom/>
      <diagonal/>
    </border>
    <border>
      <left style="medium">
        <color indexed="64"/>
      </left>
      <right/>
      <top style="thin">
        <color indexed="64"/>
      </top>
      <bottom/>
      <diagonal/>
    </border>
    <border>
      <left/>
      <right style="thin">
        <color theme="0"/>
      </right>
      <top style="thin">
        <color theme="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theme="0"/>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medium">
        <color indexed="64"/>
      </left>
      <right style="thick">
        <color indexed="64"/>
      </right>
      <top/>
      <bottom/>
      <diagonal/>
    </border>
    <border>
      <left/>
      <right style="thick">
        <color indexed="64"/>
      </right>
      <top style="thin">
        <color indexed="64"/>
      </top>
      <bottom style="thin">
        <color indexed="64"/>
      </bottom>
      <diagonal/>
    </border>
    <border>
      <left style="thick">
        <color indexed="64"/>
      </left>
      <right style="medium">
        <color indexed="64"/>
      </right>
      <top/>
      <bottom/>
      <diagonal/>
    </border>
    <border>
      <left style="thin">
        <color indexed="64"/>
      </left>
      <right style="thin">
        <color indexed="64"/>
      </right>
      <top/>
      <bottom/>
      <diagonal/>
    </border>
  </borders>
  <cellStyleXfs count="3">
    <xf numFmtId="0" fontId="0" fillId="0" borderId="0"/>
    <xf numFmtId="0" fontId="1" fillId="0" borderId="0">
      <alignment vertical="center"/>
    </xf>
    <xf numFmtId="9" fontId="12" fillId="0" borderId="0" applyFont="0" applyFill="0" applyBorder="0" applyAlignment="0" applyProtection="0"/>
  </cellStyleXfs>
  <cellXfs count="875">
    <xf numFmtId="0" fontId="0" fillId="0" borderId="0" xfId="0"/>
    <xf numFmtId="0" fontId="4" fillId="0" borderId="0" xfId="1" applyFont="1">
      <alignment vertical="center"/>
    </xf>
    <xf numFmtId="0" fontId="1" fillId="0" borderId="0" xfId="1">
      <alignment vertical="center"/>
    </xf>
    <xf numFmtId="0" fontId="6" fillId="2" borderId="16" xfId="1" applyFont="1" applyFill="1" applyBorder="1">
      <alignment vertical="center"/>
    </xf>
    <xf numFmtId="0" fontId="6" fillId="2" borderId="0" xfId="1" applyFont="1" applyFill="1">
      <alignment vertical="center"/>
    </xf>
    <xf numFmtId="0" fontId="0" fillId="3" borderId="0" xfId="0" applyFill="1"/>
    <xf numFmtId="0" fontId="5" fillId="3" borderId="8" xfId="1" applyFont="1" applyFill="1" applyBorder="1">
      <alignment vertical="center"/>
    </xf>
    <xf numFmtId="0" fontId="0" fillId="0" borderId="7" xfId="0" applyBorder="1"/>
    <xf numFmtId="0" fontId="5" fillId="3" borderId="7" xfId="1" applyFont="1" applyFill="1" applyBorder="1">
      <alignment vertical="center"/>
    </xf>
    <xf numFmtId="0" fontId="6" fillId="3" borderId="0" xfId="1" applyFont="1" applyFill="1">
      <alignment vertical="center"/>
    </xf>
    <xf numFmtId="0" fontId="0" fillId="3" borderId="8" xfId="0" applyFill="1" applyBorder="1"/>
    <xf numFmtId="0" fontId="1" fillId="3" borderId="7" xfId="1" applyFill="1" applyBorder="1">
      <alignment vertical="center"/>
    </xf>
    <xf numFmtId="0" fontId="8" fillId="3" borderId="8" xfId="1" applyFont="1" applyFill="1" applyBorder="1" applyAlignment="1">
      <alignment horizontal="center" vertical="center"/>
    </xf>
    <xf numFmtId="0" fontId="17" fillId="3" borderId="8" xfId="0" applyFont="1" applyFill="1" applyBorder="1"/>
    <xf numFmtId="0" fontId="17" fillId="0" borderId="7" xfId="0" applyFont="1" applyBorder="1"/>
    <xf numFmtId="0" fontId="6" fillId="3" borderId="8" xfId="1" applyFont="1" applyFill="1" applyBorder="1">
      <alignment vertical="center"/>
    </xf>
    <xf numFmtId="0" fontId="10" fillId="3" borderId="7" xfId="1" applyFont="1" applyFill="1" applyBorder="1">
      <alignment vertical="center"/>
    </xf>
    <xf numFmtId="164" fontId="6" fillId="3" borderId="8" xfId="1" applyNumberFormat="1" applyFont="1" applyFill="1" applyBorder="1">
      <alignment vertical="center"/>
    </xf>
    <xf numFmtId="165" fontId="6" fillId="2" borderId="0" xfId="1" applyNumberFormat="1" applyFont="1" applyFill="1">
      <alignment vertical="center"/>
    </xf>
    <xf numFmtId="0" fontId="0" fillId="0" borderId="8" xfId="0" applyBorder="1"/>
    <xf numFmtId="2" fontId="6" fillId="3" borderId="8" xfId="1" applyNumberFormat="1" applyFont="1" applyFill="1" applyBorder="1">
      <alignment vertical="center"/>
    </xf>
    <xf numFmtId="164" fontId="6" fillId="2" borderId="0" xfId="1" applyNumberFormat="1" applyFont="1" applyFill="1">
      <alignment vertical="center"/>
    </xf>
    <xf numFmtId="0" fontId="11" fillId="2" borderId="0" xfId="1" applyFont="1" applyFill="1" applyAlignment="1">
      <alignment horizontal="right" vertical="center"/>
    </xf>
    <xf numFmtId="2" fontId="6" fillId="3" borderId="6" xfId="1" applyNumberFormat="1" applyFont="1" applyFill="1" applyBorder="1">
      <alignment vertical="center"/>
    </xf>
    <xf numFmtId="0" fontId="0" fillId="3" borderId="5" xfId="0" applyFill="1" applyBorder="1"/>
    <xf numFmtId="0" fontId="6" fillId="3" borderId="0" xfId="1" quotePrefix="1" applyFont="1" applyFill="1" applyAlignment="1">
      <alignment horizontal="center" vertical="center"/>
    </xf>
    <xf numFmtId="2" fontId="6" fillId="3" borderId="0" xfId="1" applyNumberFormat="1" applyFont="1" applyFill="1">
      <alignment vertical="center"/>
    </xf>
    <xf numFmtId="164" fontId="6" fillId="3" borderId="0" xfId="1" applyNumberFormat="1" applyFont="1" applyFill="1">
      <alignment vertical="center"/>
    </xf>
    <xf numFmtId="0" fontId="0" fillId="3" borderId="4" xfId="0" applyFill="1" applyBorder="1"/>
    <xf numFmtId="0" fontId="6" fillId="3" borderId="0" xfId="1" applyFont="1" applyFill="1" applyAlignment="1">
      <alignment horizontal="center" vertical="center"/>
    </xf>
    <xf numFmtId="2" fontId="6" fillId="3" borderId="0" xfId="1" applyNumberFormat="1" applyFont="1" applyFill="1" applyAlignment="1">
      <alignment horizontal="center" vertical="center"/>
    </xf>
    <xf numFmtId="0" fontId="23" fillId="3" borderId="8" xfId="1" applyFont="1" applyFill="1" applyBorder="1" applyAlignment="1">
      <alignment horizontal="center"/>
    </xf>
    <xf numFmtId="164" fontId="6" fillId="2" borderId="0" xfId="1" applyNumberFormat="1" applyFont="1" applyFill="1" applyAlignment="1">
      <alignment horizontal="center" vertical="center"/>
    </xf>
    <xf numFmtId="0" fontId="0" fillId="3" borderId="0" xfId="0" applyFill="1" applyAlignment="1">
      <alignment horizontal="center"/>
    </xf>
    <xf numFmtId="0" fontId="23" fillId="3" borderId="8" xfId="1" applyFont="1" applyFill="1" applyBorder="1" applyAlignment="1">
      <alignment horizontal="center" vertical="center"/>
    </xf>
    <xf numFmtId="0" fontId="0" fillId="3" borderId="8" xfId="0" applyFill="1" applyBorder="1" applyAlignment="1">
      <alignment horizontal="center" vertical="center"/>
    </xf>
    <xf numFmtId="0" fontId="6" fillId="3" borderId="4" xfId="1" quotePrefix="1" applyFont="1" applyFill="1" applyBorder="1" applyAlignment="1">
      <alignment horizontal="left" vertical="center"/>
    </xf>
    <xf numFmtId="0" fontId="6" fillId="3" borderId="5" xfId="1" quotePrefix="1" applyFont="1" applyFill="1" applyBorder="1" applyAlignment="1">
      <alignment horizontal="left" vertical="center"/>
    </xf>
    <xf numFmtId="0" fontId="0" fillId="0" borderId="6" xfId="0" applyBorder="1"/>
    <xf numFmtId="0" fontId="23" fillId="3" borderId="8" xfId="0" applyFont="1" applyFill="1" applyBorder="1" applyAlignment="1">
      <alignment horizontal="center"/>
    </xf>
    <xf numFmtId="0" fontId="10" fillId="3" borderId="0" xfId="1" applyFont="1" applyFill="1">
      <alignment vertical="center"/>
    </xf>
    <xf numFmtId="0" fontId="0" fillId="3" borderId="0" xfId="0" applyFill="1" applyAlignment="1">
      <alignment horizontal="center" vertical="center"/>
    </xf>
    <xf numFmtId="0" fontId="0" fillId="3" borderId="7" xfId="0" applyFill="1" applyBorder="1" applyAlignment="1">
      <alignment horizontal="center"/>
    </xf>
    <xf numFmtId="0" fontId="10" fillId="3" borderId="9" xfId="1" applyFont="1" applyFill="1" applyBorder="1">
      <alignment vertical="center"/>
    </xf>
    <xf numFmtId="0" fontId="0" fillId="3" borderId="7" xfId="0" applyFill="1" applyBorder="1"/>
    <xf numFmtId="0" fontId="28" fillId="0" borderId="0" xfId="0" applyFont="1"/>
    <xf numFmtId="0" fontId="0" fillId="3" borderId="7" xfId="0" applyFill="1" applyBorder="1" applyAlignment="1">
      <alignment horizontal="left"/>
    </xf>
    <xf numFmtId="0" fontId="0" fillId="3" borderId="0" xfId="0" applyFill="1" applyAlignment="1">
      <alignment horizontal="left"/>
    </xf>
    <xf numFmtId="0" fontId="6" fillId="3" borderId="28" xfId="1" applyFont="1" applyFill="1" applyBorder="1">
      <alignment vertical="center"/>
    </xf>
    <xf numFmtId="0" fontId="0" fillId="0" borderId="28" xfId="0" applyBorder="1"/>
    <xf numFmtId="0" fontId="0" fillId="0" borderId="30" xfId="0" applyBorder="1"/>
    <xf numFmtId="0" fontId="0" fillId="0" borderId="29" xfId="0" applyBorder="1"/>
    <xf numFmtId="0" fontId="0" fillId="0" borderId="31" xfId="0" applyBorder="1"/>
    <xf numFmtId="0" fontId="0" fillId="4" borderId="26" xfId="0" applyFill="1" applyBorder="1" applyAlignment="1">
      <alignment horizontal="left"/>
    </xf>
    <xf numFmtId="0" fontId="0" fillId="4" borderId="27" xfId="0" applyFill="1" applyBorder="1" applyAlignment="1">
      <alignment horizontal="left"/>
    </xf>
    <xf numFmtId="0" fontId="0" fillId="0" borderId="30" xfId="0" applyBorder="1" applyAlignment="1">
      <alignment wrapText="1"/>
    </xf>
    <xf numFmtId="0" fontId="0" fillId="0" borderId="28" xfId="0" applyBorder="1" applyAlignment="1">
      <alignment vertical="top"/>
    </xf>
    <xf numFmtId="164" fontId="6" fillId="0" borderId="0" xfId="1" applyNumberFormat="1" applyFont="1">
      <alignment vertical="center"/>
    </xf>
    <xf numFmtId="0" fontId="17" fillId="0" borderId="0" xfId="0" applyFont="1"/>
    <xf numFmtId="164" fontId="6" fillId="3" borderId="7" xfId="1" applyNumberFormat="1" applyFont="1" applyFill="1" applyBorder="1">
      <alignment vertical="center"/>
    </xf>
    <xf numFmtId="0" fontId="0" fillId="0" borderId="0" xfId="0" applyAlignment="1">
      <alignment horizontal="center"/>
    </xf>
    <xf numFmtId="0" fontId="12" fillId="0" borderId="0" xfId="0" applyFont="1"/>
    <xf numFmtId="0" fontId="0" fillId="7" borderId="1" xfId="0" applyFill="1" applyBorder="1" applyAlignment="1">
      <alignment horizontal="left"/>
    </xf>
    <xf numFmtId="0" fontId="0" fillId="7" borderId="2" xfId="0" applyFill="1" applyBorder="1" applyAlignment="1">
      <alignment horizontal="left"/>
    </xf>
    <xf numFmtId="0" fontId="0" fillId="7" borderId="7" xfId="0" applyFill="1" applyBorder="1" applyAlignment="1">
      <alignment horizontal="left"/>
    </xf>
    <xf numFmtId="0" fontId="0" fillId="7" borderId="0" xfId="0" applyFill="1" applyAlignment="1">
      <alignment horizontal="left"/>
    </xf>
    <xf numFmtId="0" fontId="0" fillId="4" borderId="2" xfId="0" applyFill="1" applyBorder="1"/>
    <xf numFmtId="0" fontId="0" fillId="4" borderId="1" xfId="0" applyFill="1" applyBorder="1"/>
    <xf numFmtId="0" fontId="6" fillId="3" borderId="0" xfId="1" applyFont="1" applyFill="1" applyProtection="1">
      <alignment vertical="center"/>
      <protection locked="0"/>
    </xf>
    <xf numFmtId="0" fontId="0" fillId="3" borderId="0" xfId="0" applyFill="1" applyProtection="1">
      <protection locked="0"/>
    </xf>
    <xf numFmtId="0" fontId="24" fillId="6" borderId="13" xfId="0" applyFont="1" applyFill="1" applyBorder="1" applyProtection="1">
      <protection locked="0"/>
    </xf>
    <xf numFmtId="0" fontId="22" fillId="8" borderId="0" xfId="0" applyFont="1" applyFill="1"/>
    <xf numFmtId="0" fontId="33" fillId="0" borderId="0" xfId="0" applyFont="1"/>
    <xf numFmtId="0" fontId="22" fillId="0" borderId="0" xfId="0" applyFont="1"/>
    <xf numFmtId="0" fontId="24" fillId="3" borderId="0" xfId="0" applyFont="1" applyFill="1" applyProtection="1">
      <protection locked="0"/>
    </xf>
    <xf numFmtId="0" fontId="24" fillId="11" borderId="0" xfId="0" applyFont="1" applyFill="1" applyAlignment="1" applyProtection="1">
      <alignment horizontal="right"/>
      <protection locked="0"/>
    </xf>
    <xf numFmtId="0" fontId="0" fillId="0" borderId="13" xfId="0" applyBorder="1" applyAlignment="1">
      <alignment horizontal="center" vertical="center"/>
    </xf>
    <xf numFmtId="0" fontId="35" fillId="3" borderId="0" xfId="1" quotePrefix="1" applyFont="1" applyFill="1" applyAlignment="1">
      <alignment horizontal="left" vertical="center"/>
    </xf>
    <xf numFmtId="0" fontId="24" fillId="5" borderId="22" xfId="0" applyFont="1" applyFill="1" applyBorder="1" applyProtection="1">
      <protection locked="0"/>
    </xf>
    <xf numFmtId="0" fontId="24" fillId="5" borderId="13" xfId="0" applyFont="1" applyFill="1" applyBorder="1" applyProtection="1">
      <protection locked="0"/>
    </xf>
    <xf numFmtId="0" fontId="5" fillId="5" borderId="13" xfId="1" applyFont="1" applyFill="1" applyBorder="1" applyAlignment="1" applyProtection="1">
      <alignment horizontal="center" vertical="center"/>
      <protection locked="0"/>
    </xf>
    <xf numFmtId="0" fontId="2" fillId="13" borderId="2" xfId="1" applyFont="1" applyFill="1" applyBorder="1">
      <alignment vertical="center"/>
    </xf>
    <xf numFmtId="0" fontId="36" fillId="13" borderId="2" xfId="1" applyFont="1" applyFill="1" applyBorder="1">
      <alignment vertical="center"/>
    </xf>
    <xf numFmtId="0" fontId="37" fillId="13" borderId="2" xfId="1" applyFont="1" applyFill="1" applyBorder="1" applyAlignment="1">
      <alignment horizontal="right" vertical="center"/>
    </xf>
    <xf numFmtId="0" fontId="3" fillId="13" borderId="2" xfId="1" applyFont="1" applyFill="1" applyBorder="1" applyAlignment="1">
      <alignment horizontal="right" vertical="center"/>
    </xf>
    <xf numFmtId="0" fontId="2" fillId="13" borderId="3" xfId="1" applyFont="1" applyFill="1" applyBorder="1">
      <alignment vertical="center"/>
    </xf>
    <xf numFmtId="0" fontId="2" fillId="13" borderId="5" xfId="1" applyFont="1" applyFill="1" applyBorder="1">
      <alignment vertical="center"/>
    </xf>
    <xf numFmtId="0" fontId="2" fillId="13" borderId="5" xfId="1" applyFont="1" applyFill="1" applyBorder="1" applyAlignment="1">
      <alignment horizontal="center" vertical="center"/>
    </xf>
    <xf numFmtId="0" fontId="15" fillId="13" borderId="5" xfId="1" applyFont="1" applyFill="1" applyBorder="1" applyAlignment="1" applyProtection="1">
      <alignment horizontal="left" vertical="center"/>
      <protection locked="0"/>
    </xf>
    <xf numFmtId="0" fontId="2" fillId="13" borderId="5" xfId="1" applyFont="1" applyFill="1" applyBorder="1" applyAlignment="1">
      <alignment horizontal="right" vertical="center"/>
    </xf>
    <xf numFmtId="0" fontId="2" fillId="13" borderId="6" xfId="1" applyFont="1" applyFill="1" applyBorder="1">
      <alignment vertical="center"/>
    </xf>
    <xf numFmtId="0" fontId="5" fillId="13" borderId="10" xfId="1" applyFont="1" applyFill="1" applyBorder="1">
      <alignment vertical="center"/>
    </xf>
    <xf numFmtId="0" fontId="6" fillId="13" borderId="11" xfId="1" applyFont="1" applyFill="1" applyBorder="1">
      <alignment vertical="center"/>
    </xf>
    <xf numFmtId="0" fontId="7" fillId="13" borderId="11" xfId="1" applyFont="1" applyFill="1" applyBorder="1">
      <alignment vertical="center"/>
    </xf>
    <xf numFmtId="0" fontId="7" fillId="13" borderId="11" xfId="1" applyFont="1" applyFill="1" applyBorder="1" applyAlignment="1">
      <alignment horizontal="right" vertical="center"/>
    </xf>
    <xf numFmtId="0" fontId="8" fillId="13" borderId="11" xfId="1" applyFont="1" applyFill="1" applyBorder="1">
      <alignment vertical="center"/>
    </xf>
    <xf numFmtId="0" fontId="0" fillId="13" borderId="11" xfId="0" applyFill="1" applyBorder="1"/>
    <xf numFmtId="0" fontId="9" fillId="13" borderId="7" xfId="0" applyFont="1" applyFill="1" applyBorder="1" applyAlignment="1">
      <alignment horizontal="left" vertical="center"/>
    </xf>
    <xf numFmtId="0" fontId="9" fillId="13" borderId="0" xfId="0" applyFont="1" applyFill="1" applyAlignment="1">
      <alignment horizontal="left" vertical="center"/>
    </xf>
    <xf numFmtId="0" fontId="9" fillId="13" borderId="2" xfId="0" applyFont="1" applyFill="1" applyBorder="1" applyAlignment="1">
      <alignment horizontal="left" vertical="center"/>
    </xf>
    <xf numFmtId="0" fontId="9" fillId="13" borderId="1" xfId="0" applyFont="1" applyFill="1" applyBorder="1" applyAlignment="1">
      <alignment horizontal="left" vertical="center"/>
    </xf>
    <xf numFmtId="0" fontId="9" fillId="13" borderId="1" xfId="0" applyFont="1" applyFill="1" applyBorder="1" applyAlignment="1">
      <alignment vertical="center"/>
    </xf>
    <xf numFmtId="0" fontId="9" fillId="13" borderId="2" xfId="0" applyFont="1" applyFill="1" applyBorder="1" applyAlignment="1">
      <alignment vertical="center"/>
    </xf>
    <xf numFmtId="0" fontId="24" fillId="0" borderId="0" xfId="0" applyFont="1" applyAlignment="1" applyProtection="1">
      <alignment horizontal="center"/>
      <protection locked="0"/>
    </xf>
    <xf numFmtId="2" fontId="6" fillId="3" borderId="4" xfId="1" applyNumberFormat="1" applyFont="1" applyFill="1" applyBorder="1" applyAlignment="1">
      <alignment horizontal="center" vertical="center"/>
    </xf>
    <xf numFmtId="2" fontId="6" fillId="3" borderId="5" xfId="1" applyNumberFormat="1" applyFont="1" applyFill="1" applyBorder="1" applyAlignment="1">
      <alignment horizontal="center" vertical="center"/>
    </xf>
    <xf numFmtId="0" fontId="24" fillId="5" borderId="0" xfId="0" applyFont="1" applyFill="1" applyAlignment="1" applyProtection="1">
      <alignment horizontal="center"/>
      <protection hidden="1"/>
    </xf>
    <xf numFmtId="0" fontId="0" fillId="7" borderId="7" xfId="0" applyFill="1" applyBorder="1" applyAlignment="1">
      <alignment horizontal="center"/>
    </xf>
    <xf numFmtId="0" fontId="0" fillId="3" borderId="5" xfId="0" applyFill="1" applyBorder="1" applyAlignment="1">
      <alignment horizontal="center"/>
    </xf>
    <xf numFmtId="0" fontId="9" fillId="13" borderId="2" xfId="0" applyFont="1" applyFill="1" applyBorder="1" applyAlignment="1">
      <alignment horizontal="center" vertical="center"/>
    </xf>
    <xf numFmtId="0" fontId="0" fillId="7" borderId="0" xfId="0" applyFill="1" applyAlignment="1">
      <alignment horizontal="center"/>
    </xf>
    <xf numFmtId="0" fontId="0" fillId="7" borderId="2" xfId="0" applyFill="1" applyBorder="1" applyAlignment="1">
      <alignment horizontal="center"/>
    </xf>
    <xf numFmtId="0" fontId="9" fillId="13" borderId="0" xfId="0" applyFont="1" applyFill="1" applyAlignment="1">
      <alignment horizontal="center" vertical="center"/>
    </xf>
    <xf numFmtId="0" fontId="0" fillId="3" borderId="8" xfId="0" applyFill="1" applyBorder="1" applyAlignment="1">
      <alignment horizontal="center" wrapText="1"/>
    </xf>
    <xf numFmtId="166" fontId="24" fillId="6" borderId="13" xfId="0" applyNumberFormat="1" applyFont="1" applyFill="1" applyBorder="1" applyAlignment="1" applyProtection="1">
      <alignment horizontal="center" vertical="center" wrapText="1"/>
      <protection hidden="1"/>
    </xf>
    <xf numFmtId="166" fontId="24" fillId="6" borderId="13" xfId="0" applyNumberFormat="1" applyFont="1" applyFill="1" applyBorder="1" applyAlignment="1" applyProtection="1">
      <alignment horizontal="center" wrapText="1"/>
      <protection hidden="1"/>
    </xf>
    <xf numFmtId="0" fontId="0" fillId="5" borderId="13" xfId="0" applyFill="1" applyBorder="1" applyProtection="1">
      <protection locked="0"/>
    </xf>
    <xf numFmtId="2" fontId="24" fillId="6" borderId="13" xfId="0" applyNumberFormat="1" applyFont="1" applyFill="1" applyBorder="1" applyAlignment="1" applyProtection="1">
      <alignment horizontal="center" wrapText="1"/>
      <protection hidden="1"/>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2" fontId="0" fillId="0" borderId="8" xfId="0" applyNumberFormat="1" applyBorder="1"/>
    <xf numFmtId="2" fontId="0" fillId="0" borderId="7" xfId="0" applyNumberFormat="1" applyBorder="1"/>
    <xf numFmtId="2" fontId="0" fillId="0" borderId="4" xfId="0" applyNumberFormat="1" applyBorder="1"/>
    <xf numFmtId="0" fontId="42" fillId="0" borderId="0" xfId="0" applyFont="1" applyAlignment="1">
      <alignment vertical="center"/>
    </xf>
    <xf numFmtId="0" fontId="43" fillId="0" borderId="0" xfId="0" applyFont="1" applyAlignment="1">
      <alignment vertical="center"/>
    </xf>
    <xf numFmtId="0" fontId="38" fillId="3" borderId="0" xfId="1" applyFont="1" applyFill="1" applyProtection="1">
      <alignment vertical="center"/>
      <protection locked="0"/>
    </xf>
    <xf numFmtId="0" fontId="0" fillId="0" borderId="0" xfId="0" applyAlignment="1">
      <alignment horizontal="center" wrapText="1"/>
    </xf>
    <xf numFmtId="0" fontId="0" fillId="0" borderId="0" xfId="0" applyProtection="1">
      <protection locked="0"/>
    </xf>
    <xf numFmtId="0" fontId="0" fillId="3" borderId="8" xfId="0" applyFill="1" applyBorder="1" applyAlignment="1">
      <alignment horizontal="center"/>
    </xf>
    <xf numFmtId="0" fontId="0" fillId="3" borderId="8" xfId="0" applyFill="1" applyBorder="1" applyAlignment="1">
      <alignment horizontal="left"/>
    </xf>
    <xf numFmtId="0" fontId="0" fillId="3" borderId="0" xfId="0" applyFill="1" applyAlignment="1">
      <alignment horizontal="right"/>
    </xf>
    <xf numFmtId="0" fontId="47" fillId="14" borderId="37" xfId="0" applyFont="1" applyFill="1" applyBorder="1" applyAlignment="1">
      <alignment vertical="center" wrapText="1"/>
    </xf>
    <xf numFmtId="0" fontId="47" fillId="14" borderId="38" xfId="0" applyFont="1" applyFill="1" applyBorder="1" applyAlignment="1">
      <alignment vertical="center" wrapText="1"/>
    </xf>
    <xf numFmtId="0" fontId="46" fillId="0" borderId="0" xfId="0" applyFont="1" applyAlignment="1">
      <alignment vertical="center" wrapText="1"/>
    </xf>
    <xf numFmtId="0" fontId="40" fillId="15" borderId="39" xfId="0" applyFont="1" applyFill="1" applyBorder="1" applyAlignment="1">
      <alignment vertical="center" wrapText="1"/>
    </xf>
    <xf numFmtId="0" fontId="40" fillId="15" borderId="40" xfId="0" applyFont="1" applyFill="1" applyBorder="1" applyAlignment="1">
      <alignment vertical="center" wrapText="1"/>
    </xf>
    <xf numFmtId="0" fontId="40" fillId="16" borderId="39" xfId="0" applyFont="1" applyFill="1" applyBorder="1" applyAlignment="1">
      <alignment vertical="center" wrapText="1"/>
    </xf>
    <xf numFmtId="0" fontId="40" fillId="16" borderId="40" xfId="0" applyFont="1" applyFill="1" applyBorder="1" applyAlignment="1">
      <alignment vertical="center" wrapText="1"/>
    </xf>
    <xf numFmtId="0" fontId="0" fillId="7" borderId="7" xfId="0" applyFill="1" applyBorder="1"/>
    <xf numFmtId="0" fontId="0" fillId="7" borderId="0" xfId="0" applyFill="1"/>
    <xf numFmtId="0" fontId="6" fillId="7" borderId="0" xfId="1" applyFont="1" applyFill="1" applyAlignment="1">
      <alignment horizontal="center" vertical="center"/>
    </xf>
    <xf numFmtId="0" fontId="0" fillId="3" borderId="44" xfId="0" applyFill="1" applyBorder="1" applyAlignment="1">
      <alignment horizontal="center"/>
    </xf>
    <xf numFmtId="0" fontId="0" fillId="0" borderId="8" xfId="0" applyBorder="1" applyAlignment="1">
      <alignment horizontal="center"/>
    </xf>
    <xf numFmtId="0" fontId="20" fillId="13" borderId="0" xfId="0" applyFont="1" applyFill="1"/>
    <xf numFmtId="0" fontId="0" fillId="13" borderId="0" xfId="0" applyFill="1"/>
    <xf numFmtId="0" fontId="20" fillId="13" borderId="1" xfId="0" applyFont="1" applyFill="1" applyBorder="1"/>
    <xf numFmtId="0" fontId="0" fillId="13" borderId="2" xfId="0" applyFill="1" applyBorder="1"/>
    <xf numFmtId="0" fontId="0" fillId="13" borderId="3" xfId="0" applyFill="1" applyBorder="1"/>
    <xf numFmtId="0" fontId="22" fillId="0" borderId="7" xfId="0" applyFont="1" applyBorder="1"/>
    <xf numFmtId="0" fontId="41" fillId="0" borderId="7" xfId="0" applyFont="1" applyBorder="1" applyAlignment="1">
      <alignment vertical="center"/>
    </xf>
    <xf numFmtId="0" fontId="41" fillId="0" borderId="4" xfId="0" applyFont="1" applyBorder="1" applyAlignment="1">
      <alignment vertical="center"/>
    </xf>
    <xf numFmtId="0" fontId="39" fillId="3" borderId="7" xfId="0" applyFont="1" applyFill="1" applyBorder="1" applyAlignment="1">
      <alignment horizontal="left"/>
    </xf>
    <xf numFmtId="0" fontId="48" fillId="3" borderId="7" xfId="0" applyFont="1" applyFill="1" applyBorder="1" applyAlignment="1">
      <alignment horizontal="left"/>
    </xf>
    <xf numFmtId="0" fontId="48" fillId="3" borderId="7" xfId="0" applyFont="1" applyFill="1" applyBorder="1"/>
    <xf numFmtId="2" fontId="49" fillId="3" borderId="0" xfId="1" applyNumberFormat="1" applyFont="1" applyFill="1">
      <alignment vertical="center"/>
    </xf>
    <xf numFmtId="0" fontId="49" fillId="3" borderId="0" xfId="1" applyFont="1" applyFill="1" applyProtection="1">
      <alignment vertical="center"/>
      <protection locked="0"/>
    </xf>
    <xf numFmtId="0" fontId="50" fillId="3" borderId="0" xfId="0" applyFont="1" applyFill="1" applyProtection="1">
      <protection locked="0"/>
    </xf>
    <xf numFmtId="0" fontId="0" fillId="17" borderId="34" xfId="0" applyFill="1" applyBorder="1"/>
    <xf numFmtId="0" fontId="0" fillId="18" borderId="36" xfId="0" applyFill="1" applyBorder="1"/>
    <xf numFmtId="0" fontId="33" fillId="3" borderId="0" xfId="0" applyFont="1" applyFill="1" applyAlignment="1">
      <alignment horizontal="left"/>
    </xf>
    <xf numFmtId="0" fontId="24" fillId="3" borderId="0" xfId="0" applyFont="1" applyFill="1" applyAlignment="1">
      <alignment horizontal="center" vertical="center"/>
    </xf>
    <xf numFmtId="0" fontId="24" fillId="3" borderId="22" xfId="0" applyFont="1" applyFill="1" applyBorder="1" applyAlignment="1" applyProtection="1">
      <alignment horizontal="center"/>
      <protection locked="0"/>
    </xf>
    <xf numFmtId="0" fontId="24" fillId="3" borderId="13" xfId="0" applyFont="1" applyFill="1" applyBorder="1" applyAlignment="1" applyProtection="1">
      <alignment horizontal="center"/>
      <protection locked="0"/>
    </xf>
    <xf numFmtId="0" fontId="24" fillId="3" borderId="13" xfId="0" applyFont="1" applyFill="1" applyBorder="1" applyAlignment="1" applyProtection="1">
      <alignment horizontal="center" vertical="center"/>
      <protection locked="0"/>
    </xf>
    <xf numFmtId="0" fontId="24" fillId="3" borderId="13" xfId="1" applyFont="1" applyFill="1" applyBorder="1" applyAlignment="1" applyProtection="1">
      <alignment horizontal="center" vertical="center"/>
      <protection locked="0"/>
    </xf>
    <xf numFmtId="0" fontId="0" fillId="3" borderId="13" xfId="0" applyFill="1" applyBorder="1" applyAlignment="1">
      <alignment horizontal="center"/>
    </xf>
    <xf numFmtId="0" fontId="5" fillId="3" borderId="13" xfId="1" applyFont="1" applyFill="1" applyBorder="1" applyAlignment="1" applyProtection="1">
      <alignment horizontal="center" vertical="center"/>
      <protection locked="0"/>
    </xf>
    <xf numFmtId="0" fontId="0" fillId="0" borderId="0" xfId="0" applyAlignment="1">
      <alignment horizontal="left" vertical="top"/>
    </xf>
    <xf numFmtId="0" fontId="0" fillId="0" borderId="0" xfId="0" applyAlignment="1">
      <alignment vertical="top" wrapText="1"/>
    </xf>
    <xf numFmtId="0" fontId="0" fillId="0" borderId="0" xfId="0" applyAlignment="1">
      <alignment vertical="top"/>
    </xf>
    <xf numFmtId="0" fontId="22" fillId="0" borderId="0" xfId="0" applyFont="1" applyAlignment="1">
      <alignment vertical="top"/>
    </xf>
    <xf numFmtId="0" fontId="0" fillId="0" borderId="0" xfId="0" applyAlignment="1">
      <alignment wrapText="1"/>
    </xf>
    <xf numFmtId="0" fontId="24" fillId="3" borderId="13" xfId="0" applyFont="1" applyFill="1" applyBorder="1" applyAlignment="1" applyProtection="1">
      <alignment horizontal="center" wrapText="1"/>
      <protection locked="0"/>
    </xf>
    <xf numFmtId="0" fontId="0" fillId="3" borderId="46" xfId="0" applyFill="1" applyBorder="1" applyAlignment="1">
      <alignment horizontal="center"/>
    </xf>
    <xf numFmtId="0" fontId="0" fillId="17" borderId="36" xfId="0" applyFill="1" applyBorder="1"/>
    <xf numFmtId="0" fontId="0" fillId="18" borderId="0" xfId="0" applyFill="1"/>
    <xf numFmtId="0" fontId="41" fillId="0" borderId="0" xfId="0" applyFont="1"/>
    <xf numFmtId="0" fontId="52" fillId="0" borderId="0" xfId="0" applyFont="1"/>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vertical="center" wrapText="1"/>
    </xf>
    <xf numFmtId="0" fontId="0" fillId="0" borderId="0" xfId="0" applyAlignment="1">
      <alignment horizontal="center" vertical="center" wrapText="1"/>
    </xf>
    <xf numFmtId="0" fontId="22" fillId="0" borderId="0" xfId="0" applyFont="1" applyAlignment="1">
      <alignment horizontal="left" vertical="center" wrapText="1"/>
    </xf>
    <xf numFmtId="0" fontId="20" fillId="19" borderId="0" xfId="0" applyFont="1" applyFill="1"/>
    <xf numFmtId="0" fontId="28" fillId="19" borderId="0" xfId="0" applyFont="1" applyFill="1"/>
    <xf numFmtId="0" fontId="6" fillId="0" borderId="5" xfId="1" applyFont="1" applyBorder="1" applyProtection="1">
      <alignment vertical="center"/>
      <protection locked="0"/>
    </xf>
    <xf numFmtId="0" fontId="9" fillId="13" borderId="3" xfId="0" applyFont="1" applyFill="1" applyBorder="1" applyAlignment="1">
      <alignment horizontal="left" vertical="center"/>
    </xf>
    <xf numFmtId="0" fontId="0" fillId="3" borderId="14" xfId="0" applyFill="1" applyBorder="1" applyAlignment="1">
      <alignment horizontal="center"/>
    </xf>
    <xf numFmtId="0" fontId="6" fillId="0" borderId="7" xfId="1" applyFont="1" applyBorder="1" applyAlignment="1">
      <alignment horizontal="left" vertical="center"/>
    </xf>
    <xf numFmtId="0" fontId="6" fillId="0" borderId="0" xfId="1" applyFont="1" applyAlignment="1">
      <alignment horizontal="left" vertical="center"/>
    </xf>
    <xf numFmtId="0" fontId="6" fillId="0" borderId="0" xfId="1" applyFont="1" applyAlignment="1" applyProtection="1">
      <alignment horizontal="left" vertical="center"/>
      <protection locked="0"/>
    </xf>
    <xf numFmtId="2" fontId="6" fillId="0" borderId="8" xfId="1" applyNumberFormat="1" applyFont="1" applyBorder="1">
      <alignment vertical="center"/>
    </xf>
    <xf numFmtId="0" fontId="53" fillId="14" borderId="37" xfId="0" applyFont="1" applyFill="1" applyBorder="1" applyAlignment="1">
      <alignment horizontal="center" vertical="center" wrapText="1" readingOrder="1"/>
    </xf>
    <xf numFmtId="0" fontId="54" fillId="15" borderId="42" xfId="0" applyFont="1" applyFill="1" applyBorder="1" applyAlignment="1">
      <alignment horizontal="center" vertical="center" wrapText="1" readingOrder="1"/>
    </xf>
    <xf numFmtId="0" fontId="54" fillId="16" borderId="43" xfId="0" applyFont="1" applyFill="1" applyBorder="1" applyAlignment="1">
      <alignment horizontal="center" vertical="center" wrapText="1" readingOrder="1"/>
    </xf>
    <xf numFmtId="0" fontId="54" fillId="16" borderId="41" xfId="0" applyFont="1" applyFill="1" applyBorder="1" applyAlignment="1">
      <alignment horizontal="center" vertical="center" wrapText="1" readingOrder="1"/>
    </xf>
    <xf numFmtId="0" fontId="54" fillId="15" borderId="41" xfId="0" applyFont="1" applyFill="1" applyBorder="1" applyAlignment="1">
      <alignment horizontal="center" vertical="center" wrapText="1" readingOrder="1"/>
    </xf>
    <xf numFmtId="0" fontId="54" fillId="15" borderId="39" xfId="0" applyFont="1" applyFill="1" applyBorder="1" applyAlignment="1">
      <alignment horizontal="center" vertical="center" wrapText="1" readingOrder="1"/>
    </xf>
    <xf numFmtId="0" fontId="5" fillId="3" borderId="9" xfId="1" applyFont="1" applyFill="1" applyBorder="1">
      <alignment vertical="center"/>
    </xf>
    <xf numFmtId="0" fontId="23" fillId="3" borderId="44" xfId="1" applyFont="1" applyFill="1" applyBorder="1" applyAlignment="1">
      <alignment horizontal="center"/>
    </xf>
    <xf numFmtId="0" fontId="48" fillId="3" borderId="0" xfId="0" applyFont="1" applyFill="1"/>
    <xf numFmtId="0" fontId="0" fillId="3" borderId="19" xfId="0" applyFill="1" applyBorder="1" applyAlignment="1">
      <alignment horizontal="left"/>
    </xf>
    <xf numFmtId="0" fontId="6" fillId="5" borderId="13" xfId="1" applyFont="1" applyFill="1" applyBorder="1" applyAlignment="1" applyProtection="1">
      <alignment horizontal="center" vertical="center"/>
      <protection locked="0"/>
    </xf>
    <xf numFmtId="0" fontId="0" fillId="17" borderId="47" xfId="0" applyFill="1" applyBorder="1"/>
    <xf numFmtId="0" fontId="9" fillId="3" borderId="0" xfId="0" applyFont="1" applyFill="1" applyAlignment="1">
      <alignment vertical="center"/>
    </xf>
    <xf numFmtId="0" fontId="33" fillId="0" borderId="20" xfId="0" applyFont="1" applyBorder="1" applyAlignment="1">
      <alignment vertical="top"/>
    </xf>
    <xf numFmtId="0" fontId="33" fillId="0" borderId="21" xfId="0" applyFont="1" applyBorder="1" applyAlignment="1">
      <alignment vertical="top"/>
    </xf>
    <xf numFmtId="0" fontId="24" fillId="0" borderId="59" xfId="0" applyFont="1" applyBorder="1" applyAlignment="1">
      <alignment vertical="top"/>
    </xf>
    <xf numFmtId="0" fontId="22" fillId="0" borderId="0" xfId="0" applyFont="1" applyAlignment="1">
      <alignment horizontal="center"/>
    </xf>
    <xf numFmtId="0" fontId="0" fillId="24" borderId="28" xfId="0" applyFill="1" applyBorder="1" applyAlignment="1">
      <alignment horizontal="center"/>
    </xf>
    <xf numFmtId="0" fontId="0" fillId="24" borderId="29" xfId="0" applyFill="1" applyBorder="1" applyAlignment="1">
      <alignment horizontal="center"/>
    </xf>
    <xf numFmtId="0" fontId="0" fillId="24" borderId="12" xfId="0" applyFill="1" applyBorder="1" applyAlignment="1">
      <alignment horizontal="center"/>
    </xf>
    <xf numFmtId="0" fontId="0" fillId="24" borderId="62" xfId="0" applyFill="1" applyBorder="1" applyAlignment="1">
      <alignment horizontal="center"/>
    </xf>
    <xf numFmtId="0" fontId="0" fillId="26" borderId="28" xfId="0" applyFill="1" applyBorder="1" applyAlignment="1">
      <alignment horizontal="center"/>
    </xf>
    <xf numFmtId="0" fontId="0" fillId="26" borderId="30" xfId="0" applyFill="1" applyBorder="1" applyAlignment="1">
      <alignment horizontal="center"/>
    </xf>
    <xf numFmtId="0" fontId="0" fillId="26" borderId="29" xfId="0" applyFill="1" applyBorder="1" applyAlignment="1">
      <alignment horizontal="center"/>
    </xf>
    <xf numFmtId="0" fontId="0" fillId="26" borderId="31" xfId="0" applyFill="1" applyBorder="1" applyAlignment="1">
      <alignment horizontal="center"/>
    </xf>
    <xf numFmtId="0" fontId="0" fillId="27" borderId="28" xfId="0" applyFill="1" applyBorder="1" applyAlignment="1">
      <alignment horizontal="center"/>
    </xf>
    <xf numFmtId="0" fontId="0" fillId="27" borderId="30" xfId="0" applyFill="1" applyBorder="1" applyAlignment="1">
      <alignment horizontal="center"/>
    </xf>
    <xf numFmtId="0" fontId="0" fillId="27" borderId="29" xfId="0" applyFill="1" applyBorder="1" applyAlignment="1">
      <alignment horizontal="center"/>
    </xf>
    <xf numFmtId="0" fontId="0" fillId="27" borderId="31" xfId="0" applyFill="1" applyBorder="1" applyAlignment="1">
      <alignment horizontal="center"/>
    </xf>
    <xf numFmtId="2" fontId="0" fillId="0" borderId="7" xfId="0" applyNumberFormat="1" applyBorder="1" applyAlignment="1">
      <alignment horizontal="center"/>
    </xf>
    <xf numFmtId="0" fontId="0" fillId="0" borderId="64" xfId="0" applyBorder="1"/>
    <xf numFmtId="0" fontId="0" fillId="0" borderId="59" xfId="0" applyBorder="1"/>
    <xf numFmtId="0" fontId="0" fillId="0" borderId="65" xfId="0" applyBorder="1"/>
    <xf numFmtId="0" fontId="0" fillId="0" borderId="26" xfId="0" applyBorder="1"/>
    <xf numFmtId="2" fontId="0" fillId="0" borderId="0" xfId="0" applyNumberFormat="1"/>
    <xf numFmtId="49" fontId="0" fillId="21" borderId="0" xfId="0" applyNumberFormat="1" applyFill="1"/>
    <xf numFmtId="0" fontId="61" fillId="0" borderId="0" xfId="0" applyFont="1"/>
    <xf numFmtId="2" fontId="6" fillId="3" borderId="0" xfId="1" applyNumberFormat="1" applyFont="1" applyFill="1" applyProtection="1">
      <alignment vertical="center"/>
      <protection locked="0"/>
    </xf>
    <xf numFmtId="0" fontId="0" fillId="28" borderId="0" xfId="0" applyFill="1"/>
    <xf numFmtId="0" fontId="12" fillId="0" borderId="7" xfId="0" applyFont="1" applyBorder="1" applyAlignment="1">
      <alignment horizontal="center"/>
    </xf>
    <xf numFmtId="0" fontId="0" fillId="4" borderId="7" xfId="0" applyFill="1" applyBorder="1" applyAlignment="1">
      <alignment horizontal="left"/>
    </xf>
    <xf numFmtId="0" fontId="0" fillId="4" borderId="0" xfId="0" applyFill="1" applyAlignment="1">
      <alignment horizontal="left"/>
    </xf>
    <xf numFmtId="0" fontId="20" fillId="13" borderId="0" xfId="0" applyFont="1" applyFill="1" applyAlignment="1">
      <alignment horizontal="center"/>
    </xf>
    <xf numFmtId="0" fontId="62" fillId="13" borderId="0" xfId="0" applyFont="1" applyFill="1" applyAlignment="1">
      <alignment horizontal="center" vertical="center"/>
    </xf>
    <xf numFmtId="0" fontId="0" fillId="4" borderId="0" xfId="0" applyFill="1" applyAlignment="1">
      <alignment horizontal="right"/>
    </xf>
    <xf numFmtId="0" fontId="0" fillId="13" borderId="0" xfId="0" applyFill="1" applyAlignment="1">
      <alignment horizontal="left"/>
    </xf>
    <xf numFmtId="0" fontId="24" fillId="4" borderId="0" xfId="0" applyFont="1" applyFill="1" applyAlignment="1" applyProtection="1">
      <alignment horizontal="center"/>
      <protection locked="0"/>
    </xf>
    <xf numFmtId="0" fontId="24" fillId="4" borderId="0" xfId="0" applyFont="1" applyFill="1" applyProtection="1">
      <protection locked="0"/>
    </xf>
    <xf numFmtId="0" fontId="24" fillId="29" borderId="0" xfId="0" applyFont="1" applyFill="1" applyAlignment="1" applyProtection="1">
      <alignment horizontal="right"/>
      <protection locked="0"/>
    </xf>
    <xf numFmtId="0" fontId="24" fillId="3" borderId="0" xfId="0" applyFont="1" applyFill="1" applyAlignment="1" applyProtection="1">
      <alignment horizontal="center"/>
      <protection locked="0"/>
    </xf>
    <xf numFmtId="0" fontId="0" fillId="3" borderId="5" xfId="0" applyFill="1" applyBorder="1" applyAlignment="1">
      <alignment horizontal="left"/>
    </xf>
    <xf numFmtId="0" fontId="24" fillId="0" borderId="5" xfId="0" applyFont="1" applyBorder="1" applyProtection="1">
      <protection locked="0"/>
    </xf>
    <xf numFmtId="0" fontId="24" fillId="0" borderId="67" xfId="0" applyFont="1" applyBorder="1" applyAlignment="1" applyProtection="1">
      <alignment horizontal="center"/>
      <protection locked="0"/>
    </xf>
    <xf numFmtId="0" fontId="0" fillId="3" borderId="11" xfId="0" applyFill="1" applyBorder="1"/>
    <xf numFmtId="0" fontId="40" fillId="0" borderId="0" xfId="0" applyFont="1" applyAlignment="1">
      <alignment vertical="center"/>
    </xf>
    <xf numFmtId="0" fontId="0" fillId="0" borderId="47" xfId="0" applyBorder="1"/>
    <xf numFmtId="0" fontId="0" fillId="0" borderId="68" xfId="0" applyBorder="1"/>
    <xf numFmtId="0" fontId="0" fillId="33" borderId="0" xfId="0" applyFill="1"/>
    <xf numFmtId="0" fontId="0" fillId="4" borderId="0" xfId="0" applyFill="1"/>
    <xf numFmtId="0" fontId="22" fillId="4" borderId="0" xfId="0" applyFont="1" applyFill="1"/>
    <xf numFmtId="0" fontId="64" fillId="4" borderId="0" xfId="0" applyFont="1" applyFill="1"/>
    <xf numFmtId="0" fontId="0" fillId="34" borderId="0" xfId="0" applyFill="1"/>
    <xf numFmtId="0" fontId="0" fillId="5" borderId="13" xfId="0" applyFill="1" applyBorder="1" applyAlignment="1" applyProtection="1">
      <alignment horizontal="left"/>
      <protection locked="0"/>
    </xf>
    <xf numFmtId="0" fontId="65" fillId="13" borderId="7" xfId="1" applyFont="1" applyFill="1" applyBorder="1">
      <alignment vertical="center"/>
    </xf>
    <xf numFmtId="0" fontId="65" fillId="13" borderId="5" xfId="1" applyFont="1" applyFill="1" applyBorder="1">
      <alignment vertical="center"/>
    </xf>
    <xf numFmtId="0" fontId="24" fillId="5" borderId="45" xfId="0" applyFont="1" applyFill="1" applyBorder="1" applyProtection="1">
      <protection locked="0"/>
    </xf>
    <xf numFmtId="0" fontId="6" fillId="3" borderId="4" xfId="1" applyFont="1" applyFill="1" applyBorder="1">
      <alignment vertical="center"/>
    </xf>
    <xf numFmtId="0" fontId="6" fillId="3" borderId="5" xfId="1" applyFont="1" applyFill="1" applyBorder="1">
      <alignment vertical="center"/>
    </xf>
    <xf numFmtId="0" fontId="0" fillId="3" borderId="0" xfId="0" applyFill="1" applyAlignment="1">
      <alignment horizontal="center" wrapText="1"/>
    </xf>
    <xf numFmtId="0" fontId="0" fillId="35" borderId="0" xfId="0" applyFill="1"/>
    <xf numFmtId="0" fontId="24" fillId="3" borderId="22" xfId="1" applyFont="1" applyFill="1" applyBorder="1" applyAlignment="1" applyProtection="1">
      <alignment horizontal="center" vertical="center"/>
      <protection locked="0"/>
    </xf>
    <xf numFmtId="0" fontId="24" fillId="5" borderId="13" xfId="1" applyFont="1" applyFill="1" applyBorder="1" applyProtection="1">
      <alignment vertical="center"/>
      <protection locked="0"/>
    </xf>
    <xf numFmtId="0" fontId="20" fillId="37" borderId="69" xfId="0" applyFont="1" applyFill="1" applyBorder="1"/>
    <xf numFmtId="0" fontId="38" fillId="5" borderId="28" xfId="1" applyFont="1" applyFill="1" applyBorder="1" applyProtection="1">
      <alignment vertical="center"/>
      <protection locked="0" hidden="1"/>
    </xf>
    <xf numFmtId="1" fontId="0" fillId="0" borderId="0" xfId="0" applyNumberFormat="1"/>
    <xf numFmtId="0" fontId="20" fillId="37" borderId="72" xfId="0" applyFont="1" applyFill="1" applyBorder="1"/>
    <xf numFmtId="0" fontId="20" fillId="37" borderId="73" xfId="0" applyFont="1" applyFill="1" applyBorder="1"/>
    <xf numFmtId="0" fontId="0" fillId="10" borderId="74" xfId="0" applyFill="1" applyBorder="1"/>
    <xf numFmtId="0" fontId="0" fillId="10" borderId="70" xfId="0" applyFill="1" applyBorder="1"/>
    <xf numFmtId="0" fontId="0" fillId="10" borderId="75" xfId="0" applyFill="1" applyBorder="1"/>
    <xf numFmtId="2" fontId="0" fillId="9" borderId="74" xfId="0" applyNumberFormat="1" applyFill="1" applyBorder="1"/>
    <xf numFmtId="0" fontId="0" fillId="9" borderId="70" xfId="0" applyFill="1" applyBorder="1" applyAlignment="1">
      <alignment horizontal="center"/>
    </xf>
    <xf numFmtId="0" fontId="0" fillId="9" borderId="75" xfId="0" applyFill="1" applyBorder="1" applyAlignment="1">
      <alignment horizontal="center"/>
    </xf>
    <xf numFmtId="2" fontId="0" fillId="10" borderId="74" xfId="0" applyNumberFormat="1" applyFill="1" applyBorder="1"/>
    <xf numFmtId="0" fontId="0" fillId="10" borderId="70" xfId="0" applyFill="1" applyBorder="1" applyAlignment="1">
      <alignment horizontal="center"/>
    </xf>
    <xf numFmtId="0" fontId="0" fillId="10" borderId="75" xfId="0" applyFill="1" applyBorder="1" applyAlignment="1">
      <alignment horizontal="center"/>
    </xf>
    <xf numFmtId="2" fontId="0" fillId="10" borderId="76" xfId="0" applyNumberFormat="1" applyFill="1" applyBorder="1"/>
    <xf numFmtId="0" fontId="0" fillId="10" borderId="71" xfId="0" applyFill="1" applyBorder="1" applyAlignment="1">
      <alignment horizontal="center"/>
    </xf>
    <xf numFmtId="0" fontId="0" fillId="10" borderId="77" xfId="0" applyFill="1" applyBorder="1" applyAlignment="1">
      <alignment horizontal="center"/>
    </xf>
    <xf numFmtId="0" fontId="0" fillId="18" borderId="34" xfId="0" applyFill="1" applyBorder="1"/>
    <xf numFmtId="0" fontId="0" fillId="10" borderId="34" xfId="0" applyFill="1" applyBorder="1"/>
    <xf numFmtId="0" fontId="0" fillId="0" borderId="34" xfId="0" applyBorder="1"/>
    <xf numFmtId="0" fontId="0" fillId="9" borderId="34" xfId="0" applyFill="1" applyBorder="1"/>
    <xf numFmtId="0" fontId="0" fillId="30" borderId="34" xfId="0" applyFill="1" applyBorder="1"/>
    <xf numFmtId="0" fontId="0" fillId="9" borderId="36" xfId="0" applyFill="1" applyBorder="1"/>
    <xf numFmtId="0" fontId="0" fillId="9" borderId="47" xfId="0" applyFill="1" applyBorder="1"/>
    <xf numFmtId="0" fontId="0" fillId="30" borderId="47" xfId="0" applyFill="1" applyBorder="1"/>
    <xf numFmtId="0" fontId="0" fillId="31" borderId="34" xfId="0" applyFill="1" applyBorder="1"/>
    <xf numFmtId="0" fontId="0" fillId="30" borderId="36" xfId="0" applyFill="1" applyBorder="1"/>
    <xf numFmtId="0" fontId="0" fillId="31" borderId="47" xfId="0" applyFill="1" applyBorder="1"/>
    <xf numFmtId="0" fontId="12" fillId="0" borderId="8" xfId="0" applyFont="1" applyBorder="1" applyAlignment="1">
      <alignment horizontal="center" vertical="center"/>
    </xf>
    <xf numFmtId="0" fontId="0" fillId="0" borderId="5" xfId="0" applyBorder="1" applyAlignment="1">
      <alignment horizontal="center"/>
    </xf>
    <xf numFmtId="0" fontId="0" fillId="7" borderId="13" xfId="0" applyFill="1" applyBorder="1" applyAlignment="1">
      <alignment horizontal="center"/>
    </xf>
    <xf numFmtId="0" fontId="0" fillId="7" borderId="8" xfId="0" applyFill="1" applyBorder="1" applyAlignment="1">
      <alignment horizontal="center"/>
    </xf>
    <xf numFmtId="0" fontId="24" fillId="3" borderId="22" xfId="1" applyFont="1" applyFill="1" applyBorder="1" applyAlignment="1">
      <alignment horizontal="center" vertical="center"/>
    </xf>
    <xf numFmtId="0" fontId="53" fillId="14" borderId="41" xfId="0" applyFont="1" applyFill="1" applyBorder="1" applyAlignment="1">
      <alignment horizontal="center" vertical="center" wrapText="1" readingOrder="1"/>
    </xf>
    <xf numFmtId="0" fontId="5" fillId="3" borderId="13" xfId="0" applyFont="1" applyFill="1" applyBorder="1" applyAlignment="1" applyProtection="1">
      <alignment horizontal="center"/>
      <protection locked="0"/>
    </xf>
    <xf numFmtId="0" fontId="71" fillId="3" borderId="0" xfId="1" applyFont="1" applyFill="1">
      <alignment vertical="center"/>
    </xf>
    <xf numFmtId="0" fontId="39" fillId="0" borderId="0" xfId="0" applyFont="1"/>
    <xf numFmtId="0" fontId="39" fillId="31" borderId="34" xfId="0" applyFont="1" applyFill="1" applyBorder="1"/>
    <xf numFmtId="0" fontId="39" fillId="9" borderId="34" xfId="0" applyFont="1" applyFill="1" applyBorder="1"/>
    <xf numFmtId="0" fontId="39" fillId="9" borderId="36" xfId="0" applyFont="1" applyFill="1" applyBorder="1"/>
    <xf numFmtId="0" fontId="5" fillId="0" borderId="9" xfId="1" applyFont="1" applyBorder="1">
      <alignment vertical="center"/>
    </xf>
    <xf numFmtId="0" fontId="5" fillId="0" borderId="7" xfId="1" applyFont="1" applyBorder="1">
      <alignment vertical="center"/>
    </xf>
    <xf numFmtId="0" fontId="10" fillId="0" borderId="0" xfId="1" applyFont="1">
      <alignment vertical="center"/>
    </xf>
    <xf numFmtId="0" fontId="0" fillId="20" borderId="19" xfId="0" applyFill="1" applyBorder="1" applyAlignment="1" applyProtection="1">
      <alignment horizontal="left" vertical="center" wrapText="1"/>
      <protection locked="0"/>
    </xf>
    <xf numFmtId="0" fontId="0" fillId="20" borderId="23" xfId="0" applyFill="1" applyBorder="1" applyAlignment="1" applyProtection="1">
      <alignment horizontal="left" vertical="center" wrapText="1"/>
      <protection locked="0"/>
    </xf>
    <xf numFmtId="0" fontId="5" fillId="3"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0" fontId="5" fillId="3" borderId="22" xfId="1" applyFont="1" applyFill="1" applyBorder="1" applyAlignment="1" applyProtection="1">
      <alignment horizontal="center" vertical="center"/>
      <protection locked="0"/>
    </xf>
    <xf numFmtId="0" fontId="5" fillId="5" borderId="22" xfId="1" applyFont="1" applyFill="1" applyBorder="1" applyAlignment="1" applyProtection="1">
      <alignment horizontal="center" vertical="center"/>
      <protection locked="0"/>
    </xf>
    <xf numFmtId="0" fontId="0" fillId="0" borderId="0" xfId="0" applyAlignment="1">
      <alignment horizontal="left"/>
    </xf>
    <xf numFmtId="0" fontId="0" fillId="3" borderId="1" xfId="0" applyFill="1" applyBorder="1"/>
    <xf numFmtId="0" fontId="0" fillId="3" borderId="2" xfId="0" applyFill="1" applyBorder="1"/>
    <xf numFmtId="0" fontId="24" fillId="3" borderId="2" xfId="0" applyFont="1" applyFill="1" applyBorder="1" applyAlignment="1">
      <alignment horizontal="center"/>
    </xf>
    <xf numFmtId="0" fontId="0" fillId="0" borderId="5" xfId="0" applyBorder="1" applyAlignment="1">
      <alignment horizontal="left"/>
    </xf>
    <xf numFmtId="0" fontId="10" fillId="0" borderId="7" xfId="1" applyFont="1" applyBorder="1">
      <alignment vertical="center"/>
    </xf>
    <xf numFmtId="0" fontId="48" fillId="0" borderId="7" xfId="0" applyFont="1" applyBorder="1" applyAlignment="1">
      <alignment horizontal="left"/>
    </xf>
    <xf numFmtId="0" fontId="0" fillId="0" borderId="7" xfId="0" applyBorder="1" applyAlignment="1">
      <alignment horizontal="left"/>
    </xf>
    <xf numFmtId="0" fontId="24" fillId="0" borderId="0" xfId="0" applyFont="1" applyAlignment="1">
      <alignment horizontal="right"/>
    </xf>
    <xf numFmtId="0" fontId="24" fillId="0" borderId="0" xfId="0" applyFont="1" applyAlignment="1" applyProtection="1">
      <alignment horizontal="right"/>
      <protection locked="0"/>
    </xf>
    <xf numFmtId="0" fontId="24" fillId="0" borderId="0" xfId="0" applyFont="1" applyProtection="1">
      <protection locked="0"/>
    </xf>
    <xf numFmtId="0" fontId="24" fillId="0" borderId="0" xfId="0" applyFont="1" applyAlignment="1">
      <alignment horizontal="left"/>
    </xf>
    <xf numFmtId="0" fontId="24" fillId="7" borderId="0" xfId="0" applyFont="1" applyFill="1" applyAlignment="1">
      <alignment horizontal="left"/>
    </xf>
    <xf numFmtId="0" fontId="0" fillId="0" borderId="4" xfId="0" applyBorder="1" applyAlignment="1">
      <alignment horizontal="left"/>
    </xf>
    <xf numFmtId="0" fontId="74" fillId="0" borderId="0" xfId="0" applyFont="1"/>
    <xf numFmtId="0" fontId="24" fillId="5" borderId="13" xfId="0" applyFont="1" applyFill="1" applyBorder="1" applyAlignment="1">
      <alignment horizontal="left"/>
    </xf>
    <xf numFmtId="0" fontId="0" fillId="3" borderId="5" xfId="0" applyFill="1" applyBorder="1" applyProtection="1">
      <protection locked="0"/>
    </xf>
    <xf numFmtId="0" fontId="6" fillId="3" borderId="5" xfId="1" applyFont="1" applyFill="1" applyBorder="1" applyProtection="1">
      <alignment vertical="center"/>
      <protection locked="0"/>
    </xf>
    <xf numFmtId="2" fontId="6" fillId="3" borderId="5" xfId="1" applyNumberFormat="1" applyFont="1" applyFill="1" applyBorder="1" applyProtection="1">
      <alignment vertical="center"/>
      <protection locked="0"/>
    </xf>
    <xf numFmtId="164" fontId="6" fillId="2" borderId="5" xfId="1" applyNumberFormat="1" applyFont="1" applyFill="1" applyBorder="1" applyProtection="1">
      <alignment vertical="center"/>
      <protection locked="0"/>
    </xf>
    <xf numFmtId="2" fontId="6" fillId="3" borderId="0" xfId="1" applyNumberFormat="1" applyFont="1" applyFill="1" applyAlignment="1" applyProtection="1">
      <alignment horizontal="center" vertical="center"/>
      <protection locked="0"/>
    </xf>
    <xf numFmtId="0" fontId="9" fillId="13" borderId="0" xfId="0" applyFont="1" applyFill="1" applyAlignment="1" applyProtection="1">
      <alignment horizontal="left" vertical="center"/>
      <protection locked="0"/>
    </xf>
    <xf numFmtId="164" fontId="6" fillId="3" borderId="5" xfId="1" applyNumberFormat="1" applyFont="1" applyFill="1" applyBorder="1" applyProtection="1">
      <alignment vertical="center"/>
      <protection locked="0"/>
    </xf>
    <xf numFmtId="0" fontId="9" fillId="13" borderId="2" xfId="0" applyFont="1" applyFill="1" applyBorder="1" applyAlignment="1" applyProtection="1">
      <alignment horizontal="left" vertical="center"/>
      <protection locked="0"/>
    </xf>
    <xf numFmtId="164" fontId="6" fillId="3" borderId="0" xfId="1" applyNumberFormat="1" applyFont="1" applyFill="1" applyProtection="1">
      <alignment vertical="center"/>
      <protection locked="0"/>
    </xf>
    <xf numFmtId="0" fontId="0" fillId="0" borderId="5" xfId="0" applyBorder="1" applyProtection="1">
      <protection locked="0"/>
    </xf>
    <xf numFmtId="164" fontId="6" fillId="0" borderId="5" xfId="1" applyNumberFormat="1" applyFont="1" applyBorder="1" applyProtection="1">
      <alignment vertical="center"/>
      <protection locked="0"/>
    </xf>
    <xf numFmtId="0" fontId="9" fillId="13" borderId="2" xfId="0" applyFont="1" applyFill="1" applyBorder="1" applyAlignment="1" applyProtection="1">
      <alignment vertical="center"/>
      <protection locked="0"/>
    </xf>
    <xf numFmtId="0" fontId="0" fillId="7" borderId="0" xfId="0" applyFill="1" applyAlignment="1" applyProtection="1">
      <alignment horizontal="left"/>
      <protection locked="0"/>
    </xf>
    <xf numFmtId="0" fontId="0" fillId="7" borderId="2" xfId="0" applyFill="1" applyBorder="1" applyAlignment="1" applyProtection="1">
      <alignment horizontal="left"/>
      <protection locked="0"/>
    </xf>
    <xf numFmtId="0" fontId="0" fillId="0" borderId="0" xfId="0" applyAlignment="1" applyProtection="1">
      <alignment horizontal="left"/>
      <protection locked="0"/>
    </xf>
    <xf numFmtId="0" fontId="0" fillId="0" borderId="67" xfId="0" applyBorder="1" applyProtection="1">
      <protection locked="0"/>
    </xf>
    <xf numFmtId="0" fontId="32" fillId="13" borderId="2" xfId="0" applyFont="1" applyFill="1" applyBorder="1" applyAlignment="1" applyProtection="1">
      <alignment vertical="center"/>
      <protection locked="0"/>
    </xf>
    <xf numFmtId="0" fontId="37" fillId="13" borderId="2" xfId="0" applyFont="1" applyFill="1" applyBorder="1" applyAlignment="1" applyProtection="1">
      <alignment vertical="center"/>
      <protection locked="0"/>
    </xf>
    <xf numFmtId="2" fontId="0" fillId="3" borderId="2" xfId="0" applyNumberFormat="1" applyFill="1" applyBorder="1" applyProtection="1">
      <protection locked="0"/>
    </xf>
    <xf numFmtId="0" fontId="0" fillId="4" borderId="0" xfId="0" applyFill="1" applyProtection="1">
      <protection locked="0"/>
    </xf>
    <xf numFmtId="0" fontId="0" fillId="3" borderId="20" xfId="0" applyFill="1" applyBorder="1" applyAlignment="1" applyProtection="1">
      <alignment horizontal="left"/>
      <protection locked="0"/>
    </xf>
    <xf numFmtId="0" fontId="0" fillId="3" borderId="20" xfId="0" applyFill="1" applyBorder="1" applyAlignment="1" applyProtection="1">
      <alignment horizontal="center"/>
      <protection locked="0"/>
    </xf>
    <xf numFmtId="0" fontId="0" fillId="4" borderId="2" xfId="0" applyFill="1" applyBorder="1" applyProtection="1">
      <protection locked="0"/>
    </xf>
    <xf numFmtId="164" fontId="6" fillId="2" borderId="0" xfId="1" applyNumberFormat="1" applyFont="1" applyFill="1" applyAlignment="1" applyProtection="1">
      <alignment horizontal="center" vertical="center"/>
      <protection locked="0"/>
    </xf>
    <xf numFmtId="164" fontId="6" fillId="7" borderId="0" xfId="1" applyNumberFormat="1" applyFont="1" applyFill="1" applyAlignment="1" applyProtection="1">
      <alignment horizontal="center" vertical="center"/>
      <protection locked="0"/>
    </xf>
    <xf numFmtId="0" fontId="24" fillId="12" borderId="13" xfId="0" applyFont="1" applyFill="1" applyBorder="1" applyAlignment="1">
      <alignment horizontal="left"/>
    </xf>
    <xf numFmtId="2" fontId="63" fillId="13" borderId="0" xfId="1" applyNumberFormat="1" applyFont="1" applyFill="1" applyAlignment="1" applyProtection="1">
      <alignment horizontal="center" vertical="center"/>
      <protection locked="0"/>
    </xf>
    <xf numFmtId="0" fontId="0" fillId="13" borderId="0" xfId="0" applyFill="1" applyAlignment="1" applyProtection="1">
      <alignment horizontal="left"/>
      <protection locked="0"/>
    </xf>
    <xf numFmtId="0" fontId="0" fillId="3" borderId="5" xfId="0" applyFill="1" applyBorder="1" applyAlignment="1" applyProtection="1">
      <alignment vertical="top" wrapText="1"/>
      <protection locked="0"/>
    </xf>
    <xf numFmtId="0" fontId="0" fillId="3" borderId="0" xfId="0" applyFill="1" applyAlignment="1" applyProtection="1">
      <alignment horizontal="center" vertical="top" wrapText="1"/>
      <protection locked="0"/>
    </xf>
    <xf numFmtId="0" fontId="0" fillId="24" borderId="81" xfId="0" applyFill="1" applyBorder="1" applyAlignment="1">
      <alignment horizontal="center"/>
    </xf>
    <xf numFmtId="0" fontId="0" fillId="24" borderId="60" xfId="0" applyFill="1" applyBorder="1" applyAlignment="1">
      <alignment horizontal="center"/>
    </xf>
    <xf numFmtId="0" fontId="0" fillId="26" borderId="81" xfId="0" applyFill="1" applyBorder="1" applyAlignment="1">
      <alignment horizontal="center"/>
    </xf>
    <xf numFmtId="0" fontId="0" fillId="26" borderId="82" xfId="0" applyFill="1" applyBorder="1" applyAlignment="1">
      <alignment horizontal="center"/>
    </xf>
    <xf numFmtId="0" fontId="0" fillId="27" borderId="81" xfId="0" applyFill="1" applyBorder="1" applyAlignment="1">
      <alignment horizontal="center"/>
    </xf>
    <xf numFmtId="0" fontId="0" fillId="27" borderId="82" xfId="0" applyFill="1" applyBorder="1" applyAlignment="1">
      <alignment horizontal="center"/>
    </xf>
    <xf numFmtId="2" fontId="0" fillId="0" borderId="7" xfId="0" applyNumberFormat="1" applyBorder="1" applyAlignment="1">
      <alignment horizontal="center" vertical="center"/>
    </xf>
    <xf numFmtId="2" fontId="0" fillId="0" borderId="4" xfId="0" applyNumberFormat="1" applyBorder="1" applyAlignment="1">
      <alignment horizontal="center" vertical="center"/>
    </xf>
    <xf numFmtId="2" fontId="0" fillId="0" borderId="76" xfId="0" applyNumberFormat="1" applyBorder="1"/>
    <xf numFmtId="0" fontId="0" fillId="0" borderId="71" xfId="0" applyBorder="1" applyAlignment="1">
      <alignment horizontal="center"/>
    </xf>
    <xf numFmtId="0" fontId="0" fillId="0" borderId="77" xfId="0" applyBorder="1" applyAlignment="1">
      <alignment horizontal="center"/>
    </xf>
    <xf numFmtId="0" fontId="0" fillId="30" borderId="71" xfId="0" applyFill="1" applyBorder="1" applyAlignment="1">
      <alignment horizontal="center"/>
    </xf>
    <xf numFmtId="0" fontId="0" fillId="30" borderId="77" xfId="0" applyFill="1" applyBorder="1" applyAlignment="1">
      <alignment horizontal="center"/>
    </xf>
    <xf numFmtId="2" fontId="0" fillId="32" borderId="7" xfId="0" applyNumberFormat="1" applyFill="1" applyBorder="1" applyAlignment="1">
      <alignment horizontal="right" vertical="center"/>
    </xf>
    <xf numFmtId="2" fontId="0" fillId="38" borderId="7" xfId="0" applyNumberFormat="1" applyFill="1" applyBorder="1" applyAlignment="1">
      <alignment horizontal="right" vertical="center"/>
    </xf>
    <xf numFmtId="0" fontId="0" fillId="10" borderId="80" xfId="0" applyFill="1" applyBorder="1" applyAlignment="1">
      <alignment horizontal="center"/>
    </xf>
    <xf numFmtId="2" fontId="0" fillId="0" borderId="83" xfId="0" applyNumberFormat="1" applyBorder="1"/>
    <xf numFmtId="2" fontId="0" fillId="38" borderId="0" xfId="0" applyNumberFormat="1" applyFill="1" applyAlignment="1">
      <alignment horizontal="right" vertical="center"/>
    </xf>
    <xf numFmtId="0" fontId="23" fillId="3" borderId="8" xfId="1" applyFont="1" applyFill="1" applyBorder="1" applyAlignment="1" applyProtection="1">
      <alignment horizontal="center"/>
      <protection locked="0"/>
    </xf>
    <xf numFmtId="0" fontId="0" fillId="3" borderId="8" xfId="0" applyFill="1" applyBorder="1" applyProtection="1">
      <protection locked="0"/>
    </xf>
    <xf numFmtId="0" fontId="0" fillId="0" borderId="7" xfId="0" applyBorder="1" applyProtection="1">
      <protection locked="0"/>
    </xf>
    <xf numFmtId="0" fontId="12" fillId="0" borderId="0" xfId="0" applyFont="1" applyProtection="1">
      <protection locked="0"/>
    </xf>
    <xf numFmtId="0" fontId="28" fillId="0" borderId="0" xfId="0" applyFont="1" applyProtection="1">
      <protection locked="0"/>
    </xf>
    <xf numFmtId="0" fontId="0" fillId="3" borderId="0" xfId="0" applyFill="1" applyAlignment="1" applyProtection="1">
      <alignment horizontal="center"/>
      <protection locked="0"/>
    </xf>
    <xf numFmtId="0" fontId="23" fillId="3" borderId="44" xfId="1" applyFont="1" applyFill="1" applyBorder="1" applyAlignment="1" applyProtection="1">
      <alignment horizontal="center"/>
      <protection locked="0"/>
    </xf>
    <xf numFmtId="0" fontId="0" fillId="3" borderId="7" xfId="0" applyFill="1" applyBorder="1" applyAlignment="1" applyProtection="1">
      <alignment horizontal="center"/>
      <protection locked="0"/>
    </xf>
    <xf numFmtId="0" fontId="0" fillId="3" borderId="8" xfId="0" applyFill="1" applyBorder="1" applyAlignment="1" applyProtection="1">
      <alignment horizontal="center" vertical="center"/>
      <protection locked="0"/>
    </xf>
    <xf numFmtId="0" fontId="12" fillId="0" borderId="8" xfId="0" applyFont="1" applyBorder="1" applyAlignment="1" applyProtection="1">
      <alignment horizontal="center" vertical="center"/>
      <protection locked="0"/>
    </xf>
    <xf numFmtId="0" fontId="0" fillId="3" borderId="6" xfId="0" applyFill="1" applyBorder="1" applyProtection="1">
      <protection locked="0"/>
    </xf>
    <xf numFmtId="0" fontId="17" fillId="3" borderId="8" xfId="0" applyFont="1" applyFill="1" applyBorder="1" applyProtection="1">
      <protection locked="0"/>
    </xf>
    <xf numFmtId="0" fontId="9" fillId="13" borderId="24" xfId="0" applyFont="1" applyFill="1" applyBorder="1" applyAlignment="1" applyProtection="1">
      <alignment horizontal="left" vertical="center"/>
      <protection locked="0"/>
    </xf>
    <xf numFmtId="0" fontId="23" fillId="3" borderId="8" xfId="0" applyFont="1" applyFill="1" applyBorder="1" applyAlignment="1" applyProtection="1">
      <alignment horizontal="center"/>
      <protection locked="0"/>
    </xf>
    <xf numFmtId="0" fontId="9" fillId="13" borderId="3" xfId="0" applyFont="1" applyFill="1" applyBorder="1" applyAlignment="1" applyProtection="1">
      <alignment horizontal="left" vertical="center"/>
      <protection locked="0"/>
    </xf>
    <xf numFmtId="0" fontId="23" fillId="3" borderId="8" xfId="1" applyFont="1" applyFill="1" applyBorder="1" applyAlignment="1" applyProtection="1">
      <alignment horizontal="center" vertical="center"/>
      <protection locked="0"/>
    </xf>
    <xf numFmtId="0" fontId="5" fillId="3" borderId="8" xfId="1" applyFont="1" applyFill="1" applyBorder="1" applyProtection="1">
      <alignment vertical="center"/>
      <protection locked="0"/>
    </xf>
    <xf numFmtId="0" fontId="18" fillId="3" borderId="8" xfId="1" applyFont="1" applyFill="1" applyBorder="1" applyProtection="1">
      <alignment vertical="center"/>
      <protection locked="0"/>
    </xf>
    <xf numFmtId="0" fontId="17" fillId="0" borderId="7" xfId="0" applyFont="1" applyBorder="1" applyProtection="1">
      <protection locked="0"/>
    </xf>
    <xf numFmtId="0" fontId="0" fillId="0" borderId="6" xfId="0" applyBorder="1" applyProtection="1">
      <protection locked="0"/>
    </xf>
    <xf numFmtId="0" fontId="0" fillId="0" borderId="8" xfId="0" applyBorder="1" applyAlignment="1" applyProtection="1">
      <alignment horizontal="center" vertical="center"/>
      <protection locked="0"/>
    </xf>
    <xf numFmtId="0" fontId="0" fillId="0" borderId="8" xfId="0" applyBorder="1" applyAlignment="1">
      <alignment horizontal="center" vertical="center"/>
    </xf>
    <xf numFmtId="0" fontId="12" fillId="0" borderId="7" xfId="0" applyFont="1" applyBorder="1" applyProtection="1">
      <protection locked="0"/>
    </xf>
    <xf numFmtId="0" fontId="9" fillId="13" borderId="3" xfId="0" applyFont="1" applyFill="1" applyBorder="1" applyAlignment="1" applyProtection="1">
      <alignment vertical="center"/>
      <protection locked="0"/>
    </xf>
    <xf numFmtId="0" fontId="0" fillId="7" borderId="8" xfId="0" applyFill="1" applyBorder="1" applyAlignment="1" applyProtection="1">
      <alignment horizontal="left"/>
      <protection locked="0"/>
    </xf>
    <xf numFmtId="0" fontId="0" fillId="3" borderId="8" xfId="0" applyFill="1" applyBorder="1" applyAlignment="1" applyProtection="1">
      <alignment horizontal="center"/>
      <protection locked="0"/>
    </xf>
    <xf numFmtId="164" fontId="16" fillId="3" borderId="8" xfId="1" applyNumberFormat="1" applyFont="1" applyFill="1" applyBorder="1" applyProtection="1">
      <alignment vertical="center"/>
      <protection locked="0"/>
    </xf>
    <xf numFmtId="0" fontId="0" fillId="7" borderId="3" xfId="0" applyFill="1" applyBorder="1" applyAlignment="1" applyProtection="1">
      <alignment horizontal="left"/>
      <protection locked="0"/>
    </xf>
    <xf numFmtId="0" fontId="0" fillId="0" borderId="8" xfId="0" applyBorder="1" applyAlignment="1" applyProtection="1">
      <alignment horizontal="left"/>
      <protection locked="0"/>
    </xf>
    <xf numFmtId="0" fontId="17" fillId="0" borderId="8" xfId="0" applyFont="1" applyBorder="1" applyProtection="1">
      <protection locked="0"/>
    </xf>
    <xf numFmtId="0" fontId="23" fillId="0" borderId="8" xfId="1" applyFont="1" applyBorder="1" applyAlignment="1" applyProtection="1">
      <alignment horizontal="center" vertical="center"/>
      <protection locked="0"/>
    </xf>
    <xf numFmtId="0" fontId="0" fillId="0" borderId="6" xfId="0" applyBorder="1" applyAlignment="1" applyProtection="1">
      <alignment horizontal="left"/>
      <protection locked="0"/>
    </xf>
    <xf numFmtId="0" fontId="0" fillId="0" borderId="11" xfId="0" applyBorder="1" applyAlignment="1" applyProtection="1">
      <alignment horizontal="left"/>
      <protection locked="0"/>
    </xf>
    <xf numFmtId="0" fontId="0" fillId="3" borderId="3" xfId="0" applyFill="1" applyBorder="1" applyProtection="1">
      <protection locked="0"/>
    </xf>
    <xf numFmtId="0" fontId="0" fillId="4" borderId="8" xfId="0" applyFill="1" applyBorder="1" applyProtection="1">
      <protection locked="0"/>
    </xf>
    <xf numFmtId="0" fontId="0" fillId="4" borderId="3" xfId="0" applyFill="1" applyBorder="1" applyProtection="1">
      <protection locked="0"/>
    </xf>
    <xf numFmtId="0" fontId="0" fillId="3" borderId="7" xfId="0" applyFill="1" applyBorder="1" applyProtection="1">
      <protection locked="0"/>
    </xf>
    <xf numFmtId="0" fontId="0" fillId="7" borderId="8" xfId="0" applyFill="1" applyBorder="1" applyProtection="1">
      <protection locked="0"/>
    </xf>
    <xf numFmtId="164" fontId="6" fillId="0" borderId="0" xfId="1" applyNumberFormat="1" applyFont="1" applyProtection="1">
      <alignment vertical="center"/>
      <protection locked="0"/>
    </xf>
    <xf numFmtId="0" fontId="20" fillId="13" borderId="0" xfId="0" applyFont="1" applyFill="1" applyProtection="1">
      <protection locked="0"/>
    </xf>
    <xf numFmtId="164" fontId="6" fillId="3" borderId="7" xfId="1" applyNumberFormat="1" applyFont="1" applyFill="1" applyBorder="1" applyProtection="1">
      <alignment vertical="center"/>
      <protection locked="0"/>
    </xf>
    <xf numFmtId="164" fontId="6" fillId="3" borderId="8" xfId="1" applyNumberFormat="1" applyFont="1" applyFill="1" applyBorder="1" applyProtection="1">
      <alignment vertical="center"/>
      <protection locked="0"/>
    </xf>
    <xf numFmtId="0" fontId="0" fillId="13" borderId="8" xfId="0" applyFill="1" applyBorder="1" applyAlignment="1" applyProtection="1">
      <alignment horizontal="left"/>
      <protection locked="0"/>
    </xf>
    <xf numFmtId="0" fontId="0" fillId="3" borderId="8" xfId="0" applyFill="1" applyBorder="1" applyAlignment="1" applyProtection="1">
      <alignment horizontal="left"/>
      <protection locked="0"/>
    </xf>
    <xf numFmtId="0" fontId="0" fillId="4" borderId="8" xfId="0" applyFill="1" applyBorder="1" applyAlignment="1" applyProtection="1">
      <alignment horizontal="center"/>
      <protection locked="0"/>
    </xf>
    <xf numFmtId="0" fontId="0" fillId="3" borderId="6" xfId="0" applyFill="1" applyBorder="1" applyAlignment="1" applyProtection="1">
      <alignment horizontal="center"/>
      <protection locked="0"/>
    </xf>
    <xf numFmtId="0" fontId="0" fillId="3" borderId="11" xfId="0" applyFill="1" applyBorder="1" applyProtection="1">
      <protection locked="0"/>
    </xf>
    <xf numFmtId="0" fontId="24" fillId="3" borderId="13" xfId="0" applyFont="1" applyFill="1" applyBorder="1" applyAlignment="1">
      <alignment horizontal="center" wrapText="1"/>
    </xf>
    <xf numFmtId="0" fontId="24" fillId="3" borderId="13" xfId="0" applyFont="1" applyFill="1" applyBorder="1" applyAlignment="1">
      <alignment horizontal="center"/>
    </xf>
    <xf numFmtId="0" fontId="24" fillId="3" borderId="22" xfId="0" applyFont="1" applyFill="1" applyBorder="1" applyAlignment="1">
      <alignment horizontal="center" wrapText="1"/>
    </xf>
    <xf numFmtId="0" fontId="70" fillId="3" borderId="13" xfId="0" applyFont="1" applyFill="1" applyBorder="1" applyAlignment="1">
      <alignment horizontal="center" wrapText="1"/>
    </xf>
    <xf numFmtId="0" fontId="24" fillId="3" borderId="0" xfId="0" applyFont="1" applyFill="1" applyAlignment="1">
      <alignment horizontal="center"/>
    </xf>
    <xf numFmtId="0" fontId="5" fillId="3" borderId="13" xfId="1" applyFont="1" applyFill="1" applyBorder="1" applyAlignment="1">
      <alignment horizontal="center" vertical="center"/>
    </xf>
    <xf numFmtId="0" fontId="5" fillId="3" borderId="45" xfId="1" applyFont="1" applyFill="1" applyBorder="1" applyAlignment="1">
      <alignment horizontal="center" vertical="center"/>
    </xf>
    <xf numFmtId="0" fontId="5" fillId="3" borderId="22" xfId="1" applyFont="1" applyFill="1" applyBorder="1" applyAlignment="1">
      <alignment horizontal="center" vertical="center"/>
    </xf>
    <xf numFmtId="0" fontId="0" fillId="35" borderId="0" xfId="0" applyFill="1" applyProtection="1">
      <protection locked="0"/>
    </xf>
    <xf numFmtId="0" fontId="6" fillId="3" borderId="0" xfId="1" applyFont="1" applyFill="1" applyAlignment="1" applyProtection="1">
      <alignment horizontal="center" vertical="center"/>
      <protection locked="0"/>
    </xf>
    <xf numFmtId="0" fontId="0" fillId="7" borderId="12" xfId="0" applyFill="1" applyBorder="1" applyAlignment="1" applyProtection="1">
      <alignment horizontal="center"/>
      <protection locked="0"/>
    </xf>
    <xf numFmtId="166" fontId="24" fillId="5" borderId="13" xfId="0" applyNumberFormat="1" applyFont="1" applyFill="1" applyBorder="1" applyAlignment="1" applyProtection="1">
      <alignment horizontal="left" vertical="center" wrapText="1"/>
      <protection hidden="1"/>
    </xf>
    <xf numFmtId="0" fontId="75" fillId="5" borderId="13" xfId="0" applyFont="1" applyFill="1" applyBorder="1" applyAlignment="1" applyProtection="1">
      <alignment wrapText="1"/>
      <protection locked="0"/>
    </xf>
    <xf numFmtId="0" fontId="12" fillId="31" borderId="47" xfId="0" applyFont="1" applyFill="1" applyBorder="1"/>
    <xf numFmtId="0" fontId="12" fillId="9" borderId="34" xfId="0" applyFont="1" applyFill="1" applyBorder="1"/>
    <xf numFmtId="0" fontId="12" fillId="31" borderId="34" xfId="0" applyFont="1" applyFill="1" applyBorder="1"/>
    <xf numFmtId="0" fontId="12" fillId="9" borderId="47" xfId="0" applyFont="1" applyFill="1" applyBorder="1"/>
    <xf numFmtId="164" fontId="77" fillId="3" borderId="0" xfId="1" applyNumberFormat="1" applyFont="1" applyFill="1">
      <alignment vertical="center"/>
    </xf>
    <xf numFmtId="0" fontId="24" fillId="5" borderId="22" xfId="0" applyFont="1" applyFill="1" applyBorder="1" applyAlignment="1" applyProtection="1">
      <alignment wrapText="1"/>
      <protection locked="0"/>
    </xf>
    <xf numFmtId="0" fontId="6" fillId="3" borderId="0" xfId="1" applyFont="1" applyFill="1" applyAlignment="1">
      <alignment vertical="center" wrapText="1"/>
    </xf>
    <xf numFmtId="0" fontId="12" fillId="30" borderId="34" xfId="0" applyFont="1" applyFill="1" applyBorder="1"/>
    <xf numFmtId="0" fontId="24" fillId="0" borderId="12" xfId="0" applyFont="1" applyBorder="1" applyAlignment="1">
      <alignment horizontal="left"/>
    </xf>
    <xf numFmtId="0" fontId="24" fillId="0" borderId="15" xfId="0" applyFont="1" applyBorder="1" applyAlignment="1">
      <alignment horizontal="center"/>
    </xf>
    <xf numFmtId="0" fontId="24" fillId="0" borderId="14" xfId="0" applyFont="1" applyBorder="1" applyAlignment="1">
      <alignment horizontal="center"/>
    </xf>
    <xf numFmtId="0" fontId="24" fillId="12" borderId="22" xfId="0" applyFont="1" applyFill="1" applyBorder="1" applyAlignment="1">
      <alignment horizontal="left"/>
    </xf>
    <xf numFmtId="0" fontId="39" fillId="9" borderId="70" xfId="0" applyFont="1" applyFill="1" applyBorder="1" applyAlignment="1">
      <alignment horizontal="center"/>
    </xf>
    <xf numFmtId="0" fontId="39" fillId="9" borderId="75" xfId="0" applyFont="1" applyFill="1" applyBorder="1" applyAlignment="1">
      <alignment horizontal="center"/>
    </xf>
    <xf numFmtId="0" fontId="24" fillId="0" borderId="0" xfId="0" applyFont="1"/>
    <xf numFmtId="2" fontId="0" fillId="0" borderId="0" xfId="0" applyNumberFormat="1" applyAlignment="1">
      <alignment horizontal="right" vertical="center"/>
    </xf>
    <xf numFmtId="0" fontId="0" fillId="0" borderId="0" xfId="0" applyAlignment="1">
      <alignment horizontal="right"/>
    </xf>
    <xf numFmtId="0" fontId="24" fillId="3" borderId="13" xfId="1" applyFont="1" applyFill="1" applyBorder="1" applyAlignment="1">
      <alignment horizontal="center" vertical="center"/>
    </xf>
    <xf numFmtId="0" fontId="0" fillId="32" borderId="0" xfId="0" applyFill="1"/>
    <xf numFmtId="0" fontId="39" fillId="10" borderId="34" xfId="0" applyFont="1" applyFill="1" applyBorder="1"/>
    <xf numFmtId="0" fontId="75" fillId="5" borderId="13" xfId="0" applyFont="1" applyFill="1" applyBorder="1" applyAlignment="1" applyProtection="1">
      <alignment vertical="center" wrapText="1"/>
      <protection locked="0"/>
    </xf>
    <xf numFmtId="0" fontId="70" fillId="3" borderId="13" xfId="0" applyFont="1" applyFill="1" applyBorder="1" applyAlignment="1">
      <alignment vertical="center" wrapText="1"/>
    </xf>
    <xf numFmtId="0" fontId="12" fillId="0" borderId="7" xfId="0" applyFont="1" applyBorder="1"/>
    <xf numFmtId="0" fontId="0" fillId="35" borderId="8" xfId="0" applyFill="1" applyBorder="1" applyProtection="1">
      <protection locked="0"/>
    </xf>
    <xf numFmtId="0" fontId="78" fillId="0" borderId="0" xfId="0" applyFont="1" applyProtection="1">
      <protection locked="0"/>
    </xf>
    <xf numFmtId="0" fontId="12" fillId="0" borderId="0" xfId="0" applyFont="1" applyAlignment="1">
      <alignment vertical="center"/>
    </xf>
    <xf numFmtId="0" fontId="12" fillId="4" borderId="11" xfId="0" applyFont="1" applyFill="1" applyBorder="1"/>
    <xf numFmtId="0" fontId="12" fillId="0" borderId="0" xfId="0" applyFont="1" applyAlignment="1">
      <alignment vertical="center" wrapText="1"/>
    </xf>
    <xf numFmtId="0" fontId="12" fillId="5" borderId="13" xfId="0" applyFont="1" applyFill="1" applyBorder="1" applyProtection="1">
      <protection locked="0"/>
    </xf>
    <xf numFmtId="0" fontId="12" fillId="0" borderId="0" xfId="0" applyFont="1" applyAlignment="1">
      <alignment horizontal="center"/>
    </xf>
    <xf numFmtId="0" fontId="12" fillId="0" borderId="0" xfId="0" applyFont="1" applyAlignment="1">
      <alignment horizontal="left"/>
    </xf>
    <xf numFmtId="0" fontId="12" fillId="0" borderId="0" xfId="0" applyFont="1" applyAlignment="1">
      <alignment horizontal="center" vertical="center"/>
    </xf>
    <xf numFmtId="0" fontId="12" fillId="0" borderId="8" xfId="0" applyFont="1" applyBorder="1" applyAlignment="1">
      <alignment horizontal="center"/>
    </xf>
    <xf numFmtId="0" fontId="80" fillId="5" borderId="17" xfId="0" applyFont="1" applyFill="1" applyBorder="1" applyAlignment="1" applyProtection="1">
      <alignment horizontal="center" vertical="center"/>
      <protection locked="0"/>
    </xf>
    <xf numFmtId="0" fontId="12" fillId="40" borderId="0" xfId="0" applyFont="1" applyFill="1" applyAlignment="1">
      <alignment horizontal="center" vertical="center"/>
    </xf>
    <xf numFmtId="0" fontId="80" fillId="5" borderId="18" xfId="0" applyFont="1" applyFill="1" applyBorder="1" applyAlignment="1" applyProtection="1">
      <alignment horizontal="center" vertical="center"/>
      <protection locked="0"/>
    </xf>
    <xf numFmtId="0" fontId="64" fillId="0" borderId="0" xfId="0" applyFont="1"/>
    <xf numFmtId="0" fontId="12" fillId="40" borderId="0" xfId="0" applyFont="1" applyFill="1"/>
    <xf numFmtId="0" fontId="78" fillId="0" borderId="0" xfId="0" applyFont="1"/>
    <xf numFmtId="0" fontId="81" fillId="0" borderId="0" xfId="0" applyFont="1"/>
    <xf numFmtId="0" fontId="12" fillId="39" borderId="8" xfId="0" applyFont="1" applyFill="1" applyBorder="1" applyAlignment="1">
      <alignment horizontal="center" vertical="center"/>
    </xf>
    <xf numFmtId="0" fontId="80" fillId="5" borderId="9" xfId="0" applyFont="1" applyFill="1" applyBorder="1" applyAlignment="1" applyProtection="1">
      <alignment horizontal="center" vertical="center"/>
      <protection locked="0"/>
    </xf>
    <xf numFmtId="0" fontId="12" fillId="0" borderId="13" xfId="0" applyFont="1" applyBorder="1" applyProtection="1">
      <protection locked="0"/>
    </xf>
    <xf numFmtId="0" fontId="39" fillId="0" borderId="86" xfId="0" applyFont="1" applyBorder="1" applyAlignment="1">
      <alignment horizontal="center" vertical="center" wrapText="1"/>
    </xf>
    <xf numFmtId="0" fontId="12" fillId="0" borderId="0" xfId="0" quotePrefix="1" applyFont="1" applyAlignment="1">
      <alignment horizontal="center" vertical="center"/>
    </xf>
    <xf numFmtId="0" fontId="39" fillId="0" borderId="0" xfId="0" applyFont="1" applyAlignment="1">
      <alignment vertical="center"/>
    </xf>
    <xf numFmtId="0" fontId="75" fillId="3" borderId="13" xfId="0" applyFont="1" applyFill="1" applyBorder="1" applyAlignment="1" applyProtection="1">
      <alignment horizontal="center"/>
      <protection locked="0"/>
    </xf>
    <xf numFmtId="0" fontId="0" fillId="21" borderId="0" xfId="0" applyFill="1"/>
    <xf numFmtId="0" fontId="38" fillId="0" borderId="0" xfId="1" applyFont="1" applyProtection="1">
      <alignment vertical="center"/>
      <protection locked="0" hidden="1"/>
    </xf>
    <xf numFmtId="0" fontId="0" fillId="0" borderId="0" xfId="0" applyAlignment="1" applyProtection="1">
      <alignment horizontal="center" wrapText="1"/>
      <protection locked="0"/>
    </xf>
    <xf numFmtId="0" fontId="24" fillId="0" borderId="13" xfId="0" applyFont="1" applyBorder="1" applyProtection="1">
      <protection locked="0"/>
    </xf>
    <xf numFmtId="2" fontId="77" fillId="3" borderId="8" xfId="1" applyNumberFormat="1" applyFont="1" applyFill="1" applyBorder="1" applyAlignment="1">
      <alignment vertical="center" wrapText="1"/>
    </xf>
    <xf numFmtId="0" fontId="12" fillId="0" borderId="0" xfId="0" quotePrefix="1" applyFont="1"/>
    <xf numFmtId="0" fontId="5" fillId="41" borderId="9" xfId="1" applyFont="1" applyFill="1" applyBorder="1">
      <alignment vertical="center"/>
    </xf>
    <xf numFmtId="0" fontId="10" fillId="41" borderId="0" xfId="1" applyFont="1" applyFill="1">
      <alignment vertical="center"/>
    </xf>
    <xf numFmtId="0" fontId="6" fillId="3" borderId="8" xfId="1" applyFont="1" applyFill="1" applyBorder="1" applyAlignment="1">
      <alignment horizontal="center" vertical="center"/>
    </xf>
    <xf numFmtId="0" fontId="12" fillId="3" borderId="0" xfId="0" applyFont="1" applyFill="1"/>
    <xf numFmtId="0" fontId="12" fillId="3" borderId="8" xfId="0" applyFont="1" applyFill="1" applyBorder="1"/>
    <xf numFmtId="0" fontId="24" fillId="5" borderId="21" xfId="0" applyFont="1" applyFill="1" applyBorder="1" applyAlignment="1">
      <alignment horizontal="left"/>
    </xf>
    <xf numFmtId="49" fontId="6" fillId="3" borderId="0" xfId="1" applyNumberFormat="1" applyFont="1" applyFill="1" applyAlignment="1" applyProtection="1">
      <alignment horizontal="center" vertical="center"/>
      <protection locked="0"/>
    </xf>
    <xf numFmtId="164" fontId="6" fillId="2" borderId="0" xfId="1" applyNumberFormat="1" applyFont="1" applyFill="1" applyProtection="1">
      <alignment vertical="center"/>
      <protection locked="0"/>
    </xf>
    <xf numFmtId="0" fontId="0" fillId="9" borderId="70" xfId="0" applyFill="1" applyBorder="1"/>
    <xf numFmtId="0" fontId="0" fillId="10" borderId="71" xfId="0" applyFill="1" applyBorder="1"/>
    <xf numFmtId="0" fontId="5" fillId="3" borderId="13" xfId="0" applyFont="1" applyFill="1" applyBorder="1" applyAlignment="1" applyProtection="1">
      <alignment horizontal="center" vertical="center"/>
      <protection locked="0"/>
    </xf>
    <xf numFmtId="0" fontId="5" fillId="3" borderId="13" xfId="0" applyFont="1" applyFill="1" applyBorder="1" applyAlignment="1" applyProtection="1">
      <alignment horizontal="center" vertical="center" wrapText="1"/>
      <protection locked="0"/>
    </xf>
    <xf numFmtId="0" fontId="5" fillId="5" borderId="13" xfId="0" applyFont="1" applyFill="1" applyBorder="1" applyProtection="1">
      <protection locked="0"/>
    </xf>
    <xf numFmtId="0" fontId="24" fillId="3" borderId="13" xfId="0" applyFont="1" applyFill="1" applyBorder="1" applyProtection="1">
      <protection locked="0"/>
    </xf>
    <xf numFmtId="0" fontId="64" fillId="0" borderId="0" xfId="0" applyFont="1" applyAlignment="1">
      <alignment vertical="center"/>
    </xf>
    <xf numFmtId="0" fontId="23" fillId="3" borderId="7" xfId="0" applyFont="1" applyFill="1" applyBorder="1"/>
    <xf numFmtId="0" fontId="23" fillId="3" borderId="0" xfId="0" applyFont="1" applyFill="1"/>
    <xf numFmtId="0" fontId="23" fillId="3" borderId="8" xfId="0" applyFont="1" applyFill="1" applyBorder="1"/>
    <xf numFmtId="0" fontId="0" fillId="3" borderId="6" xfId="0" applyFill="1" applyBorder="1"/>
    <xf numFmtId="0" fontId="24" fillId="11" borderId="0" xfId="0" applyFont="1" applyFill="1" applyAlignment="1">
      <alignment horizontal="right"/>
    </xf>
    <xf numFmtId="0" fontId="51" fillId="3" borderId="0" xfId="1" applyFont="1" applyFill="1" applyProtection="1">
      <alignment vertical="center"/>
      <protection hidden="1"/>
    </xf>
    <xf numFmtId="0" fontId="38" fillId="0" borderId="0" xfId="1" applyFont="1" applyProtection="1">
      <alignment vertical="center"/>
      <protection locked="0"/>
    </xf>
    <xf numFmtId="2" fontId="6" fillId="0" borderId="0" xfId="1" applyNumberFormat="1" applyFont="1">
      <alignment vertical="center"/>
    </xf>
    <xf numFmtId="2" fontId="49" fillId="0" borderId="0" xfId="1" applyNumberFormat="1" applyFont="1">
      <alignment vertical="center"/>
    </xf>
    <xf numFmtId="0" fontId="0" fillId="0" borderId="36" xfId="0" applyBorder="1"/>
    <xf numFmtId="0" fontId="24" fillId="5" borderId="22" xfId="0" applyFont="1" applyFill="1" applyBorder="1" applyAlignment="1" applyProtection="1">
      <alignment horizontal="left"/>
      <protection locked="0"/>
    </xf>
    <xf numFmtId="0" fontId="24" fillId="5" borderId="13" xfId="0" applyFont="1" applyFill="1" applyBorder="1" applyAlignment="1" applyProtection="1">
      <alignment horizontal="left"/>
      <protection locked="0"/>
    </xf>
    <xf numFmtId="0" fontId="5" fillId="6" borderId="9" xfId="1" applyFont="1" applyFill="1" applyBorder="1">
      <alignment vertical="center"/>
    </xf>
    <xf numFmtId="0" fontId="10" fillId="8" borderId="7" xfId="1" applyFont="1" applyFill="1" applyBorder="1">
      <alignment vertical="center"/>
    </xf>
    <xf numFmtId="0" fontId="5" fillId="8" borderId="9" xfId="1" applyFont="1" applyFill="1" applyBorder="1">
      <alignment vertical="center"/>
    </xf>
    <xf numFmtId="0" fontId="5" fillId="8" borderId="7" xfId="1" applyFont="1" applyFill="1" applyBorder="1">
      <alignment vertical="center"/>
    </xf>
    <xf numFmtId="0" fontId="1" fillId="0" borderId="7" xfId="1" applyBorder="1">
      <alignment vertical="center"/>
    </xf>
    <xf numFmtId="0" fontId="0" fillId="3" borderId="13" xfId="0" applyFill="1" applyBorder="1" applyAlignment="1">
      <alignment horizontal="left"/>
    </xf>
    <xf numFmtId="0" fontId="1" fillId="6" borderId="7" xfId="1" applyFill="1" applyBorder="1">
      <alignment vertical="center"/>
    </xf>
    <xf numFmtId="0" fontId="10" fillId="6" borderId="0" xfId="1" applyFont="1" applyFill="1">
      <alignment vertical="center"/>
    </xf>
    <xf numFmtId="0" fontId="5" fillId="3" borderId="87" xfId="1" applyFont="1" applyFill="1" applyBorder="1">
      <alignment vertical="center"/>
    </xf>
    <xf numFmtId="0" fontId="5" fillId="6" borderId="7" xfId="1" applyFont="1" applyFill="1" applyBorder="1">
      <alignment vertical="center"/>
    </xf>
    <xf numFmtId="0" fontId="10" fillId="6" borderId="7" xfId="1" applyFont="1" applyFill="1" applyBorder="1">
      <alignment vertical="center"/>
    </xf>
    <xf numFmtId="2" fontId="6" fillId="3" borderId="89" xfId="1" applyNumberFormat="1" applyFont="1" applyFill="1" applyBorder="1">
      <alignment vertical="center"/>
    </xf>
    <xf numFmtId="2" fontId="6" fillId="3" borderId="44" xfId="1" applyNumberFormat="1" applyFont="1" applyFill="1" applyBorder="1">
      <alignment vertical="center"/>
    </xf>
    <xf numFmtId="0" fontId="0" fillId="3" borderId="24" xfId="0" applyFill="1" applyBorder="1" applyAlignment="1">
      <alignment horizontal="left"/>
    </xf>
    <xf numFmtId="0" fontId="24" fillId="0" borderId="45" xfId="0" applyFont="1" applyBorder="1" applyAlignment="1" applyProtection="1">
      <alignment horizontal="center"/>
      <protection locked="0"/>
    </xf>
    <xf numFmtId="0" fontId="24" fillId="0" borderId="22" xfId="0" applyFont="1" applyBorder="1" applyAlignment="1" applyProtection="1">
      <alignment horizontal="center"/>
      <protection locked="0"/>
    </xf>
    <xf numFmtId="0" fontId="24" fillId="0" borderId="22" xfId="0" applyFont="1" applyBorder="1" applyAlignment="1">
      <alignment horizontal="center" wrapText="1"/>
    </xf>
    <xf numFmtId="0" fontId="24" fillId="3" borderId="45" xfId="0" applyFont="1" applyFill="1" applyBorder="1" applyAlignment="1" applyProtection="1">
      <alignment horizontal="center"/>
      <protection locked="0"/>
    </xf>
    <xf numFmtId="0" fontId="24" fillId="0" borderId="61" xfId="0" applyFont="1" applyBorder="1" applyProtection="1">
      <protection locked="0"/>
    </xf>
    <xf numFmtId="0" fontId="0" fillId="0" borderId="24" xfId="0" applyBorder="1" applyAlignment="1" applyProtection="1">
      <alignment horizontal="right"/>
      <protection locked="0"/>
    </xf>
    <xf numFmtId="0" fontId="0" fillId="0" borderId="24" xfId="0" applyBorder="1"/>
    <xf numFmtId="0" fontId="0" fillId="0" borderId="21" xfId="0" applyBorder="1" applyAlignment="1" applyProtection="1">
      <alignment horizontal="right"/>
      <protection locked="0"/>
    </xf>
    <xf numFmtId="0" fontId="24" fillId="3" borderId="45" xfId="0" applyFont="1" applyFill="1" applyBorder="1" applyAlignment="1">
      <alignment horizontal="center" wrapText="1"/>
    </xf>
    <xf numFmtId="0" fontId="24" fillId="0" borderId="90" xfId="0" applyFont="1" applyBorder="1" applyAlignment="1" applyProtection="1">
      <alignment horizontal="center"/>
      <protection locked="0"/>
    </xf>
    <xf numFmtId="0" fontId="24" fillId="0" borderId="90" xfId="0" applyFont="1" applyBorder="1" applyAlignment="1">
      <alignment horizontal="center" wrapText="1"/>
    </xf>
    <xf numFmtId="0" fontId="24" fillId="0" borderId="45" xfId="0" applyFont="1" applyBorder="1" applyAlignment="1">
      <alignment horizontal="center" wrapText="1"/>
    </xf>
    <xf numFmtId="168" fontId="0" fillId="3" borderId="5" xfId="0" applyNumberFormat="1" applyFill="1" applyBorder="1" applyProtection="1">
      <protection locked="0"/>
    </xf>
    <xf numFmtId="0" fontId="24" fillId="5" borderId="21" xfId="0" applyFont="1" applyFill="1" applyBorder="1" applyAlignment="1" applyProtection="1">
      <alignment horizontal="left"/>
      <protection locked="0"/>
    </xf>
    <xf numFmtId="0" fontId="84" fillId="5" borderId="28" xfId="1" applyFont="1" applyFill="1" applyBorder="1" applyProtection="1">
      <alignment vertical="center"/>
      <protection locked="0" hidden="1"/>
    </xf>
    <xf numFmtId="0" fontId="24" fillId="5" borderId="22" xfId="0" applyFont="1" applyFill="1" applyBorder="1" applyAlignment="1" applyProtection="1">
      <alignment horizontal="left" vertical="center" wrapText="1"/>
      <protection locked="0"/>
    </xf>
    <xf numFmtId="0" fontId="0" fillId="0" borderId="12" xfId="0" applyBorder="1" applyProtection="1">
      <protection locked="0"/>
    </xf>
    <xf numFmtId="0" fontId="0" fillId="0" borderId="15" xfId="0" applyBorder="1" applyProtection="1">
      <protection locked="0"/>
    </xf>
    <xf numFmtId="0" fontId="0" fillId="0" borderId="14" xfId="0" applyBorder="1" applyProtection="1">
      <protection locked="0"/>
    </xf>
    <xf numFmtId="2" fontId="24" fillId="0" borderId="13" xfId="0" applyNumberFormat="1" applyFont="1" applyBorder="1" applyAlignment="1" applyProtection="1">
      <alignment horizontal="left"/>
      <protection locked="0"/>
    </xf>
    <xf numFmtId="2" fontId="24" fillId="5" borderId="22" xfId="1" applyNumberFormat="1" applyFont="1" applyFill="1" applyBorder="1" applyProtection="1">
      <alignment vertical="center"/>
      <protection locked="0"/>
    </xf>
    <xf numFmtId="2" fontId="24" fillId="5" borderId="22" xfId="1" applyNumberFormat="1" applyFont="1" applyFill="1" applyBorder="1" applyAlignment="1" applyProtection="1">
      <alignment horizontal="left" vertical="center"/>
      <protection locked="0"/>
    </xf>
    <xf numFmtId="0" fontId="24" fillId="5" borderId="13" xfId="1" applyFont="1" applyFill="1" applyBorder="1" applyAlignment="1" applyProtection="1">
      <alignment horizontal="left" vertical="center"/>
      <protection locked="0" hidden="1"/>
    </xf>
    <xf numFmtId="0" fontId="24" fillId="5" borderId="13" xfId="0" applyFont="1" applyFill="1" applyBorder="1" applyAlignment="1" applyProtection="1">
      <alignment wrapText="1"/>
      <protection locked="0"/>
    </xf>
    <xf numFmtId="0" fontId="24" fillId="5" borderId="13" xfId="0" applyFont="1" applyFill="1" applyBorder="1" applyAlignment="1" applyProtection="1">
      <alignment horizontal="left"/>
      <protection locked="0" hidden="1"/>
    </xf>
    <xf numFmtId="0" fontId="72" fillId="0" borderId="22" xfId="0" applyFont="1" applyBorder="1" applyAlignment="1" applyProtection="1">
      <alignment horizontal="left"/>
      <protection locked="0"/>
    </xf>
    <xf numFmtId="0" fontId="72" fillId="0" borderId="13" xfId="0" applyFont="1" applyBorder="1" applyAlignment="1" applyProtection="1">
      <alignment horizontal="left"/>
      <protection locked="0"/>
    </xf>
    <xf numFmtId="0" fontId="5" fillId="5" borderId="13" xfId="0" applyFont="1" applyFill="1" applyBorder="1" applyAlignment="1" applyProtection="1">
      <alignment horizontal="left" vertical="center"/>
      <protection locked="0"/>
    </xf>
    <xf numFmtId="2" fontId="24" fillId="3" borderId="12" xfId="0" applyNumberFormat="1" applyFont="1" applyFill="1" applyBorder="1" applyAlignment="1" applyProtection="1">
      <alignment horizontal="left"/>
      <protection locked="0"/>
    </xf>
    <xf numFmtId="2" fontId="24" fillId="3" borderId="15" xfId="0" applyNumberFormat="1" applyFont="1" applyFill="1" applyBorder="1" applyAlignment="1" applyProtection="1">
      <alignment horizontal="center"/>
      <protection locked="0"/>
    </xf>
    <xf numFmtId="2" fontId="24" fillId="3" borderId="14" xfId="0" applyNumberFormat="1" applyFont="1" applyFill="1" applyBorder="1" applyAlignment="1" applyProtection="1">
      <alignment horizontal="center"/>
      <protection locked="0"/>
    </xf>
    <xf numFmtId="0" fontId="0" fillId="5" borderId="22" xfId="0" applyFill="1" applyBorder="1" applyAlignment="1" applyProtection="1">
      <alignment horizontal="left"/>
      <protection locked="0"/>
    </xf>
    <xf numFmtId="0" fontId="0" fillId="3" borderId="0" xfId="0" applyFill="1" applyAlignment="1" applyProtection="1">
      <alignment horizontal="left"/>
      <protection locked="0"/>
    </xf>
    <xf numFmtId="0" fontId="24" fillId="0" borderId="12" xfId="0" applyFont="1" applyBorder="1" applyAlignment="1" applyProtection="1">
      <alignment horizontal="left"/>
      <protection locked="0"/>
    </xf>
    <xf numFmtId="0" fontId="24" fillId="0" borderId="15" xfId="0" applyFont="1" applyBorder="1" applyAlignment="1" applyProtection="1">
      <alignment horizontal="center"/>
      <protection locked="0"/>
    </xf>
    <xf numFmtId="0" fontId="24" fillId="0" borderId="14" xfId="0" applyFont="1" applyBorder="1" applyAlignment="1" applyProtection="1">
      <alignment horizontal="center"/>
      <protection locked="0"/>
    </xf>
    <xf numFmtId="0" fontId="24" fillId="12" borderId="13" xfId="0" applyFont="1" applyFill="1" applyBorder="1" applyAlignment="1" applyProtection="1">
      <alignment horizontal="left"/>
      <protection locked="0"/>
    </xf>
    <xf numFmtId="0" fontId="24" fillId="11" borderId="12" xfId="0" applyFont="1" applyFill="1" applyBorder="1" applyAlignment="1" applyProtection="1">
      <alignment horizontal="left"/>
      <protection locked="0"/>
    </xf>
    <xf numFmtId="0" fontId="24" fillId="11" borderId="15" xfId="0" applyFont="1" applyFill="1" applyBorder="1" applyAlignment="1" applyProtection="1">
      <alignment horizontal="right"/>
      <protection locked="0"/>
    </xf>
    <xf numFmtId="0" fontId="24" fillId="11" borderId="14" xfId="0" applyFont="1" applyFill="1" applyBorder="1" applyAlignment="1" applyProtection="1">
      <alignment horizontal="right"/>
      <protection locked="0"/>
    </xf>
    <xf numFmtId="166" fontId="24" fillId="5" borderId="22" xfId="0" applyNumberFormat="1" applyFont="1" applyFill="1" applyBorder="1" applyAlignment="1" applyProtection="1">
      <alignment horizontal="left" vertical="center" wrapText="1"/>
      <protection locked="0" hidden="1"/>
    </xf>
    <xf numFmtId="166" fontId="24" fillId="5" borderId="13" xfId="0" applyNumberFormat="1" applyFont="1" applyFill="1" applyBorder="1" applyAlignment="1" applyProtection="1">
      <alignment horizontal="left" vertical="center" wrapText="1"/>
      <protection locked="0" hidden="1"/>
    </xf>
    <xf numFmtId="0" fontId="24" fillId="5" borderId="13" xfId="1" applyFont="1" applyFill="1" applyBorder="1" applyAlignment="1" applyProtection="1">
      <alignment horizontal="left" vertical="center"/>
      <protection locked="0"/>
    </xf>
    <xf numFmtId="0" fontId="0" fillId="7" borderId="13" xfId="0" applyFill="1" applyBorder="1" applyAlignment="1" applyProtection="1">
      <alignment horizontal="left"/>
      <protection locked="0"/>
    </xf>
    <xf numFmtId="0" fontId="0" fillId="7" borderId="13" xfId="0" applyFill="1" applyBorder="1" applyAlignment="1" applyProtection="1">
      <alignment horizontal="center"/>
      <protection locked="0"/>
    </xf>
    <xf numFmtId="0" fontId="0" fillId="7" borderId="15" xfId="0" applyFill="1" applyBorder="1" applyAlignment="1" applyProtection="1">
      <alignment horizontal="center"/>
      <protection locked="0"/>
    </xf>
    <xf numFmtId="0" fontId="0" fillId="7" borderId="14" xfId="0" applyFill="1" applyBorder="1" applyAlignment="1" applyProtection="1">
      <alignment horizontal="center"/>
      <protection locked="0"/>
    </xf>
    <xf numFmtId="0" fontId="0" fillId="5" borderId="14" xfId="0" applyFill="1" applyBorder="1" applyAlignment="1" applyProtection="1">
      <alignment horizontal="left"/>
      <protection locked="0"/>
    </xf>
    <xf numFmtId="0" fontId="0" fillId="3" borderId="5" xfId="0" applyFill="1" applyBorder="1" applyAlignment="1" applyProtection="1">
      <alignment horizontal="left"/>
      <protection locked="0"/>
    </xf>
    <xf numFmtId="164" fontId="6" fillId="3" borderId="5" xfId="1" applyNumberFormat="1" applyFont="1" applyFill="1" applyBorder="1" applyAlignment="1" applyProtection="1">
      <alignment horizontal="left" vertical="center"/>
      <protection locked="0"/>
    </xf>
    <xf numFmtId="0" fontId="75" fillId="5" borderId="22" xfId="0" applyFont="1" applyFill="1" applyBorder="1" applyAlignment="1" applyProtection="1">
      <alignment horizontal="left"/>
      <protection locked="0"/>
    </xf>
    <xf numFmtId="0" fontId="75" fillId="5" borderId="13" xfId="0" applyFont="1" applyFill="1" applyBorder="1" applyAlignment="1" applyProtection="1">
      <alignment horizontal="left"/>
      <protection locked="0"/>
    </xf>
    <xf numFmtId="0" fontId="24" fillId="21" borderId="22" xfId="0" applyFont="1" applyFill="1" applyBorder="1" applyProtection="1">
      <protection locked="0"/>
    </xf>
    <xf numFmtId="0" fontId="24" fillId="21" borderId="13" xfId="0" applyFont="1" applyFill="1" applyBorder="1" applyProtection="1">
      <protection locked="0"/>
    </xf>
    <xf numFmtId="0" fontId="0" fillId="21" borderId="13" xfId="0" applyFill="1" applyBorder="1" applyProtection="1">
      <protection locked="0"/>
    </xf>
    <xf numFmtId="169" fontId="24" fillId="42" borderId="13" xfId="0" applyNumberFormat="1" applyFont="1" applyFill="1" applyBorder="1" applyAlignment="1" applyProtection="1">
      <alignment horizontal="left"/>
      <protection locked="0"/>
    </xf>
    <xf numFmtId="0" fontId="0" fillId="21" borderId="22" xfId="0" applyFill="1" applyBorder="1" applyAlignment="1" applyProtection="1">
      <alignment horizontal="left"/>
      <protection locked="0"/>
    </xf>
    <xf numFmtId="0" fontId="0" fillId="21" borderId="13" xfId="0" applyFill="1" applyBorder="1" applyAlignment="1" applyProtection="1">
      <alignment horizontal="left"/>
      <protection locked="0"/>
    </xf>
    <xf numFmtId="169" fontId="24" fillId="42" borderId="22" xfId="0" applyNumberFormat="1" applyFont="1" applyFill="1" applyBorder="1" applyAlignment="1" applyProtection="1">
      <alignment horizontal="left"/>
      <protection locked="0"/>
    </xf>
    <xf numFmtId="0" fontId="24" fillId="42" borderId="22" xfId="0" applyFont="1" applyFill="1" applyBorder="1" applyAlignment="1" applyProtection="1">
      <alignment horizontal="left"/>
      <protection locked="0"/>
    </xf>
    <xf numFmtId="0" fontId="24" fillId="42" borderId="13" xfId="0" applyFont="1" applyFill="1" applyBorder="1" applyAlignment="1" applyProtection="1">
      <alignment horizontal="left"/>
      <protection locked="0"/>
    </xf>
    <xf numFmtId="0" fontId="24" fillId="42" borderId="45" xfId="0" applyFont="1" applyFill="1" applyBorder="1" applyAlignment="1" applyProtection="1">
      <alignment horizontal="left"/>
      <protection locked="0"/>
    </xf>
    <xf numFmtId="0" fontId="24" fillId="5" borderId="45" xfId="0" applyFont="1" applyFill="1" applyBorder="1" applyAlignment="1" applyProtection="1">
      <alignment horizontal="left"/>
      <protection locked="0"/>
    </xf>
    <xf numFmtId="0" fontId="24" fillId="12" borderId="22" xfId="0" applyFont="1" applyFill="1" applyBorder="1" applyAlignment="1" applyProtection="1">
      <alignment horizontal="left"/>
      <protection locked="0"/>
    </xf>
    <xf numFmtId="0" fontId="24" fillId="12" borderId="45" xfId="0" applyFont="1" applyFill="1" applyBorder="1" applyAlignment="1" applyProtection="1">
      <alignment horizontal="left"/>
      <protection locked="0"/>
    </xf>
    <xf numFmtId="0" fontId="0" fillId="0" borderId="7" xfId="0" applyBorder="1" applyAlignment="1">
      <alignment horizontal="left" vertical="center"/>
    </xf>
    <xf numFmtId="0" fontId="0" fillId="0" borderId="24" xfId="0" applyBorder="1" applyAlignment="1">
      <alignment horizontal="left" vertical="center"/>
    </xf>
    <xf numFmtId="0" fontId="6" fillId="3" borderId="7" xfId="1" applyFont="1" applyFill="1" applyBorder="1" applyAlignment="1">
      <alignment horizontal="left" vertical="center"/>
    </xf>
    <xf numFmtId="0" fontId="6" fillId="3" borderId="0" xfId="1" applyFont="1" applyFill="1" applyAlignment="1">
      <alignment horizontal="left" vertical="center"/>
    </xf>
    <xf numFmtId="0" fontId="6" fillId="3" borderId="24" xfId="1" applyFont="1" applyFill="1" applyBorder="1" applyAlignment="1">
      <alignment horizontal="left" vertical="center"/>
    </xf>
    <xf numFmtId="0" fontId="0" fillId="3" borderId="7" xfId="0" applyFill="1" applyBorder="1" applyAlignment="1">
      <alignment horizontal="left"/>
    </xf>
    <xf numFmtId="0" fontId="0" fillId="3" borderId="0" xfId="0" applyFill="1" applyAlignment="1">
      <alignment horizontal="left"/>
    </xf>
    <xf numFmtId="0" fontId="0" fillId="3" borderId="79" xfId="0" applyFill="1" applyBorder="1" applyAlignment="1">
      <alignment horizontal="left"/>
    </xf>
    <xf numFmtId="0" fontId="0" fillId="3" borderId="61" xfId="0" applyFill="1" applyBorder="1" applyAlignment="1">
      <alignment horizontal="left"/>
    </xf>
    <xf numFmtId="164" fontId="23" fillId="3" borderId="7" xfId="1" applyNumberFormat="1" applyFont="1" applyFill="1" applyBorder="1" applyAlignment="1">
      <alignment horizontal="left" vertical="center"/>
    </xf>
    <xf numFmtId="164" fontId="23" fillId="3" borderId="24" xfId="1" applyNumberFormat="1" applyFont="1" applyFill="1" applyBorder="1" applyAlignment="1">
      <alignment horizontal="left" vertical="center"/>
    </xf>
    <xf numFmtId="0" fontId="0" fillId="3" borderId="24" xfId="0" applyFill="1" applyBorder="1" applyAlignment="1">
      <alignment horizontal="left"/>
    </xf>
    <xf numFmtId="0" fontId="23" fillId="3" borderId="7" xfId="1" applyFont="1" applyFill="1" applyBorder="1" applyAlignment="1">
      <alignment horizontal="left" vertical="center"/>
    </xf>
    <xf numFmtId="0" fontId="23" fillId="3" borderId="24" xfId="1" applyFont="1" applyFill="1" applyBorder="1" applyAlignment="1">
      <alignment horizontal="left" vertical="center"/>
    </xf>
    <xf numFmtId="0" fontId="0" fillId="0" borderId="7" xfId="0" applyBorder="1"/>
    <xf numFmtId="0" fontId="0" fillId="0" borderId="24" xfId="0" applyBorder="1"/>
    <xf numFmtId="0" fontId="0" fillId="3" borderId="4" xfId="0" applyFill="1" applyBorder="1" applyAlignment="1">
      <alignment horizontal="center"/>
    </xf>
    <xf numFmtId="0" fontId="0" fillId="3" borderId="5" xfId="0" applyFill="1" applyBorder="1" applyAlignment="1">
      <alignment horizontal="center"/>
    </xf>
    <xf numFmtId="0" fontId="23" fillId="3" borderId="7" xfId="0" applyFont="1" applyFill="1" applyBorder="1" applyAlignment="1">
      <alignment horizontal="left"/>
    </xf>
    <xf numFmtId="0" fontId="23" fillId="3" borderId="0" xfId="0" applyFont="1" applyFill="1" applyAlignment="1">
      <alignment horizontal="left"/>
    </xf>
    <xf numFmtId="0" fontId="0" fillId="7" borderId="7" xfId="0" applyFill="1" applyBorder="1" applyAlignment="1">
      <alignment horizontal="center"/>
    </xf>
    <xf numFmtId="0" fontId="0" fillId="7" borderId="24" xfId="0" applyFill="1" applyBorder="1" applyAlignment="1">
      <alignment horizontal="center"/>
    </xf>
    <xf numFmtId="0" fontId="0" fillId="4" borderId="7" xfId="0" applyFill="1" applyBorder="1" applyAlignment="1">
      <alignment horizontal="left"/>
    </xf>
    <xf numFmtId="0" fontId="0" fillId="4" borderId="0" xfId="0" applyFill="1" applyAlignment="1">
      <alignment horizontal="left"/>
    </xf>
    <xf numFmtId="0" fontId="24" fillId="3" borderId="7" xfId="0" applyFont="1" applyFill="1" applyBorder="1" applyAlignment="1">
      <alignment horizontal="center" vertical="center"/>
    </xf>
    <xf numFmtId="0" fontId="24" fillId="3" borderId="0" xfId="0" applyFont="1" applyFill="1" applyAlignment="1">
      <alignment horizontal="center" vertical="center"/>
    </xf>
    <xf numFmtId="0" fontId="6" fillId="3" borderId="0" xfId="1" quotePrefix="1" applyFont="1" applyFill="1" applyAlignment="1">
      <alignment horizontal="left" vertical="center"/>
    </xf>
    <xf numFmtId="0" fontId="23" fillId="3" borderId="24" xfId="0" applyFont="1" applyFill="1" applyBorder="1" applyAlignment="1">
      <alignment horizontal="left"/>
    </xf>
    <xf numFmtId="0" fontId="0" fillId="3" borderId="7" xfId="0" applyFill="1" applyBorder="1" applyAlignment="1">
      <alignment horizontal="center"/>
    </xf>
    <xf numFmtId="0" fontId="0" fillId="3" borderId="0" xfId="0" applyFill="1" applyAlignment="1">
      <alignment horizontal="center"/>
    </xf>
    <xf numFmtId="0" fontId="33" fillId="3" borderId="7" xfId="0" applyFont="1" applyFill="1" applyBorder="1" applyAlignment="1">
      <alignment horizontal="left"/>
    </xf>
    <xf numFmtId="0" fontId="33" fillId="3" borderId="0" xfId="0" applyFont="1" applyFill="1" applyAlignment="1">
      <alignment horizontal="left"/>
    </xf>
    <xf numFmtId="0" fontId="0" fillId="4" borderId="1" xfId="0" applyFill="1" applyBorder="1" applyAlignment="1">
      <alignment horizontal="left"/>
    </xf>
    <xf numFmtId="0" fontId="0" fillId="4" borderId="2" xfId="0" applyFill="1" applyBorder="1" applyAlignment="1">
      <alignment horizontal="left"/>
    </xf>
    <xf numFmtId="0" fontId="12" fillId="3" borderId="7" xfId="0" applyFont="1" applyFill="1" applyBorder="1" applyAlignment="1">
      <alignment horizontal="left"/>
    </xf>
    <xf numFmtId="0" fontId="12" fillId="3" borderId="0" xfId="0" applyFont="1" applyFill="1" applyAlignment="1">
      <alignment horizontal="left"/>
    </xf>
    <xf numFmtId="0" fontId="0" fillId="3" borderId="7" xfId="0" applyFill="1" applyBorder="1" applyAlignment="1">
      <alignment horizontal="left" wrapText="1"/>
    </xf>
    <xf numFmtId="0" fontId="0" fillId="3" borderId="0" xfId="0" applyFill="1" applyAlignment="1">
      <alignment horizontal="left" wrapText="1"/>
    </xf>
    <xf numFmtId="0" fontId="33" fillId="3" borderId="7" xfId="0" applyFont="1" applyFill="1" applyBorder="1" applyAlignment="1">
      <alignment horizontal="left" vertical="center"/>
    </xf>
    <xf numFmtId="0" fontId="33" fillId="3" borderId="0" xfId="0" applyFont="1" applyFill="1" applyAlignment="1">
      <alignment horizontal="left" vertical="center"/>
    </xf>
    <xf numFmtId="0" fontId="6" fillId="3" borderId="0" xfId="0" applyFont="1" applyFill="1" applyAlignment="1">
      <alignment horizontal="left" vertical="center"/>
    </xf>
    <xf numFmtId="0" fontId="12" fillId="3" borderId="7" xfId="0" applyFont="1" applyFill="1" applyBorder="1" applyAlignment="1">
      <alignment horizontal="left" wrapText="1"/>
    </xf>
    <xf numFmtId="0" fontId="12" fillId="3" borderId="24" xfId="0" applyFont="1" applyFill="1" applyBorder="1" applyAlignment="1">
      <alignment horizontal="left" wrapText="1"/>
    </xf>
    <xf numFmtId="0" fontId="19" fillId="5" borderId="10" xfId="0" applyFont="1" applyFill="1" applyBorder="1" applyAlignment="1">
      <alignment horizontal="center"/>
    </xf>
    <xf numFmtId="0" fontId="19" fillId="5" borderId="11" xfId="0" applyFont="1" applyFill="1" applyBorder="1" applyAlignment="1">
      <alignment horizontal="center"/>
    </xf>
    <xf numFmtId="0" fontId="19" fillId="5" borderId="18" xfId="0" applyFont="1" applyFill="1" applyBorder="1" applyAlignment="1">
      <alignment horizontal="center"/>
    </xf>
    <xf numFmtId="0" fontId="0" fillId="3" borderId="4" xfId="0" applyFill="1" applyBorder="1" applyAlignment="1">
      <alignment horizontal="left"/>
    </xf>
    <xf numFmtId="0" fontId="0" fillId="3" borderId="5" xfId="0" applyFill="1" applyBorder="1" applyAlignment="1">
      <alignment horizontal="left"/>
    </xf>
    <xf numFmtId="0" fontId="0" fillId="3" borderId="24" xfId="0" applyFill="1" applyBorder="1" applyAlignment="1">
      <alignment horizontal="left" wrapText="1"/>
    </xf>
    <xf numFmtId="0" fontId="21" fillId="13" borderId="25" xfId="1" applyFont="1" applyFill="1" applyBorder="1" applyAlignment="1">
      <alignment horizontal="center" vertical="center"/>
    </xf>
    <xf numFmtId="0" fontId="21" fillId="13" borderId="33" xfId="1" applyFont="1" applyFill="1" applyBorder="1" applyAlignment="1">
      <alignment horizontal="center" vertical="center"/>
    </xf>
    <xf numFmtId="0" fontId="21" fillId="13" borderId="32" xfId="1" applyFont="1" applyFill="1" applyBorder="1" applyAlignment="1">
      <alignment horizontal="center" vertical="center"/>
    </xf>
    <xf numFmtId="0" fontId="6" fillId="6" borderId="12" xfId="1" applyFont="1" applyFill="1" applyBorder="1" applyAlignment="1" applyProtection="1">
      <alignment horizontal="left" vertical="center"/>
      <protection locked="0"/>
    </xf>
    <xf numFmtId="0" fontId="6" fillId="6" borderId="15" xfId="1" applyFont="1" applyFill="1" applyBorder="1" applyAlignment="1" applyProtection="1">
      <alignment horizontal="left" vertical="center"/>
      <protection locked="0"/>
    </xf>
    <xf numFmtId="0" fontId="6" fillId="6" borderId="14" xfId="1" applyFont="1" applyFill="1" applyBorder="1" applyAlignment="1" applyProtection="1">
      <alignment horizontal="left" vertical="center"/>
      <protection locked="0"/>
    </xf>
    <xf numFmtId="49" fontId="23" fillId="20" borderId="12" xfId="1" applyNumberFormat="1" applyFont="1" applyFill="1" applyBorder="1" applyProtection="1">
      <alignment vertical="center"/>
      <protection locked="0"/>
    </xf>
    <xf numFmtId="49" fontId="23" fillId="20" borderId="15" xfId="1" applyNumberFormat="1" applyFont="1" applyFill="1" applyBorder="1" applyProtection="1">
      <alignment vertical="center"/>
      <protection locked="0"/>
    </xf>
    <xf numFmtId="0" fontId="6" fillId="20" borderId="60" xfId="1" applyFont="1" applyFill="1" applyBorder="1" applyAlignment="1" applyProtection="1">
      <alignment horizontal="left" vertical="center"/>
      <protection locked="0"/>
    </xf>
    <xf numFmtId="0" fontId="6" fillId="20" borderId="35" xfId="1" applyFont="1" applyFill="1" applyBorder="1" applyAlignment="1" applyProtection="1">
      <alignment horizontal="left" vertical="center"/>
      <protection locked="0"/>
    </xf>
    <xf numFmtId="0" fontId="6" fillId="20" borderId="61" xfId="1" applyFont="1" applyFill="1" applyBorder="1" applyAlignment="1" applyProtection="1">
      <alignment horizontal="left" vertical="center"/>
      <protection locked="0"/>
    </xf>
    <xf numFmtId="0" fontId="6" fillId="20" borderId="12" xfId="1" applyFont="1" applyFill="1" applyBorder="1" applyProtection="1">
      <alignment vertical="center"/>
      <protection locked="0"/>
    </xf>
    <xf numFmtId="0" fontId="6" fillId="20" borderId="15" xfId="1" applyFont="1" applyFill="1" applyBorder="1" applyProtection="1">
      <alignment vertical="center"/>
      <protection locked="0"/>
    </xf>
    <xf numFmtId="0" fontId="6" fillId="20" borderId="14" xfId="1" applyFont="1" applyFill="1" applyBorder="1" applyProtection="1">
      <alignment vertical="center"/>
      <protection locked="0"/>
    </xf>
    <xf numFmtId="0" fontId="6" fillId="5" borderId="12" xfId="1" applyFont="1" applyFill="1" applyBorder="1" applyAlignment="1" applyProtection="1">
      <alignment horizontal="left" vertical="center"/>
      <protection locked="0"/>
    </xf>
    <xf numFmtId="0" fontId="6" fillId="5" borderId="15" xfId="1" applyFont="1" applyFill="1" applyBorder="1" applyAlignment="1" applyProtection="1">
      <alignment horizontal="left" vertical="center"/>
      <protection locked="0"/>
    </xf>
    <xf numFmtId="0" fontId="6" fillId="5" borderId="14" xfId="1" applyFont="1" applyFill="1" applyBorder="1" applyAlignment="1" applyProtection="1">
      <alignment horizontal="left" vertical="center"/>
      <protection locked="0"/>
    </xf>
    <xf numFmtId="0" fontId="6" fillId="3" borderId="7" xfId="1" applyFont="1" applyFill="1" applyBorder="1">
      <alignment vertical="center"/>
    </xf>
    <xf numFmtId="0" fontId="6" fillId="3" borderId="0" xfId="1" applyFont="1" applyFill="1">
      <alignment vertical="center"/>
    </xf>
    <xf numFmtId="0" fontId="66" fillId="5" borderId="20" xfId="1" applyFont="1" applyFill="1" applyBorder="1" applyAlignment="1" applyProtection="1">
      <alignment horizontal="left" vertical="center"/>
      <protection locked="0"/>
    </xf>
    <xf numFmtId="0" fontId="66" fillId="5" borderId="21" xfId="1" applyFont="1" applyFill="1" applyBorder="1" applyAlignment="1" applyProtection="1">
      <alignment horizontal="left" vertical="center"/>
      <protection locked="0"/>
    </xf>
    <xf numFmtId="0" fontId="6" fillId="20" borderId="88" xfId="1" applyFont="1" applyFill="1" applyBorder="1" applyProtection="1">
      <alignment vertical="center"/>
      <protection locked="0"/>
    </xf>
    <xf numFmtId="0" fontId="6" fillId="3" borderId="24" xfId="1" applyFont="1" applyFill="1" applyBorder="1">
      <alignment vertical="center"/>
    </xf>
    <xf numFmtId="0" fontId="6" fillId="5" borderId="12" xfId="1" applyFont="1" applyFill="1" applyBorder="1" applyProtection="1">
      <alignment vertical="center"/>
      <protection locked="0"/>
    </xf>
    <xf numFmtId="0" fontId="6" fillId="5" borderId="15" xfId="1" applyFont="1" applyFill="1" applyBorder="1" applyProtection="1">
      <alignment vertical="center"/>
      <protection locked="0"/>
    </xf>
    <xf numFmtId="0" fontId="6" fillId="5" borderId="14" xfId="1" applyFont="1" applyFill="1" applyBorder="1" applyProtection="1">
      <alignment vertical="center"/>
      <protection locked="0"/>
    </xf>
    <xf numFmtId="0" fontId="6" fillId="0" borderId="7" xfId="1" applyFont="1" applyBorder="1" applyAlignment="1">
      <alignment horizontal="left" vertical="center"/>
    </xf>
    <xf numFmtId="0" fontId="6" fillId="0" borderId="0" xfId="1" applyFont="1" applyAlignment="1">
      <alignment horizontal="left" vertical="center"/>
    </xf>
    <xf numFmtId="0" fontId="0" fillId="5" borderId="13" xfId="0" applyFill="1" applyBorder="1" applyAlignment="1" applyProtection="1">
      <alignment horizontal="center" wrapText="1"/>
      <protection locked="0"/>
    </xf>
    <xf numFmtId="0" fontId="67" fillId="5" borderId="2" xfId="1" applyFont="1" applyFill="1" applyBorder="1" applyProtection="1">
      <alignment vertical="center"/>
      <protection locked="0"/>
    </xf>
    <xf numFmtId="0" fontId="2" fillId="13" borderId="1" xfId="1" applyFont="1" applyFill="1" applyBorder="1">
      <alignment vertical="center"/>
    </xf>
    <xf numFmtId="0" fontId="2" fillId="13" borderId="2" xfId="1" applyFont="1" applyFill="1" applyBorder="1">
      <alignment vertical="center"/>
    </xf>
    <xf numFmtId="0" fontId="6" fillId="5" borderId="59" xfId="1" applyFont="1" applyFill="1" applyBorder="1" applyAlignment="1" applyProtection="1">
      <alignment vertical="center" wrapText="1"/>
      <protection locked="0"/>
    </xf>
    <xf numFmtId="0" fontId="6" fillId="5" borderId="20" xfId="1" applyFont="1" applyFill="1" applyBorder="1" applyProtection="1">
      <alignment vertical="center"/>
      <protection locked="0"/>
    </xf>
    <xf numFmtId="0" fontId="6" fillId="5" borderId="21" xfId="1" applyFont="1" applyFill="1" applyBorder="1" applyProtection="1">
      <alignment vertical="center"/>
      <protection locked="0"/>
    </xf>
    <xf numFmtId="0" fontId="6" fillId="5" borderId="12" xfId="1" applyFont="1" applyFill="1" applyBorder="1" applyAlignment="1" applyProtection="1">
      <alignment vertical="center" wrapText="1"/>
      <protection locked="0"/>
    </xf>
    <xf numFmtId="0" fontId="6" fillId="5" borderId="59" xfId="1" applyFont="1" applyFill="1" applyBorder="1" applyProtection="1">
      <alignment vertical="center"/>
      <protection locked="0"/>
    </xf>
    <xf numFmtId="0" fontId="9" fillId="13" borderId="1" xfId="0" applyFont="1" applyFill="1" applyBorder="1" applyAlignment="1">
      <alignment horizontal="left" vertical="center"/>
    </xf>
    <xf numFmtId="0" fontId="9" fillId="13" borderId="2" xfId="0" applyFont="1" applyFill="1" applyBorder="1" applyAlignment="1">
      <alignment horizontal="left" vertical="center"/>
    </xf>
    <xf numFmtId="0" fontId="9" fillId="13" borderId="18" xfId="0" applyFont="1" applyFill="1" applyBorder="1" applyAlignment="1">
      <alignment horizontal="left" vertical="center"/>
    </xf>
    <xf numFmtId="0" fontId="6" fillId="36" borderId="7" xfId="1" applyFont="1" applyFill="1" applyBorder="1">
      <alignment vertical="center"/>
    </xf>
    <xf numFmtId="0" fontId="6" fillId="36" borderId="0" xfId="1" applyFont="1" applyFill="1">
      <alignment vertical="center"/>
    </xf>
    <xf numFmtId="164" fontId="23" fillId="3" borderId="0" xfId="1" applyNumberFormat="1" applyFont="1" applyFill="1" applyAlignment="1">
      <alignment horizontal="left" vertical="center"/>
    </xf>
    <xf numFmtId="164" fontId="6" fillId="0" borderId="7" xfId="1" applyNumberFormat="1" applyFont="1" applyBorder="1" applyAlignment="1">
      <alignment horizontal="left" vertical="center"/>
    </xf>
    <xf numFmtId="164" fontId="6" fillId="0" borderId="0" xfId="1" applyNumberFormat="1" applyFont="1" applyAlignment="1">
      <alignment horizontal="left" vertical="center"/>
    </xf>
    <xf numFmtId="164" fontId="23" fillId="0" borderId="7" xfId="1" applyNumberFormat="1" applyFont="1" applyBorder="1" applyAlignment="1">
      <alignment horizontal="left" vertical="center"/>
    </xf>
    <xf numFmtId="164" fontId="23" fillId="0" borderId="24" xfId="1" applyNumberFormat="1" applyFont="1" applyBorder="1" applyAlignment="1">
      <alignment horizontal="left" vertical="center"/>
    </xf>
    <xf numFmtId="0" fontId="0" fillId="7" borderId="7" xfId="0" applyFill="1" applyBorder="1" applyAlignment="1">
      <alignment horizontal="left"/>
    </xf>
    <xf numFmtId="0" fontId="0" fillId="7" borderId="0" xfId="0" applyFill="1" applyAlignment="1">
      <alignment horizontal="left"/>
    </xf>
    <xf numFmtId="0" fontId="12" fillId="3" borderId="24" xfId="0" applyFont="1" applyFill="1" applyBorder="1" applyAlignment="1">
      <alignment horizontal="left"/>
    </xf>
    <xf numFmtId="0" fontId="0" fillId="5" borderId="12" xfId="0" applyFill="1" applyBorder="1" applyAlignment="1" applyProtection="1">
      <alignment horizontal="center" wrapText="1"/>
      <protection locked="0"/>
    </xf>
    <xf numFmtId="0" fontId="0" fillId="5" borderId="15" xfId="0" applyFill="1" applyBorder="1" applyAlignment="1" applyProtection="1">
      <alignment horizontal="center" wrapText="1"/>
      <protection locked="0"/>
    </xf>
    <xf numFmtId="0" fontId="0" fillId="5" borderId="14" xfId="0" applyFill="1" applyBorder="1" applyAlignment="1" applyProtection="1">
      <alignment horizontal="center" wrapText="1"/>
      <protection locked="0"/>
    </xf>
    <xf numFmtId="0" fontId="0" fillId="4" borderId="12" xfId="0" applyFill="1" applyBorder="1" applyAlignment="1">
      <alignment horizontal="center"/>
    </xf>
    <xf numFmtId="0" fontId="0" fillId="4" borderId="15" xfId="0" applyFill="1" applyBorder="1" applyAlignment="1">
      <alignment horizontal="center"/>
    </xf>
    <xf numFmtId="164" fontId="6" fillId="0" borderId="24" xfId="1" applyNumberFormat="1" applyFont="1" applyBorder="1" applyAlignment="1">
      <alignment horizontal="left" vertical="center"/>
    </xf>
    <xf numFmtId="0" fontId="0" fillId="0" borderId="15" xfId="0" applyBorder="1" applyAlignment="1">
      <alignment horizontal="center"/>
    </xf>
    <xf numFmtId="0" fontId="6" fillId="20" borderId="12" xfId="1" applyFont="1" applyFill="1" applyBorder="1" applyAlignment="1" applyProtection="1">
      <alignment horizontal="left" vertical="center"/>
      <protection locked="0"/>
    </xf>
    <xf numFmtId="0" fontId="6" fillId="20" borderId="15" xfId="1" applyFont="1" applyFill="1" applyBorder="1" applyAlignment="1" applyProtection="1">
      <alignment horizontal="left" vertical="center"/>
      <protection locked="0"/>
    </xf>
    <xf numFmtId="0" fontId="6" fillId="20" borderId="14" xfId="1" applyFont="1" applyFill="1" applyBorder="1" applyAlignment="1" applyProtection="1">
      <alignment horizontal="left" vertical="center"/>
      <protection locked="0"/>
    </xf>
    <xf numFmtId="0" fontId="24" fillId="3" borderId="45" xfId="1" applyFont="1" applyFill="1" applyBorder="1" applyAlignment="1">
      <alignment horizontal="center" vertical="center" wrapText="1"/>
    </xf>
    <xf numFmtId="0" fontId="24" fillId="3" borderId="22" xfId="1" applyFont="1" applyFill="1" applyBorder="1" applyAlignment="1">
      <alignment horizontal="center" vertical="center"/>
    </xf>
    <xf numFmtId="0" fontId="9" fillId="13" borderId="12" xfId="0" applyFont="1" applyFill="1" applyBorder="1" applyAlignment="1">
      <alignment horizontal="left" vertical="center"/>
    </xf>
    <xf numFmtId="0" fontId="9" fillId="13" borderId="15" xfId="0" applyFont="1" applyFill="1" applyBorder="1" applyAlignment="1">
      <alignment horizontal="left" vertical="center"/>
    </xf>
    <xf numFmtId="0" fontId="9" fillId="13" borderId="14" xfId="0" applyFont="1" applyFill="1" applyBorder="1" applyAlignment="1">
      <alignment horizontal="left" vertical="center"/>
    </xf>
    <xf numFmtId="0" fontId="24" fillId="0" borderId="60" xfId="0" applyFont="1" applyBorder="1" applyAlignment="1">
      <alignment horizontal="left" vertical="top"/>
    </xf>
    <xf numFmtId="0" fontId="24" fillId="0" borderId="35" xfId="0" applyFont="1" applyBorder="1" applyAlignment="1">
      <alignment horizontal="left" vertical="top"/>
    </xf>
    <xf numFmtId="0" fontId="24" fillId="0" borderId="61" xfId="0" applyFont="1" applyBorder="1" applyAlignment="1">
      <alignment horizontal="left" vertical="top"/>
    </xf>
    <xf numFmtId="0" fontId="0" fillId="5" borderId="46" xfId="0" applyFill="1" applyBorder="1" applyAlignment="1" applyProtection="1">
      <alignment horizontal="center" wrapText="1"/>
      <protection locked="0"/>
    </xf>
    <xf numFmtId="164" fontId="23" fillId="3" borderId="7" xfId="1" applyNumberFormat="1" applyFont="1" applyFill="1" applyBorder="1">
      <alignment vertical="center"/>
    </xf>
    <xf numFmtId="164" fontId="23" fillId="3" borderId="24" xfId="1" applyNumberFormat="1" applyFont="1" applyFill="1" applyBorder="1">
      <alignment vertical="center"/>
    </xf>
    <xf numFmtId="0" fontId="6" fillId="6" borderId="13" xfId="1" applyFont="1" applyFill="1" applyBorder="1" applyAlignment="1" applyProtection="1">
      <alignment horizontal="left" vertical="center"/>
      <protection locked="0"/>
    </xf>
    <xf numFmtId="164" fontId="23" fillId="3" borderId="7" xfId="1" applyNumberFormat="1" applyFont="1" applyFill="1" applyBorder="1" applyAlignment="1">
      <alignment horizontal="right" vertical="center"/>
    </xf>
    <xf numFmtId="164" fontId="23" fillId="3" borderId="24" xfId="1" applyNumberFormat="1" applyFont="1" applyFill="1" applyBorder="1" applyAlignment="1">
      <alignment horizontal="right" vertical="center"/>
    </xf>
    <xf numFmtId="0" fontId="23" fillId="0" borderId="7" xfId="0" applyFont="1" applyBorder="1" applyAlignment="1">
      <alignment horizontal="left"/>
    </xf>
    <xf numFmtId="0" fontId="23" fillId="0" borderId="0" xfId="0" applyFont="1" applyAlignment="1">
      <alignment horizontal="left"/>
    </xf>
    <xf numFmtId="0" fontId="23" fillId="0" borderId="7" xfId="0" applyFont="1" applyBorder="1" applyAlignment="1">
      <alignment vertical="center" wrapText="1" readingOrder="1"/>
    </xf>
    <xf numFmtId="0" fontId="23" fillId="0" borderId="0" xfId="0" applyFont="1" applyAlignment="1">
      <alignment vertical="center" wrapText="1" readingOrder="1"/>
    </xf>
    <xf numFmtId="0" fontId="9" fillId="13" borderId="3" xfId="0" applyFont="1" applyFill="1" applyBorder="1" applyAlignment="1">
      <alignment horizontal="left" vertical="center"/>
    </xf>
    <xf numFmtId="0" fontId="24" fillId="3" borderId="45" xfId="1" applyFont="1" applyFill="1" applyBorder="1" applyAlignment="1">
      <alignment horizontal="center" vertical="center"/>
    </xf>
    <xf numFmtId="0" fontId="23" fillId="3" borderId="0" xfId="1" applyFont="1" applyFill="1" applyAlignment="1">
      <alignment horizontal="left" vertical="center"/>
    </xf>
    <xf numFmtId="0" fontId="12" fillId="0" borderId="0" xfId="0" applyFont="1" applyAlignment="1">
      <alignment horizontal="center" vertical="center"/>
    </xf>
    <xf numFmtId="0" fontId="12" fillId="40" borderId="8" xfId="0" applyFont="1" applyFill="1" applyBorder="1" applyAlignment="1">
      <alignment horizontal="center" vertical="center"/>
    </xf>
    <xf numFmtId="0" fontId="80" fillId="5" borderId="84" xfId="0" applyFont="1" applyFill="1" applyBorder="1" applyAlignment="1" applyProtection="1">
      <alignment horizontal="center" vertical="center"/>
      <protection locked="0"/>
    </xf>
    <xf numFmtId="0" fontId="80" fillId="5" borderId="9" xfId="0" applyFont="1" applyFill="1" applyBorder="1" applyAlignment="1" applyProtection="1">
      <alignment horizontal="center" vertical="center"/>
      <protection locked="0"/>
    </xf>
    <xf numFmtId="0" fontId="80" fillId="5" borderId="85" xfId="0" applyFont="1" applyFill="1" applyBorder="1" applyAlignment="1" applyProtection="1">
      <alignment horizontal="center" vertical="center"/>
      <protection locked="0"/>
    </xf>
    <xf numFmtId="0" fontId="12" fillId="40" borderId="0" xfId="0" applyFont="1" applyFill="1" applyAlignment="1">
      <alignment horizontal="center" vertical="center"/>
    </xf>
    <xf numFmtId="0" fontId="12" fillId="0" borderId="8" xfId="0" applyFont="1" applyBorder="1" applyAlignment="1">
      <alignment horizontal="center" vertical="center"/>
    </xf>
    <xf numFmtId="0" fontId="79" fillId="3" borderId="7" xfId="0" applyFont="1" applyFill="1" applyBorder="1" applyAlignment="1">
      <alignment horizontal="center" vertical="center"/>
    </xf>
    <xf numFmtId="0" fontId="79" fillId="3" borderId="8" xfId="0" applyFont="1" applyFill="1" applyBorder="1" applyAlignment="1">
      <alignment horizontal="center" vertical="center"/>
    </xf>
    <xf numFmtId="0" fontId="64" fillId="13" borderId="1" xfId="0" applyFont="1" applyFill="1" applyBorder="1" applyAlignment="1">
      <alignment horizontal="center"/>
    </xf>
    <xf numFmtId="0" fontId="64" fillId="13" borderId="2" xfId="0" applyFont="1" applyFill="1" applyBorder="1" applyAlignment="1">
      <alignment horizontal="center"/>
    </xf>
    <xf numFmtId="0" fontId="12" fillId="4" borderId="10" xfId="0" applyFont="1" applyFill="1" applyBorder="1" applyAlignment="1">
      <alignment horizontal="center" vertical="center"/>
    </xf>
    <xf numFmtId="0" fontId="12" fillId="4" borderId="11" xfId="0" applyFont="1" applyFill="1" applyBorder="1" applyAlignment="1">
      <alignment horizontal="center" vertical="center"/>
    </xf>
    <xf numFmtId="0" fontId="12" fillId="0" borderId="10" xfId="0" applyFont="1" applyBorder="1" applyAlignment="1">
      <alignment horizontal="center"/>
    </xf>
    <xf numFmtId="0" fontId="12" fillId="0" borderId="11" xfId="0" applyFont="1" applyBorder="1" applyAlignment="1">
      <alignment horizontal="center"/>
    </xf>
    <xf numFmtId="0" fontId="12" fillId="0" borderId="0" xfId="0" applyFont="1" applyAlignment="1">
      <alignment horizontal="center"/>
    </xf>
    <xf numFmtId="0" fontId="12" fillId="0" borderId="86" xfId="0" applyFont="1" applyBorder="1" applyAlignment="1">
      <alignment horizontal="center" vertical="center" wrapText="1"/>
    </xf>
    <xf numFmtId="0" fontId="12" fillId="0" borderId="7" xfId="0" applyFont="1" applyBorder="1" applyAlignment="1">
      <alignment horizontal="center" vertical="center" wrapText="1"/>
    </xf>
    <xf numFmtId="0" fontId="79" fillId="3" borderId="1" xfId="0" applyFont="1" applyFill="1" applyBorder="1" applyAlignment="1">
      <alignment horizontal="center" vertical="center"/>
    </xf>
    <xf numFmtId="0" fontId="79" fillId="3" borderId="3" xfId="0" applyFont="1" applyFill="1" applyBorder="1" applyAlignment="1">
      <alignment horizontal="center" vertical="center"/>
    </xf>
    <xf numFmtId="0" fontId="12" fillId="39" borderId="8" xfId="0" applyFont="1" applyFill="1" applyBorder="1" applyAlignment="1">
      <alignment horizontal="center" vertical="center"/>
    </xf>
    <xf numFmtId="0" fontId="20" fillId="19" borderId="0" xfId="0" applyFont="1" applyFill="1" applyAlignment="1">
      <alignment horizontal="left"/>
    </xf>
    <xf numFmtId="0" fontId="40" fillId="15" borderId="42" xfId="0" applyFont="1" applyFill="1" applyBorder="1" applyAlignment="1">
      <alignment vertical="center" wrapText="1"/>
    </xf>
    <xf numFmtId="0" fontId="40" fillId="15" borderId="41" xfId="0" applyFont="1" applyFill="1" applyBorder="1" applyAlignment="1">
      <alignment vertical="center" wrapText="1"/>
    </xf>
    <xf numFmtId="0" fontId="40" fillId="15" borderId="39" xfId="0" applyFont="1" applyFill="1" applyBorder="1" applyAlignment="1">
      <alignment vertical="center" wrapText="1"/>
    </xf>
    <xf numFmtId="0" fontId="40" fillId="16" borderId="43" xfId="0" applyFont="1" applyFill="1" applyBorder="1" applyAlignment="1">
      <alignment vertical="center" wrapText="1"/>
    </xf>
    <xf numFmtId="0" fontId="40" fillId="16" borderId="39" xfId="0" applyFont="1" applyFill="1" applyBorder="1" applyAlignment="1">
      <alignment vertical="center" wrapText="1"/>
    </xf>
    <xf numFmtId="0" fontId="40" fillId="16" borderId="41" xfId="0" applyFont="1" applyFill="1" applyBorder="1" applyAlignment="1">
      <alignment vertical="center" wrapText="1"/>
    </xf>
    <xf numFmtId="0" fontId="0" fillId="0" borderId="0" xfId="0" applyAlignment="1">
      <alignment horizontal="center"/>
    </xf>
    <xf numFmtId="0" fontId="58" fillId="15" borderId="43" xfId="0" applyFont="1" applyFill="1" applyBorder="1" applyAlignment="1">
      <alignment horizontal="left" vertical="center" wrapText="1" readingOrder="1"/>
    </xf>
    <xf numFmtId="0" fontId="58" fillId="15" borderId="41" xfId="0" applyFont="1" applyFill="1" applyBorder="1" applyAlignment="1">
      <alignment horizontal="left" vertical="center" wrapText="1" readingOrder="1"/>
    </xf>
    <xf numFmtId="0" fontId="58" fillId="15" borderId="39" xfId="0" applyFont="1" applyFill="1" applyBorder="1" applyAlignment="1">
      <alignment horizontal="left" vertical="center" wrapText="1" readingOrder="1"/>
    </xf>
    <xf numFmtId="0" fontId="56" fillId="15" borderId="42" xfId="0" applyFont="1" applyFill="1" applyBorder="1" applyAlignment="1">
      <alignment horizontal="left" vertical="center" wrapText="1" readingOrder="1"/>
    </xf>
    <xf numFmtId="0" fontId="56" fillId="15" borderId="41" xfId="0" applyFont="1" applyFill="1" applyBorder="1" applyAlignment="1">
      <alignment horizontal="left" vertical="center" wrapText="1" readingOrder="1"/>
    </xf>
    <xf numFmtId="0" fontId="56" fillId="15" borderId="39" xfId="0" applyFont="1" applyFill="1" applyBorder="1" applyAlignment="1">
      <alignment horizontal="left" vertical="center" wrapText="1" readingOrder="1"/>
    </xf>
    <xf numFmtId="0" fontId="58" fillId="15" borderId="42" xfId="0" applyFont="1" applyFill="1" applyBorder="1" applyAlignment="1">
      <alignment horizontal="left" vertical="center" wrapText="1" readingOrder="1"/>
    </xf>
    <xf numFmtId="0" fontId="56" fillId="16" borderId="43" xfId="0" applyFont="1" applyFill="1" applyBorder="1" applyAlignment="1">
      <alignment horizontal="left" vertical="center" wrapText="1" readingOrder="1"/>
    </xf>
    <xf numFmtId="0" fontId="56" fillId="16" borderId="41" xfId="0" applyFont="1" applyFill="1" applyBorder="1" applyAlignment="1">
      <alignment horizontal="left" vertical="center" wrapText="1" readingOrder="1"/>
    </xf>
    <xf numFmtId="0" fontId="56" fillId="16" borderId="39" xfId="0" applyFont="1" applyFill="1" applyBorder="1" applyAlignment="1">
      <alignment horizontal="left" vertical="center" wrapText="1" readingOrder="1"/>
    </xf>
    <xf numFmtId="0" fontId="54" fillId="16" borderId="43" xfId="0" applyFont="1" applyFill="1" applyBorder="1" applyAlignment="1">
      <alignment horizontal="left" vertical="center" wrapText="1" readingOrder="1"/>
    </xf>
    <xf numFmtId="0" fontId="54" fillId="16" borderId="41" xfId="0" applyFont="1" applyFill="1" applyBorder="1" applyAlignment="1">
      <alignment horizontal="left" vertical="center" wrapText="1" readingOrder="1"/>
    </xf>
    <xf numFmtId="0" fontId="54" fillId="16" borderId="39" xfId="0" applyFont="1" applyFill="1" applyBorder="1" applyAlignment="1">
      <alignment horizontal="left" vertical="center" wrapText="1" readingOrder="1"/>
    </xf>
    <xf numFmtId="0" fontId="56" fillId="15" borderId="49" xfId="0" applyFont="1" applyFill="1" applyBorder="1" applyAlignment="1">
      <alignment horizontal="center" vertical="center" wrapText="1" readingOrder="1"/>
    </xf>
    <xf numFmtId="0" fontId="56" fillId="15" borderId="50" xfId="0" applyFont="1" applyFill="1" applyBorder="1" applyAlignment="1">
      <alignment horizontal="center" vertical="center" wrapText="1" readingOrder="1"/>
    </xf>
    <xf numFmtId="0" fontId="56" fillId="15" borderId="51" xfId="0" applyFont="1" applyFill="1" applyBorder="1" applyAlignment="1">
      <alignment horizontal="center" vertical="center" wrapText="1" readingOrder="1"/>
    </xf>
    <xf numFmtId="0" fontId="56" fillId="15" borderId="52" xfId="0" applyFont="1" applyFill="1" applyBorder="1" applyAlignment="1">
      <alignment horizontal="center" vertical="center" wrapText="1" readingOrder="1"/>
    </xf>
    <xf numFmtId="0" fontId="56" fillId="15" borderId="53" xfId="0" applyFont="1" applyFill="1" applyBorder="1" applyAlignment="1">
      <alignment horizontal="center" vertical="center" wrapText="1" readingOrder="1"/>
    </xf>
    <xf numFmtId="0" fontId="56" fillId="15" borderId="40" xfId="0" applyFont="1" applyFill="1" applyBorder="1" applyAlignment="1">
      <alignment horizontal="center" vertical="center" wrapText="1" readingOrder="1"/>
    </xf>
    <xf numFmtId="0" fontId="58" fillId="16" borderId="43" xfId="0" applyFont="1" applyFill="1" applyBorder="1" applyAlignment="1">
      <alignment horizontal="left" vertical="center" wrapText="1" readingOrder="1"/>
    </xf>
    <xf numFmtId="0" fontId="58" fillId="16" borderId="41" xfId="0" applyFont="1" applyFill="1" applyBorder="1" applyAlignment="1">
      <alignment horizontal="left" vertical="center" wrapText="1" readingOrder="1"/>
    </xf>
    <xf numFmtId="0" fontId="58" fillId="16" borderId="39" xfId="0" applyFont="1" applyFill="1" applyBorder="1" applyAlignment="1">
      <alignment horizontal="left" vertical="center" wrapText="1" readingOrder="1"/>
    </xf>
    <xf numFmtId="0" fontId="54" fillId="15" borderId="43" xfId="0" applyFont="1" applyFill="1" applyBorder="1" applyAlignment="1">
      <alignment horizontal="left" vertical="center" wrapText="1" readingOrder="1"/>
    </xf>
    <xf numFmtId="0" fontId="54" fillId="15" borderId="41" xfId="0" applyFont="1" applyFill="1" applyBorder="1" applyAlignment="1">
      <alignment horizontal="left" vertical="center" wrapText="1" readingOrder="1"/>
    </xf>
    <xf numFmtId="0" fontId="54" fillId="15" borderId="39" xfId="0" applyFont="1" applyFill="1" applyBorder="1" applyAlignment="1">
      <alignment horizontal="left" vertical="center" wrapText="1" readingOrder="1"/>
    </xf>
    <xf numFmtId="0" fontId="54" fillId="15" borderId="42" xfId="0" applyFont="1" applyFill="1" applyBorder="1" applyAlignment="1">
      <alignment horizontal="center" vertical="center" wrapText="1" readingOrder="1"/>
    </xf>
    <xf numFmtId="0" fontId="54" fillId="15" borderId="41" xfId="0" applyFont="1" applyFill="1" applyBorder="1" applyAlignment="1">
      <alignment horizontal="center" vertical="center" wrapText="1" readingOrder="1"/>
    </xf>
    <xf numFmtId="0" fontId="54" fillId="15" borderId="39" xfId="0" applyFont="1" applyFill="1" applyBorder="1" applyAlignment="1">
      <alignment horizontal="center" vertical="center" wrapText="1" readingOrder="1"/>
    </xf>
    <xf numFmtId="0" fontId="54" fillId="15" borderId="42" xfId="0" applyFont="1" applyFill="1" applyBorder="1" applyAlignment="1">
      <alignment horizontal="left" vertical="center" wrapText="1" readingOrder="1"/>
    </xf>
    <xf numFmtId="0" fontId="55" fillId="16" borderId="54" xfId="0" applyFont="1" applyFill="1" applyBorder="1" applyAlignment="1">
      <alignment horizontal="center" vertical="center" wrapText="1" readingOrder="1"/>
    </xf>
    <xf numFmtId="0" fontId="55" fillId="16" borderId="55" xfId="0" applyFont="1" applyFill="1" applyBorder="1" applyAlignment="1">
      <alignment horizontal="center" vertical="center" wrapText="1" readingOrder="1"/>
    </xf>
    <xf numFmtId="0" fontId="55" fillId="16" borderId="51" xfId="0" applyFont="1" applyFill="1" applyBorder="1" applyAlignment="1">
      <alignment horizontal="center" vertical="center" wrapText="1" readingOrder="1"/>
    </xf>
    <xf numFmtId="0" fontId="55" fillId="16" borderId="52" xfId="0" applyFont="1" applyFill="1" applyBorder="1" applyAlignment="1">
      <alignment horizontal="center" vertical="center" wrapText="1" readingOrder="1"/>
    </xf>
    <xf numFmtId="0" fontId="55" fillId="16" borderId="53" xfId="0" applyFont="1" applyFill="1" applyBorder="1" applyAlignment="1">
      <alignment horizontal="center" vertical="center" wrapText="1" readingOrder="1"/>
    </xf>
    <xf numFmtId="0" fontId="55" fillId="16" borderId="40" xfId="0" applyFont="1" applyFill="1" applyBorder="1" applyAlignment="1">
      <alignment horizontal="center" vertical="center" wrapText="1" readingOrder="1"/>
    </xf>
    <xf numFmtId="0" fontId="55" fillId="15" borderId="54" xfId="0" applyFont="1" applyFill="1" applyBorder="1" applyAlignment="1">
      <alignment horizontal="center" vertical="center" wrapText="1" readingOrder="1"/>
    </xf>
    <xf numFmtId="0" fontId="55" fillId="15" borderId="55" xfId="0" applyFont="1" applyFill="1" applyBorder="1" applyAlignment="1">
      <alignment horizontal="center" vertical="center" wrapText="1" readingOrder="1"/>
    </xf>
    <xf numFmtId="0" fontId="55" fillId="15" borderId="51" xfId="0" applyFont="1" applyFill="1" applyBorder="1" applyAlignment="1">
      <alignment horizontal="center" vertical="center" wrapText="1" readingOrder="1"/>
    </xf>
    <xf numFmtId="0" fontId="55" fillId="15" borderId="52" xfId="0" applyFont="1" applyFill="1" applyBorder="1" applyAlignment="1">
      <alignment horizontal="center" vertical="center" wrapText="1" readingOrder="1"/>
    </xf>
    <xf numFmtId="0" fontId="55" fillId="15" borderId="53" xfId="0" applyFont="1" applyFill="1" applyBorder="1" applyAlignment="1">
      <alignment horizontal="center" vertical="center" wrapText="1" readingOrder="1"/>
    </xf>
    <xf numFmtId="0" fontId="55" fillId="15" borderId="40" xfId="0" applyFont="1" applyFill="1" applyBorder="1" applyAlignment="1">
      <alignment horizontal="center" vertical="center" wrapText="1" readingOrder="1"/>
    </xf>
    <xf numFmtId="0" fontId="53" fillId="14" borderId="48" xfId="0" applyFont="1" applyFill="1" applyBorder="1" applyAlignment="1">
      <alignment horizontal="center" vertical="center" wrapText="1" readingOrder="1"/>
    </xf>
    <xf numFmtId="0" fontId="53" fillId="14" borderId="38" xfId="0" applyFont="1" applyFill="1" applyBorder="1" applyAlignment="1">
      <alignment horizontal="center" vertical="center" wrapText="1" readingOrder="1"/>
    </xf>
    <xf numFmtId="0" fontId="55" fillId="15" borderId="49" xfId="0" applyFont="1" applyFill="1" applyBorder="1" applyAlignment="1">
      <alignment horizontal="center" vertical="center" wrapText="1" readingOrder="1"/>
    </xf>
    <xf numFmtId="0" fontId="55" fillId="15" borderId="50" xfId="0" applyFont="1" applyFill="1" applyBorder="1" applyAlignment="1">
      <alignment horizontal="center" vertical="center" wrapText="1" readingOrder="1"/>
    </xf>
    <xf numFmtId="0" fontId="55" fillId="16" borderId="57" xfId="0" applyFont="1" applyFill="1" applyBorder="1" applyAlignment="1">
      <alignment horizontal="center" vertical="center" wrapText="1" readingOrder="1"/>
    </xf>
    <xf numFmtId="0" fontId="55" fillId="16" borderId="58" xfId="0" applyFont="1" applyFill="1" applyBorder="1" applyAlignment="1">
      <alignment horizontal="center" vertical="center" wrapText="1" readingOrder="1"/>
    </xf>
    <xf numFmtId="0" fontId="54" fillId="16" borderId="56" xfId="0" applyFont="1" applyFill="1" applyBorder="1" applyAlignment="1">
      <alignment horizontal="center" vertical="center" wrapText="1" readingOrder="1"/>
    </xf>
    <xf numFmtId="0" fontId="54" fillId="16" borderId="41" xfId="0" applyFont="1" applyFill="1" applyBorder="1" applyAlignment="1">
      <alignment horizontal="center" vertical="center" wrapText="1" readingOrder="1"/>
    </xf>
    <xf numFmtId="0" fontId="54" fillId="16" borderId="39" xfId="0" applyFont="1" applyFill="1" applyBorder="1" applyAlignment="1">
      <alignment horizontal="center" vertical="center" wrapText="1" readingOrder="1"/>
    </xf>
    <xf numFmtId="0" fontId="56" fillId="15" borderId="43" xfId="0" applyFont="1" applyFill="1" applyBorder="1" applyAlignment="1">
      <alignment horizontal="left" vertical="center" wrapText="1" readingOrder="1"/>
    </xf>
    <xf numFmtId="0" fontId="54" fillId="15" borderId="43" xfId="0" applyFont="1" applyFill="1" applyBorder="1" applyAlignment="1">
      <alignment horizontal="center" vertical="center" wrapText="1" readingOrder="1"/>
    </xf>
    <xf numFmtId="0" fontId="56" fillId="16" borderId="56" xfId="0" applyFont="1" applyFill="1" applyBorder="1" applyAlignment="1">
      <alignment horizontal="left" vertical="center" wrapText="1" readingOrder="1"/>
    </xf>
    <xf numFmtId="0" fontId="54" fillId="16" borderId="43" xfId="0" applyFont="1" applyFill="1" applyBorder="1" applyAlignment="1">
      <alignment horizontal="center" vertical="center" wrapText="1" readingOrder="1"/>
    </xf>
    <xf numFmtId="0" fontId="22" fillId="0" borderId="0" xfId="0" applyFont="1" applyAlignment="1">
      <alignment horizontal="left" vertical="center" wrapText="1"/>
    </xf>
    <xf numFmtId="0" fontId="0" fillId="0" borderId="0" xfId="0" applyAlignment="1">
      <alignment horizontal="left" vertical="center" wrapText="1"/>
    </xf>
    <xf numFmtId="0" fontId="0" fillId="3" borderId="12" xfId="0" applyFill="1" applyBorder="1" applyAlignment="1">
      <alignment vertical="center"/>
    </xf>
    <xf numFmtId="0" fontId="0" fillId="3" borderId="15" xfId="0" applyFill="1" applyBorder="1" applyAlignment="1">
      <alignment vertical="center"/>
    </xf>
    <xf numFmtId="0" fontId="0" fillId="3" borderId="14" xfId="0" applyFill="1" applyBorder="1" applyAlignment="1">
      <alignment vertical="center"/>
    </xf>
    <xf numFmtId="0" fontId="0" fillId="0" borderId="0" xfId="0" applyAlignment="1">
      <alignment vertical="center" wrapText="1"/>
    </xf>
    <xf numFmtId="164" fontId="34" fillId="3" borderId="13" xfId="1" applyNumberFormat="1" applyFont="1" applyFill="1" applyBorder="1" applyAlignment="1">
      <alignment horizontal="left" vertical="center"/>
    </xf>
    <xf numFmtId="0" fontId="0" fillId="0" borderId="0" xfId="0" applyAlignment="1">
      <alignment horizontal="left" vertical="top" wrapText="1"/>
    </xf>
    <xf numFmtId="0" fontId="0" fillId="0" borderId="0" xfId="0" applyAlignment="1">
      <alignment horizontal="left" vertical="top"/>
    </xf>
    <xf numFmtId="0" fontId="44" fillId="0" borderId="0" xfId="0" applyFont="1" applyAlignment="1">
      <alignment horizontal="center" wrapText="1"/>
    </xf>
    <xf numFmtId="0" fontId="0" fillId="0" borderId="0" xfId="0" applyAlignment="1">
      <alignment horizontal="center" wrapText="1"/>
    </xf>
    <xf numFmtId="0" fontId="59" fillId="16" borderId="43" xfId="0" applyFont="1" applyFill="1" applyBorder="1" applyAlignment="1">
      <alignment horizontal="left" vertical="center" wrapText="1" readingOrder="1"/>
    </xf>
    <xf numFmtId="0" fontId="59" fillId="16" borderId="41" xfId="0" applyFont="1" applyFill="1" applyBorder="1" applyAlignment="1">
      <alignment horizontal="left" vertical="center" wrapText="1" readingOrder="1"/>
    </xf>
    <xf numFmtId="0" fontId="59" fillId="16" borderId="39" xfId="0" applyFont="1" applyFill="1" applyBorder="1" applyAlignment="1">
      <alignment horizontal="left" vertical="center" wrapText="1" readingOrder="1"/>
    </xf>
    <xf numFmtId="0" fontId="56" fillId="16" borderId="54" xfId="0" applyFont="1" applyFill="1" applyBorder="1" applyAlignment="1">
      <alignment horizontal="center" vertical="center" wrapText="1" readingOrder="1"/>
    </xf>
    <xf numFmtId="0" fontId="56" fillId="16" borderId="78" xfId="0" applyFont="1" applyFill="1" applyBorder="1" applyAlignment="1">
      <alignment horizontal="center" vertical="center" wrapText="1" readingOrder="1"/>
    </xf>
    <xf numFmtId="0" fontId="56" fillId="16" borderId="51" xfId="0" applyFont="1" applyFill="1" applyBorder="1" applyAlignment="1">
      <alignment horizontal="center" vertical="center" wrapText="1" readingOrder="1"/>
    </xf>
    <xf numFmtId="0" fontId="56" fillId="16" borderId="0" xfId="0" applyFont="1" applyFill="1" applyAlignment="1">
      <alignment horizontal="center" vertical="center" wrapText="1" readingOrder="1"/>
    </xf>
    <xf numFmtId="0" fontId="54" fillId="16" borderId="78" xfId="0" applyFont="1" applyFill="1" applyBorder="1" applyAlignment="1">
      <alignment horizontal="center" vertical="center" wrapText="1" readingOrder="1"/>
    </xf>
    <xf numFmtId="0" fontId="54" fillId="16" borderId="0" xfId="0" applyFont="1" applyFill="1" applyAlignment="1">
      <alignment horizontal="center" vertical="center" wrapText="1" readingOrder="1"/>
    </xf>
    <xf numFmtId="0" fontId="0" fillId="0" borderId="5" xfId="0" applyBorder="1" applyAlignment="1">
      <alignment horizontal="center"/>
    </xf>
    <xf numFmtId="0" fontId="0" fillId="0" borderId="6" xfId="0" applyBorder="1" applyAlignment="1">
      <alignment horizontal="center"/>
    </xf>
    <xf numFmtId="0" fontId="0" fillId="0" borderId="8" xfId="0" applyBorder="1" applyAlignment="1">
      <alignment horizontal="center"/>
    </xf>
    <xf numFmtId="0" fontId="0" fillId="23" borderId="66" xfId="0" applyFill="1" applyBorder="1" applyAlignment="1">
      <alignment horizontal="center"/>
    </xf>
    <xf numFmtId="0" fontId="0" fillId="25" borderId="66" xfId="0" applyFill="1" applyBorder="1" applyAlignment="1">
      <alignment horizontal="center"/>
    </xf>
    <xf numFmtId="0" fontId="0" fillId="25" borderId="13" xfId="0" applyFill="1" applyBorder="1" applyAlignment="1">
      <alignment horizontal="center"/>
    </xf>
    <xf numFmtId="0" fontId="0" fillId="22" borderId="63" xfId="0" applyFill="1" applyBorder="1" applyAlignment="1">
      <alignment horizontal="center"/>
    </xf>
    <xf numFmtId="0" fontId="0" fillId="22" borderId="27" xfId="0" applyFill="1" applyBorder="1" applyAlignment="1">
      <alignment horizontal="center"/>
    </xf>
    <xf numFmtId="0" fontId="0" fillId="22" borderId="14" xfId="0" applyFill="1" applyBorder="1" applyAlignment="1">
      <alignment horizontal="center"/>
    </xf>
    <xf numFmtId="0" fontId="0" fillId="22" borderId="30" xfId="0" applyFill="1" applyBorder="1" applyAlignment="1">
      <alignment horizontal="center"/>
    </xf>
    <xf numFmtId="0" fontId="0" fillId="23" borderId="13" xfId="0" applyFill="1" applyBorder="1" applyAlignment="1">
      <alignment horizontal="center"/>
    </xf>
    <xf numFmtId="0" fontId="0" fillId="6" borderId="0" xfId="0" applyFill="1" applyAlignment="1">
      <alignment horizontal="center"/>
    </xf>
    <xf numFmtId="0" fontId="0" fillId="6" borderId="8" xfId="0" applyFill="1" applyBorder="1" applyAlignment="1">
      <alignment horizontal="center"/>
    </xf>
    <xf numFmtId="0" fontId="39" fillId="0" borderId="0" xfId="0" applyFont="1" applyAlignment="1">
      <alignment horizontal="center"/>
    </xf>
    <xf numFmtId="0" fontId="39" fillId="0" borderId="8"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vertical="top" wrapText="1"/>
    </xf>
    <xf numFmtId="0" fontId="24" fillId="5" borderId="22" xfId="0" applyFont="1" applyFill="1" applyBorder="1" applyAlignment="1" applyProtection="1">
      <alignment horizontal="left" vertical="center" wrapText="1"/>
    </xf>
    <xf numFmtId="1" fontId="75" fillId="5" borderId="13" xfId="0" applyNumberFormat="1" applyFont="1" applyFill="1" applyBorder="1" applyAlignment="1" applyProtection="1">
      <alignment horizontal="left"/>
    </xf>
    <xf numFmtId="0" fontId="24" fillId="5" borderId="13" xfId="0" applyFont="1" applyFill="1" applyBorder="1" applyAlignment="1" applyProtection="1">
      <alignment horizontal="left"/>
    </xf>
    <xf numFmtId="0" fontId="75" fillId="5" borderId="13" xfId="0" applyFont="1" applyFill="1" applyBorder="1" applyAlignment="1" applyProtection="1">
      <alignment horizontal="left"/>
    </xf>
    <xf numFmtId="0" fontId="24" fillId="5" borderId="45" xfId="0" applyFont="1" applyFill="1" applyBorder="1" applyAlignment="1" applyProtection="1">
      <alignment horizontal="left"/>
    </xf>
    <xf numFmtId="0" fontId="5" fillId="5" borderId="13" xfId="0" applyFont="1" applyFill="1" applyBorder="1" applyAlignment="1" applyProtection="1">
      <alignment horizontal="left" vertical="center"/>
    </xf>
    <xf numFmtId="0" fontId="24" fillId="5" borderId="13" xfId="1" applyFont="1" applyFill="1" applyBorder="1" applyAlignment="1" applyProtection="1">
      <alignment horizontal="left" vertical="center"/>
    </xf>
    <xf numFmtId="0" fontId="24" fillId="5" borderId="22" xfId="0" applyFont="1" applyFill="1" applyBorder="1" applyAlignment="1" applyProtection="1">
      <alignment horizontal="left"/>
    </xf>
    <xf numFmtId="0" fontId="24" fillId="5" borderId="13" xfId="0" applyFont="1" applyFill="1" applyBorder="1" applyAlignment="1" applyProtection="1">
      <alignment vertical="center"/>
    </xf>
    <xf numFmtId="0" fontId="0" fillId="5" borderId="13" xfId="0" applyFill="1" applyBorder="1" applyAlignment="1" applyProtection="1">
      <alignment horizontal="left"/>
    </xf>
    <xf numFmtId="0" fontId="0" fillId="0" borderId="15" xfId="0" applyBorder="1" applyProtection="1"/>
    <xf numFmtId="0" fontId="24" fillId="0" borderId="15" xfId="0" applyFont="1" applyBorder="1" applyProtection="1"/>
    <xf numFmtId="0" fontId="0" fillId="5" borderId="14" xfId="0" applyFill="1" applyBorder="1" applyProtection="1"/>
    <xf numFmtId="0" fontId="24" fillId="5" borderId="22" xfId="0" applyFont="1" applyFill="1" applyBorder="1" applyProtection="1"/>
    <xf numFmtId="0" fontId="24" fillId="5" borderId="13" xfId="0" applyFont="1" applyFill="1" applyBorder="1" applyProtection="1"/>
    <xf numFmtId="0" fontId="0" fillId="5" borderId="61" xfId="0" applyFill="1" applyBorder="1" applyProtection="1"/>
    <xf numFmtId="0" fontId="24" fillId="5" borderId="45" xfId="0" applyFont="1" applyFill="1" applyBorder="1" applyProtection="1"/>
    <xf numFmtId="0" fontId="24" fillId="5" borderId="21" xfId="0" applyFont="1" applyFill="1" applyBorder="1" applyProtection="1"/>
    <xf numFmtId="0" fontId="24" fillId="5" borderId="14" xfId="0" applyFont="1" applyFill="1" applyBorder="1" applyProtection="1"/>
    <xf numFmtId="0" fontId="5" fillId="5" borderId="13" xfId="1" applyFont="1" applyFill="1" applyBorder="1" applyAlignment="1" applyProtection="1">
      <alignment horizontal="left" vertical="center"/>
    </xf>
    <xf numFmtId="0" fontId="5" fillId="5" borderId="45" xfId="1" applyFont="1" applyFill="1" applyBorder="1" applyAlignment="1" applyProtection="1">
      <alignment horizontal="left" vertical="center"/>
    </xf>
    <xf numFmtId="0" fontId="5" fillId="5" borderId="22" xfId="1" applyFont="1" applyFill="1" applyBorder="1" applyAlignment="1" applyProtection="1">
      <alignment horizontal="left" vertical="center"/>
    </xf>
    <xf numFmtId="164" fontId="6" fillId="5" borderId="13" xfId="1" applyNumberFormat="1" applyFont="1" applyFill="1" applyBorder="1" applyAlignment="1" applyProtection="1">
      <alignment horizontal="left" vertical="center"/>
    </xf>
    <xf numFmtId="167" fontId="6" fillId="5" borderId="13" xfId="1" applyNumberFormat="1" applyFont="1" applyFill="1" applyBorder="1" applyAlignment="1" applyProtection="1">
      <alignment horizontal="left" vertical="center"/>
    </xf>
    <xf numFmtId="0" fontId="24" fillId="12" borderId="13" xfId="0" applyFont="1" applyFill="1" applyBorder="1" applyAlignment="1" applyProtection="1">
      <alignment horizontal="left"/>
    </xf>
  </cellXfs>
  <cellStyles count="3">
    <cellStyle name="Normal" xfId="0" builtinId="0"/>
    <cellStyle name="Normal_(Price_Walk)UNO" xfId="1" xr:uid="{00000000-0005-0000-0000-000000000000}"/>
    <cellStyle name="Prozent 2" xfId="2" xr:uid="{00000000-0005-0000-0000-000001000000}"/>
  </cellStyles>
  <dxfs count="596">
    <dxf>
      <fill>
        <patternFill>
          <bgColor theme="9" tint="0.59996337778862885"/>
        </patternFill>
      </fill>
    </dxf>
    <dxf>
      <fill>
        <patternFill>
          <bgColor theme="5" tint="0.59996337778862885"/>
        </patternFill>
      </fill>
    </dxf>
    <dxf>
      <fill>
        <patternFill>
          <bgColor theme="3" tint="0.59996337778862885"/>
        </patternFill>
      </fill>
    </dxf>
    <dxf>
      <fill>
        <patternFill>
          <bgColor theme="6" tint="0.59996337778862885"/>
        </patternFill>
      </fill>
    </dxf>
    <dxf>
      <fill>
        <patternFill>
          <bgColor theme="9" tint="0.59996337778862885"/>
        </patternFill>
      </fill>
    </dxf>
    <dxf>
      <fill>
        <patternFill>
          <bgColor theme="5" tint="0.59996337778862885"/>
        </patternFill>
      </fill>
    </dxf>
    <dxf>
      <fill>
        <patternFill>
          <bgColor theme="3" tint="0.59996337778862885"/>
        </patternFill>
      </fill>
    </dxf>
    <dxf>
      <fill>
        <patternFill>
          <bgColor theme="6" tint="0.59996337778862885"/>
        </patternFill>
      </fill>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border outline="0">
        <bottom style="thin">
          <color theme="0"/>
        </bottom>
      </border>
    </dxf>
    <dxf>
      <border outline="0">
        <bottom style="thin">
          <color theme="0"/>
        </bottom>
      </border>
    </dxf>
    <dxf>
      <border outline="0">
        <top style="thin">
          <color theme="0"/>
        </top>
      </border>
    </dxf>
    <dxf>
      <border outline="0">
        <top style="thin">
          <color theme="0"/>
        </top>
      </border>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b val="0"/>
        <i val="0"/>
        <strike val="0"/>
        <condense val="0"/>
        <extend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border outline="0">
        <top style="thin">
          <color theme="0"/>
        </top>
      </border>
    </dxf>
    <dxf>
      <border outline="0">
        <top style="thin">
          <color theme="0"/>
        </top>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family val="2"/>
        <scheme val="none"/>
      </font>
      <fill>
        <patternFill patternType="solid">
          <fgColor theme="4" tint="0.59999389629810485"/>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family val="2"/>
        <scheme val="none"/>
      </font>
      <fill>
        <patternFill patternType="solid">
          <fgColor theme="4" tint="0.59999389629810485"/>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family val="2"/>
        <scheme val="none"/>
      </font>
      <fill>
        <patternFill patternType="solid">
          <fgColor theme="4" tint="0.59999389629810485"/>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family val="2"/>
        <scheme val="none"/>
      </font>
      <fill>
        <patternFill patternType="solid">
          <fgColor theme="4" tint="0.59999389629810485"/>
          <bgColor theme="4" tint="0.79998168889431442"/>
        </patternFill>
      </fill>
      <border diagonalUp="0" diagonalDown="0" outline="0">
        <left/>
        <right/>
        <top style="thin">
          <color theme="0"/>
        </top>
        <bottom style="thin">
          <color theme="0"/>
        </bottom>
      </border>
    </dxf>
    <dxf>
      <font>
        <b val="0"/>
        <i val="0"/>
        <strike val="0"/>
        <condense val="0"/>
        <extend val="0"/>
        <outline val="0"/>
        <shadow val="0"/>
        <u val="none"/>
        <vertAlign val="baseline"/>
        <sz val="10"/>
        <color rgb="FFFF0000"/>
        <name val="Arial"/>
        <family val="2"/>
        <scheme val="none"/>
      </font>
      <fill>
        <patternFill patternType="solid">
          <fgColor theme="4" tint="0.59999389629810485"/>
          <bgColor theme="4" tint="0.79998168889431442"/>
        </patternFill>
      </fill>
      <border diagonalUp="0" diagonalDown="0" outline="0">
        <left/>
        <right/>
        <top style="thin">
          <color theme="0"/>
        </top>
        <bottom style="thin">
          <color theme="0"/>
        </bottom>
      </border>
    </dxf>
    <dxf>
      <font>
        <b val="0"/>
        <i val="0"/>
        <strike val="0"/>
        <condense val="0"/>
        <extend val="0"/>
        <outline val="0"/>
        <shadow val="0"/>
        <u val="none"/>
        <vertAlign val="baseline"/>
        <sz val="10"/>
        <color rgb="FFFF0000"/>
        <name val="Arial"/>
        <family val="2"/>
        <scheme val="none"/>
      </font>
      <fill>
        <patternFill patternType="solid">
          <fgColor theme="4" tint="0.59999389629810485"/>
          <bgColor theme="4" tint="0.79998168889431442"/>
        </patternFill>
      </fill>
      <border diagonalUp="0" diagonalDown="0" outline="0">
        <left/>
        <right/>
        <top style="thin">
          <color theme="0"/>
        </top>
        <bottom style="thin">
          <color theme="0"/>
        </bottom>
      </border>
    </dxf>
    <dxf>
      <font>
        <b val="0"/>
        <i val="0"/>
        <strike val="0"/>
        <condense val="0"/>
        <extend val="0"/>
        <outline val="0"/>
        <shadow val="0"/>
        <u val="none"/>
        <vertAlign val="baseline"/>
        <sz val="10"/>
        <color rgb="FFFF0000"/>
        <name val="Arial"/>
        <family val="2"/>
        <scheme val="none"/>
      </font>
      <fill>
        <patternFill patternType="solid">
          <fgColor theme="4" tint="0.59999389629810485"/>
          <bgColor theme="4" tint="0.79998168889431442"/>
        </patternFill>
      </fill>
      <border diagonalUp="0" diagonalDown="0" outline="0">
        <left/>
        <right/>
        <top style="thin">
          <color theme="0"/>
        </top>
        <bottom style="thin">
          <color theme="0"/>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outline="0">
        <left/>
        <right/>
        <top style="thin">
          <color theme="0"/>
        </top>
        <bottom style="thin">
          <color theme="0"/>
        </bottom>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border outline="0">
        <top style="thin">
          <color theme="0"/>
        </top>
      </border>
    </dxf>
    <dxf>
      <border outline="0">
        <bottom style="thin">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top style="thin">
          <color theme="0"/>
        </top>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bottom style="thin">
          <color theme="0"/>
        </bottom>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border outline="0">
        <top style="thin">
          <color theme="0"/>
        </top>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ck">
          <color theme="0"/>
        </bottom>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border outline="0">
        <top style="thin">
          <color theme="0"/>
        </top>
      </border>
    </dxf>
    <dxf>
      <border outline="0">
        <bottom style="thin">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border outline="0">
        <top style="thin">
          <color theme="0"/>
        </top>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n">
          <color theme="0"/>
        </bottom>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border outline="0">
        <top style="thin">
          <color theme="0"/>
        </top>
      </border>
    </dxf>
    <dxf>
      <font>
        <b/>
        <i val="0"/>
        <strike val="0"/>
        <condense val="0"/>
        <extend val="0"/>
        <outline val="0"/>
        <shadow val="0"/>
        <u val="none"/>
        <vertAlign val="baseline"/>
        <sz val="10"/>
        <color theme="1"/>
        <name val="Arial"/>
        <scheme val="none"/>
      </font>
      <fill>
        <patternFill patternType="solid">
          <fgColor indexed="64"/>
          <bgColor rgb="FF0070C0"/>
        </patternFill>
      </fill>
    </dxf>
    <dxf>
      <font>
        <b/>
        <i val="0"/>
        <strike val="0"/>
        <condense val="0"/>
        <extend val="0"/>
        <outline val="0"/>
        <shadow val="0"/>
        <u val="none"/>
        <vertAlign val="baseline"/>
        <sz val="10"/>
        <color theme="1"/>
        <name val="Arial"/>
        <scheme val="none"/>
      </font>
      <fill>
        <patternFill patternType="solid">
          <fgColor indexed="64"/>
          <bgColor rgb="FF0070C0"/>
        </patternFill>
      </fill>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n">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n">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n">
          <color theme="0"/>
        </bottom>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border outline="0">
        <top style="thin">
          <color theme="0"/>
        </top>
      </border>
    </dxf>
    <dxf>
      <border outline="0">
        <bottom style="thin">
          <color theme="0"/>
        </bottom>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border outline="0">
        <top style="thin">
          <color theme="0"/>
        </top>
      </border>
    </dxf>
    <dxf>
      <border outline="0">
        <bottom style="thin">
          <color theme="0"/>
        </bottom>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ill>
        <patternFill patternType="solid">
          <fgColor theme="4" tint="0.79998168889431442"/>
          <bgColor theme="4" tint="0.79998168889431442"/>
        </patternFill>
      </fill>
      <border diagonalUp="0" diagonalDown="0">
        <left/>
        <right/>
        <top style="thin">
          <color theme="0"/>
        </top>
        <bottom style="thin">
          <color theme="0"/>
        </bottom>
        <vertical/>
        <horizontal/>
      </border>
    </dxf>
    <dxf>
      <fill>
        <patternFill patternType="solid">
          <fgColor theme="4" tint="0.79998168889431442"/>
          <bgColor theme="4" tint="0.79998168889431442"/>
        </patternFill>
      </fill>
      <border diagonalUp="0" diagonalDown="0">
        <left/>
        <right/>
        <top style="thin">
          <color theme="0"/>
        </top>
        <bottom style="thin">
          <color theme="0"/>
        </bottom>
        <vertical/>
        <horizontal/>
      </border>
    </dxf>
    <dxf>
      <fill>
        <patternFill patternType="solid">
          <fgColor theme="4" tint="0.79998168889431442"/>
          <bgColor theme="4" tint="0.79998168889431442"/>
        </patternFill>
      </fill>
      <border diagonalUp="0" diagonalDown="0">
        <left/>
        <right/>
        <top style="thin">
          <color theme="0"/>
        </top>
        <bottom style="thin">
          <color theme="0"/>
        </bottom>
        <vertical/>
        <horizontal/>
      </border>
    </dxf>
    <dxf>
      <fill>
        <patternFill patternType="solid">
          <fgColor theme="4" tint="0.79998168889431442"/>
          <bgColor theme="4" tint="0.79998168889431442"/>
        </patternFill>
      </fill>
      <border diagonalUp="0" diagonalDown="0">
        <left/>
        <right/>
        <top style="thin">
          <color theme="0"/>
        </top>
        <bottom style="thin">
          <color theme="0"/>
        </bottom>
        <vertical/>
        <horizontal/>
      </border>
    </dxf>
    <dxf>
      <fill>
        <patternFill patternType="solid">
          <fgColor theme="4" tint="0.79998168889431442"/>
          <bgColor theme="4" tint="0.79998168889431442"/>
        </patternFill>
      </fill>
      <border diagonalUp="0" diagonalDown="0">
        <left/>
        <right/>
        <top style="thin">
          <color theme="0"/>
        </top>
        <bottom style="thin">
          <color theme="0"/>
        </bottom>
        <vertical/>
        <horizontal/>
      </border>
    </dxf>
    <dxf>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outline="0">
        <left/>
        <right/>
        <top style="thin">
          <color theme="0"/>
        </top>
        <bottom style="thin">
          <color theme="0"/>
        </bottom>
      </border>
    </dxf>
    <dxf>
      <font>
        <strike val="0"/>
        <outline val="0"/>
        <shadow val="0"/>
        <u val="none"/>
        <vertAlign val="baseline"/>
        <sz val="10"/>
        <color rgb="FFFF0000"/>
        <name val="Arial"/>
        <family val="2"/>
        <scheme val="none"/>
      </font>
      <fill>
        <patternFill patternType="solid">
          <fgColor theme="4" tint="0.79998168889431442"/>
          <bgColor theme="4" tint="0.79998168889431442"/>
        </patternFill>
      </fill>
      <border diagonalUp="0" diagonalDown="0" outline="0">
        <left/>
        <right/>
        <top style="thin">
          <color theme="0"/>
        </top>
        <bottom style="thin">
          <color theme="0"/>
        </bottom>
      </border>
    </dxf>
    <dxf>
      <font>
        <strike val="0"/>
        <outline val="0"/>
        <shadow val="0"/>
        <u val="none"/>
        <vertAlign val="baseline"/>
        <sz val="10"/>
        <color rgb="FFFF0000"/>
        <name val="Arial"/>
        <family val="2"/>
        <scheme val="none"/>
      </font>
      <fill>
        <patternFill patternType="solid">
          <fgColor theme="4" tint="0.79998168889431442"/>
          <bgColor theme="4" tint="0.79998168889431442"/>
        </patternFill>
      </fill>
      <border diagonalUp="0" diagonalDown="0" outline="0">
        <left/>
        <right/>
        <top style="thin">
          <color theme="0"/>
        </top>
        <bottom style="thin">
          <color theme="0"/>
        </bottom>
      </border>
    </dxf>
    <dxf>
      <font>
        <strike val="0"/>
        <outline val="0"/>
        <shadow val="0"/>
        <u val="none"/>
        <vertAlign val="baseline"/>
        <sz val="10"/>
        <color rgb="FFFF0000"/>
        <name val="Arial"/>
        <family val="2"/>
        <scheme val="none"/>
      </font>
      <fill>
        <patternFill patternType="solid">
          <fgColor theme="4" tint="0.79998168889431442"/>
          <bgColor theme="4" tint="0.79998168889431442"/>
        </patternFill>
      </fill>
      <border diagonalUp="0" diagonalDown="0" outline="0">
        <left/>
        <right/>
        <top style="thin">
          <color theme="0"/>
        </top>
        <bottom style="thin">
          <color theme="0"/>
        </bottom>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outline="0">
        <left/>
        <right/>
        <top style="thin">
          <color theme="0"/>
        </top>
        <bottom style="thin">
          <color theme="0"/>
        </bottom>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border outline="0">
        <top style="thin">
          <color theme="4"/>
        </top>
      </border>
    </dxf>
    <dxf>
      <border outline="0">
        <left style="thin">
          <color theme="4"/>
        </left>
        <right style="thin">
          <color theme="4"/>
        </right>
        <top style="thin">
          <color theme="0"/>
        </top>
        <bottom style="thin">
          <color theme="4"/>
        </bottom>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dxf>
    <dxf>
      <border outline="0">
        <bottom style="thin">
          <color theme="0"/>
        </bottom>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ill>
        <patternFill patternType="solid">
          <fgColor theme="4" tint="0.59999389629810485"/>
          <bgColor theme="4" tint="0.79998168889431442"/>
        </patternFill>
      </fill>
      <border diagonalUp="0" diagonalDown="0">
        <left/>
        <right/>
        <top style="thin">
          <color theme="0"/>
        </top>
        <bottom style="thin">
          <color theme="0"/>
        </bottom>
        <vertical/>
        <horizontal/>
      </border>
    </dxf>
    <dxf>
      <fill>
        <patternFill patternType="solid">
          <fgColor theme="4" tint="0.59999389629810485"/>
          <bgColor theme="4" tint="0.59999389629810485"/>
        </patternFill>
      </fill>
      <border diagonalUp="0" diagonalDown="0">
        <left/>
        <right/>
        <top style="thin">
          <color theme="0"/>
        </top>
        <bottom style="thin">
          <color theme="0"/>
        </bottom>
        <vertical/>
        <horizontal/>
      </border>
    </dxf>
    <dxf>
      <fill>
        <patternFill patternType="solid">
          <fgColor theme="4" tint="0.59999389629810485"/>
          <bgColor theme="4" tint="0.59999389629810485"/>
        </patternFill>
      </fill>
      <border diagonalUp="0" diagonalDown="0">
        <left/>
        <right/>
        <top style="thin">
          <color theme="0"/>
        </top>
        <bottom style="thin">
          <color theme="0"/>
        </bottom>
        <vertical/>
        <horizontal/>
      </border>
    </dxf>
    <dxf>
      <fill>
        <patternFill patternType="solid">
          <fgColor theme="4" tint="0.59999389629810485"/>
          <bgColor theme="4" tint="0.59999389629810485"/>
        </patternFill>
      </fill>
      <border diagonalUp="0" diagonalDown="0">
        <left/>
        <right/>
        <top style="thin">
          <color theme="0"/>
        </top>
        <bottom style="thin">
          <color theme="0"/>
        </bottom>
        <vertical/>
        <horizontal/>
      </border>
    </dxf>
    <dxf>
      <fill>
        <patternFill patternType="solid">
          <fgColor theme="4" tint="0.59999389629810485"/>
          <bgColor theme="4" tint="0.59999389629810485"/>
        </patternFill>
      </fill>
      <border diagonalUp="0" diagonalDown="0">
        <left/>
        <right/>
        <top style="thin">
          <color theme="0"/>
        </top>
        <bottom style="thin">
          <color theme="0"/>
        </bottom>
        <vertical/>
        <horizontal/>
      </border>
    </dxf>
    <dxf>
      <fill>
        <patternFill patternType="solid">
          <fgColor theme="4" tint="0.59999389629810485"/>
          <bgColor theme="4" tint="0.59999389629810485"/>
        </patternFill>
      </fill>
      <border diagonalUp="0" diagonalDown="0">
        <left/>
        <right/>
        <top style="thin">
          <color theme="0"/>
        </top>
        <bottom style="thin">
          <color theme="0"/>
        </bottom>
        <vertical/>
        <horizontal/>
      </border>
    </dxf>
    <dxf>
      <fill>
        <patternFill patternType="solid">
          <fgColor theme="4" tint="0.59999389629810485"/>
          <bgColor theme="4" tint="0.59999389629810485"/>
        </patternFill>
      </fill>
      <border diagonalUp="0" diagonalDown="0" outline="0">
        <left/>
        <right/>
        <top style="thin">
          <color theme="0"/>
        </top>
        <bottom style="thin">
          <color theme="0"/>
        </bottom>
      </border>
    </dxf>
    <dxf>
      <font>
        <strike val="0"/>
        <outline val="0"/>
        <shadow val="0"/>
        <u val="none"/>
        <vertAlign val="baseline"/>
        <sz val="10"/>
        <color rgb="FFFF0000"/>
        <name val="Arial"/>
        <family val="2"/>
        <scheme val="none"/>
      </font>
      <fill>
        <patternFill patternType="solid">
          <fgColor theme="4" tint="0.79998168889431442"/>
          <bgColor theme="4" tint="0.79998168889431442"/>
        </patternFill>
      </fill>
      <border diagonalUp="0" diagonalDown="0" outline="0">
        <left/>
        <right/>
        <top style="thin">
          <color theme="0"/>
        </top>
        <bottom style="thin">
          <color theme="0"/>
        </bottom>
      </border>
    </dxf>
    <dxf>
      <font>
        <strike val="0"/>
        <outline val="0"/>
        <shadow val="0"/>
        <u val="none"/>
        <vertAlign val="baseline"/>
        <sz val="10"/>
        <color rgb="FFFF0000"/>
        <name val="Arial"/>
        <family val="2"/>
        <scheme val="none"/>
      </font>
      <fill>
        <patternFill patternType="solid">
          <fgColor theme="4" tint="0.79998168889431442"/>
          <bgColor theme="4" tint="0.79998168889431442"/>
        </patternFill>
      </fill>
      <border diagonalUp="0" diagonalDown="0" outline="0">
        <left/>
        <right/>
        <top style="thin">
          <color theme="0"/>
        </top>
        <bottom style="thin">
          <color theme="0"/>
        </bottom>
      </border>
    </dxf>
    <dxf>
      <font>
        <strike val="0"/>
        <outline val="0"/>
        <shadow val="0"/>
        <u val="none"/>
        <vertAlign val="baseline"/>
        <sz val="10"/>
        <color rgb="FFFF0000"/>
        <name val="Arial"/>
        <family val="2"/>
        <scheme val="none"/>
      </font>
      <fill>
        <patternFill patternType="solid">
          <fgColor theme="4" tint="0.79998168889431442"/>
          <bgColor theme="4" tint="0.79998168889431442"/>
        </patternFill>
      </fill>
      <border diagonalUp="0" diagonalDown="0" outline="0">
        <left/>
        <right/>
        <top style="thin">
          <color theme="0"/>
        </top>
        <bottom style="thin">
          <color theme="0"/>
        </bottom>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outline="0">
        <left/>
        <right/>
        <top style="thin">
          <color theme="0"/>
        </top>
        <bottom style="thin">
          <color theme="0"/>
        </bottom>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border diagonalUp="0" diagonalDown="0">
        <left/>
        <right/>
        <top style="thin">
          <color theme="0"/>
        </top>
        <bottom style="thin">
          <color theme="0"/>
        </bottom>
        <vertical/>
        <horizontal/>
      </border>
    </dxf>
    <dxf>
      <border outline="0">
        <top style="thin">
          <color theme="0"/>
        </top>
      </border>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dxf>
    <dxf>
      <border outline="0">
        <bottom style="thin">
          <color theme="0"/>
        </bottom>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dxf>
    <dxf>
      <border outline="0">
        <top style="thin">
          <color theme="0"/>
        </top>
      </border>
    </dxf>
    <dxf>
      <border outline="0">
        <bottom style="thin">
          <color theme="0"/>
        </bottom>
      </border>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font>
        <strike val="0"/>
        <outline val="0"/>
        <shadow val="0"/>
        <u val="none"/>
        <vertAlign val="baseline"/>
        <sz val="10"/>
        <color rgb="FFFF0000"/>
        <name val="Arial"/>
        <family val="2"/>
        <scheme val="none"/>
      </font>
    </dxf>
    <dxf>
      <border outline="0">
        <top style="thin">
          <color theme="0"/>
        </top>
      </border>
    </dxf>
    <dxf>
      <border outline="0">
        <bottom style="thin">
          <color theme="0"/>
        </bottom>
      </border>
    </dxf>
    <dxf>
      <border outline="0">
        <top style="thin">
          <color theme="0"/>
        </top>
      </border>
    </dxf>
    <dxf>
      <font>
        <b/>
        <i val="0"/>
        <strike val="0"/>
        <condense val="0"/>
        <extend val="0"/>
        <outline val="0"/>
        <shadow val="0"/>
        <u val="none"/>
        <vertAlign val="baseline"/>
        <sz val="10"/>
        <color theme="1"/>
        <name val="Arial"/>
        <scheme val="none"/>
      </font>
      <fill>
        <patternFill patternType="solid">
          <fgColor indexed="64"/>
          <bgColor rgb="FF0070C0"/>
        </patternFill>
      </fill>
    </dxf>
    <dxf>
      <font>
        <b/>
        <i val="0"/>
        <strike val="0"/>
        <condense val="0"/>
        <extend val="0"/>
        <outline val="0"/>
        <shadow val="0"/>
        <u val="none"/>
        <vertAlign val="baseline"/>
        <sz val="10"/>
        <color theme="1"/>
        <name val="Arial"/>
        <scheme val="none"/>
      </font>
      <fill>
        <patternFill patternType="solid">
          <fgColor indexed="64"/>
          <bgColor rgb="FF0070C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0.499984740745262"/>
        </patternFill>
      </fill>
    </dxf>
    <dxf>
      <fill>
        <patternFill>
          <bgColor theme="0" tint="-0.499984740745262"/>
        </patternFill>
      </fill>
    </dxf>
    <dxf>
      <fill>
        <patternFill>
          <bgColor rgb="FFFF0000"/>
        </patternFill>
      </fill>
    </dxf>
    <dxf>
      <font>
        <strike val="0"/>
      </font>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border>
    </dxf>
    <dxf>
      <font>
        <strike val="0"/>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right/>
        <top/>
        <bottom/>
        <vertical/>
        <horizontal/>
      </border>
    </dxf>
    <dxf>
      <font>
        <color auto="1"/>
      </font>
      <fill>
        <patternFill>
          <bgColor theme="0" tint="-0.499984740745262"/>
        </patternFill>
      </fill>
      <border>
        <left/>
        <right/>
        <top/>
        <bottom/>
        <vertical/>
        <horizontal/>
      </border>
    </dxf>
    <dxf>
      <font>
        <color auto="1"/>
      </font>
      <fill>
        <patternFill>
          <bgColor theme="0" tint="-0.499984740745262"/>
        </patternFill>
      </fill>
      <border>
        <left/>
        <right/>
        <top/>
        <bottom/>
        <vertical/>
        <horizontal/>
      </border>
    </dxf>
    <dxf>
      <font>
        <color auto="1"/>
      </font>
      <fill>
        <patternFill>
          <bgColor theme="0" tint="-0.499984740745262"/>
        </patternFill>
      </fill>
      <border>
        <left/>
        <right/>
        <top/>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dxf>
    <dxf>
      <fill>
        <patternFill>
          <bgColor theme="0" tint="-0.499984740745262"/>
        </patternFill>
      </fill>
    </dxf>
    <dxf>
      <font>
        <color auto="1"/>
      </font>
      <fill>
        <patternFill>
          <bgColor theme="0" tint="-0.499984740745262"/>
        </patternFill>
      </fill>
      <border>
        <left style="thin">
          <color auto="1"/>
        </left>
        <right style="thin">
          <color auto="1"/>
        </right>
        <top style="thin">
          <color auto="1"/>
        </top>
        <bottom style="thin">
          <color auto="1"/>
        </bottom>
      </border>
    </dxf>
    <dxf>
      <font>
        <color auto="1"/>
      </font>
      <fill>
        <patternFill>
          <bgColor theme="0" tint="-0.499984740745262"/>
        </patternFill>
      </fill>
    </dxf>
    <dxf>
      <font>
        <color auto="1"/>
      </font>
      <fill>
        <patternFill>
          <bgColor theme="0" tint="-0.499984740745262"/>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ont>
        <color auto="1"/>
      </font>
      <fill>
        <patternFill>
          <bgColor theme="0" tint="-0.499984740745262"/>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rgb="FFFF0000"/>
        </patternFill>
      </fill>
    </dxf>
    <dxf>
      <font>
        <color theme="0" tint="-0.499984740745262"/>
      </font>
      <fill>
        <patternFill>
          <bgColor theme="0" tint="-0.499984740745262"/>
        </patternFill>
      </fill>
      <border>
        <left/>
        <right/>
        <top/>
        <bottom/>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top/>
        <bottom/>
      </border>
    </dxf>
    <dxf>
      <font>
        <color theme="0" tint="-0.499984740745262"/>
      </font>
      <fill>
        <patternFill>
          <bgColor theme="0" tint="-0.499984740745262"/>
        </patternFill>
      </fill>
    </dxf>
    <dxf>
      <font>
        <color theme="0" tint="-0.499984740745262"/>
      </font>
      <fill>
        <patternFill>
          <bgColor theme="0" tint="-0.499984740745262"/>
        </patternFill>
      </fill>
      <border>
        <left/>
        <top/>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border>
        <left style="thin">
          <color auto="1"/>
        </left>
        <right style="thin">
          <color auto="1"/>
        </right>
        <top style="thin">
          <color auto="1"/>
        </top>
        <bottom style="thin">
          <color auto="1"/>
        </bottom>
        <vertical/>
        <horizontal/>
      </border>
    </dxf>
    <dxf>
      <fill>
        <patternFill>
          <bgColor rgb="FFFFC000"/>
        </patternFill>
      </fill>
    </dxf>
    <dxf>
      <border>
        <right style="thin">
          <color auto="1"/>
        </right>
        <vertical/>
        <horizontal/>
      </border>
    </dxf>
    <dxf>
      <border>
        <bottom style="thin">
          <color auto="1"/>
        </bottom>
        <vertical/>
        <horizontal/>
      </border>
    </dxf>
    <dxf>
      <font>
        <b/>
        <i val="0"/>
        <color theme="0"/>
      </font>
      <fill>
        <patternFill>
          <bgColor rgb="FF002060"/>
        </patternFill>
      </fill>
      <border>
        <left style="thin">
          <color auto="1"/>
        </left>
        <right style="thin">
          <color auto="1"/>
        </right>
        <top style="thin">
          <color auto="1"/>
        </top>
        <bottom style="thin">
          <color auto="1"/>
        </bottom>
      </border>
    </dxf>
    <dxf>
      <border>
        <left style="thin">
          <color auto="1"/>
        </left>
        <vertical/>
        <horizontal/>
      </border>
    </dxf>
    <dxf>
      <border>
        <left style="thin">
          <color auto="1"/>
        </left>
        <right style="thin">
          <color auto="1"/>
        </right>
        <top style="thin">
          <color auto="1"/>
        </top>
        <bottom style="thin">
          <color auto="1"/>
        </bottom>
        <vertical/>
        <horizontal/>
      </border>
    </dxf>
    <dxf>
      <fill>
        <patternFill>
          <bgColor rgb="FFFFC000"/>
        </patternFill>
      </fill>
    </dxf>
    <dxf>
      <border>
        <right style="thin">
          <color auto="1"/>
        </right>
        <vertical/>
        <horizontal/>
      </border>
    </dxf>
    <dxf>
      <border>
        <bottom style="thin">
          <color auto="1"/>
        </bottom>
        <vertical/>
        <horizontal/>
      </border>
    </dxf>
    <dxf>
      <border>
        <bottom style="thin">
          <color auto="1"/>
        </bottom>
        <vertical/>
        <horizontal/>
      </border>
    </dxf>
    <dxf>
      <font>
        <b/>
        <i val="0"/>
        <color theme="0"/>
      </font>
      <fill>
        <patternFill>
          <bgColor rgb="FF002060"/>
        </patternFill>
      </fill>
      <border>
        <left style="thin">
          <color auto="1"/>
        </left>
        <right style="thin">
          <color auto="1"/>
        </right>
        <top style="thin">
          <color auto="1"/>
        </top>
        <bottom style="thin">
          <color auto="1"/>
        </bottom>
      </border>
    </dxf>
    <dxf>
      <border>
        <left style="thin">
          <color auto="1"/>
        </left>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ont>
        <color rgb="FFFF0000"/>
      </font>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border>
        <left style="thin">
          <color auto="1"/>
        </left>
        <right style="thin">
          <color auto="1"/>
        </right>
        <top style="thin">
          <color auto="1"/>
        </top>
        <bottom style="thin">
          <color auto="1"/>
        </bottom>
      </border>
    </dxf>
    <dxf>
      <fill>
        <patternFill>
          <bgColor rgb="FFFF0000"/>
        </patternFill>
      </fill>
    </dxf>
    <dxf>
      <font>
        <color theme="0" tint="-0.499984740745262"/>
      </font>
      <fill>
        <patternFill>
          <bgColor theme="0" tint="-0.499984740745262"/>
        </patternFill>
      </fill>
      <border>
        <left/>
        <right/>
        <top style="thin">
          <color auto="1"/>
        </top>
        <bottom/>
      </border>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dxf>
    <dxf>
      <fill>
        <patternFill>
          <bgColor rgb="FFFF0000"/>
        </patternFill>
      </fill>
    </dxf>
    <dxf>
      <fill>
        <patternFill>
          <bgColor rgb="FFFF0000"/>
        </patternFill>
      </fill>
    </dxf>
    <dxf>
      <font>
        <color theme="0" tint="-0.499984740745262"/>
      </font>
      <fill>
        <patternFill>
          <bgColor theme="0" tint="-0.499984740745262"/>
        </patternFill>
      </fill>
    </dxf>
    <dxf>
      <font>
        <color theme="0" tint="-0.499984740745262"/>
      </font>
      <fill>
        <patternFill>
          <bgColor theme="0" tint="-0.499984740745262"/>
        </patternFill>
      </fill>
      <border>
        <top/>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499984740745262"/>
      </font>
      <fill>
        <patternFill>
          <bgColor theme="0" tint="-0.499984740745262"/>
        </patternFill>
      </fill>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dxf>
    <dxf>
      <fill>
        <patternFill>
          <bgColor rgb="FFFF0000"/>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rgb="FFFF0000"/>
        </patternFill>
      </fill>
    </dxf>
    <dxf>
      <font>
        <color theme="0" tint="-0.499984740745262"/>
      </font>
      <fill>
        <patternFill>
          <bgColor theme="0" tint="-0.499984740745262"/>
        </patternFill>
      </fill>
    </dxf>
    <dxf>
      <font>
        <color theme="0" tint="-0.499984740745262"/>
      </font>
      <fill>
        <patternFill>
          <bgColor theme="0" tint="-0.499984740745262"/>
        </patternFill>
      </fill>
      <border>
        <left/>
        <right/>
        <top/>
        <bottom/>
        <vertical/>
        <horizontal/>
      </border>
    </dxf>
    <dxf>
      <font>
        <color theme="0" tint="-0.499984740745262"/>
      </font>
      <fill>
        <patternFill>
          <bgColor theme="0" tint="-0.499984740745262"/>
        </patternFill>
      </fill>
      <border>
        <vertical/>
        <horizontal/>
      </border>
    </dxf>
    <dxf>
      <font>
        <color theme="0" tint="-0.499984740745262"/>
      </font>
      <fill>
        <patternFill>
          <bgColor theme="0" tint="-0.499984740745262"/>
        </patternFill>
      </fill>
    </dxf>
    <dxf>
      <font>
        <color theme="0" tint="-0.499984740745262"/>
      </font>
      <fill>
        <patternFill>
          <bgColor theme="0" tint="-0.499984740745262"/>
        </patternFill>
      </fill>
      <border>
        <left/>
        <right/>
        <top/>
        <bottom/>
        <vertical/>
        <horizontal/>
      </border>
    </dxf>
    <dxf>
      <font>
        <color theme="0" tint="-0.499984740745262"/>
      </font>
      <fill>
        <patternFill>
          <bgColor theme="0" tint="-0.499984740745262"/>
        </patternFill>
      </fill>
    </dxf>
    <dxf>
      <font>
        <color theme="0" tint="-0.499984740745262"/>
      </font>
      <fill>
        <patternFill>
          <bgColor theme="0" tint="-0.499984740745262"/>
        </patternFill>
      </fill>
      <border>
        <left/>
        <right/>
        <top/>
        <bottom/>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border>
    </dxf>
    <dxf>
      <fill>
        <patternFill>
          <bgColor rgb="FFFF0000"/>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FF0000"/>
        </patternFill>
      </fill>
    </dxf>
    <dxf>
      <fill>
        <patternFill>
          <bgColor rgb="FFFF0000"/>
        </patternFill>
      </fill>
    </dxf>
    <dxf>
      <font>
        <color theme="0" tint="-0.499984740745262"/>
      </font>
      <fill>
        <patternFill>
          <bgColor theme="0" tint="-0.499984740745262"/>
        </patternFill>
      </fill>
      <border>
        <left style="thin">
          <color auto="1"/>
        </left>
        <right style="thin">
          <color auto="1"/>
        </right>
        <top style="thin">
          <color auto="1"/>
        </top>
        <bottom style="thin">
          <color auto="1"/>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top/>
      </border>
    </dxf>
    <dxf>
      <fill>
        <patternFill>
          <bgColor rgb="FF00B050"/>
        </patternFill>
      </fill>
      <border>
        <left style="thin">
          <color auto="1"/>
        </left>
        <right style="thin">
          <color auto="1"/>
        </right>
        <top style="thin">
          <color auto="1"/>
        </top>
        <bottom style="thin">
          <color auto="1"/>
        </bottom>
      </border>
    </dxf>
    <dxf>
      <fill>
        <patternFill>
          <bgColor rgb="FFFF0000"/>
        </patternFill>
      </fill>
    </dxf>
    <dxf>
      <font>
        <color theme="0" tint="-0.499984740745262"/>
      </font>
      <fill>
        <patternFill>
          <bgColor theme="0" tint="-0.499984740745262"/>
        </patternFill>
      </fill>
      <border>
        <left/>
        <top/>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dxf>
    <dxf>
      <font>
        <color theme="0" tint="-0.499984740745262"/>
      </font>
      <fill>
        <patternFill>
          <bgColor theme="0" tint="-0.499984740745262"/>
        </patternFill>
      </fill>
      <border>
        <left/>
        <right/>
        <top/>
        <bottom/>
        <vertical/>
        <horizontal/>
      </border>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border>
        <left style="thin">
          <color auto="1"/>
        </left>
        <right style="thin">
          <color auto="1"/>
        </right>
        <top style="thin">
          <color auto="1"/>
        </top>
        <bottom style="thin">
          <color auto="1"/>
        </bottom>
      </border>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ill>
        <patternFill>
          <bgColor rgb="FFFF0000"/>
        </patternFill>
      </fill>
    </dxf>
    <dxf>
      <font>
        <color theme="0" tint="-0.499984740745262"/>
      </font>
      <fill>
        <patternFill>
          <bgColor theme="0" tint="-0.499984740745262"/>
        </patternFill>
      </fill>
      <border>
        <left/>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ill>
        <patternFill>
          <bgColor rgb="FF00B050"/>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ill>
        <patternFill>
          <bgColor rgb="FF00B050"/>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vertical/>
        <horizontal/>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right style="thin">
          <color auto="1"/>
        </right>
      </border>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border>
        <left/>
        <right/>
        <top/>
        <bottom/>
      </border>
    </dxf>
    <dxf>
      <font>
        <color theme="0" tint="-0.499984740745262"/>
      </font>
      <fill>
        <patternFill>
          <bgColor theme="0" tint="-0.499984740745262"/>
        </patternFill>
      </fill>
    </dxf>
    <dxf>
      <font>
        <color theme="0" tint="-0.499984740745262"/>
      </font>
      <fill>
        <patternFill>
          <bgColor theme="0" tint="-0.499984740745262"/>
        </patternFill>
      </fill>
      <border>
        <left style="thin">
          <color auto="1"/>
        </left>
        <right style="thin">
          <color auto="1"/>
        </right>
        <top style="thin">
          <color auto="1"/>
        </top>
        <bottom style="thin">
          <color auto="1"/>
        </bottom>
      </border>
    </dxf>
    <dxf>
      <font>
        <color theme="0" tint="-0.499984740745262"/>
      </font>
      <fill>
        <patternFill>
          <bgColor theme="0" tint="-0.499984740745262"/>
        </patternFill>
      </fill>
    </dxf>
    <dxf>
      <font>
        <color theme="0" tint="-0.499984740745262"/>
      </font>
      <fill>
        <patternFill>
          <bgColor theme="0" tint="-0.499984740745262"/>
        </patternFill>
      </fill>
      <border>
        <bottom/>
      </border>
    </dxf>
    <dxf>
      <font>
        <color theme="0" tint="-0.499984740745262"/>
      </font>
      <fill>
        <patternFill>
          <bgColor theme="0" tint="-0.499984740745262"/>
        </patternFill>
      </fill>
    </dxf>
  </dxfs>
  <tableStyles count="0" defaultTableStyle="TableStyleMedium9" defaultPivotStyle="PivotStyleLight16"/>
  <colors>
    <mruColors>
      <color rgb="FFFFFFFF"/>
      <color rgb="FF002060"/>
      <color rgb="FF808080"/>
      <color rgb="FFFFC000"/>
      <color rgb="FFBFBFBF"/>
      <color rgb="FF153B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5"/>
          <c:order val="0"/>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Parameter_Template!$G$328:$G$340</c:f>
              <c:numCache>
                <c:formatCode>General</c:formatCode>
                <c:ptCount val="13"/>
                <c:pt idx="0">
                  <c:v>0</c:v>
                </c:pt>
                <c:pt idx="1">
                  <c:v>0.24</c:v>
                </c:pt>
                <c:pt idx="2">
                  <c:v>0.37</c:v>
                </c:pt>
                <c:pt idx="3">
                  <c:v>0.5</c:v>
                </c:pt>
                <c:pt idx="4">
                  <c:v>0.61</c:v>
                </c:pt>
                <c:pt idx="5">
                  <c:v>0.68</c:v>
                </c:pt>
                <c:pt idx="6">
                  <c:v>0.86</c:v>
                </c:pt>
                <c:pt idx="7">
                  <c:v>1.1499999999999999</c:v>
                </c:pt>
                <c:pt idx="8">
                  <c:v>1.33</c:v>
                </c:pt>
                <c:pt idx="9">
                  <c:v>1.52</c:v>
                </c:pt>
              </c:numCache>
            </c:numRef>
          </c:yVal>
          <c:smooth val="1"/>
          <c:extLst>
            <c:ext xmlns:c16="http://schemas.microsoft.com/office/drawing/2014/chart" uri="{C3380CC4-5D6E-409C-BE32-E72D297353CC}">
              <c16:uniqueId val="{0000001F-D977-4B59-BB53-4A8A5B9B5A94}"/>
            </c:ext>
          </c:extLst>
        </c:ser>
        <c:ser>
          <c:idx val="16"/>
          <c:order val="1"/>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Parameter_Template!$H$328:$H$340</c:f>
              <c:numCache>
                <c:formatCode>General</c:formatCode>
                <c:ptCount val="13"/>
                <c:pt idx="0">
                  <c:v>0</c:v>
                </c:pt>
                <c:pt idx="1">
                  <c:v>0.24</c:v>
                </c:pt>
                <c:pt idx="2">
                  <c:v>0.37</c:v>
                </c:pt>
                <c:pt idx="3">
                  <c:v>0.5</c:v>
                </c:pt>
                <c:pt idx="4">
                  <c:v>0.61</c:v>
                </c:pt>
                <c:pt idx="5">
                  <c:v>0.68</c:v>
                </c:pt>
                <c:pt idx="6">
                  <c:v>0.86</c:v>
                </c:pt>
                <c:pt idx="7">
                  <c:v>1.1499999999999999</c:v>
                </c:pt>
                <c:pt idx="8">
                  <c:v>1.33</c:v>
                </c:pt>
                <c:pt idx="9">
                  <c:v>1.52</c:v>
                </c:pt>
              </c:numCache>
            </c:numRef>
          </c:yVal>
          <c:smooth val="1"/>
          <c:extLst>
            <c:ext xmlns:c16="http://schemas.microsoft.com/office/drawing/2014/chart" uri="{C3380CC4-5D6E-409C-BE32-E72D297353CC}">
              <c16:uniqueId val="{00000020-D977-4B59-BB53-4A8A5B9B5A94}"/>
            </c:ext>
          </c:extLst>
        </c:ser>
        <c:ser>
          <c:idx val="17"/>
          <c:order val="2"/>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Parameter_Template!$I$328:$I$340</c:f>
              <c:numCache>
                <c:formatCode>General</c:formatCode>
                <c:ptCount val="13"/>
                <c:pt idx="0">
                  <c:v>0</c:v>
                </c:pt>
                <c:pt idx="1">
                  <c:v>0.24</c:v>
                </c:pt>
                <c:pt idx="2">
                  <c:v>0.37</c:v>
                </c:pt>
                <c:pt idx="3">
                  <c:v>0.5</c:v>
                </c:pt>
                <c:pt idx="4">
                  <c:v>0.61</c:v>
                </c:pt>
                <c:pt idx="5">
                  <c:v>0.68</c:v>
                </c:pt>
                <c:pt idx="6">
                  <c:v>0.86</c:v>
                </c:pt>
                <c:pt idx="7">
                  <c:v>1.1499999999999999</c:v>
                </c:pt>
                <c:pt idx="8">
                  <c:v>1.33</c:v>
                </c:pt>
                <c:pt idx="9">
                  <c:v>1.52</c:v>
                </c:pt>
              </c:numCache>
            </c:numRef>
          </c:yVal>
          <c:smooth val="1"/>
          <c:extLst>
            <c:ext xmlns:c16="http://schemas.microsoft.com/office/drawing/2014/chart" uri="{C3380CC4-5D6E-409C-BE32-E72D297353CC}">
              <c16:uniqueId val="{00000021-D977-4B59-BB53-4A8A5B9B5A94}"/>
            </c:ext>
          </c:extLst>
        </c:ser>
        <c:ser>
          <c:idx val="18"/>
          <c:order val="3"/>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Parameter_Template!$J$328:$J$340</c:f>
              <c:numCache>
                <c:formatCode>General</c:formatCode>
                <c:ptCount val="13"/>
                <c:pt idx="0">
                  <c:v>0</c:v>
                </c:pt>
                <c:pt idx="1">
                  <c:v>0.24</c:v>
                </c:pt>
                <c:pt idx="2">
                  <c:v>0.37</c:v>
                </c:pt>
                <c:pt idx="3">
                  <c:v>0.5</c:v>
                </c:pt>
                <c:pt idx="4">
                  <c:v>0.61</c:v>
                </c:pt>
                <c:pt idx="5">
                  <c:v>0.68</c:v>
                </c:pt>
                <c:pt idx="6">
                  <c:v>0.86</c:v>
                </c:pt>
                <c:pt idx="7">
                  <c:v>1.1499999999999999</c:v>
                </c:pt>
                <c:pt idx="8">
                  <c:v>1.33</c:v>
                </c:pt>
                <c:pt idx="9">
                  <c:v>1.52</c:v>
                </c:pt>
              </c:numCache>
            </c:numRef>
          </c:yVal>
          <c:smooth val="1"/>
          <c:extLst>
            <c:ext xmlns:c16="http://schemas.microsoft.com/office/drawing/2014/chart" uri="{C3380CC4-5D6E-409C-BE32-E72D297353CC}">
              <c16:uniqueId val="{00000022-D977-4B59-BB53-4A8A5B9B5A94}"/>
            </c:ext>
          </c:extLst>
        </c:ser>
        <c:ser>
          <c:idx val="19"/>
          <c:order val="4"/>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Parameter_Template!$K$328:$K$340</c:f>
              <c:numCache>
                <c:formatCode>General</c:formatCode>
                <c:ptCount val="13"/>
                <c:pt idx="0">
                  <c:v>0</c:v>
                </c:pt>
                <c:pt idx="1">
                  <c:v>0.24</c:v>
                </c:pt>
                <c:pt idx="2">
                  <c:v>0.37</c:v>
                </c:pt>
                <c:pt idx="3">
                  <c:v>0.5</c:v>
                </c:pt>
                <c:pt idx="4">
                  <c:v>0.61</c:v>
                </c:pt>
                <c:pt idx="5">
                  <c:v>0.68</c:v>
                </c:pt>
                <c:pt idx="6">
                  <c:v>0.86</c:v>
                </c:pt>
                <c:pt idx="7">
                  <c:v>1.1499999999999999</c:v>
                </c:pt>
                <c:pt idx="8">
                  <c:v>1.33</c:v>
                </c:pt>
                <c:pt idx="9">
                  <c:v>1.52</c:v>
                </c:pt>
              </c:numCache>
            </c:numRef>
          </c:yVal>
          <c:smooth val="1"/>
          <c:extLst>
            <c:ext xmlns:c16="http://schemas.microsoft.com/office/drawing/2014/chart" uri="{C3380CC4-5D6E-409C-BE32-E72D297353CC}">
              <c16:uniqueId val="{00000023-D977-4B59-BB53-4A8A5B9B5A94}"/>
            </c:ext>
          </c:extLst>
        </c:ser>
        <c:ser>
          <c:idx val="20"/>
          <c:order val="5"/>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Parameter_Template!$L$328:$L$340</c:f>
              <c:numCache>
                <c:formatCode>General</c:formatCode>
                <c:ptCount val="13"/>
                <c:pt idx="0">
                  <c:v>0</c:v>
                </c:pt>
                <c:pt idx="1">
                  <c:v>0.24</c:v>
                </c:pt>
                <c:pt idx="2">
                  <c:v>0.37</c:v>
                </c:pt>
                <c:pt idx="3">
                  <c:v>0.5</c:v>
                </c:pt>
                <c:pt idx="4">
                  <c:v>0.61</c:v>
                </c:pt>
                <c:pt idx="5">
                  <c:v>0.68</c:v>
                </c:pt>
                <c:pt idx="6">
                  <c:v>0.86</c:v>
                </c:pt>
                <c:pt idx="7">
                  <c:v>1.1499999999999999</c:v>
                </c:pt>
                <c:pt idx="8">
                  <c:v>1.33</c:v>
                </c:pt>
                <c:pt idx="9">
                  <c:v>1.52</c:v>
                </c:pt>
              </c:numCache>
            </c:numRef>
          </c:yVal>
          <c:smooth val="1"/>
          <c:extLst>
            <c:ext xmlns:c16="http://schemas.microsoft.com/office/drawing/2014/chart" uri="{C3380CC4-5D6E-409C-BE32-E72D297353CC}">
              <c16:uniqueId val="{00000024-D977-4B59-BB53-4A8A5B9B5A94}"/>
            </c:ext>
          </c:extLst>
        </c:ser>
        <c:ser>
          <c:idx val="21"/>
          <c:order val="6"/>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Parameter_Template!$M$328:$M$340</c:f>
              <c:numCache>
                <c:formatCode>General</c:formatCode>
                <c:ptCount val="13"/>
                <c:pt idx="0">
                  <c:v>0</c:v>
                </c:pt>
                <c:pt idx="1">
                  <c:v>0.24</c:v>
                </c:pt>
                <c:pt idx="2">
                  <c:v>0.37</c:v>
                </c:pt>
                <c:pt idx="3">
                  <c:v>0.5</c:v>
                </c:pt>
                <c:pt idx="4">
                  <c:v>0.61</c:v>
                </c:pt>
                <c:pt idx="5">
                  <c:v>0.68</c:v>
                </c:pt>
                <c:pt idx="6">
                  <c:v>0.86</c:v>
                </c:pt>
                <c:pt idx="7">
                  <c:v>1.1499999999999999</c:v>
                </c:pt>
                <c:pt idx="8">
                  <c:v>1.33</c:v>
                </c:pt>
                <c:pt idx="9">
                  <c:v>1.52</c:v>
                </c:pt>
              </c:numCache>
            </c:numRef>
          </c:yVal>
          <c:smooth val="1"/>
          <c:extLst>
            <c:ext xmlns:c16="http://schemas.microsoft.com/office/drawing/2014/chart" uri="{C3380CC4-5D6E-409C-BE32-E72D297353CC}">
              <c16:uniqueId val="{00000025-D977-4B59-BB53-4A8A5B9B5A94}"/>
            </c:ext>
          </c:extLst>
        </c:ser>
        <c:ser>
          <c:idx val="22"/>
          <c:order val="7"/>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Parameter_Template!$N$328:$N$340</c:f>
              <c:numCache>
                <c:formatCode>General</c:formatCode>
                <c:ptCount val="13"/>
                <c:pt idx="0">
                  <c:v>0</c:v>
                </c:pt>
              </c:numCache>
            </c:numRef>
          </c:yVal>
          <c:smooth val="1"/>
          <c:extLst>
            <c:ext xmlns:c16="http://schemas.microsoft.com/office/drawing/2014/chart" uri="{C3380CC4-5D6E-409C-BE32-E72D297353CC}">
              <c16:uniqueId val="{00000026-D977-4B59-BB53-4A8A5B9B5A94}"/>
            </c:ext>
          </c:extLst>
        </c:ser>
        <c:ser>
          <c:idx val="23"/>
          <c:order val="8"/>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Parameter_Template!$O$328:$O$340</c:f>
              <c:numCache>
                <c:formatCode>General</c:formatCode>
                <c:ptCount val="13"/>
                <c:pt idx="0">
                  <c:v>0</c:v>
                </c:pt>
              </c:numCache>
            </c:numRef>
          </c:yVal>
          <c:smooth val="1"/>
          <c:extLst>
            <c:ext xmlns:c16="http://schemas.microsoft.com/office/drawing/2014/chart" uri="{C3380CC4-5D6E-409C-BE32-E72D297353CC}">
              <c16:uniqueId val="{00000027-D977-4B59-BB53-4A8A5B9B5A94}"/>
            </c:ext>
          </c:extLst>
        </c:ser>
        <c:ser>
          <c:idx val="24"/>
          <c:order val="9"/>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Parameter_Template!$P$328:$P$340</c:f>
              <c:numCache>
                <c:formatCode>General</c:formatCode>
                <c:ptCount val="13"/>
                <c:pt idx="0">
                  <c:v>0</c:v>
                </c:pt>
              </c:numCache>
            </c:numRef>
          </c:yVal>
          <c:smooth val="1"/>
          <c:extLst>
            <c:ext xmlns:c16="http://schemas.microsoft.com/office/drawing/2014/chart" uri="{C3380CC4-5D6E-409C-BE32-E72D297353CC}">
              <c16:uniqueId val="{00000028-D977-4B59-BB53-4A8A5B9B5A94}"/>
            </c:ext>
          </c:extLst>
        </c:ser>
        <c:ser>
          <c:idx val="25"/>
          <c:order val="10"/>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Parameter_Template!$Q$328:$Q$340</c:f>
              <c:numCache>
                <c:formatCode>General</c:formatCode>
                <c:ptCount val="13"/>
                <c:pt idx="0">
                  <c:v>0</c:v>
                </c:pt>
              </c:numCache>
            </c:numRef>
          </c:yVal>
          <c:smooth val="1"/>
          <c:extLst>
            <c:ext xmlns:c16="http://schemas.microsoft.com/office/drawing/2014/chart" uri="{C3380CC4-5D6E-409C-BE32-E72D297353CC}">
              <c16:uniqueId val="{00000029-D977-4B59-BB53-4A8A5B9B5A94}"/>
            </c:ext>
          </c:extLst>
        </c:ser>
        <c:ser>
          <c:idx val="26"/>
          <c:order val="11"/>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Parameter_Template!$R$328:$R$340</c:f>
              <c:numCache>
                <c:formatCode>General</c:formatCode>
                <c:ptCount val="13"/>
                <c:pt idx="0">
                  <c:v>0</c:v>
                </c:pt>
              </c:numCache>
            </c:numRef>
          </c:yVal>
          <c:smooth val="1"/>
          <c:extLst>
            <c:ext xmlns:c16="http://schemas.microsoft.com/office/drawing/2014/chart" uri="{C3380CC4-5D6E-409C-BE32-E72D297353CC}">
              <c16:uniqueId val="{0000002A-D977-4B59-BB53-4A8A5B9B5A94}"/>
            </c:ext>
          </c:extLst>
        </c:ser>
        <c:ser>
          <c:idx val="27"/>
          <c:order val="12"/>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Parameter_Template!$S$328:$S$340</c:f>
              <c:numCache>
                <c:formatCode>General</c:formatCode>
                <c:ptCount val="13"/>
                <c:pt idx="0">
                  <c:v>0</c:v>
                </c:pt>
              </c:numCache>
            </c:numRef>
          </c:yVal>
          <c:smooth val="1"/>
          <c:extLst>
            <c:ext xmlns:c16="http://schemas.microsoft.com/office/drawing/2014/chart" uri="{C3380CC4-5D6E-409C-BE32-E72D297353CC}">
              <c16:uniqueId val="{0000002B-D977-4B59-BB53-4A8A5B9B5A94}"/>
            </c:ext>
          </c:extLst>
        </c:ser>
        <c:ser>
          <c:idx val="28"/>
          <c:order val="13"/>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Parameter_Template!$T$328:$T$340</c:f>
              <c:numCache>
                <c:formatCode>General</c:formatCode>
                <c:ptCount val="13"/>
                <c:pt idx="0">
                  <c:v>0</c:v>
                </c:pt>
              </c:numCache>
            </c:numRef>
          </c:yVal>
          <c:smooth val="1"/>
          <c:extLst>
            <c:ext xmlns:c16="http://schemas.microsoft.com/office/drawing/2014/chart" uri="{C3380CC4-5D6E-409C-BE32-E72D297353CC}">
              <c16:uniqueId val="{0000002C-D977-4B59-BB53-4A8A5B9B5A94}"/>
            </c:ext>
          </c:extLst>
        </c:ser>
        <c:ser>
          <c:idx val="29"/>
          <c:order val="14"/>
          <c:xVal>
            <c:numRef>
              <c:f>Parameter_Template!$F$328:$F$340</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Parameter_Template!$U$328:$U$340</c:f>
              <c:numCache>
                <c:formatCode>General</c:formatCode>
                <c:ptCount val="13"/>
                <c:pt idx="0">
                  <c:v>0</c:v>
                </c:pt>
              </c:numCache>
            </c:numRef>
          </c:yVal>
          <c:smooth val="1"/>
          <c:extLst>
            <c:ext xmlns:c16="http://schemas.microsoft.com/office/drawing/2014/chart" uri="{C3380CC4-5D6E-409C-BE32-E72D297353CC}">
              <c16:uniqueId val="{0000002D-D977-4B59-BB53-4A8A5B9B5A94}"/>
            </c:ext>
          </c:extLst>
        </c:ser>
        <c:dLbls>
          <c:showLegendKey val="0"/>
          <c:showVal val="0"/>
          <c:showCatName val="0"/>
          <c:showSerName val="0"/>
          <c:showPercent val="0"/>
          <c:showBubbleSize val="0"/>
        </c:dLbls>
        <c:axId val="276908080"/>
        <c:axId val="276908408"/>
      </c:scatterChart>
      <c:valAx>
        <c:axId val="276908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76908408"/>
        <c:crosses val="autoZero"/>
        <c:crossBetween val="midCat"/>
      </c:valAx>
      <c:valAx>
        <c:axId val="276908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76908080"/>
        <c:crosses val="autoZero"/>
        <c:crossBetween val="midCat"/>
      </c:valAx>
    </c:plotArea>
    <c:plotVisOnly val="1"/>
    <c:dispBlanksAs val="span"/>
    <c:showDLblsOverMax val="0"/>
  </c:chart>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5"/>
          <c:order val="0"/>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Parameter_Template!$G$345:$G$357</c:f>
              <c:numCache>
                <c:formatCode>General</c:formatCode>
                <c:ptCount val="13"/>
                <c:pt idx="0">
                  <c:v>0</c:v>
                </c:pt>
                <c:pt idx="1">
                  <c:v>2E-3</c:v>
                </c:pt>
                <c:pt idx="2">
                  <c:v>4.0000000000000001E-3</c:v>
                </c:pt>
                <c:pt idx="3">
                  <c:v>8.0000000000000002E-3</c:v>
                </c:pt>
                <c:pt idx="4">
                  <c:v>1.2E-2</c:v>
                </c:pt>
                <c:pt idx="5">
                  <c:v>1.7000000000000001E-2</c:v>
                </c:pt>
                <c:pt idx="6">
                  <c:v>2.5000000000000001E-2</c:v>
                </c:pt>
                <c:pt idx="7">
                  <c:v>0.05</c:v>
                </c:pt>
                <c:pt idx="8">
                  <c:v>6.7000000000000004E-2</c:v>
                </c:pt>
                <c:pt idx="9">
                  <c:v>8.4000000000000005E-2</c:v>
                </c:pt>
              </c:numCache>
            </c:numRef>
          </c:yVal>
          <c:smooth val="1"/>
          <c:extLst>
            <c:ext xmlns:c16="http://schemas.microsoft.com/office/drawing/2014/chart" uri="{C3380CC4-5D6E-409C-BE32-E72D297353CC}">
              <c16:uniqueId val="{00000000-CB95-4533-9BA0-4B862CCCF79E}"/>
            </c:ext>
          </c:extLst>
        </c:ser>
        <c:ser>
          <c:idx val="16"/>
          <c:order val="1"/>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Parameter_Template!$H$345:$H$357</c:f>
              <c:numCache>
                <c:formatCode>General</c:formatCode>
                <c:ptCount val="13"/>
                <c:pt idx="0">
                  <c:v>0</c:v>
                </c:pt>
                <c:pt idx="1">
                  <c:v>2E-3</c:v>
                </c:pt>
                <c:pt idx="2">
                  <c:v>4.0000000000000001E-3</c:v>
                </c:pt>
                <c:pt idx="3">
                  <c:v>8.0000000000000002E-3</c:v>
                </c:pt>
                <c:pt idx="4">
                  <c:v>1.2E-2</c:v>
                </c:pt>
                <c:pt idx="5">
                  <c:v>1.7000000000000001E-2</c:v>
                </c:pt>
                <c:pt idx="6">
                  <c:v>2.5000000000000001E-2</c:v>
                </c:pt>
                <c:pt idx="7">
                  <c:v>0.05</c:v>
                </c:pt>
                <c:pt idx="8">
                  <c:v>6.7000000000000004E-2</c:v>
                </c:pt>
                <c:pt idx="9">
                  <c:v>8.4000000000000005E-2</c:v>
                </c:pt>
              </c:numCache>
            </c:numRef>
          </c:yVal>
          <c:smooth val="1"/>
          <c:extLst>
            <c:ext xmlns:c16="http://schemas.microsoft.com/office/drawing/2014/chart" uri="{C3380CC4-5D6E-409C-BE32-E72D297353CC}">
              <c16:uniqueId val="{00000001-CB95-4533-9BA0-4B862CCCF79E}"/>
            </c:ext>
          </c:extLst>
        </c:ser>
        <c:ser>
          <c:idx val="17"/>
          <c:order val="2"/>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Parameter_Template!$I$345:$I$357</c:f>
              <c:numCache>
                <c:formatCode>General</c:formatCode>
                <c:ptCount val="13"/>
                <c:pt idx="0">
                  <c:v>0</c:v>
                </c:pt>
                <c:pt idx="1">
                  <c:v>2E-3</c:v>
                </c:pt>
                <c:pt idx="2">
                  <c:v>4.0000000000000001E-3</c:v>
                </c:pt>
                <c:pt idx="3">
                  <c:v>8.0000000000000002E-3</c:v>
                </c:pt>
                <c:pt idx="4">
                  <c:v>1.2E-2</c:v>
                </c:pt>
                <c:pt idx="5">
                  <c:v>1.7000000000000001E-2</c:v>
                </c:pt>
                <c:pt idx="6">
                  <c:v>2.5000000000000001E-2</c:v>
                </c:pt>
                <c:pt idx="7">
                  <c:v>0.05</c:v>
                </c:pt>
                <c:pt idx="8">
                  <c:v>6.7000000000000004E-2</c:v>
                </c:pt>
                <c:pt idx="9">
                  <c:v>8.4000000000000005E-2</c:v>
                </c:pt>
              </c:numCache>
            </c:numRef>
          </c:yVal>
          <c:smooth val="1"/>
          <c:extLst>
            <c:ext xmlns:c16="http://schemas.microsoft.com/office/drawing/2014/chart" uri="{C3380CC4-5D6E-409C-BE32-E72D297353CC}">
              <c16:uniqueId val="{00000002-CB95-4533-9BA0-4B862CCCF79E}"/>
            </c:ext>
          </c:extLst>
        </c:ser>
        <c:ser>
          <c:idx val="18"/>
          <c:order val="3"/>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Parameter_Template!$J$345:$J$357</c:f>
              <c:numCache>
                <c:formatCode>General</c:formatCode>
                <c:ptCount val="13"/>
                <c:pt idx="0">
                  <c:v>0</c:v>
                </c:pt>
                <c:pt idx="1">
                  <c:v>2E-3</c:v>
                </c:pt>
                <c:pt idx="2">
                  <c:v>4.0000000000000001E-3</c:v>
                </c:pt>
                <c:pt idx="3">
                  <c:v>8.0000000000000002E-3</c:v>
                </c:pt>
                <c:pt idx="4">
                  <c:v>1.2E-2</c:v>
                </c:pt>
                <c:pt idx="5">
                  <c:v>1.7000000000000001E-2</c:v>
                </c:pt>
                <c:pt idx="6">
                  <c:v>2.5000000000000001E-2</c:v>
                </c:pt>
                <c:pt idx="7">
                  <c:v>0.05</c:v>
                </c:pt>
                <c:pt idx="8">
                  <c:v>6.7000000000000004E-2</c:v>
                </c:pt>
                <c:pt idx="9">
                  <c:v>8.4000000000000005E-2</c:v>
                </c:pt>
              </c:numCache>
            </c:numRef>
          </c:yVal>
          <c:smooth val="1"/>
          <c:extLst>
            <c:ext xmlns:c16="http://schemas.microsoft.com/office/drawing/2014/chart" uri="{C3380CC4-5D6E-409C-BE32-E72D297353CC}">
              <c16:uniqueId val="{00000003-CB95-4533-9BA0-4B862CCCF79E}"/>
            </c:ext>
          </c:extLst>
        </c:ser>
        <c:ser>
          <c:idx val="19"/>
          <c:order val="4"/>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Parameter_Template!$K$345:$K$357</c:f>
              <c:numCache>
                <c:formatCode>General</c:formatCode>
                <c:ptCount val="13"/>
                <c:pt idx="0">
                  <c:v>0</c:v>
                </c:pt>
                <c:pt idx="1">
                  <c:v>2E-3</c:v>
                </c:pt>
                <c:pt idx="2">
                  <c:v>4.0000000000000001E-3</c:v>
                </c:pt>
                <c:pt idx="3">
                  <c:v>8.0000000000000002E-3</c:v>
                </c:pt>
                <c:pt idx="4">
                  <c:v>1.2E-2</c:v>
                </c:pt>
                <c:pt idx="5">
                  <c:v>1.7000000000000001E-2</c:v>
                </c:pt>
                <c:pt idx="6">
                  <c:v>2.5000000000000001E-2</c:v>
                </c:pt>
                <c:pt idx="7">
                  <c:v>0.05</c:v>
                </c:pt>
                <c:pt idx="8">
                  <c:v>6.7000000000000004E-2</c:v>
                </c:pt>
                <c:pt idx="9">
                  <c:v>8.4000000000000005E-2</c:v>
                </c:pt>
              </c:numCache>
            </c:numRef>
          </c:yVal>
          <c:smooth val="1"/>
          <c:extLst>
            <c:ext xmlns:c16="http://schemas.microsoft.com/office/drawing/2014/chart" uri="{C3380CC4-5D6E-409C-BE32-E72D297353CC}">
              <c16:uniqueId val="{00000004-CB95-4533-9BA0-4B862CCCF79E}"/>
            </c:ext>
          </c:extLst>
        </c:ser>
        <c:ser>
          <c:idx val="20"/>
          <c:order val="5"/>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Parameter_Template!$L$345:$L$357</c:f>
              <c:numCache>
                <c:formatCode>General</c:formatCode>
                <c:ptCount val="13"/>
                <c:pt idx="0">
                  <c:v>0</c:v>
                </c:pt>
                <c:pt idx="1">
                  <c:v>2E-3</c:v>
                </c:pt>
                <c:pt idx="2">
                  <c:v>4.0000000000000001E-3</c:v>
                </c:pt>
                <c:pt idx="3">
                  <c:v>8.0000000000000002E-3</c:v>
                </c:pt>
                <c:pt idx="4">
                  <c:v>1.2E-2</c:v>
                </c:pt>
                <c:pt idx="5">
                  <c:v>1.7000000000000001E-2</c:v>
                </c:pt>
                <c:pt idx="6">
                  <c:v>2.5000000000000001E-2</c:v>
                </c:pt>
                <c:pt idx="7">
                  <c:v>0.05</c:v>
                </c:pt>
                <c:pt idx="8">
                  <c:v>6.7000000000000004E-2</c:v>
                </c:pt>
                <c:pt idx="9">
                  <c:v>8.4000000000000005E-2</c:v>
                </c:pt>
              </c:numCache>
            </c:numRef>
          </c:yVal>
          <c:smooth val="1"/>
          <c:extLst>
            <c:ext xmlns:c16="http://schemas.microsoft.com/office/drawing/2014/chart" uri="{C3380CC4-5D6E-409C-BE32-E72D297353CC}">
              <c16:uniqueId val="{00000005-CB95-4533-9BA0-4B862CCCF79E}"/>
            </c:ext>
          </c:extLst>
        </c:ser>
        <c:ser>
          <c:idx val="21"/>
          <c:order val="6"/>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Parameter_Template!$M$345:$M$357</c:f>
              <c:numCache>
                <c:formatCode>General</c:formatCode>
                <c:ptCount val="13"/>
                <c:pt idx="0">
                  <c:v>0</c:v>
                </c:pt>
                <c:pt idx="1">
                  <c:v>2E-3</c:v>
                </c:pt>
                <c:pt idx="2">
                  <c:v>4.0000000000000001E-3</c:v>
                </c:pt>
                <c:pt idx="3">
                  <c:v>8.0000000000000002E-3</c:v>
                </c:pt>
                <c:pt idx="4">
                  <c:v>1.2E-2</c:v>
                </c:pt>
                <c:pt idx="5">
                  <c:v>1.7000000000000001E-2</c:v>
                </c:pt>
                <c:pt idx="6">
                  <c:v>2.5000000000000001E-2</c:v>
                </c:pt>
                <c:pt idx="7">
                  <c:v>0.05</c:v>
                </c:pt>
                <c:pt idx="8">
                  <c:v>6.7000000000000004E-2</c:v>
                </c:pt>
                <c:pt idx="9">
                  <c:v>8.4000000000000005E-2</c:v>
                </c:pt>
              </c:numCache>
            </c:numRef>
          </c:yVal>
          <c:smooth val="1"/>
          <c:extLst>
            <c:ext xmlns:c16="http://schemas.microsoft.com/office/drawing/2014/chart" uri="{C3380CC4-5D6E-409C-BE32-E72D297353CC}">
              <c16:uniqueId val="{00000006-CB95-4533-9BA0-4B862CCCF79E}"/>
            </c:ext>
          </c:extLst>
        </c:ser>
        <c:ser>
          <c:idx val="22"/>
          <c:order val="7"/>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Parameter_Template!$N$345:$N$357</c:f>
              <c:numCache>
                <c:formatCode>General</c:formatCode>
                <c:ptCount val="13"/>
                <c:pt idx="0">
                  <c:v>0</c:v>
                </c:pt>
              </c:numCache>
            </c:numRef>
          </c:yVal>
          <c:smooth val="1"/>
          <c:extLst>
            <c:ext xmlns:c16="http://schemas.microsoft.com/office/drawing/2014/chart" uri="{C3380CC4-5D6E-409C-BE32-E72D297353CC}">
              <c16:uniqueId val="{00000007-CB95-4533-9BA0-4B862CCCF79E}"/>
            </c:ext>
          </c:extLst>
        </c:ser>
        <c:ser>
          <c:idx val="23"/>
          <c:order val="8"/>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Parameter_Template!$O$345:$O$357</c:f>
              <c:numCache>
                <c:formatCode>General</c:formatCode>
                <c:ptCount val="13"/>
                <c:pt idx="0">
                  <c:v>0</c:v>
                </c:pt>
              </c:numCache>
            </c:numRef>
          </c:yVal>
          <c:smooth val="1"/>
          <c:extLst>
            <c:ext xmlns:c16="http://schemas.microsoft.com/office/drawing/2014/chart" uri="{C3380CC4-5D6E-409C-BE32-E72D297353CC}">
              <c16:uniqueId val="{00000008-CB95-4533-9BA0-4B862CCCF79E}"/>
            </c:ext>
          </c:extLst>
        </c:ser>
        <c:ser>
          <c:idx val="24"/>
          <c:order val="9"/>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Parameter_Template!$P$345:$P$357</c:f>
              <c:numCache>
                <c:formatCode>General</c:formatCode>
                <c:ptCount val="13"/>
                <c:pt idx="0">
                  <c:v>0</c:v>
                </c:pt>
              </c:numCache>
            </c:numRef>
          </c:yVal>
          <c:smooth val="1"/>
          <c:extLst>
            <c:ext xmlns:c16="http://schemas.microsoft.com/office/drawing/2014/chart" uri="{C3380CC4-5D6E-409C-BE32-E72D297353CC}">
              <c16:uniqueId val="{00000009-CB95-4533-9BA0-4B862CCCF79E}"/>
            </c:ext>
          </c:extLst>
        </c:ser>
        <c:ser>
          <c:idx val="25"/>
          <c:order val="10"/>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Parameter_Template!$Q$345:$Q$357</c:f>
              <c:numCache>
                <c:formatCode>General</c:formatCode>
                <c:ptCount val="13"/>
                <c:pt idx="0">
                  <c:v>0</c:v>
                </c:pt>
              </c:numCache>
            </c:numRef>
          </c:yVal>
          <c:smooth val="1"/>
          <c:extLst>
            <c:ext xmlns:c16="http://schemas.microsoft.com/office/drawing/2014/chart" uri="{C3380CC4-5D6E-409C-BE32-E72D297353CC}">
              <c16:uniqueId val="{0000000A-CB95-4533-9BA0-4B862CCCF79E}"/>
            </c:ext>
          </c:extLst>
        </c:ser>
        <c:ser>
          <c:idx val="26"/>
          <c:order val="11"/>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Parameter_Template!$R$345:$R$357</c:f>
              <c:numCache>
                <c:formatCode>General</c:formatCode>
                <c:ptCount val="13"/>
                <c:pt idx="0">
                  <c:v>0</c:v>
                </c:pt>
              </c:numCache>
            </c:numRef>
          </c:yVal>
          <c:smooth val="1"/>
          <c:extLst>
            <c:ext xmlns:c16="http://schemas.microsoft.com/office/drawing/2014/chart" uri="{C3380CC4-5D6E-409C-BE32-E72D297353CC}">
              <c16:uniqueId val="{0000000B-CB95-4533-9BA0-4B862CCCF79E}"/>
            </c:ext>
          </c:extLst>
        </c:ser>
        <c:ser>
          <c:idx val="27"/>
          <c:order val="12"/>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Parameter_Template!$S$345:$S$357</c:f>
              <c:numCache>
                <c:formatCode>General</c:formatCode>
                <c:ptCount val="13"/>
                <c:pt idx="0">
                  <c:v>0</c:v>
                </c:pt>
              </c:numCache>
            </c:numRef>
          </c:yVal>
          <c:smooth val="1"/>
          <c:extLst>
            <c:ext xmlns:c16="http://schemas.microsoft.com/office/drawing/2014/chart" uri="{C3380CC4-5D6E-409C-BE32-E72D297353CC}">
              <c16:uniqueId val="{0000000C-CB95-4533-9BA0-4B862CCCF79E}"/>
            </c:ext>
          </c:extLst>
        </c:ser>
        <c:ser>
          <c:idx val="28"/>
          <c:order val="13"/>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Parameter_Template!$T$345:$T$357</c:f>
              <c:numCache>
                <c:formatCode>General</c:formatCode>
                <c:ptCount val="13"/>
                <c:pt idx="0">
                  <c:v>0</c:v>
                </c:pt>
              </c:numCache>
            </c:numRef>
          </c:yVal>
          <c:smooth val="1"/>
          <c:extLst>
            <c:ext xmlns:c16="http://schemas.microsoft.com/office/drawing/2014/chart" uri="{C3380CC4-5D6E-409C-BE32-E72D297353CC}">
              <c16:uniqueId val="{0000000D-CB95-4533-9BA0-4B862CCCF79E}"/>
            </c:ext>
          </c:extLst>
        </c:ser>
        <c:ser>
          <c:idx val="29"/>
          <c:order val="14"/>
          <c:xVal>
            <c:numRef>
              <c:f>Parameter_Template!$F$345:$F$357</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Parameter_Template!$U$345:$U$357</c:f>
              <c:numCache>
                <c:formatCode>General</c:formatCode>
                <c:ptCount val="13"/>
                <c:pt idx="0">
                  <c:v>0</c:v>
                </c:pt>
              </c:numCache>
            </c:numRef>
          </c:yVal>
          <c:smooth val="1"/>
          <c:extLst>
            <c:ext xmlns:c16="http://schemas.microsoft.com/office/drawing/2014/chart" uri="{C3380CC4-5D6E-409C-BE32-E72D297353CC}">
              <c16:uniqueId val="{0000000E-CB95-4533-9BA0-4B862CCCF79E}"/>
            </c:ext>
          </c:extLst>
        </c:ser>
        <c:dLbls>
          <c:showLegendKey val="0"/>
          <c:showVal val="0"/>
          <c:showCatName val="0"/>
          <c:showSerName val="0"/>
          <c:showPercent val="0"/>
          <c:showBubbleSize val="0"/>
        </c:dLbls>
        <c:axId val="276908080"/>
        <c:axId val="276908408"/>
      </c:scatterChart>
      <c:valAx>
        <c:axId val="276908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76908408"/>
        <c:crosses val="autoZero"/>
        <c:crossBetween val="midCat"/>
      </c:valAx>
      <c:valAx>
        <c:axId val="276908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76908080"/>
        <c:crosses val="autoZero"/>
        <c:crossBetween val="midCat"/>
      </c:valAx>
    </c:plotArea>
    <c:plotVisOnly val="1"/>
    <c:dispBlanksAs val="span"/>
    <c:showDLblsOverMax val="0"/>
  </c:chart>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Parameter_Template!$G$311:$G$323</c:f>
              <c:numCache>
                <c:formatCode>General</c:formatCode>
                <c:ptCount val="13"/>
                <c:pt idx="0">
                  <c:v>0</c:v>
                </c:pt>
                <c:pt idx="1">
                  <c:v>0.34</c:v>
                </c:pt>
                <c:pt idx="2">
                  <c:v>0.56999999999999995</c:v>
                </c:pt>
                <c:pt idx="3">
                  <c:v>0.84</c:v>
                </c:pt>
                <c:pt idx="4">
                  <c:v>1.05</c:v>
                </c:pt>
                <c:pt idx="5">
                  <c:v>1.22</c:v>
                </c:pt>
                <c:pt idx="6">
                  <c:v>1.53</c:v>
                </c:pt>
                <c:pt idx="7">
                  <c:v>2.25</c:v>
                </c:pt>
                <c:pt idx="8">
                  <c:v>2.66</c:v>
                </c:pt>
                <c:pt idx="9">
                  <c:v>3.07</c:v>
                </c:pt>
              </c:numCache>
            </c:numRef>
          </c:yVal>
          <c:smooth val="1"/>
          <c:extLst>
            <c:ext xmlns:c16="http://schemas.microsoft.com/office/drawing/2014/chart" uri="{C3380CC4-5D6E-409C-BE32-E72D297353CC}">
              <c16:uniqueId val="{00000000-2DE9-4A83-81B0-3E4A15C1177A}"/>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Parameter_Template!$H$311:$H$323</c:f>
              <c:numCache>
                <c:formatCode>General</c:formatCode>
                <c:ptCount val="13"/>
                <c:pt idx="0">
                  <c:v>0</c:v>
                </c:pt>
                <c:pt idx="1">
                  <c:v>0.34</c:v>
                </c:pt>
                <c:pt idx="2">
                  <c:v>0.56999999999999995</c:v>
                </c:pt>
                <c:pt idx="3">
                  <c:v>0.84</c:v>
                </c:pt>
                <c:pt idx="4">
                  <c:v>1.05</c:v>
                </c:pt>
                <c:pt idx="5">
                  <c:v>1.22</c:v>
                </c:pt>
                <c:pt idx="6">
                  <c:v>1.53</c:v>
                </c:pt>
                <c:pt idx="7">
                  <c:v>2.25</c:v>
                </c:pt>
                <c:pt idx="8">
                  <c:v>2.66</c:v>
                </c:pt>
                <c:pt idx="9">
                  <c:v>3.07</c:v>
                </c:pt>
              </c:numCache>
            </c:numRef>
          </c:yVal>
          <c:smooth val="1"/>
          <c:extLst>
            <c:ext xmlns:c16="http://schemas.microsoft.com/office/drawing/2014/chart" uri="{C3380CC4-5D6E-409C-BE32-E72D297353CC}">
              <c16:uniqueId val="{00000001-2DE9-4A83-81B0-3E4A15C1177A}"/>
            </c:ext>
          </c:extLst>
        </c:ser>
        <c:ser>
          <c:idx val="2"/>
          <c:order val="2"/>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Parameter_Template!$I$311:$I$323</c:f>
              <c:numCache>
                <c:formatCode>General</c:formatCode>
                <c:ptCount val="13"/>
                <c:pt idx="0">
                  <c:v>0</c:v>
                </c:pt>
                <c:pt idx="1">
                  <c:v>0.34</c:v>
                </c:pt>
                <c:pt idx="2">
                  <c:v>0.56999999999999995</c:v>
                </c:pt>
                <c:pt idx="3">
                  <c:v>0.84</c:v>
                </c:pt>
                <c:pt idx="4">
                  <c:v>1.05</c:v>
                </c:pt>
                <c:pt idx="5">
                  <c:v>1.22</c:v>
                </c:pt>
                <c:pt idx="6">
                  <c:v>1.53</c:v>
                </c:pt>
                <c:pt idx="7">
                  <c:v>2.25</c:v>
                </c:pt>
                <c:pt idx="8">
                  <c:v>2.66</c:v>
                </c:pt>
                <c:pt idx="9">
                  <c:v>3.07</c:v>
                </c:pt>
              </c:numCache>
            </c:numRef>
          </c:yVal>
          <c:smooth val="1"/>
          <c:extLst>
            <c:ext xmlns:c16="http://schemas.microsoft.com/office/drawing/2014/chart" uri="{C3380CC4-5D6E-409C-BE32-E72D297353CC}">
              <c16:uniqueId val="{00000002-2DE9-4A83-81B0-3E4A15C1177A}"/>
            </c:ext>
          </c:extLst>
        </c:ser>
        <c:ser>
          <c:idx val="3"/>
          <c:order val="3"/>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Parameter_Template!$J$311:$J$323</c:f>
              <c:numCache>
                <c:formatCode>General</c:formatCode>
                <c:ptCount val="13"/>
                <c:pt idx="0">
                  <c:v>0</c:v>
                </c:pt>
                <c:pt idx="1">
                  <c:v>0.34</c:v>
                </c:pt>
                <c:pt idx="2">
                  <c:v>0.56999999999999995</c:v>
                </c:pt>
                <c:pt idx="3">
                  <c:v>0.84</c:v>
                </c:pt>
                <c:pt idx="4">
                  <c:v>1.05</c:v>
                </c:pt>
                <c:pt idx="5">
                  <c:v>1.22</c:v>
                </c:pt>
                <c:pt idx="6">
                  <c:v>1.53</c:v>
                </c:pt>
                <c:pt idx="7">
                  <c:v>2.25</c:v>
                </c:pt>
                <c:pt idx="8">
                  <c:v>2.66</c:v>
                </c:pt>
                <c:pt idx="9">
                  <c:v>3.07</c:v>
                </c:pt>
              </c:numCache>
            </c:numRef>
          </c:yVal>
          <c:smooth val="1"/>
          <c:extLst>
            <c:ext xmlns:c16="http://schemas.microsoft.com/office/drawing/2014/chart" uri="{C3380CC4-5D6E-409C-BE32-E72D297353CC}">
              <c16:uniqueId val="{00000003-2DE9-4A83-81B0-3E4A15C1177A}"/>
            </c:ext>
          </c:extLst>
        </c:ser>
        <c:ser>
          <c:idx val="4"/>
          <c:order val="4"/>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Parameter_Template!$K$311:$K$323</c:f>
              <c:numCache>
                <c:formatCode>General</c:formatCode>
                <c:ptCount val="13"/>
                <c:pt idx="0">
                  <c:v>0</c:v>
                </c:pt>
                <c:pt idx="1">
                  <c:v>0.34</c:v>
                </c:pt>
                <c:pt idx="2">
                  <c:v>0.56999999999999995</c:v>
                </c:pt>
                <c:pt idx="3">
                  <c:v>0.84</c:v>
                </c:pt>
                <c:pt idx="4">
                  <c:v>1.05</c:v>
                </c:pt>
                <c:pt idx="5">
                  <c:v>1.22</c:v>
                </c:pt>
                <c:pt idx="6">
                  <c:v>1.53</c:v>
                </c:pt>
                <c:pt idx="7">
                  <c:v>2.25</c:v>
                </c:pt>
                <c:pt idx="8">
                  <c:v>2.66</c:v>
                </c:pt>
                <c:pt idx="9">
                  <c:v>3.07</c:v>
                </c:pt>
              </c:numCache>
            </c:numRef>
          </c:yVal>
          <c:smooth val="1"/>
          <c:extLst>
            <c:ext xmlns:c16="http://schemas.microsoft.com/office/drawing/2014/chart" uri="{C3380CC4-5D6E-409C-BE32-E72D297353CC}">
              <c16:uniqueId val="{00000004-2DE9-4A83-81B0-3E4A15C1177A}"/>
            </c:ext>
          </c:extLst>
        </c:ser>
        <c:ser>
          <c:idx val="5"/>
          <c:order val="5"/>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Parameter_Template!$L$311:$L$323</c:f>
              <c:numCache>
                <c:formatCode>General</c:formatCode>
                <c:ptCount val="13"/>
                <c:pt idx="0">
                  <c:v>0</c:v>
                </c:pt>
                <c:pt idx="1">
                  <c:v>0.34</c:v>
                </c:pt>
                <c:pt idx="2">
                  <c:v>0.56999999999999995</c:v>
                </c:pt>
                <c:pt idx="3">
                  <c:v>0.84</c:v>
                </c:pt>
                <c:pt idx="4">
                  <c:v>1.05</c:v>
                </c:pt>
                <c:pt idx="5">
                  <c:v>1.22</c:v>
                </c:pt>
                <c:pt idx="6">
                  <c:v>1.53</c:v>
                </c:pt>
                <c:pt idx="7">
                  <c:v>2.25</c:v>
                </c:pt>
                <c:pt idx="8">
                  <c:v>2.66</c:v>
                </c:pt>
                <c:pt idx="9">
                  <c:v>3.07</c:v>
                </c:pt>
              </c:numCache>
            </c:numRef>
          </c:yVal>
          <c:smooth val="1"/>
          <c:extLst>
            <c:ext xmlns:c16="http://schemas.microsoft.com/office/drawing/2014/chart" uri="{C3380CC4-5D6E-409C-BE32-E72D297353CC}">
              <c16:uniqueId val="{00000005-2DE9-4A83-81B0-3E4A15C1177A}"/>
            </c:ext>
          </c:extLst>
        </c:ser>
        <c:ser>
          <c:idx val="6"/>
          <c:order val="6"/>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Parameter_Template!$M$311:$M$323</c:f>
              <c:numCache>
                <c:formatCode>General</c:formatCode>
                <c:ptCount val="13"/>
                <c:pt idx="0">
                  <c:v>0</c:v>
                </c:pt>
                <c:pt idx="1">
                  <c:v>0.34</c:v>
                </c:pt>
                <c:pt idx="2">
                  <c:v>0.56999999999999995</c:v>
                </c:pt>
                <c:pt idx="3">
                  <c:v>0.84</c:v>
                </c:pt>
                <c:pt idx="4">
                  <c:v>1.05</c:v>
                </c:pt>
                <c:pt idx="5">
                  <c:v>1.22</c:v>
                </c:pt>
                <c:pt idx="6">
                  <c:v>1.53</c:v>
                </c:pt>
                <c:pt idx="7">
                  <c:v>2.25</c:v>
                </c:pt>
                <c:pt idx="8">
                  <c:v>2.66</c:v>
                </c:pt>
                <c:pt idx="9">
                  <c:v>3.07</c:v>
                </c:pt>
              </c:numCache>
            </c:numRef>
          </c:yVal>
          <c:smooth val="1"/>
          <c:extLst>
            <c:ext xmlns:c16="http://schemas.microsoft.com/office/drawing/2014/chart" uri="{C3380CC4-5D6E-409C-BE32-E72D297353CC}">
              <c16:uniqueId val="{00000006-2DE9-4A83-81B0-3E4A15C1177A}"/>
            </c:ext>
          </c:extLst>
        </c:ser>
        <c:ser>
          <c:idx val="7"/>
          <c:order val="7"/>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Parameter_Template!$N$311:$N$323</c:f>
              <c:numCache>
                <c:formatCode>General</c:formatCode>
                <c:ptCount val="13"/>
                <c:pt idx="0">
                  <c:v>0</c:v>
                </c:pt>
              </c:numCache>
            </c:numRef>
          </c:yVal>
          <c:smooth val="1"/>
          <c:extLst>
            <c:ext xmlns:c16="http://schemas.microsoft.com/office/drawing/2014/chart" uri="{C3380CC4-5D6E-409C-BE32-E72D297353CC}">
              <c16:uniqueId val="{00000007-2DE9-4A83-81B0-3E4A15C1177A}"/>
            </c:ext>
          </c:extLst>
        </c:ser>
        <c:ser>
          <c:idx val="8"/>
          <c:order val="8"/>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Parameter_Template!$O$311:$O$323</c:f>
              <c:numCache>
                <c:formatCode>General</c:formatCode>
                <c:ptCount val="13"/>
                <c:pt idx="0">
                  <c:v>0</c:v>
                </c:pt>
              </c:numCache>
            </c:numRef>
          </c:yVal>
          <c:smooth val="1"/>
          <c:extLst>
            <c:ext xmlns:c16="http://schemas.microsoft.com/office/drawing/2014/chart" uri="{C3380CC4-5D6E-409C-BE32-E72D297353CC}">
              <c16:uniqueId val="{00000008-2DE9-4A83-81B0-3E4A15C1177A}"/>
            </c:ext>
          </c:extLst>
        </c:ser>
        <c:ser>
          <c:idx val="9"/>
          <c:order val="9"/>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Parameter_Template!$P$311:$P$323</c:f>
              <c:numCache>
                <c:formatCode>General</c:formatCode>
                <c:ptCount val="13"/>
                <c:pt idx="0">
                  <c:v>0</c:v>
                </c:pt>
              </c:numCache>
            </c:numRef>
          </c:yVal>
          <c:smooth val="1"/>
          <c:extLst>
            <c:ext xmlns:c16="http://schemas.microsoft.com/office/drawing/2014/chart" uri="{C3380CC4-5D6E-409C-BE32-E72D297353CC}">
              <c16:uniqueId val="{00000009-2DE9-4A83-81B0-3E4A15C1177A}"/>
            </c:ext>
          </c:extLst>
        </c:ser>
        <c:ser>
          <c:idx val="10"/>
          <c:order val="10"/>
          <c:spPr>
            <a:ln w="19050"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Parameter_Template!$Q$311:$Q$323</c:f>
              <c:numCache>
                <c:formatCode>General</c:formatCode>
                <c:ptCount val="13"/>
                <c:pt idx="0">
                  <c:v>0</c:v>
                </c:pt>
              </c:numCache>
            </c:numRef>
          </c:yVal>
          <c:smooth val="1"/>
          <c:extLst>
            <c:ext xmlns:c16="http://schemas.microsoft.com/office/drawing/2014/chart" uri="{C3380CC4-5D6E-409C-BE32-E72D297353CC}">
              <c16:uniqueId val="{0000000A-2DE9-4A83-81B0-3E4A15C1177A}"/>
            </c:ext>
          </c:extLst>
        </c:ser>
        <c:ser>
          <c:idx val="11"/>
          <c:order val="11"/>
          <c:spPr>
            <a:ln w="19050"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Parameter_Template!$R$311:$R$323</c:f>
              <c:numCache>
                <c:formatCode>General</c:formatCode>
                <c:ptCount val="13"/>
                <c:pt idx="0">
                  <c:v>0</c:v>
                </c:pt>
              </c:numCache>
            </c:numRef>
          </c:yVal>
          <c:smooth val="1"/>
          <c:extLst>
            <c:ext xmlns:c16="http://schemas.microsoft.com/office/drawing/2014/chart" uri="{C3380CC4-5D6E-409C-BE32-E72D297353CC}">
              <c16:uniqueId val="{0000000B-2DE9-4A83-81B0-3E4A15C1177A}"/>
            </c:ext>
          </c:extLst>
        </c:ser>
        <c:ser>
          <c:idx val="12"/>
          <c:order val="12"/>
          <c:spPr>
            <a:ln w="19050"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Parameter_Template!$S$311:$S$323</c:f>
              <c:numCache>
                <c:formatCode>General</c:formatCode>
                <c:ptCount val="13"/>
                <c:pt idx="0">
                  <c:v>0</c:v>
                </c:pt>
              </c:numCache>
            </c:numRef>
          </c:yVal>
          <c:smooth val="1"/>
          <c:extLst>
            <c:ext xmlns:c16="http://schemas.microsoft.com/office/drawing/2014/chart" uri="{C3380CC4-5D6E-409C-BE32-E72D297353CC}">
              <c16:uniqueId val="{0000000C-2DE9-4A83-81B0-3E4A15C1177A}"/>
            </c:ext>
          </c:extLst>
        </c:ser>
        <c:ser>
          <c:idx val="13"/>
          <c:order val="13"/>
          <c:spPr>
            <a:ln w="19050"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Parameter_Template!$T$311:$T$323</c:f>
              <c:numCache>
                <c:formatCode>General</c:formatCode>
                <c:ptCount val="13"/>
                <c:pt idx="0">
                  <c:v>0</c:v>
                </c:pt>
              </c:numCache>
            </c:numRef>
          </c:yVal>
          <c:smooth val="1"/>
          <c:extLst>
            <c:ext xmlns:c16="http://schemas.microsoft.com/office/drawing/2014/chart" uri="{C3380CC4-5D6E-409C-BE32-E72D297353CC}">
              <c16:uniqueId val="{0000000D-2DE9-4A83-81B0-3E4A15C1177A}"/>
            </c:ext>
          </c:extLst>
        </c:ser>
        <c:ser>
          <c:idx val="14"/>
          <c:order val="14"/>
          <c:spPr>
            <a:ln w="19050"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Parameter_Template!$F$311:$F$323</c:f>
              <c:numCache>
                <c:formatCode>General</c:formatCode>
                <c:ptCount val="13"/>
                <c:pt idx="0">
                  <c:v>0</c:v>
                </c:pt>
                <c:pt idx="1">
                  <c:v>2</c:v>
                </c:pt>
                <c:pt idx="2">
                  <c:v>5</c:v>
                </c:pt>
                <c:pt idx="3">
                  <c:v>10</c:v>
                </c:pt>
                <c:pt idx="4">
                  <c:v>15</c:v>
                </c:pt>
                <c:pt idx="5">
                  <c:v>20</c:v>
                </c:pt>
                <c:pt idx="6">
                  <c:v>30</c:v>
                </c:pt>
                <c:pt idx="7">
                  <c:v>60</c:v>
                </c:pt>
                <c:pt idx="8">
                  <c:v>80</c:v>
                </c:pt>
                <c:pt idx="9">
                  <c:v>100</c:v>
                </c:pt>
                <c:pt idx="10">
                  <c:v>150</c:v>
                </c:pt>
                <c:pt idx="11">
                  <c:v>200</c:v>
                </c:pt>
                <c:pt idx="12">
                  <c:v>230</c:v>
                </c:pt>
              </c:numCache>
            </c:numRef>
          </c:xVal>
          <c:yVal>
            <c:numRef>
              <c:f>Parameter_Template!$U$311:$U$323</c:f>
              <c:numCache>
                <c:formatCode>General</c:formatCode>
                <c:ptCount val="13"/>
                <c:pt idx="0">
                  <c:v>0</c:v>
                </c:pt>
              </c:numCache>
            </c:numRef>
          </c:yVal>
          <c:smooth val="1"/>
          <c:extLst>
            <c:ext xmlns:c16="http://schemas.microsoft.com/office/drawing/2014/chart" uri="{C3380CC4-5D6E-409C-BE32-E72D297353CC}">
              <c16:uniqueId val="{0000000E-2DE9-4A83-81B0-3E4A15C1177A}"/>
            </c:ext>
          </c:extLst>
        </c:ser>
        <c:dLbls>
          <c:showLegendKey val="0"/>
          <c:showVal val="0"/>
          <c:showCatName val="0"/>
          <c:showSerName val="0"/>
          <c:showPercent val="0"/>
          <c:showBubbleSize val="0"/>
        </c:dLbls>
        <c:axId val="276908080"/>
        <c:axId val="276908408"/>
      </c:scatterChart>
      <c:valAx>
        <c:axId val="276908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76908408"/>
        <c:crosses val="autoZero"/>
        <c:crossBetween val="midCat"/>
      </c:valAx>
      <c:valAx>
        <c:axId val="276908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76908080"/>
        <c:crosses val="autoZero"/>
        <c:crossBetween val="midCat"/>
      </c:valAx>
      <c:spPr>
        <a:noFill/>
        <a:ln>
          <a:noFill/>
        </a:ln>
        <a:effectLst/>
      </c:spPr>
    </c:plotArea>
    <c:plotVisOnly val="1"/>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pV</a:t>
            </a:r>
            <a:r>
              <a:rPr lang="de-DE" baseline="0"/>
              <a:t> - Characteristic from datasheet</a:t>
            </a:r>
            <a:endParaRPr lang="de-DE"/>
          </a:p>
        </c:rich>
      </c:tx>
      <c:layout>
        <c:manualLayout>
          <c:xMode val="edge"/>
          <c:yMode val="edge"/>
          <c:x val="0.26874106768922346"/>
          <c:y val="4.68114978996693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7.2843930587777356E-2"/>
          <c:y val="0.16708333333333336"/>
          <c:w val="0.63981191482203725"/>
          <c:h val="0.72088764946048411"/>
        </c:manualLayout>
      </c:layout>
      <c:scatterChart>
        <c:scatterStyle val="smoothMarker"/>
        <c:varyColors val="0"/>
        <c:ser>
          <c:idx val="0"/>
          <c:order val="0"/>
          <c:tx>
            <c:v>rear wheel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FAQ!$B$77:$B$88</c:f>
              <c:numCache>
                <c:formatCode>General</c:formatCode>
                <c:ptCount val="12"/>
                <c:pt idx="0">
                  <c:v>0</c:v>
                </c:pt>
                <c:pt idx="1">
                  <c:v>2</c:v>
                </c:pt>
                <c:pt idx="2">
                  <c:v>5</c:v>
                </c:pt>
                <c:pt idx="3">
                  <c:v>10</c:v>
                </c:pt>
                <c:pt idx="4">
                  <c:v>15</c:v>
                </c:pt>
                <c:pt idx="5">
                  <c:v>20</c:v>
                </c:pt>
                <c:pt idx="6">
                  <c:v>30</c:v>
                </c:pt>
                <c:pt idx="7">
                  <c:v>60</c:v>
                </c:pt>
                <c:pt idx="8">
                  <c:v>80</c:v>
                </c:pt>
                <c:pt idx="9">
                  <c:v>100</c:v>
                </c:pt>
                <c:pt idx="10">
                  <c:v>150</c:v>
                </c:pt>
                <c:pt idx="11">
                  <c:v>200</c:v>
                </c:pt>
              </c:numCache>
            </c:numRef>
          </c:xVal>
          <c:yVal>
            <c:numRef>
              <c:f>FAQ!$C$77:$C$88</c:f>
              <c:numCache>
                <c:formatCode>General</c:formatCode>
                <c:ptCount val="12"/>
                <c:pt idx="0">
                  <c:v>0</c:v>
                </c:pt>
                <c:pt idx="1">
                  <c:v>0.15</c:v>
                </c:pt>
                <c:pt idx="2">
                  <c:v>0.26879999999999998</c:v>
                </c:pt>
                <c:pt idx="3">
                  <c:v>0.38100000000000001</c:v>
                </c:pt>
                <c:pt idx="4">
                  <c:v>0.46200000000000002</c:v>
                </c:pt>
                <c:pt idx="5">
                  <c:v>0.53400000000000003</c:v>
                </c:pt>
                <c:pt idx="6">
                  <c:v>0.70799999999999996</c:v>
                </c:pt>
                <c:pt idx="7">
                  <c:v>1.002</c:v>
                </c:pt>
                <c:pt idx="8">
                  <c:v>1.1976</c:v>
                </c:pt>
                <c:pt idx="9">
                  <c:v>1.38</c:v>
                </c:pt>
                <c:pt idx="10">
                  <c:v>1.794</c:v>
                </c:pt>
                <c:pt idx="11">
                  <c:v>2.16</c:v>
                </c:pt>
              </c:numCache>
            </c:numRef>
          </c:yVal>
          <c:smooth val="1"/>
          <c:extLst>
            <c:ext xmlns:c16="http://schemas.microsoft.com/office/drawing/2014/chart" uri="{C3380CC4-5D6E-409C-BE32-E72D297353CC}">
              <c16:uniqueId val="{00000000-B8C1-4DD7-B4C4-DC451D649560}"/>
            </c:ext>
          </c:extLst>
        </c:ser>
        <c:ser>
          <c:idx val="1"/>
          <c:order val="1"/>
          <c:tx>
            <c:v>front wheel</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FAQ!$E$77:$E$88</c:f>
              <c:numCache>
                <c:formatCode>General</c:formatCode>
                <c:ptCount val="12"/>
                <c:pt idx="0">
                  <c:v>0</c:v>
                </c:pt>
                <c:pt idx="1">
                  <c:v>2</c:v>
                </c:pt>
                <c:pt idx="2">
                  <c:v>5</c:v>
                </c:pt>
                <c:pt idx="3">
                  <c:v>10</c:v>
                </c:pt>
                <c:pt idx="4">
                  <c:v>15</c:v>
                </c:pt>
                <c:pt idx="5">
                  <c:v>20</c:v>
                </c:pt>
                <c:pt idx="6">
                  <c:v>30</c:v>
                </c:pt>
                <c:pt idx="7">
                  <c:v>60</c:v>
                </c:pt>
                <c:pt idx="8">
                  <c:v>80</c:v>
                </c:pt>
                <c:pt idx="9">
                  <c:v>100</c:v>
                </c:pt>
                <c:pt idx="10">
                  <c:v>150</c:v>
                </c:pt>
                <c:pt idx="11">
                  <c:v>200</c:v>
                </c:pt>
              </c:numCache>
            </c:numRef>
          </c:xVal>
          <c:yVal>
            <c:numRef>
              <c:f>FAQ!$F$77:$F$88</c:f>
              <c:numCache>
                <c:formatCode>General</c:formatCode>
                <c:ptCount val="12"/>
                <c:pt idx="0">
                  <c:v>0</c:v>
                </c:pt>
                <c:pt idx="1">
                  <c:v>0.25</c:v>
                </c:pt>
                <c:pt idx="2">
                  <c:v>0.44800000000000001</c:v>
                </c:pt>
                <c:pt idx="3">
                  <c:v>0.63500000000000001</c:v>
                </c:pt>
                <c:pt idx="4">
                  <c:v>0.77</c:v>
                </c:pt>
                <c:pt idx="5">
                  <c:v>0.89</c:v>
                </c:pt>
                <c:pt idx="6">
                  <c:v>1.18</c:v>
                </c:pt>
                <c:pt idx="7">
                  <c:v>1.67</c:v>
                </c:pt>
                <c:pt idx="8">
                  <c:v>1.996</c:v>
                </c:pt>
                <c:pt idx="9">
                  <c:v>2.2999999999999998</c:v>
                </c:pt>
                <c:pt idx="10">
                  <c:v>2.99</c:v>
                </c:pt>
                <c:pt idx="11">
                  <c:v>3.6</c:v>
                </c:pt>
              </c:numCache>
            </c:numRef>
          </c:yVal>
          <c:smooth val="1"/>
          <c:extLst>
            <c:ext xmlns:c16="http://schemas.microsoft.com/office/drawing/2014/chart" uri="{C3380CC4-5D6E-409C-BE32-E72D297353CC}">
              <c16:uniqueId val="{00000001-B8C1-4DD7-B4C4-DC451D649560}"/>
            </c:ext>
          </c:extLst>
        </c:ser>
        <c:ser>
          <c:idx val="2"/>
          <c:order val="2"/>
          <c:tx>
            <c:v>peripherals</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FAQ!$H$77:$H$88</c:f>
              <c:numCache>
                <c:formatCode>General</c:formatCode>
                <c:ptCount val="12"/>
                <c:pt idx="0">
                  <c:v>0</c:v>
                </c:pt>
                <c:pt idx="1">
                  <c:v>2</c:v>
                </c:pt>
                <c:pt idx="2">
                  <c:v>5</c:v>
                </c:pt>
                <c:pt idx="3">
                  <c:v>10</c:v>
                </c:pt>
                <c:pt idx="4">
                  <c:v>15</c:v>
                </c:pt>
                <c:pt idx="5">
                  <c:v>20</c:v>
                </c:pt>
                <c:pt idx="6">
                  <c:v>30</c:v>
                </c:pt>
                <c:pt idx="7">
                  <c:v>60</c:v>
                </c:pt>
                <c:pt idx="8">
                  <c:v>80</c:v>
                </c:pt>
                <c:pt idx="9">
                  <c:v>100</c:v>
                </c:pt>
                <c:pt idx="10">
                  <c:v>150</c:v>
                </c:pt>
                <c:pt idx="11">
                  <c:v>200</c:v>
                </c:pt>
              </c:numCache>
            </c:numRef>
          </c:xVal>
          <c:yVal>
            <c:numRef>
              <c:f>FAQ!$I$77:$I$88</c:f>
              <c:numCache>
                <c:formatCode>General</c:formatCode>
                <c:ptCount val="12"/>
                <c:pt idx="0">
                  <c:v>0</c:v>
                </c:pt>
                <c:pt idx="1">
                  <c:v>0.02</c:v>
                </c:pt>
                <c:pt idx="2">
                  <c:v>0.05</c:v>
                </c:pt>
                <c:pt idx="3">
                  <c:v>0.1</c:v>
                </c:pt>
                <c:pt idx="4">
                  <c:v>0.15</c:v>
                </c:pt>
                <c:pt idx="5">
                  <c:v>0.2</c:v>
                </c:pt>
                <c:pt idx="6">
                  <c:v>0.3</c:v>
                </c:pt>
                <c:pt idx="7">
                  <c:v>0.6</c:v>
                </c:pt>
                <c:pt idx="8">
                  <c:v>0.8</c:v>
                </c:pt>
                <c:pt idx="9">
                  <c:v>1</c:v>
                </c:pt>
                <c:pt idx="10">
                  <c:v>1.5</c:v>
                </c:pt>
                <c:pt idx="11">
                  <c:v>2</c:v>
                </c:pt>
              </c:numCache>
            </c:numRef>
          </c:yVal>
          <c:smooth val="1"/>
          <c:extLst>
            <c:ext xmlns:c16="http://schemas.microsoft.com/office/drawing/2014/chart" uri="{C3380CC4-5D6E-409C-BE32-E72D297353CC}">
              <c16:uniqueId val="{00000002-B8C1-4DD7-B4C4-DC451D649560}"/>
            </c:ext>
          </c:extLst>
        </c:ser>
        <c:dLbls>
          <c:showLegendKey val="0"/>
          <c:showVal val="0"/>
          <c:showCatName val="0"/>
          <c:showSerName val="0"/>
          <c:showPercent val="0"/>
          <c:showBubbleSize val="0"/>
        </c:dLbls>
        <c:axId val="389417800"/>
        <c:axId val="389411896"/>
      </c:scatterChart>
      <c:valAx>
        <c:axId val="389417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9411896"/>
        <c:crosses val="autoZero"/>
        <c:crossBetween val="midCat"/>
      </c:valAx>
      <c:valAx>
        <c:axId val="389411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9417800"/>
        <c:crosses val="autoZero"/>
        <c:crossBetween val="midCat"/>
      </c:valAx>
      <c:spPr>
        <a:noFill/>
        <a:ln>
          <a:noFill/>
        </a:ln>
        <a:effectLst/>
      </c:spPr>
    </c:plotArea>
    <c:legend>
      <c:legendPos val="r"/>
      <c:layout>
        <c:manualLayout>
          <c:xMode val="edge"/>
          <c:yMode val="edge"/>
          <c:x val="0.78796808828528608"/>
          <c:y val="0.16681085317803132"/>
          <c:w val="0.10865342871970801"/>
          <c:h val="0.197249970777986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pV</a:t>
            </a:r>
            <a:r>
              <a:rPr lang="de-DE" baseline="0"/>
              <a:t> - Characteristic overall brake system</a:t>
            </a:r>
            <a:endParaRPr lang="de-D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7.3115368374980408E-2"/>
          <c:y val="0.15579468694845583"/>
          <c:w val="0.63741267369149235"/>
          <c:h val="0.77176197788425394"/>
        </c:manualLayout>
      </c:layout>
      <c:scatterChart>
        <c:scatterStyle val="smoothMarker"/>
        <c:varyColors val="0"/>
        <c:ser>
          <c:idx val="0"/>
          <c:order val="0"/>
          <c:tx>
            <c:v>volume cons. w/o Air-Gap</c:v>
          </c:tx>
          <c:spPr>
            <a:ln w="19050" cap="rnd">
              <a:solidFill>
                <a:srgbClr val="C00000"/>
              </a:solidFill>
              <a:prstDash val="sysDash"/>
              <a:round/>
            </a:ln>
            <a:effectLst/>
          </c:spPr>
          <c:marker>
            <c:symbol val="circle"/>
            <c:size val="5"/>
            <c:spPr>
              <a:solidFill>
                <a:srgbClr val="C00000"/>
              </a:solidFill>
              <a:ln w="9525">
                <a:solidFill>
                  <a:srgbClr val="C00000"/>
                </a:solidFill>
              </a:ln>
              <a:effectLst/>
            </c:spPr>
          </c:marker>
          <c:xVal>
            <c:numRef>
              <c:f>FAQ!$B$106:$B$117</c:f>
              <c:numCache>
                <c:formatCode>General</c:formatCode>
                <c:ptCount val="12"/>
                <c:pt idx="0">
                  <c:v>0</c:v>
                </c:pt>
                <c:pt idx="1">
                  <c:v>2</c:v>
                </c:pt>
                <c:pt idx="2">
                  <c:v>5</c:v>
                </c:pt>
                <c:pt idx="3">
                  <c:v>10</c:v>
                </c:pt>
                <c:pt idx="4">
                  <c:v>15</c:v>
                </c:pt>
                <c:pt idx="5">
                  <c:v>20</c:v>
                </c:pt>
                <c:pt idx="6">
                  <c:v>30</c:v>
                </c:pt>
                <c:pt idx="7">
                  <c:v>60</c:v>
                </c:pt>
                <c:pt idx="8">
                  <c:v>80</c:v>
                </c:pt>
                <c:pt idx="9">
                  <c:v>100</c:v>
                </c:pt>
                <c:pt idx="10">
                  <c:v>150</c:v>
                </c:pt>
                <c:pt idx="11">
                  <c:v>200</c:v>
                </c:pt>
              </c:numCache>
            </c:numRef>
          </c:xVal>
          <c:yVal>
            <c:numRef>
              <c:f>FAQ!$C$106:$C$117</c:f>
              <c:numCache>
                <c:formatCode>General</c:formatCode>
                <c:ptCount val="12"/>
                <c:pt idx="0">
                  <c:v>0</c:v>
                </c:pt>
                <c:pt idx="1">
                  <c:v>0.82000000000000006</c:v>
                </c:pt>
                <c:pt idx="2">
                  <c:v>1.4836</c:v>
                </c:pt>
                <c:pt idx="3">
                  <c:v>2.1320000000000001</c:v>
                </c:pt>
                <c:pt idx="4">
                  <c:v>2.6139999999999999</c:v>
                </c:pt>
                <c:pt idx="5">
                  <c:v>3.048</c:v>
                </c:pt>
                <c:pt idx="6">
                  <c:v>4.0759999999999996</c:v>
                </c:pt>
                <c:pt idx="7">
                  <c:v>5.9439999999999991</c:v>
                </c:pt>
                <c:pt idx="8">
                  <c:v>7.1871999999999998</c:v>
                </c:pt>
                <c:pt idx="9">
                  <c:v>8.36</c:v>
                </c:pt>
                <c:pt idx="10">
                  <c:v>11.068000000000001</c:v>
                </c:pt>
                <c:pt idx="11">
                  <c:v>13.52</c:v>
                </c:pt>
              </c:numCache>
            </c:numRef>
          </c:yVal>
          <c:smooth val="1"/>
          <c:extLst>
            <c:ext xmlns:c16="http://schemas.microsoft.com/office/drawing/2014/chart" uri="{C3380CC4-5D6E-409C-BE32-E72D297353CC}">
              <c16:uniqueId val="{00000000-703D-4670-AE87-E1A3B5EDCD93}"/>
            </c:ext>
          </c:extLst>
        </c:ser>
        <c:ser>
          <c:idx val="1"/>
          <c:order val="1"/>
          <c:tx>
            <c:v>volume consumption w. air gap</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FAQ!$E$106:$E$117</c:f>
              <c:numCache>
                <c:formatCode>General</c:formatCode>
                <c:ptCount val="12"/>
                <c:pt idx="0">
                  <c:v>0</c:v>
                </c:pt>
                <c:pt idx="1">
                  <c:v>2</c:v>
                </c:pt>
                <c:pt idx="2">
                  <c:v>5</c:v>
                </c:pt>
                <c:pt idx="3">
                  <c:v>10</c:v>
                </c:pt>
                <c:pt idx="4">
                  <c:v>15</c:v>
                </c:pt>
                <c:pt idx="5">
                  <c:v>20</c:v>
                </c:pt>
                <c:pt idx="6">
                  <c:v>30</c:v>
                </c:pt>
                <c:pt idx="7">
                  <c:v>60</c:v>
                </c:pt>
                <c:pt idx="8">
                  <c:v>80</c:v>
                </c:pt>
                <c:pt idx="9">
                  <c:v>100</c:v>
                </c:pt>
                <c:pt idx="10">
                  <c:v>150</c:v>
                </c:pt>
                <c:pt idx="11">
                  <c:v>200</c:v>
                </c:pt>
              </c:numCache>
            </c:numRef>
          </c:xVal>
          <c:yVal>
            <c:numRef>
              <c:f>FAQ!$F$106:$F$117</c:f>
              <c:numCache>
                <c:formatCode>General</c:formatCode>
                <c:ptCount val="12"/>
                <c:pt idx="0">
                  <c:v>1.5</c:v>
                </c:pt>
                <c:pt idx="1">
                  <c:v>2.3199999999999998</c:v>
                </c:pt>
                <c:pt idx="2">
                  <c:v>2.9835999999999996</c:v>
                </c:pt>
                <c:pt idx="3">
                  <c:v>3.6320000000000001</c:v>
                </c:pt>
                <c:pt idx="4">
                  <c:v>4.1139999999999999</c:v>
                </c:pt>
                <c:pt idx="5">
                  <c:v>4.5480000000000009</c:v>
                </c:pt>
                <c:pt idx="6">
                  <c:v>5.5759999999999996</c:v>
                </c:pt>
                <c:pt idx="7">
                  <c:v>7.4439999999999991</c:v>
                </c:pt>
                <c:pt idx="8">
                  <c:v>8.6872000000000007</c:v>
                </c:pt>
                <c:pt idx="9">
                  <c:v>9.86</c:v>
                </c:pt>
                <c:pt idx="10">
                  <c:v>12.568000000000001</c:v>
                </c:pt>
                <c:pt idx="11">
                  <c:v>15.02</c:v>
                </c:pt>
              </c:numCache>
            </c:numRef>
          </c:yVal>
          <c:smooth val="1"/>
          <c:extLst>
            <c:ext xmlns:c16="http://schemas.microsoft.com/office/drawing/2014/chart" uri="{C3380CC4-5D6E-409C-BE32-E72D297353CC}">
              <c16:uniqueId val="{00000001-703D-4670-AE87-E1A3B5EDCD93}"/>
            </c:ext>
          </c:extLst>
        </c:ser>
        <c:ser>
          <c:idx val="2"/>
          <c:order val="2"/>
          <c:tx>
            <c:v>rear wheel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FAQ!$B$77:$B$88</c:f>
              <c:numCache>
                <c:formatCode>General</c:formatCode>
                <c:ptCount val="12"/>
                <c:pt idx="0">
                  <c:v>0</c:v>
                </c:pt>
                <c:pt idx="1">
                  <c:v>2</c:v>
                </c:pt>
                <c:pt idx="2">
                  <c:v>5</c:v>
                </c:pt>
                <c:pt idx="3">
                  <c:v>10</c:v>
                </c:pt>
                <c:pt idx="4">
                  <c:v>15</c:v>
                </c:pt>
                <c:pt idx="5">
                  <c:v>20</c:v>
                </c:pt>
                <c:pt idx="6">
                  <c:v>30</c:v>
                </c:pt>
                <c:pt idx="7">
                  <c:v>60</c:v>
                </c:pt>
                <c:pt idx="8">
                  <c:v>80</c:v>
                </c:pt>
                <c:pt idx="9">
                  <c:v>100</c:v>
                </c:pt>
                <c:pt idx="10">
                  <c:v>150</c:v>
                </c:pt>
                <c:pt idx="11">
                  <c:v>200</c:v>
                </c:pt>
              </c:numCache>
            </c:numRef>
          </c:xVal>
          <c:yVal>
            <c:numRef>
              <c:f>FAQ!$C$77:$C$88</c:f>
              <c:numCache>
                <c:formatCode>General</c:formatCode>
                <c:ptCount val="12"/>
                <c:pt idx="0">
                  <c:v>0</c:v>
                </c:pt>
                <c:pt idx="1">
                  <c:v>0.15</c:v>
                </c:pt>
                <c:pt idx="2">
                  <c:v>0.26879999999999998</c:v>
                </c:pt>
                <c:pt idx="3">
                  <c:v>0.38100000000000001</c:v>
                </c:pt>
                <c:pt idx="4">
                  <c:v>0.46200000000000002</c:v>
                </c:pt>
                <c:pt idx="5">
                  <c:v>0.53400000000000003</c:v>
                </c:pt>
                <c:pt idx="6">
                  <c:v>0.70799999999999996</c:v>
                </c:pt>
                <c:pt idx="7">
                  <c:v>1.002</c:v>
                </c:pt>
                <c:pt idx="8">
                  <c:v>1.1976</c:v>
                </c:pt>
                <c:pt idx="9">
                  <c:v>1.38</c:v>
                </c:pt>
                <c:pt idx="10">
                  <c:v>1.794</c:v>
                </c:pt>
                <c:pt idx="11">
                  <c:v>2.16</c:v>
                </c:pt>
              </c:numCache>
            </c:numRef>
          </c:yVal>
          <c:smooth val="1"/>
          <c:extLst>
            <c:ext xmlns:c16="http://schemas.microsoft.com/office/drawing/2014/chart" uri="{C3380CC4-5D6E-409C-BE32-E72D297353CC}">
              <c16:uniqueId val="{00000002-703D-4670-AE87-E1A3B5EDCD93}"/>
            </c:ext>
          </c:extLst>
        </c:ser>
        <c:ser>
          <c:idx val="3"/>
          <c:order val="3"/>
          <c:tx>
            <c:v>front wheel</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FAQ!$E$77:$E$88</c:f>
              <c:numCache>
                <c:formatCode>General</c:formatCode>
                <c:ptCount val="12"/>
                <c:pt idx="0">
                  <c:v>0</c:v>
                </c:pt>
                <c:pt idx="1">
                  <c:v>2</c:v>
                </c:pt>
                <c:pt idx="2">
                  <c:v>5</c:v>
                </c:pt>
                <c:pt idx="3">
                  <c:v>10</c:v>
                </c:pt>
                <c:pt idx="4">
                  <c:v>15</c:v>
                </c:pt>
                <c:pt idx="5">
                  <c:v>20</c:v>
                </c:pt>
                <c:pt idx="6">
                  <c:v>30</c:v>
                </c:pt>
                <c:pt idx="7">
                  <c:v>60</c:v>
                </c:pt>
                <c:pt idx="8">
                  <c:v>80</c:v>
                </c:pt>
                <c:pt idx="9">
                  <c:v>100</c:v>
                </c:pt>
                <c:pt idx="10">
                  <c:v>150</c:v>
                </c:pt>
                <c:pt idx="11">
                  <c:v>200</c:v>
                </c:pt>
              </c:numCache>
            </c:numRef>
          </c:xVal>
          <c:yVal>
            <c:numRef>
              <c:f>FAQ!$F$77:$F$88</c:f>
              <c:numCache>
                <c:formatCode>General</c:formatCode>
                <c:ptCount val="12"/>
                <c:pt idx="0">
                  <c:v>0</c:v>
                </c:pt>
                <c:pt idx="1">
                  <c:v>0.25</c:v>
                </c:pt>
                <c:pt idx="2">
                  <c:v>0.44800000000000001</c:v>
                </c:pt>
                <c:pt idx="3">
                  <c:v>0.63500000000000001</c:v>
                </c:pt>
                <c:pt idx="4">
                  <c:v>0.77</c:v>
                </c:pt>
                <c:pt idx="5">
                  <c:v>0.89</c:v>
                </c:pt>
                <c:pt idx="6">
                  <c:v>1.18</c:v>
                </c:pt>
                <c:pt idx="7">
                  <c:v>1.67</c:v>
                </c:pt>
                <c:pt idx="8">
                  <c:v>1.996</c:v>
                </c:pt>
                <c:pt idx="9">
                  <c:v>2.2999999999999998</c:v>
                </c:pt>
                <c:pt idx="10">
                  <c:v>2.99</c:v>
                </c:pt>
                <c:pt idx="11">
                  <c:v>3.6</c:v>
                </c:pt>
              </c:numCache>
            </c:numRef>
          </c:yVal>
          <c:smooth val="1"/>
          <c:extLst>
            <c:ext xmlns:c16="http://schemas.microsoft.com/office/drawing/2014/chart" uri="{C3380CC4-5D6E-409C-BE32-E72D297353CC}">
              <c16:uniqueId val="{00000003-703D-4670-AE87-E1A3B5EDCD93}"/>
            </c:ext>
          </c:extLst>
        </c:ser>
        <c:ser>
          <c:idx val="4"/>
          <c:order val="4"/>
          <c:tx>
            <c:v>peripherals</c:v>
          </c:tx>
          <c:spPr>
            <a:ln w="19050" cap="rnd">
              <a:solidFill>
                <a:schemeClr val="bg1">
                  <a:lumMod val="50000"/>
                </a:schemeClr>
              </a:solidFill>
              <a:round/>
            </a:ln>
            <a:effectLst/>
          </c:spPr>
          <c:marker>
            <c:symbol val="circle"/>
            <c:size val="5"/>
            <c:spPr>
              <a:solidFill>
                <a:schemeClr val="bg1">
                  <a:lumMod val="50000"/>
                </a:schemeClr>
              </a:solidFill>
              <a:ln w="9525">
                <a:solidFill>
                  <a:schemeClr val="bg1">
                    <a:lumMod val="50000"/>
                  </a:schemeClr>
                </a:solidFill>
              </a:ln>
              <a:effectLst/>
            </c:spPr>
          </c:marker>
          <c:xVal>
            <c:numRef>
              <c:f>FAQ!$H$77:$H$88</c:f>
              <c:numCache>
                <c:formatCode>General</c:formatCode>
                <c:ptCount val="12"/>
                <c:pt idx="0">
                  <c:v>0</c:v>
                </c:pt>
                <c:pt idx="1">
                  <c:v>2</c:v>
                </c:pt>
                <c:pt idx="2">
                  <c:v>5</c:v>
                </c:pt>
                <c:pt idx="3">
                  <c:v>10</c:v>
                </c:pt>
                <c:pt idx="4">
                  <c:v>15</c:v>
                </c:pt>
                <c:pt idx="5">
                  <c:v>20</c:v>
                </c:pt>
                <c:pt idx="6">
                  <c:v>30</c:v>
                </c:pt>
                <c:pt idx="7">
                  <c:v>60</c:v>
                </c:pt>
                <c:pt idx="8">
                  <c:v>80</c:v>
                </c:pt>
                <c:pt idx="9">
                  <c:v>100</c:v>
                </c:pt>
                <c:pt idx="10">
                  <c:v>150</c:v>
                </c:pt>
                <c:pt idx="11">
                  <c:v>200</c:v>
                </c:pt>
              </c:numCache>
            </c:numRef>
          </c:xVal>
          <c:yVal>
            <c:numRef>
              <c:f>FAQ!$I$77:$I$88</c:f>
              <c:numCache>
                <c:formatCode>General</c:formatCode>
                <c:ptCount val="12"/>
                <c:pt idx="0">
                  <c:v>0</c:v>
                </c:pt>
                <c:pt idx="1">
                  <c:v>0.02</c:v>
                </c:pt>
                <c:pt idx="2">
                  <c:v>0.05</c:v>
                </c:pt>
                <c:pt idx="3">
                  <c:v>0.1</c:v>
                </c:pt>
                <c:pt idx="4">
                  <c:v>0.15</c:v>
                </c:pt>
                <c:pt idx="5">
                  <c:v>0.2</c:v>
                </c:pt>
                <c:pt idx="6">
                  <c:v>0.3</c:v>
                </c:pt>
                <c:pt idx="7">
                  <c:v>0.6</c:v>
                </c:pt>
                <c:pt idx="8">
                  <c:v>0.8</c:v>
                </c:pt>
                <c:pt idx="9">
                  <c:v>1</c:v>
                </c:pt>
                <c:pt idx="10">
                  <c:v>1.5</c:v>
                </c:pt>
                <c:pt idx="11">
                  <c:v>2</c:v>
                </c:pt>
              </c:numCache>
            </c:numRef>
          </c:yVal>
          <c:smooth val="1"/>
          <c:extLst>
            <c:ext xmlns:c16="http://schemas.microsoft.com/office/drawing/2014/chart" uri="{C3380CC4-5D6E-409C-BE32-E72D297353CC}">
              <c16:uniqueId val="{00000004-703D-4670-AE87-E1A3B5EDCD93}"/>
            </c:ext>
          </c:extLst>
        </c:ser>
        <c:dLbls>
          <c:showLegendKey val="0"/>
          <c:showVal val="0"/>
          <c:showCatName val="0"/>
          <c:showSerName val="0"/>
          <c:showPercent val="0"/>
          <c:showBubbleSize val="0"/>
        </c:dLbls>
        <c:axId val="497554976"/>
        <c:axId val="497553664"/>
      </c:scatterChart>
      <c:valAx>
        <c:axId val="497554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553664"/>
        <c:crosses val="autoZero"/>
        <c:crossBetween val="midCat"/>
      </c:valAx>
      <c:valAx>
        <c:axId val="497553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7554976"/>
        <c:crosses val="autoZero"/>
        <c:crossBetween val="midCat"/>
      </c:valAx>
      <c:spPr>
        <a:noFill/>
        <a:ln>
          <a:noFill/>
        </a:ln>
        <a:effectLst/>
      </c:spPr>
    </c:plotArea>
    <c:legend>
      <c:legendPos val="r"/>
      <c:layout>
        <c:manualLayout>
          <c:xMode val="edge"/>
          <c:yMode val="edge"/>
          <c:x val="0.73008981458633537"/>
          <c:y val="0.15652347836884065"/>
          <c:w val="0.22861757137987751"/>
          <c:h val="0.3277175922541980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11.png"/><Relationship Id="rId7" Type="http://schemas.openxmlformats.org/officeDocument/2006/relationships/image" Target="../media/image13.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2.PNG"/><Relationship Id="rId5" Type="http://schemas.openxmlformats.org/officeDocument/2006/relationships/chart" Target="../charts/chart5.xml"/><Relationship Id="rId10" Type="http://schemas.openxmlformats.org/officeDocument/2006/relationships/image" Target="../media/image16.png"/><Relationship Id="rId4" Type="http://schemas.openxmlformats.org/officeDocument/2006/relationships/chart" Target="../charts/chart4.xml"/><Relationship Id="rId9" Type="http://schemas.openxmlformats.org/officeDocument/2006/relationships/image" Target="../media/image1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0</xdr:col>
      <xdr:colOff>29584</xdr:colOff>
      <xdr:row>1</xdr:row>
      <xdr:rowOff>249522</xdr:rowOff>
    </xdr:from>
    <xdr:to>
      <xdr:col>1</xdr:col>
      <xdr:colOff>162934</xdr:colOff>
      <xdr:row>2</xdr:row>
      <xdr:rowOff>329646</xdr:rowOff>
    </xdr:to>
    <xdr:pic>
      <xdr:nvPicPr>
        <xdr:cNvPr id="2" name="Picture 4" descr="anker-neu">
          <a:extLst>
            <a:ext uri="{FF2B5EF4-FFF2-40B4-BE49-F238E27FC236}">
              <a16:creationId xmlns:a16="http://schemas.microsoft.com/office/drawing/2014/main" id="{00000000-0008-0000-0000-000002000000}"/>
            </a:ext>
          </a:extLst>
        </xdr:cNvPr>
        <xdr:cNvPicPr>
          <a:picLocks noChangeArrowheads="1"/>
        </xdr:cNvPicPr>
      </xdr:nvPicPr>
      <xdr:blipFill>
        <a:blip xmlns:r="http://schemas.openxmlformats.org/officeDocument/2006/relationships" r:embed="rId1" cstate="print"/>
        <a:srcRect l="14970"/>
        <a:stretch>
          <a:fillRect/>
        </a:stretch>
      </xdr:blipFill>
      <xdr:spPr bwMode="auto">
        <a:xfrm>
          <a:off x="29584" y="508602"/>
          <a:ext cx="377190" cy="339204"/>
        </a:xfrm>
        <a:prstGeom prst="rect">
          <a:avLst/>
        </a:prstGeom>
        <a:noFill/>
        <a:ln w="9525">
          <a:noFill/>
          <a:miter lim="800000"/>
          <a:headEnd/>
          <a:tailEnd/>
        </a:ln>
      </xdr:spPr>
    </xdr:pic>
    <xdr:clientData/>
  </xdr:twoCellAnchor>
  <xdr:twoCellAnchor>
    <xdr:from>
      <xdr:col>10</xdr:col>
      <xdr:colOff>153744</xdr:colOff>
      <xdr:row>2</xdr:row>
      <xdr:rowOff>10795</xdr:rowOff>
    </xdr:from>
    <xdr:to>
      <xdr:col>10</xdr:col>
      <xdr:colOff>748104</xdr:colOff>
      <xdr:row>2</xdr:row>
      <xdr:rowOff>180340</xdr:rowOff>
    </xdr:to>
    <xdr:pic>
      <xdr:nvPicPr>
        <xdr:cNvPr id="3" name="Picture 5">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760784" y="498475"/>
          <a:ext cx="594360" cy="169545"/>
        </a:xfrm>
        <a:prstGeom prst="rect">
          <a:avLst/>
        </a:prstGeom>
        <a:noFill/>
        <a:ln w="9525">
          <a:noFill/>
          <a:miter lim="800000"/>
          <a:headEnd/>
          <a:tailEnd/>
        </a:ln>
      </xdr:spPr>
    </xdr:pic>
    <xdr:clientData/>
  </xdr:twoCellAnchor>
  <xdr:twoCellAnchor editAs="oneCell">
    <xdr:from>
      <xdr:col>1</xdr:col>
      <xdr:colOff>116981</xdr:colOff>
      <xdr:row>376</xdr:row>
      <xdr:rowOff>19050</xdr:rowOff>
    </xdr:from>
    <xdr:to>
      <xdr:col>2</xdr:col>
      <xdr:colOff>1367336</xdr:colOff>
      <xdr:row>387</xdr:row>
      <xdr:rowOff>35018</xdr:rowOff>
    </xdr:to>
    <xdr:pic>
      <xdr:nvPicPr>
        <xdr:cNvPr id="6" name="Picture 1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cstate="print"/>
        <a:srcRect l="7500" r="8214"/>
        <a:stretch>
          <a:fillRect/>
        </a:stretch>
      </xdr:blipFill>
      <xdr:spPr bwMode="auto">
        <a:xfrm>
          <a:off x="364631" y="29937075"/>
          <a:ext cx="2994428" cy="1879057"/>
        </a:xfrm>
        <a:prstGeom prst="rect">
          <a:avLst/>
        </a:prstGeom>
        <a:noFill/>
        <a:ln w="9525">
          <a:noFill/>
          <a:miter lim="800000"/>
          <a:headEnd/>
          <a:tailEnd/>
        </a:ln>
      </xdr:spPr>
    </xdr:pic>
    <xdr:clientData/>
  </xdr:twoCellAnchor>
  <xdr:twoCellAnchor editAs="oneCell">
    <xdr:from>
      <xdr:col>1</xdr:col>
      <xdr:colOff>102056</xdr:colOff>
      <xdr:row>412</xdr:row>
      <xdr:rowOff>142875</xdr:rowOff>
    </xdr:from>
    <xdr:to>
      <xdr:col>5</xdr:col>
      <xdr:colOff>834340</xdr:colOff>
      <xdr:row>425</xdr:row>
      <xdr:rowOff>2367</xdr:rowOff>
    </xdr:to>
    <xdr:pic>
      <xdr:nvPicPr>
        <xdr:cNvPr id="8" name="Grafik 210">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4"/>
        <a:stretch>
          <a:fillRect/>
        </a:stretch>
      </xdr:blipFill>
      <xdr:spPr>
        <a:xfrm>
          <a:off x="349706" y="34309050"/>
          <a:ext cx="5845085" cy="2088342"/>
        </a:xfrm>
        <a:prstGeom prst="rect">
          <a:avLst/>
        </a:prstGeom>
      </xdr:spPr>
    </xdr:pic>
    <xdr:clientData/>
  </xdr:twoCellAnchor>
  <xdr:twoCellAnchor>
    <xdr:from>
      <xdr:col>1</xdr:col>
      <xdr:colOff>21771</xdr:colOff>
      <xdr:row>326</xdr:row>
      <xdr:rowOff>152400</xdr:rowOff>
    </xdr:from>
    <xdr:to>
      <xdr:col>3</xdr:col>
      <xdr:colOff>522515</xdr:colOff>
      <xdr:row>340</xdr:row>
      <xdr:rowOff>130629</xdr:rowOff>
    </xdr:to>
    <xdr:graphicFrame macro="">
      <xdr:nvGraphicFramePr>
        <xdr:cNvPr id="7" name="Diagramm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27215</xdr:colOff>
      <xdr:row>343</xdr:row>
      <xdr:rowOff>163286</xdr:rowOff>
    </xdr:from>
    <xdr:to>
      <xdr:col>3</xdr:col>
      <xdr:colOff>527959</xdr:colOff>
      <xdr:row>357</xdr:row>
      <xdr:rowOff>141515</xdr:rowOff>
    </xdr:to>
    <xdr:graphicFrame macro="">
      <xdr:nvGraphicFramePr>
        <xdr:cNvPr id="9" name="Diagramm 6">
          <a:extLst>
            <a:ext uri="{FF2B5EF4-FFF2-40B4-BE49-F238E27FC236}">
              <a16:creationId xmlns:a16="http://schemas.microsoft.com/office/drawing/2014/main" id="{3425BBC1-88DD-452B-92D2-9D5CC4153C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43543</xdr:colOff>
      <xdr:row>309</xdr:row>
      <xdr:rowOff>152399</xdr:rowOff>
    </xdr:from>
    <xdr:to>
      <xdr:col>3</xdr:col>
      <xdr:colOff>544287</xdr:colOff>
      <xdr:row>323</xdr:row>
      <xdr:rowOff>130629</xdr:rowOff>
    </xdr:to>
    <xdr:graphicFrame macro="">
      <xdr:nvGraphicFramePr>
        <xdr:cNvPr id="10" name="Diagramm 3">
          <a:extLst>
            <a:ext uri="{FF2B5EF4-FFF2-40B4-BE49-F238E27FC236}">
              <a16:creationId xmlns:a16="http://schemas.microsoft.com/office/drawing/2014/main" id="{F60AA5AF-0E75-4117-ACA7-A3BE098DA3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548640</xdr:colOff>
      <xdr:row>45</xdr:row>
      <xdr:rowOff>144780</xdr:rowOff>
    </xdr:from>
    <xdr:to>
      <xdr:col>10</xdr:col>
      <xdr:colOff>606483</xdr:colOff>
      <xdr:row>60</xdr:row>
      <xdr:rowOff>69824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48640" y="9974580"/>
          <a:ext cx="8828463" cy="2439644"/>
        </a:xfrm>
        <a:prstGeom prst="rect">
          <a:avLst/>
        </a:prstGeom>
      </xdr:spPr>
    </xdr:pic>
    <xdr:clientData/>
  </xdr:twoCellAnchor>
  <xdr:twoCellAnchor editAs="oneCell">
    <xdr:from>
      <xdr:col>0</xdr:col>
      <xdr:colOff>541020</xdr:colOff>
      <xdr:row>63</xdr:row>
      <xdr:rowOff>83820</xdr:rowOff>
    </xdr:from>
    <xdr:to>
      <xdr:col>16</xdr:col>
      <xdr:colOff>197984</xdr:colOff>
      <xdr:row>73</xdr:row>
      <xdr:rowOff>144393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541020" y="12931140"/>
          <a:ext cx="12182974" cy="1730623"/>
        </a:xfrm>
        <a:prstGeom prst="rect">
          <a:avLst/>
        </a:prstGeom>
      </xdr:spPr>
    </xdr:pic>
    <xdr:clientData/>
  </xdr:twoCellAnchor>
  <xdr:twoCellAnchor editAs="oneCell">
    <xdr:from>
      <xdr:col>0</xdr:col>
      <xdr:colOff>99060</xdr:colOff>
      <xdr:row>98</xdr:row>
      <xdr:rowOff>0</xdr:rowOff>
    </xdr:from>
    <xdr:to>
      <xdr:col>18</xdr:col>
      <xdr:colOff>95546</xdr:colOff>
      <xdr:row>104</xdr:row>
      <xdr:rowOff>122257</xdr:rowOff>
    </xdr:to>
    <xdr:pic>
      <xdr:nvPicPr>
        <xdr:cNvPr id="4" name="Grafik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99060" y="19293840"/>
          <a:ext cx="13765826" cy="1128097"/>
        </a:xfrm>
        <a:prstGeom prst="rect">
          <a:avLst/>
        </a:prstGeom>
      </xdr:spPr>
    </xdr:pic>
    <xdr:clientData/>
  </xdr:twoCellAnchor>
  <xdr:twoCellAnchor editAs="oneCell">
    <xdr:from>
      <xdr:col>0</xdr:col>
      <xdr:colOff>0</xdr:colOff>
      <xdr:row>113</xdr:row>
      <xdr:rowOff>22860</xdr:rowOff>
    </xdr:from>
    <xdr:to>
      <xdr:col>12</xdr:col>
      <xdr:colOff>513682</xdr:colOff>
      <xdr:row>126</xdr:row>
      <xdr:rowOff>106106</xdr:rowOff>
    </xdr:to>
    <xdr:pic>
      <xdr:nvPicPr>
        <xdr:cNvPr id="5" name="Grafik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a:srcRect t="3267"/>
        <a:stretch/>
      </xdr:blipFill>
      <xdr:spPr>
        <a:xfrm>
          <a:off x="0" y="21831300"/>
          <a:ext cx="10533982" cy="22562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15240</xdr:colOff>
      <xdr:row>6</xdr:row>
      <xdr:rowOff>22860</xdr:rowOff>
    </xdr:from>
    <xdr:to>
      <xdr:col>5</xdr:col>
      <xdr:colOff>245687</xdr:colOff>
      <xdr:row>12</xdr:row>
      <xdr:rowOff>122484</xdr:rowOff>
    </xdr:to>
    <xdr:pic>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807720" y="1028700"/>
          <a:ext cx="3621347" cy="1105464"/>
        </a:xfrm>
        <a:prstGeom prst="rect">
          <a:avLst/>
        </a:prstGeom>
      </xdr:spPr>
    </xdr:pic>
    <xdr:clientData/>
  </xdr:twoCellAnchor>
  <xdr:twoCellAnchor>
    <xdr:from>
      <xdr:col>1</xdr:col>
      <xdr:colOff>0</xdr:colOff>
      <xdr:row>18</xdr:row>
      <xdr:rowOff>0</xdr:rowOff>
    </xdr:from>
    <xdr:to>
      <xdr:col>7</xdr:col>
      <xdr:colOff>731520</xdr:colOff>
      <xdr:row>36</xdr:row>
      <xdr:rowOff>68580</xdr:rowOff>
    </xdr:to>
    <xdr:pic>
      <xdr:nvPicPr>
        <xdr:cNvPr id="3" name="Grafik 1" descr="image001">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92480" y="2849880"/>
          <a:ext cx="5707380" cy="3086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68580</xdr:colOff>
      <xdr:row>17</xdr:row>
      <xdr:rowOff>22860</xdr:rowOff>
    </xdr:from>
    <xdr:to>
      <xdr:col>15</xdr:col>
      <xdr:colOff>617220</xdr:colOff>
      <xdr:row>36</xdr:row>
      <xdr:rowOff>69076</xdr:rowOff>
    </xdr:to>
    <xdr:pic>
      <xdr:nvPicPr>
        <xdr:cNvPr id="4" name="Grafik 1" descr="image00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21780" y="2705100"/>
          <a:ext cx="6096000" cy="32313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0</xdr:colOff>
      <xdr:row>72</xdr:row>
      <xdr:rowOff>0</xdr:rowOff>
    </xdr:from>
    <xdr:to>
      <xdr:col>20</xdr:col>
      <xdr:colOff>761999</xdr:colOff>
      <xdr:row>90</xdr:row>
      <xdr:rowOff>98516</xdr:rowOff>
    </xdr:to>
    <xdr:graphicFrame macro="">
      <xdr:nvGraphicFramePr>
        <xdr:cNvPr id="5" name="Diagramm 1">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760096</xdr:colOff>
      <xdr:row>101</xdr:row>
      <xdr:rowOff>156210</xdr:rowOff>
    </xdr:from>
    <xdr:to>
      <xdr:col>20</xdr:col>
      <xdr:colOff>1</xdr:colOff>
      <xdr:row>119</xdr:row>
      <xdr:rowOff>28575</xdr:rowOff>
    </xdr:to>
    <xdr:graphicFrame macro="">
      <xdr:nvGraphicFramePr>
        <xdr:cNvPr id="7" name="Diagramm 2">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10</xdr:col>
      <xdr:colOff>0</xdr:colOff>
      <xdr:row>92</xdr:row>
      <xdr:rowOff>5566</xdr:rowOff>
    </xdr:from>
    <xdr:to>
      <xdr:col>14</xdr:col>
      <xdr:colOff>381000</xdr:colOff>
      <xdr:row>101</xdr:row>
      <xdr:rowOff>108355</xdr:rowOff>
    </xdr:to>
    <xdr:pic>
      <xdr:nvPicPr>
        <xdr:cNvPr id="8" name="Grafik 6">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138160" y="15062686"/>
          <a:ext cx="5450205" cy="1626789"/>
        </a:xfrm>
        <a:prstGeom prst="rect">
          <a:avLst/>
        </a:prstGeom>
      </xdr:spPr>
    </xdr:pic>
    <xdr:clientData/>
  </xdr:twoCellAnchor>
  <xdr:twoCellAnchor editAs="oneCell">
    <xdr:from>
      <xdr:col>6</xdr:col>
      <xdr:colOff>175261</xdr:colOff>
      <xdr:row>89</xdr:row>
      <xdr:rowOff>121921</xdr:rowOff>
    </xdr:from>
    <xdr:to>
      <xdr:col>8</xdr:col>
      <xdr:colOff>910253</xdr:colOff>
      <xdr:row>105</xdr:row>
      <xdr:rowOff>1</xdr:rowOff>
    </xdr:to>
    <xdr:pic>
      <xdr:nvPicPr>
        <xdr:cNvPr id="9" name="Grafik 5">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7"/>
        <a:stretch>
          <a:fillRect/>
        </a:stretch>
      </xdr:blipFill>
      <xdr:spPr>
        <a:xfrm>
          <a:off x="5143501" y="14676121"/>
          <a:ext cx="2860972" cy="2575560"/>
        </a:xfrm>
        <a:prstGeom prst="rect">
          <a:avLst/>
        </a:prstGeom>
      </xdr:spPr>
    </xdr:pic>
    <xdr:clientData/>
  </xdr:twoCellAnchor>
  <xdr:twoCellAnchor editAs="oneCell">
    <xdr:from>
      <xdr:col>1</xdr:col>
      <xdr:colOff>0</xdr:colOff>
      <xdr:row>159</xdr:row>
      <xdr:rowOff>13855</xdr:rowOff>
    </xdr:from>
    <xdr:to>
      <xdr:col>6</xdr:col>
      <xdr:colOff>284328</xdr:colOff>
      <xdr:row>160</xdr:row>
      <xdr:rowOff>161886</xdr:rowOff>
    </xdr:to>
    <xdr:pic>
      <xdr:nvPicPr>
        <xdr:cNvPr id="36" name="Grafik 35">
          <a:extLst>
            <a:ext uri="{FF2B5EF4-FFF2-40B4-BE49-F238E27FC236}">
              <a16:creationId xmlns:a16="http://schemas.microsoft.com/office/drawing/2014/main" id="{20784075-0E4E-42DA-B303-F5DAB05C395B}"/>
            </a:ext>
          </a:extLst>
        </xdr:cNvPr>
        <xdr:cNvPicPr>
          <a:picLocks noChangeAspect="1"/>
        </xdr:cNvPicPr>
      </xdr:nvPicPr>
      <xdr:blipFill>
        <a:blip xmlns:r="http://schemas.openxmlformats.org/officeDocument/2006/relationships" r:embed="rId8"/>
        <a:stretch>
          <a:fillRect/>
        </a:stretch>
      </xdr:blipFill>
      <xdr:spPr>
        <a:xfrm>
          <a:off x="1051560" y="28223095"/>
          <a:ext cx="4460088" cy="315671"/>
        </a:xfrm>
        <a:prstGeom prst="rect">
          <a:avLst/>
        </a:prstGeom>
      </xdr:spPr>
    </xdr:pic>
    <xdr:clientData/>
  </xdr:twoCellAnchor>
  <xdr:twoCellAnchor>
    <xdr:from>
      <xdr:col>4</xdr:col>
      <xdr:colOff>592454</xdr:colOff>
      <xdr:row>170</xdr:row>
      <xdr:rowOff>131616</xdr:rowOff>
    </xdr:from>
    <xdr:to>
      <xdr:col>7</xdr:col>
      <xdr:colOff>171434</xdr:colOff>
      <xdr:row>179</xdr:row>
      <xdr:rowOff>103908</xdr:rowOff>
    </xdr:to>
    <xdr:pic>
      <xdr:nvPicPr>
        <xdr:cNvPr id="37" name="Grafik 1">
          <a:extLst>
            <a:ext uri="{FF2B5EF4-FFF2-40B4-BE49-F238E27FC236}">
              <a16:creationId xmlns:a16="http://schemas.microsoft.com/office/drawing/2014/main" id="{6EF62B20-1B8D-4091-9816-29A43717ECDA}"/>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4234814" y="30184896"/>
          <a:ext cx="1956420" cy="14810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277092</xdr:colOff>
      <xdr:row>171</xdr:row>
      <xdr:rowOff>92254</xdr:rowOff>
    </xdr:from>
    <xdr:to>
      <xdr:col>3</xdr:col>
      <xdr:colOff>707707</xdr:colOff>
      <xdr:row>178</xdr:row>
      <xdr:rowOff>79315</xdr:rowOff>
    </xdr:to>
    <xdr:pic>
      <xdr:nvPicPr>
        <xdr:cNvPr id="38" name="Grafik 37">
          <a:extLst>
            <a:ext uri="{FF2B5EF4-FFF2-40B4-BE49-F238E27FC236}">
              <a16:creationId xmlns:a16="http://schemas.microsoft.com/office/drawing/2014/main" id="{63301D13-5795-4A56-85EE-C74EC26FCA82}"/>
            </a:ext>
          </a:extLst>
        </xdr:cNvPr>
        <xdr:cNvPicPr>
          <a:picLocks noChangeAspect="1"/>
        </xdr:cNvPicPr>
      </xdr:nvPicPr>
      <xdr:blipFill>
        <a:blip xmlns:r="http://schemas.openxmlformats.org/officeDocument/2006/relationships" r:embed="rId10"/>
        <a:stretch>
          <a:fillRect/>
        </a:stretch>
      </xdr:blipFill>
      <xdr:spPr>
        <a:xfrm>
          <a:off x="1328652" y="30313174"/>
          <a:ext cx="2015575" cy="116054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784860</xdr:colOff>
      <xdr:row>113</xdr:row>
      <xdr:rowOff>152400</xdr:rowOff>
    </xdr:from>
    <xdr:to>
      <xdr:col>8</xdr:col>
      <xdr:colOff>464820</xdr:colOff>
      <xdr:row>128</xdr:row>
      <xdr:rowOff>38100</xdr:rowOff>
    </xdr:to>
    <xdr:pic>
      <xdr:nvPicPr>
        <xdr:cNvPr id="2" name="Picture 1">
          <a:extLst>
            <a:ext uri="{FF2B5EF4-FFF2-40B4-BE49-F238E27FC236}">
              <a16:creationId xmlns:a16="http://schemas.microsoft.com/office/drawing/2014/main" id="{C1067CA1-454A-E7FB-3E62-7FBA67C493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19171920"/>
          <a:ext cx="3703320" cy="2415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045BBCA8-EEA6-432D-9080-CFB0032CCE50}" name="tab_Modulation" displayName="tab_Modulation" ref="C5:C34" totalsRowShown="0" headerRowDxfId="281">
  <autoFilter ref="C5:C34" xr:uid="{74B74465-4028-46E4-A21B-FE73C5EFD521}"/>
  <tableColumns count="1">
    <tableColumn id="1" xr3:uid="{ABA768CA-BA40-466C-BE36-68ECFDC360F9}" name="Modulatio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C7AFB08C-97B9-45CC-B74B-FF26E3F2A4FB}" name="tab_Actuation_1" displayName="tab_Actuation_1" ref="D5:D17" totalsRowShown="0" headerRowDxfId="280">
  <autoFilter ref="D5:D17" xr:uid="{00000000-0009-0000-0100-000006000000}"/>
  <tableColumns count="1">
    <tableColumn id="1" xr3:uid="{D14F3783-848D-4435-AACD-60E990FB5B93}" name="Actuatio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450C590D-0607-4525-9815-33E1DE7B0C4A}" name="tab_TMC_Diameter" displayName="tab_TMC_Diameter" ref="A182:F186" totalsRowShown="0" tableBorderDxfId="279">
  <autoFilter ref="A182:F186" xr:uid="{00000000-0009-0000-0100-000008000000}"/>
  <tableColumns count="6">
    <tableColumn id="20" xr3:uid="{820EAAA2-E2D1-4D0F-A0D8-0256C3032C19}" name="IPB 1.0 Size Se"/>
    <tableColumn id="25" xr3:uid="{BDA35ADD-5533-4D4B-A90F-0E9EA592AF46}" name="IPB 1.1 Size Sd"/>
    <tableColumn id="24" xr3:uid="{A449F121-38AA-49DF-A325-2D383792A4A8}" name="IPB 1.1 Size Se"/>
    <tableColumn id="26" xr3:uid="{15350414-9ABE-44F8-96D9-3D750ED77FA8}" name="IPB 2.0 Size S"/>
    <tableColumn id="23" xr3:uid="{FF58A92D-42FC-4DC6-A95A-C13E36C86623}" name="IPB 2.0 Size M"/>
    <tableColumn id="22" xr3:uid="{B68C5E12-8CB1-42FC-BF55-CB5A34A6ABE7}" name="IPB 2.0 Size L"/>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720732B6-34D0-4B62-AB78-35FABDB0C73C}" name="tab_ESP_Motor" displayName="tab_ESP_Motor" ref="A168:AC178" totalsRowShown="0" headerRowBorderDxfId="278" tableBorderDxfId="277">
  <autoFilter ref="A168:AC178" xr:uid="{00000000-0009-0000-0100-00000D000000}"/>
  <tableColumns count="29">
    <tableColumn id="1" xr3:uid="{26072FD2-F44F-40AC-94D9-E4650F5A5686}" name="ESP9.3CB - ESP Standard"/>
    <tableColumn id="2" xr3:uid="{5AFA21C7-559B-4FB7-AA1C-AB90264CACDF}" name="ESP9.3CP - ESP Standard"/>
    <tableColumn id="3" xr3:uid="{5A5DC5A9-ACD9-4962-962C-D46400D4E83C}" name="ESP9UHDS - ESP Standard"/>
    <tableColumn id="4" xr3:uid="{A0DBDCC7-32E4-4AC1-9382-A903538D00C5}" name="ESP9.3HP - ESP hevX"/>
    <tableColumn id="5" xr3:uid="{B1B2B340-AEA7-4BA7-8A76-B13B248A6A3B}" name="ESP9.3HU - ESP hevII"/>
    <tableColumn id="6" xr3:uid="{36133590-B02A-4F89-A6D4-BBE893BBEBC2}" name="ESP9UHDH - ESP hevX"/>
    <tableColumn id="7" xr3:uid="{1046227C-34D5-40D7-B8F4-D42F34C5040F}" name="ESP9.3TE - ESP Standard for light trucks"/>
    <tableColumn id="8" xr3:uid="{8E93B419-0EB8-468E-BA15-2B3FEDAB6723}" name="ESP9.3TA - ESP Standard for medium heavy trucks"/>
    <tableColumn id="11" xr3:uid="{CD807A7F-283A-4839-87A6-3466CC1D9FD0}" name="ESP10CB - ESP Standard"/>
    <tableColumn id="12" xr3:uid="{2F072DAA-62CD-4123-A665-B7D4F4BCEB16}" name="ESP10HB - ESP hevX"/>
    <tableColumn id="13" xr3:uid="{2C99C0F2-6C0F-4301-B84E-897EA609DAF1}" name="ESP10CE - ESP Standard"/>
    <tableColumn id="14" xr3:uid="{6AB2442A-DCBE-4230-AF1A-81BB83FD85D5}" name="ESP10HE - ESP hevX"/>
    <tableColumn id="15" xr3:uid="{82D8B03B-E6AA-4ECB-86E3-DCC1CD314546}" name="ESP10CL - ESP Standard"/>
    <tableColumn id="16" xr3:uid="{321B69DF-6159-4841-8B3C-FC1EEAFB642F}" name="ESP10CP - ESP Standard"/>
    <tableColumn id="17" xr3:uid="{E1D33B46-DDBF-4519-B196-1A771E560B4C}" name="ESP10HP - ESP hevX"/>
    <tableColumn id="18" xr3:uid="{723D15B4-309F-43A9-89E6-B7BCAFFB2DD9}" name="ESP10CU - ESP Standard"/>
    <tableColumn id="9" xr3:uid="{43ED7372-EDCC-483B-B7F6-A8661CBE6D13}" name="ESP10HU - ESP hevX"/>
    <tableColumn id="29" xr3:uid="{56AE3E17-134E-4F75-9C96-79C5BD85D7B8}" name="ESP10TE - ESP Standard for trucks" dataDxfId="276"/>
    <tableColumn id="28" xr3:uid="{A0DC4916-CEF4-4DCC-AB5A-864479BB777C}" name="ESP10TP - ESP Standard for trucks" dataDxfId="275"/>
    <tableColumn id="19" xr3:uid="{6561F69B-5F19-411B-A4FE-2D8A68B4D135}" name="ESP10TU - ESP Standard for trucks" dataDxfId="274"/>
    <tableColumn id="20" xr3:uid="{2011AC07-8ACD-4F21-8325-86B3418B257A}" name="IPB 1.0 Size Se"/>
    <tableColumn id="10" xr3:uid="{5D3E20A5-9549-4601-84AC-BD51A6B13FCE}" name="IPB 1.1 Size Sd"/>
    <tableColumn id="27" xr3:uid="{7BB44BF9-18D5-4FEB-844E-DA4655BF28D1}" name="IPB 1.1 Size Se"/>
    <tableColumn id="26" xr3:uid="{562FEB44-32CA-4553-B46C-6798118204A7}" name="IPB 2.0 Size S"/>
    <tableColumn id="25" xr3:uid="{5A112D7C-C5D7-440E-9CA1-184F5F900D24}" name="IPB 2.0 Size M"/>
    <tableColumn id="24" xr3:uid="{0B466EB8-4DDF-4CCB-8FC2-C91B815990B8}" name="IPB 2.0 Size L"/>
    <tableColumn id="23" xr3:uid="{A5656640-06C7-4805-A112-294A561FC8FB}" name="DPB Size M"/>
    <tableColumn id="22" xr3:uid="{6698B55B-72D9-4327-AE42-6715F3BD882E}" name="DPB Size L"/>
    <tableColumn id="21" xr3:uid="{4D9F1338-53CA-4121-BD50-9685E7808BC9}" name="Competitor"/>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935DD2FD-CBCE-41AA-B803-0CB7EC107994}" name="tab_TTL" displayName="tab_TTL" ref="A69:AC71" totalsRowShown="0" headerRowBorderDxfId="273" tableBorderDxfId="272">
  <autoFilter ref="A69:AC71" xr:uid="{00000000-0009-0000-0100-00000E000000}"/>
  <tableColumns count="29">
    <tableColumn id="1" xr3:uid="{4202FF92-F065-4D72-8F32-8231048B2972}" name="ESP9.3CB - ESP Standard"/>
    <tableColumn id="2" xr3:uid="{4C317E25-14B5-4E47-882E-2F609C26D66E}" name="ESP9.3CP - ESP Standard"/>
    <tableColumn id="3" xr3:uid="{D19AC3E7-7969-41AD-8CBE-EB469546E548}" name="ESP9UHDS - ESP Standard"/>
    <tableColumn id="4" xr3:uid="{8E91A0C1-C65D-4D5C-8A9C-6645CE558C99}" name="ESP9.3HP - ESP hevX"/>
    <tableColumn id="5" xr3:uid="{8B2692B0-ED66-41E7-9338-6039A35D360C}" name="ESP9.3HU - ESP hevII"/>
    <tableColumn id="6" xr3:uid="{032E0ED8-C04B-440B-8231-EC6A779D6EED}" name="ESP9UHDH - ESP hevX"/>
    <tableColumn id="7" xr3:uid="{87551B04-AD12-438C-B8FE-073BE7B8A7C2}" name="ESP9.3TE - ESP Standard for light trucks"/>
    <tableColumn id="8" xr3:uid="{75FAA86F-1E10-4BCD-BF7D-8FBD8B6AC3C3}" name="ESP9.3TA - ESP Standard for medium heavy trucks"/>
    <tableColumn id="11" xr3:uid="{9A8F6447-1035-4A8E-BC81-C70E34C6DDC8}" name="ESP10CB - ESP Standard"/>
    <tableColumn id="12" xr3:uid="{00BAF00B-2281-48C0-95B0-AA491CF6F676}" name="ESP10HB - ESP hevX"/>
    <tableColumn id="13" xr3:uid="{5143A007-1569-4D7B-9D90-2D5797284601}" name="ESP10CE - ESP Standard"/>
    <tableColumn id="14" xr3:uid="{3DEAA356-5735-499E-BD51-FBCFE550E77B}" name="ESP10HE - ESP hevX"/>
    <tableColumn id="15" xr3:uid="{AE46407D-6A69-4CE1-98A3-AAC1F181609B}" name="ESP10CL - ESP Standard"/>
    <tableColumn id="16" xr3:uid="{0D8C72DB-E82E-4C96-82B9-CA6754243C56}" name="ESP10CP - ESP Standard"/>
    <tableColumn id="17" xr3:uid="{D03857F0-E597-4F63-9447-47588DC1154C}" name="ESP10HP - ESP hevX"/>
    <tableColumn id="18" xr3:uid="{0AC0F6E3-5721-4BE0-83A8-0D10A7EBB9F7}" name="ESP10CU - ESP Standard"/>
    <tableColumn id="29" xr3:uid="{AA4B5ED4-277C-41D4-8597-88DA6E3B5CF3}" name="ESP10HU - ESP hevX"/>
    <tableColumn id="28" xr3:uid="{9CCCDE19-DDC1-46A6-8997-22D1452DA508}" name="ESP10TE - ESP Standard for trucks" dataDxfId="271"/>
    <tableColumn id="27" xr3:uid="{3768366E-A29D-41E5-92BA-6848B5BEA00B}" name="ESP10TP - ESP Standard for trucks" dataDxfId="270"/>
    <tableColumn id="9" xr3:uid="{A738133C-6120-4C65-B637-B12D4CA9B4D6}" name="ESP10TU - ESP Standard for trucks" dataDxfId="269"/>
    <tableColumn id="26" xr3:uid="{9B926095-375C-43A8-AB79-AA53B91E4B2D}" name="IPB 1.0 Size Se"/>
    <tableColumn id="25" xr3:uid="{B38AF0AE-501C-476F-93EA-2139EC783C56}" name="IPB 1.1 Size Sd"/>
    <tableColumn id="24" xr3:uid="{D1244C69-8058-4BC5-8AA9-DD4A56B874CE}" name="IPB 1.1 Size Se"/>
    <tableColumn id="23" xr3:uid="{79690D94-AA0E-47EB-9539-D2AD5884FB6B}" name="IPB 2.0 Size S"/>
    <tableColumn id="22" xr3:uid="{FEB40E6D-0160-43D0-8207-4FEE18D4E45C}" name="IPB 2.0 Size M"/>
    <tableColumn id="20" xr3:uid="{1893822D-EAEC-4711-9219-C0E65C80E91A}" name="IPB 2.0 Size L"/>
    <tableColumn id="19" xr3:uid="{B1F752BA-63CC-45D0-9C26-F02CDA1B43B9}" name="DPB Size M"/>
    <tableColumn id="10" xr3:uid="{70E358DA-BA23-48CA-9D4B-AED5D127EFF3}" name="DPB Size L"/>
    <tableColumn id="21" xr3:uid="{595152D6-C96B-45B3-BFD4-7CB2126B9EC2}" name="Competitor"/>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4BE3D68A-8751-4977-8BFA-585483BABCEF}" name="tab_inlet_valve_front_axle" displayName="tab_inlet_valve_front_axle" ref="A110:AC115" totalsRowShown="0" dataDxfId="267" headerRowBorderDxfId="268" tableBorderDxfId="266">
  <autoFilter ref="A110:AC115" xr:uid="{00000000-0009-0000-0100-000001000000}"/>
  <tableColumns count="29">
    <tableColumn id="1" xr3:uid="{EF908684-54D1-43BF-AE95-231224CB68E2}" name="ESP9.3CB - ESP Standard" dataDxfId="265"/>
    <tableColumn id="2" xr3:uid="{C9D867B8-B070-46A7-8218-51770C247F6C}" name="ESP9.3CP - ESP Standard" dataDxfId="264"/>
    <tableColumn id="3" xr3:uid="{DA7FBE3F-615E-47AC-8319-731CCBA5F496}" name="ESP9UHDS - ESP Standard" dataDxfId="263"/>
    <tableColumn id="4" xr3:uid="{BFBC6C76-2539-4BF0-B5C3-CE06BF1E7378}" name="ESP9.3HP - ESP hevX" dataDxfId="262"/>
    <tableColumn id="5" xr3:uid="{824D320A-133F-488D-8141-30826FD8C818}" name="ESP9.3HU - ESP hevII" dataDxfId="261"/>
    <tableColumn id="6" xr3:uid="{A3BB4DD8-1363-4F2F-91E4-F85372B07FF3}" name="ESP9UHDH - ESP hevX" dataDxfId="260"/>
    <tableColumn id="7" xr3:uid="{1284CE8E-F92C-4805-8190-5E96C4558058}" name="ESP9.3TE - ESP Standard for light trucks" dataDxfId="259"/>
    <tableColumn id="8" xr3:uid="{D2E9C175-A354-4772-BA18-ED3269E5BD96}" name="ESP9.3TA - ESP Standard for medium heavy trucks" dataDxfId="258"/>
    <tableColumn id="10" xr3:uid="{C8E80318-269E-4CAA-9A4A-8B486E075841}" name="ESP10CB - ESP Standard" dataDxfId="257"/>
    <tableColumn id="12" xr3:uid="{6DBBCBD4-2039-4787-964B-D026D9D6377F}" name="ESP10HB - ESP hevX" dataDxfId="256"/>
    <tableColumn id="13" xr3:uid="{6D80E708-812B-4407-A37F-41D60E87F62D}" name="ESP10CE - ESP Standard" dataDxfId="255"/>
    <tableColumn id="14" xr3:uid="{83A3B09F-CB7D-4504-BE0B-13D0A90531D6}" name="ESP10HE - ESP hevX" dataDxfId="254"/>
    <tableColumn id="15" xr3:uid="{FB0FAB2C-4340-4B4A-9A75-99371D83B81C}" name="ESP10CL - ESP Standard" dataDxfId="253"/>
    <tableColumn id="16" xr3:uid="{5F403D1F-67A9-4193-8A04-63CF46942C82}" name="ESP10CP - ESP Standard" dataDxfId="252"/>
    <tableColumn id="17" xr3:uid="{E8E4B6E4-B553-4310-9AF7-9A4609FBA59F}" name="ESP10HP - ESP hevX" dataDxfId="251"/>
    <tableColumn id="18" xr3:uid="{A9280DB6-F073-4D3C-B98A-0471F5F9FD04}" name="ESP10CU - ESP Standard" dataDxfId="250"/>
    <tableColumn id="9" xr3:uid="{6D9E5B39-26A0-43DA-9109-BE2FFBD930C9}" name="ESP10HU - ESP hevX" dataDxfId="249"/>
    <tableColumn id="29" xr3:uid="{9807984A-068F-4319-863B-1C4D213F558F}" name="ESP10TE - ESP Standard for trucks" dataDxfId="248"/>
    <tableColumn id="20" xr3:uid="{DE29C6CC-99E8-422E-A116-D3FBC0F25FAB}" name="ESP10TP - ESP Standard for trucks" dataDxfId="247"/>
    <tableColumn id="19" xr3:uid="{E0704DC2-E51F-4081-A5D3-892CBFDF8626}" name="ESP10TU - ESP Standard for trucks" dataDxfId="246"/>
    <tableColumn id="27" xr3:uid="{FBDC7A73-1564-4384-9A85-320AAB50E6C8}" name="IPB 1.0 Size Se" dataDxfId="245"/>
    <tableColumn id="26" xr3:uid="{FD46C373-A924-41BF-A6C9-E2B0F02E6331}" name="IPB 1.1 Size Sd" dataDxfId="244"/>
    <tableColumn id="25" xr3:uid="{22410B98-ACDD-4DC6-BFF0-EED26C843D2D}" name="IPB 1.1 Size Se" dataDxfId="243"/>
    <tableColumn id="24" xr3:uid="{B6F170BA-A154-4388-9EBF-ADEA0B169622}" name="IPB 2.0 Size S" dataDxfId="242"/>
    <tableColumn id="23" xr3:uid="{3EA3E200-E167-4194-AFA9-6FF294D6CED6}" name="IPB 2.0 Size M" dataDxfId="241"/>
    <tableColumn id="22" xr3:uid="{449DCA16-D7A5-4423-B453-1089B55C1D22}" name="IPB 2.0 Size L" dataDxfId="240"/>
    <tableColumn id="28" xr3:uid="{E6B4BC4C-D67A-47A0-95CE-CD2926793E4C}" name="DPB Size M" dataDxfId="239"/>
    <tableColumn id="11" xr3:uid="{1011F598-98E3-494E-B9A8-D9D47FA605A0}" name="DPB Size L" dataDxfId="238"/>
    <tableColumn id="21" xr3:uid="{87ADDC43-5496-417E-990D-3A006B3BC5F3}" name="Competitor" dataDxfId="23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FC550273-61BA-43A3-AA76-47D8E197CFD0}" name="tab_inlet_valve_rear_axle" displayName="tab_inlet_valve_rear_axle" ref="A119:AC125" totalsRowShown="0" dataDxfId="235" headerRowBorderDxfId="236" tableBorderDxfId="234" totalsRowBorderDxfId="233">
  <autoFilter ref="A119:AC125" xr:uid="{00000000-0009-0000-0100-000002000000}"/>
  <tableColumns count="29">
    <tableColumn id="1" xr3:uid="{40CBCAA7-5A44-4096-97DE-79A6651B170A}" name="ESP9.3CB - ESP Standard" dataDxfId="232"/>
    <tableColumn id="2" xr3:uid="{2838F8D1-8280-4773-87F5-EC11B467DD0C}" name="ESP9.3CP - ESP Standard" dataDxfId="231"/>
    <tableColumn id="3" xr3:uid="{F537FA6A-DDF1-47C3-ABEC-C370F547A1E3}" name="ESP9UHDS - ESP Standard" dataDxfId="230"/>
    <tableColumn id="4" xr3:uid="{9138611C-7B2E-4B65-970A-1F49F67BF1B6}" name="ESP9.3HP - ESP hevX" dataDxfId="229"/>
    <tableColumn id="5" xr3:uid="{3F79C054-862B-439E-80B5-16F6E1F2F7AC}" name="ESP9.3HU - ESP hevII" dataDxfId="228"/>
    <tableColumn id="6" xr3:uid="{88F7BA60-46EE-4966-A09C-0FD20C197095}" name="ESP9UHDH - ESP hevX" dataDxfId="227"/>
    <tableColumn id="7" xr3:uid="{C285A963-B1A6-4120-B6CE-4F9F8A76833C}" name="ESP9.3TE - ESP Standard for light trucks" dataDxfId="226"/>
    <tableColumn id="8" xr3:uid="{CF98B8CE-FBBD-4E8A-8B87-A5EFD60E8332}" name="ESP9.3TA - ESP Standard for medium heavy trucks" dataDxfId="225"/>
    <tableColumn id="11" xr3:uid="{D6AE4EEF-BCB2-40B7-83CB-9EC3D4215EF9}" name="ESP10CB - ESP Standard" dataDxfId="224"/>
    <tableColumn id="12" xr3:uid="{D5090CB2-5B5D-4D71-8A89-7EAB743FAF22}" name="ESP10HB - ESP hevX" dataDxfId="223"/>
    <tableColumn id="13" xr3:uid="{BB35A9A5-494E-4960-B4AD-642BBADB1B1F}" name="ESP10CE - ESP Standard" dataDxfId="222"/>
    <tableColumn id="14" xr3:uid="{36ED9602-C6FF-46A0-9D3D-CDE02D166699}" name="ESP10HE - ESP hevX" dataDxfId="221"/>
    <tableColumn id="15" xr3:uid="{49625D01-AF72-4FD0-A523-9AD0FF3CCF68}" name="ESP10CL - ESP Standard" dataDxfId="220"/>
    <tableColumn id="16" xr3:uid="{AA36DDF4-B705-4484-935B-3760CD818001}" name="ESP10CP - ESP Standard" dataDxfId="219"/>
    <tableColumn id="17" xr3:uid="{7B492A3C-96E2-492E-8640-5A01CC81F051}" name="ESP10HP - ESP hevX" dataDxfId="218"/>
    <tableColumn id="18" xr3:uid="{D3F89DF9-B13A-4598-AC74-86793D02CB33}" name="ESP10CU - ESP Standard" dataDxfId="217"/>
    <tableColumn id="9" xr3:uid="{030FC163-F9C2-4D79-9162-BB675A02F56E}" name="ESP10HU - ESP hevX" dataDxfId="216"/>
    <tableColumn id="29" xr3:uid="{D1FB31A6-1583-4348-9B9C-99F4FF2EF402}" name="ESP10TE - ESP Standard for trucks" dataDxfId="215"/>
    <tableColumn id="28" xr3:uid="{E230662D-7E71-42FB-A7AE-B7DB5A8401D6}" name="ESP10TP - ESP Standard for trucks" dataDxfId="214"/>
    <tableColumn id="19" xr3:uid="{8308C201-29D8-4E00-A1BE-BA63969687AD}" name="ESP10TU - ESP Standard for trucks" dataDxfId="213"/>
    <tableColumn id="20" xr3:uid="{CFFE439D-9472-4FA9-9391-A01FEB017921}" name="IPB 1.0 Size Se" dataDxfId="212"/>
    <tableColumn id="27" xr3:uid="{1A98A018-1A33-45CD-A17A-2BF370036B1D}" name="IPB 1.1 Size Sd" dataDxfId="211"/>
    <tableColumn id="26" xr3:uid="{52D7EB0D-696E-45F1-8C72-2A001D307B3E}" name="IPB 1.1 Size Se" dataDxfId="210"/>
    <tableColumn id="25" xr3:uid="{D25D3F2A-C1A3-4688-9CFB-2FB82CDBA5E3}" name="IPB 2.0 Size S" dataDxfId="209"/>
    <tableColumn id="24" xr3:uid="{87E326EA-651C-4E95-9D4A-872F0355E3F1}" name="IPB 2.0 Size M" dataDxfId="208"/>
    <tableColumn id="23" xr3:uid="{6317CCBB-E891-49D9-82E2-E222DF70C0A2}" name="IPB 2.0 Size L" dataDxfId="207"/>
    <tableColumn id="22" xr3:uid="{1B1263AA-535E-41F2-942D-61DFA8D11CFB}" name="DPB Size M" dataDxfId="206"/>
    <tableColumn id="10" xr3:uid="{B734574F-6E5A-4B57-8128-AC0561DB6E3E}" name="DPB Size L" dataDxfId="205"/>
    <tableColumn id="21" xr3:uid="{09C4BAE2-9E80-4FAB-92C4-CC6785241BA2}" name="Competitor" dataDxfId="204"/>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450EB280-88E2-4316-B6B1-08E08DEE6D51}" name="tab_z_critical" displayName="tab_z_critical" ref="A148:AC151" totalsRowShown="0" headerRowBorderDxfId="203" tableBorderDxfId="202">
  <autoFilter ref="A148:AC151" xr:uid="{00000000-0009-0000-0100-000003000000}"/>
  <tableColumns count="29">
    <tableColumn id="1" xr3:uid="{3293437C-A949-4473-A26D-E52D6AD4B761}" name="ESP9.3CB - ESP Standard"/>
    <tableColumn id="2" xr3:uid="{39B85BB8-C905-4AF3-AF63-6E7AC9DFD708}" name="ESP9.3CP - ESP Standard"/>
    <tableColumn id="3" xr3:uid="{059A2395-1F77-4A3C-B3CF-DF98086B6918}" name="ESP9UHDS - ESP Standard"/>
    <tableColumn id="4" xr3:uid="{3504A5EC-8193-4685-8D3A-11A3477ED416}" name="ESP9.3HP - ESP hevX"/>
    <tableColumn id="5" xr3:uid="{2AABE8C7-4102-4AB6-B39A-2A562225A563}" name="ESP9.3HU - ESP hevII"/>
    <tableColumn id="6" xr3:uid="{0A4C46DC-B864-4E2E-B4BD-54C0739365A9}" name="ESP9UHDH - ESP hevX"/>
    <tableColumn id="7" xr3:uid="{CAD4B5A5-BA81-4C68-98BB-80FC5345E8B7}" name="ESP9.3TE - ESP Standard for light trucks"/>
    <tableColumn id="8" xr3:uid="{3E91917B-E611-4DC9-A502-BBAC7AC0E00F}" name="ESP9.3TA - ESP Standard for medium heavy trucks"/>
    <tableColumn id="11" xr3:uid="{21EE4774-6D75-47A8-BAB4-A25907CA6CF0}" name="ESP10CB - ESP Standard"/>
    <tableColumn id="12" xr3:uid="{5039F6DE-3A97-4E09-9523-BC82CABD8D4D}" name="ESP10HB - ESP hevX"/>
    <tableColumn id="13" xr3:uid="{D7CDF64E-A199-431D-9ABA-1CA6F6EF4E63}" name="ESP10CE - ESP Standard"/>
    <tableColumn id="14" xr3:uid="{21161977-3B7F-490A-8A34-E634ED523AEB}" name="ESP10HE - ESP hevX"/>
    <tableColumn id="15" xr3:uid="{486BB892-5DEA-4892-BD9C-CB0564F91056}" name="ESP10CL - ESP Standard"/>
    <tableColumn id="16" xr3:uid="{85E43D01-B787-4A34-A716-D293BC25511A}" name="ESP10CP - ESP Standard"/>
    <tableColumn id="17" xr3:uid="{37032320-8164-42D5-A9CB-ABEF312E7750}" name="ESP10HP - ESP hevX"/>
    <tableColumn id="18" xr3:uid="{39036A42-6319-4C10-98E3-566D24B45CB7}" name="ESP10CU - ESP Standard"/>
    <tableColumn id="9" xr3:uid="{209D3559-6CD2-4AF8-BAAD-23FFD643B5C2}" name="ESP10HU - ESP hevX"/>
    <tableColumn id="29" xr3:uid="{24E4A22B-30EA-494B-B2EB-4482017E9B8F}" name="ESP10TE - ESP Standard for trucks" dataDxfId="201"/>
    <tableColumn id="28" xr3:uid="{C2C7CBBC-CD07-4EB6-9649-3C6CC5B01F0C}" name="ESP10TP - ESP Standard for trucks" dataDxfId="200"/>
    <tableColumn id="27" xr3:uid="{DA84F816-A5ED-4BF6-B600-7FBA74B97E50}" name="ESP10TU - ESP Standard for trucks" dataDxfId="199"/>
    <tableColumn id="26" xr3:uid="{B6510A93-98A5-4294-B98E-953559C72E96}" name="IPB 1.0 Size Se"/>
    <tableColumn id="25" xr3:uid="{3BF92CBD-8302-4323-A6F5-8135725D5240}" name="IPB 1.1 Size Sd"/>
    <tableColumn id="24" xr3:uid="{F162E45D-F992-4426-BFD0-6F373E99159D}" name="IPB 1.1 Size Se"/>
    <tableColumn id="23" xr3:uid="{265D8CE8-4F4D-448B-8039-7A00B6F8EEFA}" name="IPB 2.0 Size S"/>
    <tableColumn id="22" xr3:uid="{5AE91EFB-7054-4B72-8866-068277DD714E}" name="IPB 2.0 Size M"/>
    <tableColumn id="19" xr3:uid="{7DAF9D5B-9F49-4B01-A589-A650D6343B68}" name="IPB 2.0 Size L"/>
    <tableColumn id="20" xr3:uid="{62B72B57-A7DC-4695-B6B3-CDD28CC5490C}" name="DPB Size M"/>
    <tableColumn id="10" xr3:uid="{C9BC512E-12CB-4569-982E-1D8FCE5BB973}" name="DPB"/>
    <tableColumn id="21" xr3:uid="{48F7D484-A0EC-40F0-ADA0-4E930E4B2AF0}" name="Competitor"/>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6AA31810-616A-4DFD-BCB5-1E0B7BE3F6A2}" name="tab_cdd_damper" displayName="tab_cdd_damper" ref="A155:AC158" totalsRowShown="0" headerRowBorderDxfId="198" tableBorderDxfId="197">
  <autoFilter ref="A155:AC158" xr:uid="{00000000-0009-0000-0100-000004000000}"/>
  <tableColumns count="29">
    <tableColumn id="1" xr3:uid="{6508B97B-1D7E-42BD-AC90-674767D5C83F}" name="ESP9.3CB - ESP Standard"/>
    <tableColumn id="2" xr3:uid="{50C56059-6A3B-46CD-BF4F-CC02C7E4035F}" name="ESP9.3CP - ESP Standard"/>
    <tableColumn id="3" xr3:uid="{773525C5-D597-48B0-B6FF-8B04648515D8}" name="ESP9UHDS - ESP Standard"/>
    <tableColumn id="4" xr3:uid="{2BCB1534-5629-4541-8D36-23C9884ABB05}" name="ESP9.3HP - ESP hevX"/>
    <tableColumn id="5" xr3:uid="{7E887E1B-EB72-4E80-B52F-EDA9FC47B8BE}" name="ESP9.3HU - ESP hevII"/>
    <tableColumn id="6" xr3:uid="{330E16A8-BD60-429A-8CAF-CFF148E304A8}" name="ESP9UHDH - ESP hevX"/>
    <tableColumn id="7" xr3:uid="{5536446C-5E01-47B0-915D-44D0232F050C}" name="ESP9.3TE - ESP Standard for light trucks"/>
    <tableColumn id="8" xr3:uid="{F0545D14-2012-4C6F-97E1-16191C1C267A}" name="ESP9.3TA - ESP Standard for medium heavy trucks"/>
    <tableColumn id="10" xr3:uid="{987A2B05-212B-43D7-8177-4FFE9375FE97}" name="ESP10CB - ESP Standard"/>
    <tableColumn id="12" xr3:uid="{E864D054-38EC-4441-89E6-32169FA22EB5}" name="ESP10HB - ESP hevX"/>
    <tableColumn id="13" xr3:uid="{52A3A126-A6FB-4CB6-BCBF-335E87CF6CF2}" name="ESP10CE - ESP Standard"/>
    <tableColumn id="14" xr3:uid="{9FF64C18-3AE0-42A2-B76D-1479B3907771}" name="ESP10HE - ESP hevX"/>
    <tableColumn id="15" xr3:uid="{F6BC0E87-2590-4CCF-A189-A06388EA3849}" name="ESP10CL - ESP Standard"/>
    <tableColumn id="16" xr3:uid="{F010B2EB-E48F-430B-9DFC-7B6E71A153CB}" name="ESP10CP - ESP Standard"/>
    <tableColumn id="17" xr3:uid="{2960FAF0-B1D9-4954-834E-DEDEDFC5CB24}" name="ESP10HP - ESP hevX"/>
    <tableColumn id="18" xr3:uid="{E7F59C32-0E36-41E5-9A63-F99B5F9DEEC6}" name="ESP10CU - ESP Standard"/>
    <tableColumn id="9" xr3:uid="{D9157EB5-5EF3-44DD-B45C-6B4F74EDC6F4}" name="ESP10HU - ESP hevX"/>
    <tableColumn id="29" xr3:uid="{FD686DC7-9841-498C-AE4A-8A55D80A8D96}" name="ESP10TE - ESP Standard for trucks" dataDxfId="196"/>
    <tableColumn id="28" xr3:uid="{59CFAD6B-1163-4F26-8E4C-5607028EB0E2}" name="ESP10TP - ESP Standard for trucks" dataDxfId="195"/>
    <tableColumn id="19" xr3:uid="{CFD3106A-ABC3-4FB3-B1C6-9680C2D8210D}" name="ESP10TU - ESP Standard for trucks" dataDxfId="194"/>
    <tableColumn id="20" xr3:uid="{406CC05C-AF79-4DF7-BFEC-E16694B85025}" name="IPB 1.0 Size Se"/>
    <tableColumn id="11" xr3:uid="{5634BBC5-7065-4151-988D-9078A370E7F8}" name="IPB 1.1 Size Sd"/>
    <tableColumn id="21" xr3:uid="{D1D9DD15-915F-4769-8DD5-D3F51FB3D955}" name="IPB 1.1 Size Se"/>
    <tableColumn id="22" xr3:uid="{DC71AA7D-10E7-48D3-A76A-BBD8C420A63C}" name="IPB 2.0 Size S"/>
    <tableColumn id="23" xr3:uid="{6CE3E8FF-CCDF-4DD6-99C8-4FB1AFA5EFD3}" name="IPB 2.0 Size M"/>
    <tableColumn id="24" xr3:uid="{56AAC9C9-134C-4CAA-B8BF-280BF8218A7D}" name="IPB 2.0 Size L"/>
    <tableColumn id="25" xr3:uid="{56DCF8CB-C4BD-4B66-B555-D49276A850BF}" name="DPB Size M"/>
    <tableColumn id="26" xr3:uid="{C1DD40CE-9394-461D-8306-285CFEA1A765}" name="DPB Size L"/>
    <tableColumn id="27" xr3:uid="{6904A493-87D7-49C9-964D-C7777B8AEF83}" name="Competitor"/>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5CCC0B22-D6C5-4387-A936-AC44F7312F42}" name="tab_low_pressure_accumulator_1" displayName="tab_low_pressure_accumulator_1" ref="A263:AC268" totalsRowShown="0" headerRowBorderDxfId="193" tableBorderDxfId="192">
  <autoFilter ref="A263:AC268" xr:uid="{00000000-0009-0000-0100-000007000000}"/>
  <tableColumns count="29">
    <tableColumn id="1" xr3:uid="{949613C9-81FE-4D4D-B572-175988E86EBB}" name="ESP9.3CB - ESP Standard"/>
    <tableColumn id="2" xr3:uid="{6F08BC64-C537-47C2-B4F1-399DED82204D}" name="ESP9.3CP - ESP Standard"/>
    <tableColumn id="3" xr3:uid="{37A8B109-7008-4E87-9194-B59312D43A91}" name="ESP9UHDS - ESP Standard"/>
    <tableColumn id="4" xr3:uid="{6E62E61C-8F94-4344-B39B-D1B0BF6FF64C}" name="ESP9.3HP - ESP hevX"/>
    <tableColumn id="5" xr3:uid="{F3E13657-9DDD-4B45-A2AA-CA8FB60506CE}" name="ESP9.3HU - ESP hevII"/>
    <tableColumn id="6" xr3:uid="{817EDD4D-14AA-4AAF-B09B-BB364F04CD51}" name="ESP9UHDH - ESP hevX"/>
    <tableColumn id="7" xr3:uid="{7F7B5B4B-923F-4E69-83F6-8344A23842D3}" name="ESP9.3TE - ESP Standard for light trucks"/>
    <tableColumn id="8" xr3:uid="{96B0CE03-8F6E-4476-8829-09EE0FA1B8A9}" name="ESP9.3TA - ESP Standard for medium heavy trucks"/>
    <tableColumn id="11" xr3:uid="{55D1522E-8D05-4F32-8998-6EE30B6F024C}" name="ESP10CB - ESP Standard"/>
    <tableColumn id="12" xr3:uid="{1AB6EF3B-9C98-4EB8-9F6A-2B08A0D87C1A}" name="ESP10HB - ESP hevX"/>
    <tableColumn id="13" xr3:uid="{62125FC0-9B34-4F6F-A16C-4A3426973E73}" name="ESP10CE - ESP Standard"/>
    <tableColumn id="14" xr3:uid="{7C7775EE-D7AF-40A4-B48E-575547406C10}" name="ESP10HE - ESP hevX"/>
    <tableColumn id="15" xr3:uid="{F9EB1CE4-12FF-4783-AD08-0AF16FAEF95B}" name="ESP10CL - ESP Standard"/>
    <tableColumn id="16" xr3:uid="{5D463595-0820-4FC3-9645-6883BBB340DA}" name="ESP10CP - ESP Standard"/>
    <tableColumn id="17" xr3:uid="{8758D72F-E804-42D2-9ED7-DEB287241E9F}" name="ESP10HP - ESP hevX"/>
    <tableColumn id="18" xr3:uid="{3C71BE16-C599-40D7-B674-08975F5A9292}" name="ESP10CU - ESP Standard"/>
    <tableColumn id="9" xr3:uid="{15743CA3-C83B-4F78-914E-6E542158CECB}" name="ESP10HU - ESP hevX"/>
    <tableColumn id="29" xr3:uid="{E2964E38-2505-4292-8C75-EB9709F25FFE}" name="ESP10TE - ESP Standard for trucks" dataDxfId="191"/>
    <tableColumn id="28" xr3:uid="{D4B06113-7DFC-4A90-BADF-0AA3233A808A}" name="ESP10TP - ESP Standard for trucks" dataDxfId="190"/>
    <tableColumn id="19" xr3:uid="{50C400AE-8EC9-4077-B106-72E5F3A000F9}" name="ESP10TU - ESP Standard for trucks" dataDxfId="189"/>
    <tableColumn id="20" xr3:uid="{8E21D5C2-F0CB-4FF9-AB5A-DC6F1232CC49}" name="IPB 1.0 Size Se"/>
    <tableColumn id="10" xr3:uid="{56BFDDE4-FDE2-46EA-88BF-04AC18E3539D}" name="IPB 1.1 Size Sd"/>
    <tableColumn id="21" xr3:uid="{32E3C33B-7E3D-424C-AE82-53B7CD6E0812}" name="IPB 1.1 Size Se"/>
    <tableColumn id="22" xr3:uid="{15E7EBA7-049A-43C3-9733-6C08467246DE}" name="IPB 2.0 Size S"/>
    <tableColumn id="23" xr3:uid="{ADA76A33-0FE0-471E-BA9C-9D77D1CA680A}" name="IPB 2.0 Size M"/>
    <tableColumn id="24" xr3:uid="{434FC921-84EC-4B77-BC9D-F93087A64153}" name="IPB 2.0 Size L"/>
    <tableColumn id="25" xr3:uid="{393220E2-9CF6-424B-967C-4A43AFF6D45E}" name="DPB Size M"/>
    <tableColumn id="26" xr3:uid="{68BE7994-C979-4078-8C3E-28D87F9FD402}" name="DPB Size L"/>
    <tableColumn id="27" xr3:uid="{3E79350E-F1A6-4F20-A05B-5DD4955DFDEF}" name="Competitor"/>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120338F8-7ED7-4AE8-8C93-B301CA62D2EB}" name="tab_low_pressure_accumulator_2" displayName="tab_low_pressure_accumulator_2" ref="A272:AC277" totalsRowShown="0" headerRowBorderDxfId="188" tableBorderDxfId="187">
  <autoFilter ref="A272:AC277" xr:uid="{00000000-0009-0000-0100-00000A000000}"/>
  <tableColumns count="29">
    <tableColumn id="1" xr3:uid="{5A50D29D-EFA1-42B0-BA6A-E1CA30766D18}" name="ESP9.3CB - ESP Standard"/>
    <tableColumn id="2" xr3:uid="{9081591D-4BE2-40DB-9CAB-DC5A526C3510}" name="ESP9.3CP - ESP Standard"/>
    <tableColumn id="3" xr3:uid="{EC410556-CC03-4FE9-91F6-BBDB7F80B437}" name="ESP9UHDS - ESP Standard"/>
    <tableColumn id="4" xr3:uid="{355CC232-06C6-425C-A4A2-D3D07F14CE3E}" name="ESP9.3HP - ESP hevX"/>
    <tableColumn id="5" xr3:uid="{E20D1727-728F-41C4-8313-3B96CC633891}" name="ESP9.3HU - ESP hevII"/>
    <tableColumn id="6" xr3:uid="{602A6E6F-5AA8-47EA-885B-CB0C35E52289}" name="ESP9UHDH - ESP hevX"/>
    <tableColumn id="7" xr3:uid="{67837DD8-8D97-40BD-9411-30646461ACAE}" name="ESP9.3TE - ESP Standard for light trucks"/>
    <tableColumn id="8" xr3:uid="{7D56BB43-0725-4599-8FAF-C8122F26DAD9}" name="ESP9.3TA - ESP Standard for medium heavy trucks"/>
    <tableColumn id="11" xr3:uid="{AF86636B-01F1-4E52-8243-94A07F406E0C}" name="ESP10CB - ESP Standard"/>
    <tableColumn id="12" xr3:uid="{F40DB94A-06CE-4F96-B8F6-29A87653207B}" name="ESP10HB - ESP hevX"/>
    <tableColumn id="13" xr3:uid="{C4AF65F0-9140-4DF4-AE17-91FF39FE90C1}" name="ESP10CE - ESP Standard"/>
    <tableColumn id="14" xr3:uid="{33DE4BDD-709D-4FF8-91BE-EC5C53418510}" name="ESP10HE - ESP hevX"/>
    <tableColumn id="15" xr3:uid="{8FB5B20A-063A-4F4D-A09E-D1D71B69B034}" name="ESP10CL - ESP Standard"/>
    <tableColumn id="16" xr3:uid="{A9BF60D2-49E1-44F7-8CD3-564AC99DD373}" name="ESP10CP - ESP Standard"/>
    <tableColumn id="17" xr3:uid="{E3C60072-6B96-49F2-A27A-82F68A514FC3}" name="ESP10HP - ESP hevX"/>
    <tableColumn id="18" xr3:uid="{A1AA7391-1014-4062-A277-8A756BBE5D39}" name="ESP10CU - ESP Standard"/>
    <tableColumn id="9" xr3:uid="{7CD08AA0-7FDA-4530-ABD3-DE756F620296}" name="ESP10HU - ESP hevX"/>
    <tableColumn id="29" xr3:uid="{B63BF965-7A66-44D4-903F-3F3C54C0181C}" name="ESP10TE - ESP Standard for trucks" dataDxfId="186"/>
    <tableColumn id="28" xr3:uid="{D9073C04-F336-4400-908D-F5A9082CA483}" name="ESP10TP - ESP Standard for trucks" dataDxfId="185"/>
    <tableColumn id="19" xr3:uid="{89E906AC-8BAA-4E38-B1F8-A421DDBF8AC7}" name="ESP10TU - ESP Standard for trucks" dataDxfId="184"/>
    <tableColumn id="20" xr3:uid="{6FC5DAAD-E46F-46F0-8441-7F0EFA285B19}" name="IPB 1.0 Size Se"/>
    <tableColumn id="10" xr3:uid="{EA46F151-09DD-4C27-B5AA-99FD2AE00CF8}" name="IPB 1.1 Size Sd"/>
    <tableColumn id="21" xr3:uid="{27576EAD-5B70-4A9B-BBAB-9C108DC65D13}" name="IPB 1.1 Size Se"/>
    <tableColumn id="22" xr3:uid="{1F627D2D-2E51-48AC-A240-36977E8FA5FA}" name="IPB 2.0 Size S"/>
    <tableColumn id="23" xr3:uid="{977C05C3-AA7B-4C49-943B-B6CD24577F1E}" name="IPB 2.0 Size M"/>
    <tableColumn id="24" xr3:uid="{19618755-40A2-4D2C-8B4F-59B42A6FDD58}" name="IPB 2.0 Size L"/>
    <tableColumn id="25" xr3:uid="{2BB765E6-097F-4601-9B23-11F4D4873CC0}" name="DPB Size M"/>
    <tableColumn id="26" xr3:uid="{2813D567-F33A-4BB6-93BD-B540608D4894}" name="DPB Size L"/>
    <tableColumn id="27" xr3:uid="{1E585BF2-B327-48CD-8831-63FB57B5E20E}" name="Competitor"/>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FE1C7612-5388-488A-8203-907F972A8E54}" name="tab_location_generator" displayName="tab_location_generator" ref="A309:AC314" totalsRowShown="0" headerRowBorderDxfId="183" tableBorderDxfId="182">
  <autoFilter ref="A309:AC314" xr:uid="{00000000-0009-0000-0100-00000B000000}"/>
  <tableColumns count="29">
    <tableColumn id="1" xr3:uid="{E24947BE-EE86-46B2-AA50-D789E5D6A17A}" name="ESP9.3CB - ESP Standard"/>
    <tableColumn id="2" xr3:uid="{DBE72DC7-FCE5-47CD-BA0A-ED49F7C744FB}" name="ESP9.3CP - ESP Standard"/>
    <tableColumn id="3" xr3:uid="{A93C3EC3-0E01-4BA3-99D4-09B3E8633307}" name="ESP9UHDS - ESP Standard"/>
    <tableColumn id="4" xr3:uid="{B7ADD357-6D85-4327-9FDD-600E321E4788}" name="ESP9.3HP - ESP hevX"/>
    <tableColumn id="5" xr3:uid="{765CD4CB-C23E-4699-A79C-2168C5A5EE11}" name="ESP9.3HU - ESP hevII"/>
    <tableColumn id="6" xr3:uid="{5CCF2DF5-9BF8-4F56-AA09-6D32F0C8DA34}" name="ESP9UHDH - ESP hevX"/>
    <tableColumn id="7" xr3:uid="{897C50C0-65CE-4C49-9063-0201ECD623AE}" name="ESP9.3TE - ESP Standard for light trucks"/>
    <tableColumn id="8" xr3:uid="{A3E6549B-86BC-4B67-89DC-51F1F4E5D15C}" name="ESP9.3TA - ESP Standard for medium heavy trucks"/>
    <tableColumn id="11" xr3:uid="{1B2EC92F-3B7F-4FC8-A024-0D78A77E95F7}" name="ESP10CB - ESP Standard"/>
    <tableColumn id="12" xr3:uid="{94E9803C-E104-4134-A086-3E771EECAAF8}" name="ESP10HB - ESP hevX"/>
    <tableColumn id="13" xr3:uid="{FD947BF8-D6E1-4CDB-B574-495EBEBCC515}" name="ESP10CE - ESP Standard"/>
    <tableColumn id="14" xr3:uid="{7BBF5FE2-6E3C-42B1-9B4D-02BD82D10A33}" name="ESP10HE - ESP hevX"/>
    <tableColumn id="15" xr3:uid="{92B07FEB-6012-40EE-997A-07C5E8D8C8FA}" name="ESP10CL - ESP Standard"/>
    <tableColumn id="16" xr3:uid="{E6EBB9FA-5F71-48EC-A76F-C2EECE9184E3}" name="ESP10CP - ESP Standard"/>
    <tableColumn id="17" xr3:uid="{63996441-1384-44CC-A7B6-40E7BE5BB89D}" name="ESP10HP - ESP hevX"/>
    <tableColumn id="18" xr3:uid="{1B99B128-2129-4859-AB1F-8DBACCF42C9A}" name="ESP10CU - ESP Standard"/>
    <tableColumn id="20" xr3:uid="{32947BCD-DEE9-42AD-A1A0-F00B54FFCE54}" name="ESP10HU - ESP hevX"/>
    <tableColumn id="29" xr3:uid="{AA19190E-224F-4E27-8CF7-926D97F1DD26}" name="ESP10TE - ESP Standard for trucks" dataDxfId="181"/>
    <tableColumn id="28" xr3:uid="{2F017E40-75BF-4839-A1B3-924017CAA5B8}" name="ESP10TP - ESP Standard for trucks" dataDxfId="180"/>
    <tableColumn id="19" xr3:uid="{2912C478-A572-492F-8B45-A397464643F9}" name="ESP10TU - ESP Standard for trucks" dataDxfId="179"/>
    <tableColumn id="9" xr3:uid="{FF107392-75C8-4968-8A48-37169B3E3DD7}" name="IPB 1.0 Size Se"/>
    <tableColumn id="10" xr3:uid="{AFD013B6-57BF-41E8-A906-54D6160B8132}" name="IPB 1.1 Size Sd"/>
    <tableColumn id="21" xr3:uid="{ED3D08E1-BD76-498A-8DFB-9F130965D8D9}" name="IPB 1.1 Size Se"/>
    <tableColumn id="22" xr3:uid="{8A805BC5-F302-4383-83E5-748C661028CB}" name="IPB 2.0 Size S"/>
    <tableColumn id="23" xr3:uid="{8F688565-4613-42E8-A560-85E5D726954D}" name="IPB 2.0 Size M"/>
    <tableColumn id="24" xr3:uid="{29377487-1137-40A1-B17C-40E0CFB07AC3}" name="IPB 2.0 Size L"/>
    <tableColumn id="25" xr3:uid="{030714EC-33BB-40AD-8D11-21ECBE6D5C80}" name="DPB Size M"/>
    <tableColumn id="26" xr3:uid="{381C0307-60AD-40E0-BF95-EBEE9B671D28}" name="DPB Size L"/>
    <tableColumn id="27" xr3:uid="{0D55A5B7-6057-4FBF-95B2-50F04CD93A42}" name="Competitor"/>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54B1CF7D-3B09-49A0-BA49-B47AB4255C0A}" name="tab_low_drag_caliper_front_axle" displayName="tab_low_drag_caliper_front_axle" ref="A245:AC247" totalsRowShown="0" tableBorderDxfId="178">
  <autoFilter ref="A245:AC247" xr:uid="{00000000-0009-0000-0100-000009000000}"/>
  <tableColumns count="29">
    <tableColumn id="1" xr3:uid="{88A6F63E-3DA4-4C72-9ACF-781900122799}" name="ESP9.3CB - ESP Standard"/>
    <tableColumn id="2" xr3:uid="{7800B435-53A3-4D08-AA89-C836C8F0B4F8}" name="ESP9.3CP - ESP Standard"/>
    <tableColumn id="3" xr3:uid="{FFE9C79E-B0B4-4348-8D4B-B811B50983A2}" name="ESP9UHDS - ESP Standard"/>
    <tableColumn id="4" xr3:uid="{BBCA0A41-73A5-4AC0-B475-DD377EBB26F3}" name="ESP9.3HP - ESP hevX"/>
    <tableColumn id="5" xr3:uid="{7E3AD52E-E77C-4CC5-AC70-E998DBD14543}" name="ESP9.3HU - ESP hevII"/>
    <tableColumn id="6" xr3:uid="{5E156C52-73B6-4108-8D7F-4547554BA45A}" name="ESP9UHDH - ESP hevX"/>
    <tableColumn id="7" xr3:uid="{29D807B1-1C09-4448-AC66-5AF2C81AC074}" name="ESP9.3TE - ESP Standard for light trucks"/>
    <tableColumn id="8" xr3:uid="{B6A0D021-0302-410A-BE63-D8EBE8BF1B27}" name="ESP9.3TA - ESP Standard for medium heavy trucks"/>
    <tableColumn id="11" xr3:uid="{B47E6453-9A3B-454F-BE05-C2E2D7931039}" name="ESP10CB - ESP Standard"/>
    <tableColumn id="12" xr3:uid="{8050FD72-D12C-417C-9900-7631FDACC8E6}" name="ESP10HB - ESP hevX"/>
    <tableColumn id="13" xr3:uid="{5A74E145-8CD2-46CF-82F5-6A81BCB8B23A}" name="ESP10CE - ESP Standard"/>
    <tableColumn id="14" xr3:uid="{BB51C75B-8A2F-4DAD-8E45-4175E9909D30}" name="ESP10HE - ESP hevX"/>
    <tableColumn id="15" xr3:uid="{D75C9EA4-922F-489D-AD9F-2C83C3033F66}" name="ESP10CL - ESP Standard"/>
    <tableColumn id="16" xr3:uid="{FC0246BD-E6F0-4768-81E8-55B14123A1A7}" name="ESP10CP - ESP Standard"/>
    <tableColumn id="17" xr3:uid="{6CDC191B-6C15-4DE0-A8B9-AD8A4CF8B84C}" name="ESP10HP - ESP hevX"/>
    <tableColumn id="18" xr3:uid="{367DDDC8-71D1-4C2E-91C7-DF81F37E3782}" name="ESP10CU - ESP Standard"/>
    <tableColumn id="20" xr3:uid="{0E8D22A1-0AA1-42D0-85C7-6A1A0B743840}" name="ESP10HU - ESP hevX"/>
    <tableColumn id="29" xr3:uid="{B660314C-0365-4714-ADB4-A1906B275D8B}" name="ESP10TE - ESP Standard for trucks" dataDxfId="177"/>
    <tableColumn id="28" xr3:uid="{BF774CBF-D4ED-4CFE-8665-4BC3B8E30639}" name="ESP10TP - ESP Standard for trucks" dataDxfId="176"/>
    <tableColumn id="19" xr3:uid="{4D75E471-CF7C-488C-9C02-5F71CF77DD62}" name="ESP10TU - ESP Standard for trucks" dataDxfId="175"/>
    <tableColumn id="9" xr3:uid="{67A4D6D8-BD56-4432-8FF8-D78788E27C6B}" name="IPB 1.0 Size Se"/>
    <tableColumn id="10" xr3:uid="{C949AA6E-C8FD-4D9C-8600-5677BC2B8A0C}" name="IPB 1.1 Size Sd"/>
    <tableColumn id="21" xr3:uid="{0266D968-759E-4F43-9E9F-2A3028F8D758}" name="IPB 1.1 Size Se"/>
    <tableColumn id="22" xr3:uid="{542B7992-9C56-4594-BA91-F03025830131}" name="IPB 2.0 Size S"/>
    <tableColumn id="23" xr3:uid="{19C78F9D-9C4B-4A97-B6F0-B2EDBC79AE09}" name="IPB 2.0 Size M"/>
    <tableColumn id="24" xr3:uid="{0FD13D8C-23F9-407B-8D14-80DE81E80697}" name="IPB 2.0 Size L"/>
    <tableColumn id="25" xr3:uid="{23FA1DFE-EF9C-49CF-8B2D-1E8246DCB2CD}" name="DPB Size M"/>
    <tableColumn id="26" xr3:uid="{51A95D26-B517-4E8E-AB46-3B7D3092BC15}" name="DPB Size L"/>
    <tableColumn id="27" xr3:uid="{B46BA6F1-0BEE-4700-999E-57F6EA986116}" name="Competitor"/>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ECB619FA-5CAB-45C5-926E-79AD1D1CD5F2}" name="tab_low_drag_caliper_rear_axle" displayName="tab_low_drag_caliper_rear_axle" ref="A251:AC253" totalsRowShown="0" tableBorderDxfId="174">
  <autoFilter ref="A251:AC253" xr:uid="{00000000-0009-0000-0100-00000F000000}"/>
  <tableColumns count="29">
    <tableColumn id="1" xr3:uid="{DE6ECF17-385F-4C65-9A86-AA8878384E67}" name="ESP9.3CB - ESP Standard"/>
    <tableColumn id="2" xr3:uid="{FBB8F3FA-B00F-4928-9A36-FB3D21E2AFF2}" name="ESP9.3CP - ESP Standard"/>
    <tableColumn id="3" xr3:uid="{5252E65B-619C-4204-A72B-738A49776531}" name="ESP9UHDS - ESP Standard"/>
    <tableColumn id="4" xr3:uid="{04CAF186-4603-418E-8BDC-F3B0EF3FEBE4}" name="ESP9.3HP - ESP hevX"/>
    <tableColumn id="5" xr3:uid="{543BD256-AFC6-42F0-81F3-4D1EDF7A4A49}" name="ESP9.3HU - ESP hevII"/>
    <tableColumn id="6" xr3:uid="{5182298F-52BF-4BF7-8BE4-5BE9819F6243}" name="ESP9UHDH - ESP hevX"/>
    <tableColumn id="7" xr3:uid="{EDBD28B7-165B-44B7-AF40-34BC83766198}" name="ESP9.3TE - ESP Standard for light trucks"/>
    <tableColumn id="8" xr3:uid="{0602075C-7D90-41F0-8D5D-79200140D426}" name="ESP9.3TA - ESP Standard for medium heavy trucks"/>
    <tableColumn id="11" xr3:uid="{B33A453C-93D8-4D7D-A879-5F545125E059}" name="ESP10CB - ESP Standard"/>
    <tableColumn id="12" xr3:uid="{C767355B-707C-49C9-9530-F908680CDA02}" name="ESP10HB - ESP hevX"/>
    <tableColumn id="13" xr3:uid="{37AC9667-0401-45C5-8C8E-83A452A7083B}" name="ESP10CE - ESP Standard"/>
    <tableColumn id="14" xr3:uid="{86FEF943-66F8-40E8-A5E0-068B9FB9127A}" name="ESP10HE - ESP hevX"/>
    <tableColumn id="15" xr3:uid="{2C106985-2609-490C-B483-59542163B26A}" name="ESP10CL - ESP Standard"/>
    <tableColumn id="16" xr3:uid="{95A8D00A-1A42-4F5D-AEA2-06B05B1B6694}" name="ESP10CP - ESP Standard"/>
    <tableColumn id="17" xr3:uid="{1F95BB1D-C798-4630-9EE5-611BD2D45E84}" name="ESP10HP - ESP hevX"/>
    <tableColumn id="18" xr3:uid="{6478C2D7-B101-4CFA-A7A5-7936A2A799C7}" name="ESP10CU - ESP Standard"/>
    <tableColumn id="9" xr3:uid="{00149FFC-EED8-4B7C-ABEB-7FB4594FA5A8}" name="ESP10HU - ESP hevX"/>
    <tableColumn id="29" xr3:uid="{91D15656-33DB-4EE1-8678-8D10BADD080C}" name="ESP10TE - ESP Standard for trucks" dataDxfId="173"/>
    <tableColumn id="28" xr3:uid="{FA04D12D-27A9-4D05-9DF0-56E52E704BE5}" name="ESP10TP - ESP Standard for trucks" dataDxfId="172"/>
    <tableColumn id="19" xr3:uid="{A0A93D0F-42BD-4835-B577-92D7E243CB14}" name="ESP10TU - ESP Standard for trucks" dataDxfId="171"/>
    <tableColumn id="20" xr3:uid="{EF8811E3-FE92-459D-BFAA-4782100829A0}" name="IPB 1.0 Size Se"/>
    <tableColumn id="10" xr3:uid="{11D2FAC3-4AA4-4F84-A163-54C6C141547C}" name="IPB 1.1 Size Sd"/>
    <tableColumn id="21" xr3:uid="{1B376E6E-D401-43E9-8DD5-5071CF016356}" name="IPB 1.1 Size Se"/>
    <tableColumn id="22" xr3:uid="{F020C2A8-901E-41B4-B2D5-8B48C43E1383}" name="IPB 2.0 Size S"/>
    <tableColumn id="23" xr3:uid="{93C250DB-ED0B-41B7-BFBB-D32A499ADD9D}" name="IPB 2.0 Size M"/>
    <tableColumn id="24" xr3:uid="{152CA0F2-4F9E-42A5-9CD9-8EB32D3AA9B1}" name="IPB 2.0 Size L"/>
    <tableColumn id="25" xr3:uid="{24E08FDA-F015-4FE6-88C0-EE851D63EE67}" name="DPB Size M"/>
    <tableColumn id="26" xr3:uid="{1268B40D-5C1D-46B4-819A-EB3164308B92}" name="DPB Size L"/>
    <tableColumn id="27" xr3:uid="{2C9A1A96-7907-4A77-92B2-4A9F9FBC5B86}" name="Competitor"/>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B22BECC5-8F74-4B6D-A440-851A30D761FC}" name="tab_brakecircuit" displayName="tab_brakecircuit" ref="E5:E8" totalsRowShown="0" headerRowDxfId="170">
  <autoFilter ref="E5:E8" xr:uid="{00000000-0009-0000-0100-000010000000}"/>
  <tableColumns count="1">
    <tableColumn id="1" xr3:uid="{8E5A7C9F-81A7-4331-8940-627843EA415F}" name="Brakecircuit Split"/>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F7F48F5A-1B1D-4E33-BC72-C90443F0614B}" name="tab_engine_types" displayName="tab_engine_types" ref="F5:F9" totalsRowShown="0" headerRowDxfId="169">
  <autoFilter ref="F5:F9" xr:uid="{00000000-0009-0000-0100-000013000000}"/>
  <tableColumns count="1">
    <tableColumn id="1" xr3:uid="{8FDAFEDB-2D10-404F-AF65-9EA81DAF39ED}" name="Engine Types"/>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3DD6633B-E7F6-40C0-9FB5-97CFB679EDAE}" name="tab_HAD" displayName="tab_HAD" ref="A75:AC77" totalsRowShown="0" tableBorderDxfId="168">
  <autoFilter ref="A75:AC77" xr:uid="{00000000-0009-0000-0100-000011000000}"/>
  <tableColumns count="29">
    <tableColumn id="1" xr3:uid="{C894291E-6189-4935-B361-BF31E2038624}" name="ESP9.3CB - ESP Standard"/>
    <tableColumn id="2" xr3:uid="{30ED8765-1CBA-400B-B7C9-E8FC94A279A3}" name="ESP9.3CP - ESP Standard"/>
    <tableColumn id="3" xr3:uid="{4A870A4E-EEFA-43BD-B684-AA0D43F2DB4A}" name="ESP9UHDS - ESP Standard"/>
    <tableColumn id="4" xr3:uid="{C430A409-2A36-43E2-B19C-647318BF470A}" name="ESP9.3HP - ESP hevX"/>
    <tableColumn id="5" xr3:uid="{0750CC1B-6CA5-4A77-B55E-31349DBC0AF6}" name="ESP9.3HU - ESP hevII"/>
    <tableColumn id="6" xr3:uid="{EFB498C5-82EA-4A0A-BD9C-48BD23D26554}" name="ESP9UHDH - ESP hevX"/>
    <tableColumn id="7" xr3:uid="{04E1745B-7E3F-461F-B455-2E11968BB273}" name="ESP9.3TE - ESP Standard for light trucks"/>
    <tableColumn id="8" xr3:uid="{94710796-F3EB-4298-AA53-25246D0CFC65}" name="ESP9.3TA - ESP Standard for medium heavy trucks"/>
    <tableColumn id="11" xr3:uid="{2485B354-2999-4D3D-A4A6-4EC543B37CBD}" name="ESP10CB - ESP Standard"/>
    <tableColumn id="12" xr3:uid="{B6B38460-DB44-4565-A04D-2EAE66033B3F}" name="ESP10HB - ESP hevX"/>
    <tableColumn id="13" xr3:uid="{24342CD4-925D-4015-B8E0-5531E9183DEB}" name="ESP10CE - ESP Standard"/>
    <tableColumn id="14" xr3:uid="{64EC594B-5BF6-483A-99AE-A9F323E8A492}" name="ESP10HE - ESP hevX"/>
    <tableColumn id="15" xr3:uid="{CF6CC8AB-34D9-4986-AC4E-1DFF388102E8}" name="ESP10CL - ESP Standard"/>
    <tableColumn id="16" xr3:uid="{23182BD9-8F5F-45F9-A3E0-AB31DF22CC33}" name="ESP10CP - ESP Standard"/>
    <tableColumn id="17" xr3:uid="{C1AE02F6-AD6A-4634-8F1D-8385681BC016}" name="ESP10HP - ESP hevX"/>
    <tableColumn id="18" xr3:uid="{D26518E0-2FA3-4B71-859B-C76617795BDF}" name="ESP10CU - ESP Standard"/>
    <tableColumn id="9" xr3:uid="{053E99E6-66AA-4217-B28B-CFCD2FF37BB5}" name="ESP10HU - ESP hevX"/>
    <tableColumn id="29" xr3:uid="{941ED1B7-53CE-45BE-9587-F65DE6C74324}" name="ESP10TE - ESP Standard for trucks" dataDxfId="167"/>
    <tableColumn id="28" xr3:uid="{1748F553-9E01-49AB-9EC9-7B5925D7D17C}" name="ESP10TP - ESP Standard for trucks" dataDxfId="166"/>
    <tableColumn id="20" xr3:uid="{E0FBA393-EA50-4623-B17B-05819058800C}" name="ESP10TU - ESP Standard for trucks" dataDxfId="165"/>
    <tableColumn id="19" xr3:uid="{53506F9A-DEF9-4549-B416-261ADF70475B}" name="IPB 1.0 Size Se"/>
    <tableColumn id="10" xr3:uid="{CF450E33-5F93-4D1B-8F7D-97397BA5270B}" name="IPB 1.1 Size Sd"/>
    <tableColumn id="21" xr3:uid="{3AD62D2A-3359-41F7-A4B5-60D2339E6CC7}" name="IPB 1.1 Size Se"/>
    <tableColumn id="22" xr3:uid="{25AB7A23-A7F0-42F5-A8D6-DE0BE139D1C1}" name="IPB 2.0 Size S"/>
    <tableColumn id="23" xr3:uid="{03532782-276D-4C54-A104-C8B6A15B264B}" name="IPB 2.0 Size M"/>
    <tableColumn id="24" xr3:uid="{BD9FF9B5-C3AB-4C01-97D1-A927F5A4F0A5}" name="IPB 2.0 Size L"/>
    <tableColumn id="25" xr3:uid="{CF673445-8AB0-485B-9025-315E18691B59}" name="DPB Size M"/>
    <tableColumn id="26" xr3:uid="{A57ED59C-3F67-44B3-A6D8-2E0BF8F8E597}" name="DPB Size L"/>
    <tableColumn id="27" xr3:uid="{929CAD5E-15F1-40C0-9F2F-5C6ADD749444}" name="Competito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66E4EB8E-8498-4C36-A691-B692958FB17F}" name="tab_nom_spec_lim" displayName="tab_nom_spec_lim" ref="A257:AC259" totalsRowShown="0" headerRowBorderDxfId="164" tableBorderDxfId="163">
  <autoFilter ref="A257:AC259" xr:uid="{00000000-0009-0000-0100-000014000000}"/>
  <tableColumns count="29">
    <tableColumn id="1" xr3:uid="{D128E488-F305-4309-9836-C26C8A7B497C}" name="ESP9.3CB - ESP Standard"/>
    <tableColumn id="2" xr3:uid="{8942A312-0B84-4AF6-9E82-C6C44788A7E3}" name="ESP9.3CP - ESP Standard"/>
    <tableColumn id="3" xr3:uid="{BBCBA85D-BE13-4D5A-AF08-347E1F9F8008}" name="ESP9UHDS - ESP Standard"/>
    <tableColumn id="4" xr3:uid="{7A0E1FFC-4CE7-4113-8644-EC1BD73C33A5}" name="ESP9.3HP - ESP hevX"/>
    <tableColumn id="5" xr3:uid="{548F0D93-B006-4FDA-B8D0-68D1D1D20503}" name="ESP9.3HU - ESP hevII"/>
    <tableColumn id="6" xr3:uid="{28C22A20-7904-40C7-B9F8-8823CF9AC41E}" name="ESP9UHDH - ESP hevX"/>
    <tableColumn id="7" xr3:uid="{2D5C999A-0A9D-4F0D-B605-61A5245D0383}" name="ESP9.3TE - ESP Standard for light trucks"/>
    <tableColumn id="8" xr3:uid="{8E831B07-FAE2-4124-98E1-00501B7C091B}" name="ESP9.3TA - ESP Standard for medium heavy trucks"/>
    <tableColumn id="11" xr3:uid="{F24767B1-CE16-4F60-B705-AE32428151CF}" name="ESP10CB - ESP Standard"/>
    <tableColumn id="12" xr3:uid="{9551E8F7-CA6D-448D-A721-444675FF11B6}" name="ESP10HB - ESP hevX"/>
    <tableColumn id="13" xr3:uid="{924C8214-7EC3-427B-AD41-A557340DE099}" name="ESP10CE - ESP Standard"/>
    <tableColumn id="14" xr3:uid="{865BEB4D-54A4-4C38-98C7-68AC6756B5CA}" name="ESP10HE - ESP hevX"/>
    <tableColumn id="15" xr3:uid="{E13ED919-1D76-4958-9178-02642A70C8E4}" name="ESP10CL - ESP Standard"/>
    <tableColumn id="16" xr3:uid="{8031DA44-837E-40DF-8C5C-DB9FD34F6F5D}" name="ESP10CP - ESP Standard"/>
    <tableColumn id="17" xr3:uid="{00FBE031-5A6D-4224-88ED-927377A6221E}" name="ESP10HP - ESP hevX"/>
    <tableColumn id="18" xr3:uid="{1260724D-96C6-45C0-A34A-2C8BE9FD7D3F}" name="ESP10CU - ESP Standard"/>
    <tableColumn id="9" xr3:uid="{F12F5EB3-8A84-4D63-82DF-846CB9865737}" name="ESP10HU - ESP hevX"/>
    <tableColumn id="29" xr3:uid="{9453401D-3F01-4EF4-9B46-48E6BC823B68}" name="ESP10TE - ESP Standard for trucks" dataDxfId="162"/>
    <tableColumn id="28" xr3:uid="{58871B0F-F910-4EB2-9EB8-805EAAE393B7}" name="ESP10TP - ESP Standard for trucks" dataDxfId="161"/>
    <tableColumn id="19" xr3:uid="{04813F5C-9E55-41D3-8994-6A941BB8AE60}" name="ESP10TU - ESP Standard for trucks" dataDxfId="160"/>
    <tableColumn id="20" xr3:uid="{B0CB9092-B0B2-4CFE-8CDB-5053B283C1D4}" name="IPB 1.0 Size Se"/>
    <tableColumn id="10" xr3:uid="{CDEBFEA3-13E1-4469-9E76-1C10023BB2D5}" name="IPB 1.1 Size Sd"/>
    <tableColumn id="21" xr3:uid="{587568A3-A855-4B1E-BE19-BCBAF7F17A7E}" name="IPB 1.1 Size Se"/>
    <tableColumn id="22" xr3:uid="{177DEF98-7053-4BDB-8439-8355FE5C696A}" name="IPB 2.0 Size S"/>
    <tableColumn id="23" xr3:uid="{54DF2A98-4D99-4259-92C3-79ADE16B28AB}" name="IPB 2.0 Size M"/>
    <tableColumn id="24" xr3:uid="{BB4053D8-0823-4884-BA57-C34B43F10414}" name="IPB 2.0 Size L"/>
    <tableColumn id="25" xr3:uid="{C5CB22E0-BA51-4703-9C2F-33153EBF0943}" name="DPB Size M"/>
    <tableColumn id="26" xr3:uid="{8C7CFE95-DC37-46CB-9AAE-1D5432594A02}" name="DPB Size L"/>
    <tableColumn id="27" xr3:uid="{C0EE743E-8223-4985-8100-645A1F899196}" name="Competito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5DC40D48-CD52-4F6F-A6A2-C51745C96C0C}" name="tab_brakecircuit_split" displayName="tab_brakecircuit_split" ref="A57:AC59" totalsRowShown="0" tableBorderDxfId="159">
  <autoFilter ref="A57:AC59" xr:uid="{00000000-0009-0000-0100-000012000000}"/>
  <tableColumns count="29">
    <tableColumn id="1" xr3:uid="{F1192809-554D-4C27-8846-9B262D0FC1CD}" name="ESP9.3CB - ESP Standard"/>
    <tableColumn id="2" xr3:uid="{6CC30834-22DA-415D-9497-DF86412CD8B8}" name="ESP9.3CP - ESP Standard"/>
    <tableColumn id="3" xr3:uid="{0480B00C-6190-4599-955F-AC7FEEF1DABD}" name="ESP9UHDS - ESP Standard"/>
    <tableColumn id="4" xr3:uid="{AA0A6DAA-58A8-4180-9093-83FCBC2183EE}" name="ESP9.3HP - ESP hevX"/>
    <tableColumn id="5" xr3:uid="{63A1EF52-4484-4118-B632-BE73BFEDED71}" name="ESP9.3HU - ESP hevII"/>
    <tableColumn id="6" xr3:uid="{676BCE1A-DDB8-4BF5-8649-C6033D28A11A}" name="ESP9UHDH - ESP hevX"/>
    <tableColumn id="7" xr3:uid="{5B686A42-19B7-41D8-BBBC-E72ECDE275B1}" name="ESP9.3TE - ESP Standard for light trucks"/>
    <tableColumn id="8" xr3:uid="{D6A26525-6C16-4C2E-AE63-6619C680FDEF}" name="ESP9.3TA - ESP Standard for medium heavy trucks"/>
    <tableColumn id="9" xr3:uid="{D4D32617-F397-4D55-94C0-A0170E080FD3}" name="ESP10CB - ESP Standard"/>
    <tableColumn id="10" xr3:uid="{101AC127-1291-44FF-B564-69B94ADC5711}" name="ESP10HB - ESP hevX"/>
    <tableColumn id="11" xr3:uid="{C06B045E-8D2E-4273-AB7E-6994BB469A89}" name="ESP10CE - ESP Standard"/>
    <tableColumn id="12" xr3:uid="{2A642C80-5CD5-4CF7-ABDC-B8E450252982}" name="ESP10HE - ESP hevX"/>
    <tableColumn id="13" xr3:uid="{4126CCBA-AF10-4707-9CA2-2F5DCC8AC277}" name="ESP10CL - ESP Standard"/>
    <tableColumn id="14" xr3:uid="{BB36EC56-0EA0-4A4F-8B75-B246C1DF0934}" name="ESP10CP - ESP Standard"/>
    <tableColumn id="15" xr3:uid="{421C3702-3A20-40FB-A03A-0D7AC47FD53F}" name="ESP10HP - ESP hevX"/>
    <tableColumn id="16" xr3:uid="{B7E7F114-E367-4CBE-9F54-B1328C948FF0}" name="ESP10CU - ESP Standard"/>
    <tableColumn id="17" xr3:uid="{78B738C5-3776-4D52-A9EE-DDC66FD4754B}" name="ESP10HU - ESP hevX"/>
    <tableColumn id="29" xr3:uid="{FECCD264-44D9-4B19-B308-CF5DE0C75D3A}" name="ESP10TE - ESP Standard for trucks" dataDxfId="158"/>
    <tableColumn id="27" xr3:uid="{E4427765-02D2-4C31-9036-F15CA266A054}" name="ESP10TP - ESP Standard for trucks" dataDxfId="157"/>
    <tableColumn id="22" xr3:uid="{3C7E4FB9-34D4-48C1-A344-541C7AABFD33}" name="ESP10TU - ESP Standard for trucks" dataDxfId="156"/>
    <tableColumn id="26" xr3:uid="{A697C3BB-8FFE-4D9C-8908-BD13B8B17DAD}" name="IPB 1.0 Size Se"/>
    <tableColumn id="25" xr3:uid="{0DBA49E5-92A5-4A1B-9CE3-3134ABF6F2AD}" name="IPB 1.1 Size Sd"/>
    <tableColumn id="24" xr3:uid="{3BEB6CDD-468C-47A5-857F-DDF4E258AB89}" name="IPB 1.1 Size Se"/>
    <tableColumn id="19" xr3:uid="{1CC36F1E-7ED5-4AD1-86E1-A2E81719499E}" name="IPB 2.0 Size S"/>
    <tableColumn id="23" xr3:uid="{9D2E91EB-35D8-4F3B-8FAC-5508480D9755}" name="IPB 2.0 Size M"/>
    <tableColumn id="20" xr3:uid="{B0B7E7A3-828C-4901-B29A-734827A8934B}" name="IPB 2.0 Size L"/>
    <tableColumn id="28" xr3:uid="{76F35C6F-41CD-4C35-B34F-AB942EFD4AF3}" name="DPB Size M"/>
    <tableColumn id="18" xr3:uid="{9E39A392-C71D-4A3F-9DBF-741B1DD66CE2}" name="DPB Size L"/>
    <tableColumn id="21" xr3:uid="{4F9A98D6-EFD1-46A7-84AA-CAB443E15853}" name="Competitor"/>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4C01C8CC-EB3D-4C69-A3E3-CEE74878C696}" name="tab_drivetrain_layout" displayName="tab_drivetrain_layout" ref="A81:AC84" totalsRowShown="0" tableBorderDxfId="155">
  <autoFilter ref="A81:AC84" xr:uid="{00000000-0009-0000-0100-000016000000}"/>
  <tableColumns count="29">
    <tableColumn id="1" xr3:uid="{CB6E2DC6-14C9-4582-ADFC-3BB05B0BDBBF}" name="ESP9.3CB - ESP Standard"/>
    <tableColumn id="2" xr3:uid="{5D0EA0B2-26C6-4F34-8FDB-BAE9576BADFF}" name="ESP9.3CP - ESP Standard"/>
    <tableColumn id="3" xr3:uid="{C95A2966-FB8F-4176-96F8-E2CFDC740DBA}" name="ESP9UHDS - ESP Standard"/>
    <tableColumn id="4" xr3:uid="{AFDF2639-A86A-4CF1-8AA2-04C977EBC16D}" name="ESP9.3HP - ESP hevX"/>
    <tableColumn id="5" xr3:uid="{F0B4AD2F-BEC8-4DC6-893D-A2B50D6EEB23}" name="ESP9.3HU - ESP hevII"/>
    <tableColumn id="6" xr3:uid="{827B1067-8A28-420D-A9A2-8255D647C1EB}" name="ESP9UHDH - ESP hevX"/>
    <tableColumn id="7" xr3:uid="{C36B0E76-26CA-4D38-B8D5-2AEE233D5536}" name="ESP9.3TE - ESP Standard for light trucks"/>
    <tableColumn id="8" xr3:uid="{B72E7FF3-1733-4325-9039-519C5951A853}" name="ESP9.3TA - ESP Standard for medium heavy trucks"/>
    <tableColumn id="9" xr3:uid="{3D8BAA49-6803-4A4D-9BC6-DA35C52A1095}" name="ESP10CB - ESP Standard"/>
    <tableColumn id="10" xr3:uid="{064B25A7-AD0D-4C33-A6C7-902D3B882040}" name="ESP10HB - ESP hevX"/>
    <tableColumn id="11" xr3:uid="{884337D7-14EE-42CC-BB41-1B444F8B1FF3}" name="ESP10CE - ESP Standard"/>
    <tableColumn id="12" xr3:uid="{11ABEA76-6E47-4B18-B8C6-709250519677}" name="ESP10HE - ESP hevX"/>
    <tableColumn id="13" xr3:uid="{962F798E-52B6-42C5-BFAC-9F42AD68C51B}" name="ESP10CL - ESP Standard"/>
    <tableColumn id="14" xr3:uid="{A0132F6A-6046-458F-931C-D20A56206113}" name="ESP10CP - ESP Standard"/>
    <tableColumn id="15" xr3:uid="{43A9C60E-2160-47B4-9590-ECFE374D5CF1}" name="ESP10HP - ESP hevX"/>
    <tableColumn id="16" xr3:uid="{FD8E9C23-B74A-4064-A668-6EE873455005}" name="ESP10CU - ESP Standard"/>
    <tableColumn id="19" xr3:uid="{83F1F30B-DD27-4287-9CA2-59CC07AC8052}" name="ESP10HU - ESP hevX"/>
    <tableColumn id="29" xr3:uid="{8BD42824-368A-4E2C-8AC3-B0D9D95B97B6}" name="ESP10TE - ESP Standard for trucks" dataDxfId="154"/>
    <tableColumn id="28" xr3:uid="{D08328FF-3433-41D4-8807-FFBFD2AD43A1}" name="ESP10TP - ESP Standard for trucks" dataDxfId="153"/>
    <tableColumn id="20" xr3:uid="{35654118-93FA-42B7-8DD4-88784CE3E3EF}" name="ESP10TU - ESP Standard for trucks" dataDxfId="152"/>
    <tableColumn id="17" xr3:uid="{5A7E3CCA-0C28-4B10-A464-44EE4B9B85DE}" name="IPB 1.0 Size Se"/>
    <tableColumn id="18" xr3:uid="{CDEC8BFB-93C9-46F0-8D49-8BC7179E6306}" name="IPB 1.1 Size Sd"/>
    <tableColumn id="21" xr3:uid="{C0FFBFE9-345B-464C-9558-D84FA89D3F9E}" name="IPB 1.1 Size Se"/>
    <tableColumn id="22" xr3:uid="{1651C1C2-C878-4C81-A5F5-2579A69A62A9}" name="IPB 2.0 Size S"/>
    <tableColumn id="23" xr3:uid="{7285A338-5944-48ED-8326-4D913A75EB4B}" name="IPB 2.0 Size M"/>
    <tableColumn id="24" xr3:uid="{DE8C1A92-6D77-49D4-95AD-E4FC68FB60D3}" name="IPB 2.0 Size L"/>
    <tableColumn id="25" xr3:uid="{6D01C972-43E7-43D9-9CFB-B0CDBAAAC0A8}" name="DPB Size M"/>
    <tableColumn id="26" xr3:uid="{A01AE641-0EF8-4C00-92BA-CF6C60B8EB58}" name="DPB Size L"/>
    <tableColumn id="27" xr3:uid="{8F5D1D10-042F-446B-BD9A-6A0029C96E5E}" name="Competitor"/>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6C23D968-589A-4BF2-BFDE-BB52F9BB2D85}" name="tab_suction_damper" displayName="tab_suction_damper" ref="A162:AC164" totalsRowShown="0" headerRowBorderDxfId="151" tableBorderDxfId="150">
  <autoFilter ref="A162:AC164" xr:uid="{00000000-0009-0000-0100-000017000000}"/>
  <tableColumns count="29">
    <tableColumn id="1" xr3:uid="{15667A50-457F-4688-A80B-DFBB33BB864D}" name="ESP9.3CB - ESP Standard"/>
    <tableColumn id="2" xr3:uid="{24042FAF-57C8-4A79-A78C-26FED4F94BDE}" name="ESP9.3CP - ESP Standard"/>
    <tableColumn id="3" xr3:uid="{7CC9AC17-E297-44F2-8969-AA68A67E7BE1}" name="ESP9UHDS - ESP Standard"/>
    <tableColumn id="4" xr3:uid="{3A0BC4B5-200C-4F0B-A110-5218F2A25C5A}" name="ESP9.3HP - ESP hevX"/>
    <tableColumn id="5" xr3:uid="{5871EFCE-C510-40BC-BCFA-66B515E7D8DE}" name="ESP9.3HU - ESP hevII"/>
    <tableColumn id="6" xr3:uid="{D3A069CC-827C-4314-B482-C9A6EDC5AD88}" name="ESP9UHDH - ESP hevX"/>
    <tableColumn id="7" xr3:uid="{6E6AAC8C-88A4-497C-8842-2E45355566AB}" name="ESP9.3TE - ESP Standard for light trucks"/>
    <tableColumn id="8" xr3:uid="{D97168EF-ED2F-45BF-BDA5-C7CAED2765BA}" name="ESP9.3TA - ESP Standard for medium heavy trucks"/>
    <tableColumn id="9" xr3:uid="{CD27F429-D98A-4C9F-A601-6111BDC15481}" name="ESP10CB - ESP Standard"/>
    <tableColumn id="10" xr3:uid="{B0AD63DA-E821-4E6D-9A54-E8D80C92A6BC}" name="ESP10HB - ESP hevX"/>
    <tableColumn id="11" xr3:uid="{E54AAB2B-B2B1-4056-B170-F9B3E3224C18}" name="ESP10CE - ESP Standard"/>
    <tableColumn id="12" xr3:uid="{36A02883-9EB7-43BB-BF8D-2552FD227769}" name="ESP10HE - ESP hevX"/>
    <tableColumn id="13" xr3:uid="{D1619AD7-9BFF-429F-813B-F4A54AB1F796}" name="ESP10CL - ESP Standard"/>
    <tableColumn id="14" xr3:uid="{F769160F-3CFE-46D4-BA98-0021700EA281}" name="ESP10CP - ESP Standard"/>
    <tableColumn id="15" xr3:uid="{12E7A6C8-1107-4483-A982-53FA0D581778}" name="ESP10HP - ESP hevX"/>
    <tableColumn id="16" xr3:uid="{FC760C28-85DD-496A-9100-6BA7D6E258D5}" name="ESP10CU - ESP Standard"/>
    <tableColumn id="20" xr3:uid="{5D90CA8C-727E-4D10-9E96-D08E56201479}" name="ESP10HU - ESP hevX"/>
    <tableColumn id="29" xr3:uid="{9CC8F41D-E1C5-4418-8C5E-A6F1F3958DE0}" name="ESP10TE - ESP Standard for trucks" dataDxfId="149"/>
    <tableColumn id="28" xr3:uid="{CF345ACC-B5A6-48A9-9423-AC0A8F27D8C3}" name="ESP10TP - ESP Standard for trucks" dataDxfId="148"/>
    <tableColumn id="17" xr3:uid="{86A1A860-B156-4EBD-9477-8D088AFA18C6}" name="ESP10TU - ESP Standard for trucks" dataDxfId="147"/>
    <tableColumn id="19" xr3:uid="{4FA01969-0404-49FC-BCB8-86B8B50EC03B}" name="IPB 1.0 Size Se"/>
    <tableColumn id="18" xr3:uid="{70BE1183-992F-45D7-A560-225254C2C385}" name="IPB 1.1 Size Sd"/>
    <tableColumn id="21" xr3:uid="{3FC2928E-9BE4-4016-BCEB-7EA813FE6873}" name="IPB 1.1 Size Se"/>
    <tableColumn id="22" xr3:uid="{C42A7FE4-D696-4D81-888D-7DCAB7FEBF88}" name="IPB 2.0 Size S"/>
    <tableColumn id="23" xr3:uid="{52829658-A516-41AB-876D-0E4341789A42}" name="IPB 2.0 Size M"/>
    <tableColumn id="24" xr3:uid="{ED40D5D4-9DCA-46DA-88B9-16B2481D122F}" name="IPB 2.0 Size L"/>
    <tableColumn id="25" xr3:uid="{9880146B-DABA-492C-825D-EEBF8940AEB4}" name="DPB Size M"/>
    <tableColumn id="26" xr3:uid="{7EF14BF8-4D31-401E-B920-24BCBD2FE2B7}" name="DPB Size L"/>
    <tableColumn id="27" xr3:uid="{37C855A9-335A-4F29-8F2B-F4E3DE8BC6F1}" name="Competitor"/>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DAFE9944-BE4F-40E4-8C92-136561B70F70}" name="tab_parking_pawl" displayName="tab_parking_pawl" ref="A318:AC321" totalsRowShown="0" headerRowBorderDxfId="146" tableBorderDxfId="145">
  <autoFilter ref="A318:AC321" xr:uid="{00000000-0009-0000-0100-000015000000}"/>
  <tableColumns count="29">
    <tableColumn id="1" xr3:uid="{1C74EA13-6B01-48AC-96C8-9462A1330651}" name="ESP9.3CB - ESP Standard"/>
    <tableColumn id="2" xr3:uid="{3C26CC48-6C32-46A6-97BF-0FB339E466DC}" name="ESP9.3CP - ESP Standard"/>
    <tableColumn id="3" xr3:uid="{B5A9D15C-9898-4DCA-9409-B6BEB7E349BC}" name="ESP9UHDS - ESP Standard"/>
    <tableColumn id="4" xr3:uid="{60BFCF25-755B-47CE-B75C-2EAC743446F8}" name="ESP9.3HP - ESP hevX"/>
    <tableColumn id="5" xr3:uid="{C3F84873-9D4A-4108-A116-1F0401CCE38D}" name="ESP9.3HU - ESP hevII"/>
    <tableColumn id="6" xr3:uid="{B03BB78F-B4B9-4900-937A-CEB98708ACAA}" name="ESP9UHDH - ESP hevX"/>
    <tableColumn id="7" xr3:uid="{678CE174-7517-4ED5-A353-7FE10DB40191}" name="ESP9.3TE - ESP Standard for light trucks"/>
    <tableColumn id="8" xr3:uid="{CEC34FE4-5B51-4919-9FE4-D62BBD336C83}" name="ESP9.3TA - ESP Standard for medium heavy trucks"/>
    <tableColumn id="9" xr3:uid="{FC347004-41E4-46A3-B43B-AF11E4D8A1DA}" name="ESP10CB - ESP Standard"/>
    <tableColumn id="10" xr3:uid="{9AE4B475-F2C9-4493-85C2-D6024BEE88DA}" name="ESP10HB - ESP hevX"/>
    <tableColumn id="11" xr3:uid="{925EFCD0-CCCC-45FB-805A-466D22546623}" name="ESP10CE - ESP Standard"/>
    <tableColumn id="12" xr3:uid="{1DE132DA-51A7-42D8-88DB-1D1A2AA94486}" name="ESP10HE - ESP hevX"/>
    <tableColumn id="13" xr3:uid="{9AFF56D0-84F5-427A-A858-3B9B9D36B13C}" name="ESP10CL - ESP Standard"/>
    <tableColumn id="14" xr3:uid="{155B6C5F-3786-4B8E-981E-42C0F691BCCA}" name="ESP10CP - ESP Standard"/>
    <tableColumn id="15" xr3:uid="{CF8D7B44-8DB0-4EAB-B64F-2B0D84659031}" name="ESP10HP - ESP hevX"/>
    <tableColumn id="16" xr3:uid="{009C8AF2-D586-416F-9D28-36BB93B6E738}" name="ESP10CU - ESP Standard"/>
    <tableColumn id="17" xr3:uid="{F34116AB-EDBA-444A-9672-9CF55277918D}" name="ESP10HU - ESP hevX"/>
    <tableColumn id="29" xr3:uid="{AEEA34FB-DC6F-4B7B-8D92-3ACF210C4804}" name="ESP10TE - ESP Standard for trucks" dataDxfId="144"/>
    <tableColumn id="28" xr3:uid="{4FF4E664-EA1A-4E2D-BA5A-873DB347913C}" name="ESP10TP - ESP Standard for trucks" dataDxfId="143"/>
    <tableColumn id="19" xr3:uid="{A7247A0B-7477-4B82-9A90-7051F219E745}" name="ESP10TU - ESP Standard for trucks" dataDxfId="142"/>
    <tableColumn id="20" xr3:uid="{BDDD7137-D18F-4CDF-BE60-5E04B657BB1C}" name="IPB 1.0 Size Se"/>
    <tableColumn id="18" xr3:uid="{7DA3C7FB-4BE5-411D-97EB-DD389BC0653B}" name="IPB 1.1 Size Sd"/>
    <tableColumn id="21" xr3:uid="{A98E7920-0B34-4237-89BE-9E0F21CBEF29}" name="IPB 1.1 Size Se"/>
    <tableColumn id="22" xr3:uid="{2D37D3B8-09FD-4853-B90C-875188314877}" name="IPB 2.0 Size S"/>
    <tableColumn id="23" xr3:uid="{CFC9EA4B-C989-465E-93B4-AD11D4390778}" name="IPB 2.0 Size M"/>
    <tableColumn id="24" xr3:uid="{E79339E4-2A53-4C86-B8DB-D9D8D5484428}" name="IPB 2.0 Size L"/>
    <tableColumn id="25" xr3:uid="{46683BD1-4DC4-4F3C-9BDA-BDA78BD4E506}" name="DPB Size M"/>
    <tableColumn id="26" xr3:uid="{5D9732A3-6AD2-48B0-8979-1437204EF76C}" name="DPB Size L"/>
    <tableColumn id="27" xr3:uid="{DA7C2984-374C-4577-A722-18D8998896EA}" name="Competitor"/>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1E4A07C5-EA4E-4C2A-8CC8-93CDF51188B5}" name="tab_WSS_signal" displayName="tab_WSS_signal" ref="A355:AC359" totalsRowShown="0" headerRowBorderDxfId="141" tableBorderDxfId="140">
  <autoFilter ref="A355:AC359" xr:uid="{00000000-0009-0000-0100-000018000000}"/>
  <tableColumns count="29">
    <tableColumn id="1" xr3:uid="{0E40D4EF-DEE6-4CE1-BCE3-2695301D1D0E}" name="ESP9.3CB - ESP Standard"/>
    <tableColumn id="2" xr3:uid="{BB8307BA-92B7-4D44-9D71-B456BB9A8CF9}" name="ESP9.3CP - ESP Standard"/>
    <tableColumn id="3" xr3:uid="{257C9BEF-01B8-49D7-92B7-3E3A6A4EAF20}" name="ESP9UHDS - ESP Standard"/>
    <tableColumn id="4" xr3:uid="{52771625-34F1-4394-AA9D-E215A94BF33D}" name="ESP9.3HP - ESP hevX"/>
    <tableColumn id="5" xr3:uid="{2F6C8F1F-CFB9-46EE-BB6A-D0AA173D1D85}" name="ESP9.3HU - ESP hevII"/>
    <tableColumn id="6" xr3:uid="{CEEB0969-DBDD-4F76-998C-11C893818175}" name="ESP9UHDH - ESP hevX"/>
    <tableColumn id="7" xr3:uid="{932D7AC1-3A6A-4CCE-9BB7-856EC216A522}" name="ESP9.3TE - ESP Standard for light trucks"/>
    <tableColumn id="8" xr3:uid="{F4E58AE6-9573-4EB6-99CE-C2553104C4A4}" name="ESP9.3TA - ESP Standard for medium heavy trucks"/>
    <tableColumn id="9" xr3:uid="{2BC1FCF2-3221-432F-9F14-18516FE79D29}" name="ESP10CB - ESP Standard"/>
    <tableColumn id="10" xr3:uid="{9710A8BD-4D84-4B49-B801-AA6EA4DCDCD0}" name="ESP10HB - ESP hevX"/>
    <tableColumn id="11" xr3:uid="{C311F4FF-5703-483A-B031-AB76D3576EE8}" name="ESP10CE - ESP Standard"/>
    <tableColumn id="12" xr3:uid="{10BB123B-3722-4F8D-A6FC-70C6D7C17643}" name="ESP10HE - ESP hevX"/>
    <tableColumn id="13" xr3:uid="{9950CEF0-5B90-4C9A-AD9C-ADC37DEDA2D4}" name="ESP10CL - ESP Standard"/>
    <tableColumn id="14" xr3:uid="{9D83BDB9-541D-4992-BDC8-2CB78490A22A}" name="ESP10CP - ESP Standard"/>
    <tableColumn id="15" xr3:uid="{8708B529-72A9-4BD8-A9C3-CEF4878D25AB}" name="ESP10HP - ESP hevX"/>
    <tableColumn id="16" xr3:uid="{F71D8FB4-A82E-488F-A0BA-F768D9EE2276}" name="ESP10CU - ESP Standard"/>
    <tableColumn id="17" xr3:uid="{5686574F-8746-4CD9-AA44-E17ACAAB552F}" name="ESP10HU - ESP hevX"/>
    <tableColumn id="29" xr3:uid="{C28EB223-CC5B-4BD3-8488-CB56866FB2B2}" name="ESP10TE - ESP Standard for trucks" dataDxfId="139"/>
    <tableColumn id="28" xr3:uid="{D3F1CED3-15C4-4A15-B435-93F025CB5C38}" name="ESP10TP - ESP Standard for trucks" dataDxfId="138"/>
    <tableColumn id="19" xr3:uid="{B6BC117E-696B-4632-85C1-BFB7AD613C5A}" name="ESP10TU - ESP Standard for trucks" dataDxfId="137"/>
    <tableColumn id="20" xr3:uid="{44970549-912E-4DE6-B76F-E1BACB75C4FC}" name="IPB 1.0 Size Se"/>
    <tableColumn id="18" xr3:uid="{06BCA391-D2C6-44D3-9371-38A6C817FCB1}" name="IPB 1.1 Size Sd"/>
    <tableColumn id="21" xr3:uid="{098279CC-B2EB-4E53-A5BB-F69C6D38D39F}" name="IPB 1.1 Size Se"/>
    <tableColumn id="22" xr3:uid="{27B87034-F124-4DBC-B029-301F116663CE}" name="IPB 2.0 Size S"/>
    <tableColumn id="23" xr3:uid="{0621BB5E-F3E7-40CF-B5EB-09A7EBBAA54E}" name="IPB 2.0 Size M"/>
    <tableColumn id="24" xr3:uid="{9313AE90-F5CC-4048-B00A-CF8129AE335F}" name="IPB 2.0 Size L"/>
    <tableColumn id="25" xr3:uid="{A59E1847-1A33-4B4D-84E7-016C11AB51E5}" name="DPB Size M"/>
    <tableColumn id="26" xr3:uid="{CB2909FA-4362-4EAA-9F8D-EE98554F6722}" name="DPB Size L"/>
    <tableColumn id="27" xr3:uid="{34641AFE-CA09-4B2B-AD86-D0D60E85DE09}" name="Competitor"/>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1EB9DDC7-0AD8-4EC1-BC99-6C6A0C9BEA75}" name="tab_duration_backup_driving" displayName="tab_duration_backup_driving" ref="A378:AC381" totalsRowShown="0" headerRowBorderDxfId="136" tableBorderDxfId="135">
  <autoFilter ref="A378:AC381" xr:uid="{00000000-0009-0000-0100-00001B000000}"/>
  <tableColumns count="29">
    <tableColumn id="1" xr3:uid="{5A6AC6F1-B311-4348-AA38-C1E5B4678796}" name="ESP9.3CB - ESP Standard"/>
    <tableColumn id="2" xr3:uid="{8A68E5A4-587A-445F-9D6F-59CCABF6B9C5}" name="ESP9.3CP - ESP Standard"/>
    <tableColumn id="3" xr3:uid="{62D0F938-5185-4FE1-9219-16DB9615C38A}" name="ESP9UHDS - ESP Standard"/>
    <tableColumn id="4" xr3:uid="{A5BB4DA1-7F8E-42A7-B31A-65A9BB94A880}" name="ESP9.3HP - ESP hevX"/>
    <tableColumn id="5" xr3:uid="{68062025-718A-4616-9F35-7CA65DE0C66B}" name="ESP9.3HU - ESP hevII"/>
    <tableColumn id="6" xr3:uid="{9EA79DD0-1A76-4631-8691-3470FC40625F}" name="ESP9UHDH - ESP hevX"/>
    <tableColumn id="7" xr3:uid="{7E5E585B-7FFF-417B-A41F-127928E46769}" name="ESP9.3TE - ESP Standard for light trucks"/>
    <tableColumn id="8" xr3:uid="{2BAC419A-8740-4F51-9A17-ED120983E90B}" name="ESP9.3TA - ESP Standard for medium heavy trucks"/>
    <tableColumn id="9" xr3:uid="{380A1ABC-B8FC-4A3E-8019-ECBFD828B003}" name="ESP10CB - ESP Standard"/>
    <tableColumn id="10" xr3:uid="{BC30B7A9-336C-45C7-B852-9A0D353F8F8C}" name="ESP10HB - ESP hevX"/>
    <tableColumn id="11" xr3:uid="{27612F12-0287-4722-8D4C-59419754B37A}" name="ESP10CE - ESP Standard"/>
    <tableColumn id="12" xr3:uid="{8D9ABC66-C534-42A2-933F-5C506BA161B9}" name="ESP10HE - ESP hevX"/>
    <tableColumn id="13" xr3:uid="{B8B81E15-B3F4-44C3-B98C-A0ECBEDD4696}" name="ESP10CL - ESP Standard"/>
    <tableColumn id="14" xr3:uid="{4343BAEA-FFDD-4D9D-9A0F-959BFC9345D7}" name="ESP10CP - ESP Standard"/>
    <tableColumn id="15" xr3:uid="{1DDBD6DF-4E82-4E49-86BD-3071D0CB4BD7}" name="ESP10HP - ESP hevX"/>
    <tableColumn id="16" xr3:uid="{F4689375-EBBD-4A74-AD63-BB350170BB16}" name="ESP10CU - ESP Standard"/>
    <tableColumn id="17" xr3:uid="{185E930A-1A24-497F-979A-81C4B3C77E39}" name="ESP10HU - ESP hevX"/>
    <tableColumn id="29" xr3:uid="{52990813-74E5-4DD6-A140-226B7452C34E}" name="ESP10TE - ESP Standard for trucks" dataDxfId="134"/>
    <tableColumn id="28" xr3:uid="{7B320A34-DABA-4F32-AED5-3DF3F3430037}" name="ESP10TP - ESP Standard for trucks" dataDxfId="133"/>
    <tableColumn id="19" xr3:uid="{BB7223EA-88F2-4FED-A16A-1F4DAC75832A}" name="ESP10TU - ESP Standard for trucks" dataDxfId="132"/>
    <tableColumn id="20" xr3:uid="{0279380F-5337-4CBC-932A-97DA87AAF40F}" name="IPB 1.0 Size Se"/>
    <tableColumn id="18" xr3:uid="{D7DBEDC6-C85A-4CF2-BAFE-7E1F0F413BD4}" name="IPB 1.1 Size Sd"/>
    <tableColumn id="21" xr3:uid="{385575E5-7FB0-49ED-AB42-E64DCCB789BD}" name="IPB 1.1 Size Se"/>
    <tableColumn id="22" xr3:uid="{E17DDD97-CB9F-448B-BD2F-913EDBE3D1DD}" name="IPB 2.0 Size S"/>
    <tableColumn id="23" xr3:uid="{A424545A-7D7D-4F43-814C-FF936ABE6D1A}" name="IPB 2.0 Size M"/>
    <tableColumn id="24" xr3:uid="{AB1D371E-1D49-4846-8D57-EAE885540826}" name="IPB 2.0 Size L"/>
    <tableColumn id="25" xr3:uid="{0AE0A6CD-2865-4755-9D47-52B8A6E0C5A7}" name="DPB Size M"/>
    <tableColumn id="26" xr3:uid="{86CFB949-345D-4603-9B14-75B697B5CDB5}" name="DPB Size L"/>
    <tableColumn id="27" xr3:uid="{14206FB8-7B94-42B3-835C-EB0A8E34AE95}" name="Competitor"/>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28B3C799-F9EF-4E55-A462-A879DD220836}" name="tab_remote_parking" displayName="tab_remote_parking" ref="A333:AC335" totalsRowShown="0" headerRowBorderDxfId="131" tableBorderDxfId="130">
  <autoFilter ref="A333:AC335" xr:uid="{00000000-0009-0000-0100-000019000000}"/>
  <tableColumns count="29">
    <tableColumn id="1" xr3:uid="{1137CA14-66C0-4FC0-8EC4-C9176D1C55C6}" name="ESP9.3CB - ESP Standard"/>
    <tableColumn id="2" xr3:uid="{A07B90A6-FAEA-4BCE-84A2-B0EB18AFA2AC}" name="ESP9.3CP - ESP Standard"/>
    <tableColumn id="3" xr3:uid="{DADBA471-2E39-4F7E-8034-CCA47CC97E4E}" name="ESP9UHDS - ESP Standard"/>
    <tableColumn id="4" xr3:uid="{5BD02B81-7EF4-4F07-B062-B8750513381C}" name="ESP9.3HP - ESP hevX"/>
    <tableColumn id="5" xr3:uid="{DB8EB5E8-965B-491E-B7B4-D89E64DC191D}" name="ESP9.3HU - ESP hevII"/>
    <tableColumn id="6" xr3:uid="{7968B11D-2E6C-47B8-85B4-BE278103AD1F}" name="ESP9UHDH - ESP hevX"/>
    <tableColumn id="7" xr3:uid="{78305C17-EA42-43EB-9756-A2AC10C0C579}" name="ESP9.3TE - ESP Standard for light trucks"/>
    <tableColumn id="8" xr3:uid="{8D32F116-5EB2-4B15-9E8C-3C6F4A411485}" name="ESP9.3TA - ESP Standard for medium heavy trucks"/>
    <tableColumn id="9" xr3:uid="{7A51D16A-30A1-4054-A64F-EFE4E481464A}" name="ESP10CB - ESP Standard"/>
    <tableColumn id="10" xr3:uid="{2C08FB71-25A6-4657-8338-E88B11BC5249}" name="ESP10HB - ESP hevX"/>
    <tableColumn id="11" xr3:uid="{76862D43-38B9-438E-95C6-7FC4DEF22333}" name="ESP10CE - ESP Standard"/>
    <tableColumn id="12" xr3:uid="{01DA3B9A-287F-4A89-8F8A-D3FC8D5906ED}" name="ESP10HE - ESP hevX"/>
    <tableColumn id="13" xr3:uid="{3969B2FB-5DB5-44AC-B47C-64723CBBFDB2}" name="ESP10CL - ESP Standard"/>
    <tableColumn id="14" xr3:uid="{A704EC75-8689-43DA-B293-2B1EF65BF4CA}" name="ESP10CP - ESP Standard"/>
    <tableColumn id="15" xr3:uid="{B69ED337-BE91-43E3-A496-455D164B080F}" name="ESP10HP - ESP hevX"/>
    <tableColumn id="16" xr3:uid="{A3455A6E-8684-46E2-BDD7-1B26C3BA846B}" name="ESP10CU - ESP Standard"/>
    <tableColumn id="17" xr3:uid="{B9A34DF0-8770-4526-8F36-993DA72044D2}" name="ESP10HU - ESP hevX"/>
    <tableColumn id="29" xr3:uid="{072D68F0-7C91-4CB0-BA0D-2F6073485898}" name="ESP10TE - ESP Standard for trucks" dataDxfId="129"/>
    <tableColumn id="28" xr3:uid="{5B796900-A64E-4D6C-A706-A5F77C23A001}" name="ESP10TP - ESP Standard for trucks" dataDxfId="128"/>
    <tableColumn id="19" xr3:uid="{248C4E67-FE4B-4AD8-88E5-8BEB479FF97C}" name="ESP10TU - ESP Standard for trucks" dataDxfId="127"/>
    <tableColumn id="20" xr3:uid="{6776E7EC-A096-4CD6-9892-D405A05C31D2}" name="IPB 1.0 Size Se"/>
    <tableColumn id="18" xr3:uid="{907A7440-47F1-40FC-A48A-D78214019058}" name="IPB 1.1 Size Sd"/>
    <tableColumn id="21" xr3:uid="{E3D8CF6E-19A7-4E19-AFA6-DF948F4AD98E}" name="IPB 1.1 Size Se"/>
    <tableColumn id="22" xr3:uid="{84F0CB0B-0951-44E1-8830-6B2CA20C37E9}" name="IPB 2.0 Size S"/>
    <tableColumn id="23" xr3:uid="{05470F3C-4E4E-469B-B2CE-C2C4503BFE02}" name="IPB 2.0 Size M"/>
    <tableColumn id="24" xr3:uid="{5DA6E6FA-47AD-429A-8057-73988DD8ECA2}" name="IPB 2.0 Size L"/>
    <tableColumn id="25" xr3:uid="{8DB9CA95-CD14-41F3-A645-22F7EF3D4942}" name="DPB Size M"/>
    <tableColumn id="26" xr3:uid="{75B0FCA1-916C-4BCB-8F0D-A7D31C45220C}" name="DPB Size L"/>
    <tableColumn id="27" xr3:uid="{D87D29D0-AB29-4F84-AD0F-C296BD9CA371}" name="Competitor"/>
  </tableColumns>
  <tableStyleInfo name="TableStyleMedium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BF34CEDB-3C3C-483D-9397-19C32EB3F069}" name="tab_HAD_level" displayName="tab_HAD_level" ref="A325:AC330" totalsRowShown="0" headerRowBorderDxfId="126" tableBorderDxfId="125">
  <autoFilter ref="A325:AC330" xr:uid="{00000000-0009-0000-0100-00001C000000}"/>
  <tableColumns count="29">
    <tableColumn id="1" xr3:uid="{77F205EA-3D57-4368-9420-F083D51BD23A}" name="ESP9.3CB - ESP Standard"/>
    <tableColumn id="2" xr3:uid="{D6D95793-220A-411E-9C5C-2A817F45E9D9}" name="ESP9.3CP - ESP Standard"/>
    <tableColumn id="3" xr3:uid="{0992318D-FC5B-4284-B5FE-8ACA143F5F34}" name="ESP9UHDS - ESP Standard"/>
    <tableColumn id="4" xr3:uid="{F1A84E0E-FD7C-4D32-B090-71C2CD69EFA1}" name="ESP9.3HP - ESP hevX"/>
    <tableColumn id="5" xr3:uid="{FE4C5B3B-C8A7-47A7-BA21-0C661BAA051B}" name="ESP9.3HU - ESP hevII"/>
    <tableColumn id="6" xr3:uid="{F1BFCBBB-F1BA-4EF8-90F3-26618852908A}" name="ESP9UHDH - ESP hevX"/>
    <tableColumn id="7" xr3:uid="{4BE6214D-2CB5-4239-A54D-27595AEC51E8}" name="ESP9.3TE - ESP Standard for light trucks"/>
    <tableColumn id="8" xr3:uid="{3A47CEE2-041B-4063-B60E-CB69FE7A71F9}" name="ESP9.3TA - ESP Standard for medium heavy trucks"/>
    <tableColumn id="9" xr3:uid="{5BB4824C-72CD-40BC-A58C-77EE78B489AD}" name="ESP10CB - ESP Standard"/>
    <tableColumn id="10" xr3:uid="{63527D53-13A3-42F2-A3EA-5EEA93C1CC8A}" name="ESP10HB - ESP hevX"/>
    <tableColumn id="11" xr3:uid="{7C35BB33-9FEE-4B36-8F39-7C5A90230DD8}" name="ESP10CE - ESP Standard"/>
    <tableColumn id="12" xr3:uid="{8ECD49A5-6301-4FAA-8CD0-39C325F09536}" name="ESP10HE - ESP hevX"/>
    <tableColumn id="13" xr3:uid="{2DC1489C-1AE8-4B3A-97D1-D5BB09F6BF2A}" name="ESP10CL - ESP Standard"/>
    <tableColumn id="14" xr3:uid="{38EC5EE9-6FF4-4815-AE78-914BF1CA2107}" name="ESP10CP - ESP Standard"/>
    <tableColumn id="15" xr3:uid="{D6DA76E8-4B69-451A-8FEE-D8844BD46CF3}" name="ESP10HP - ESP hevX"/>
    <tableColumn id="16" xr3:uid="{F3A81C13-8D7A-4413-9060-D15BA5350ABB}" name="ESP10CU - ESP Standard"/>
    <tableColumn id="17" xr3:uid="{086D03ED-5CA6-408E-99B7-D8E6B3D1B678}" name="ESP10HU - ESP hevX"/>
    <tableColumn id="29" xr3:uid="{14200361-6AFD-4B0D-9286-C1448D769771}" name="ESP10TE - ESP Standard for trucks" dataDxfId="124"/>
    <tableColumn id="28" xr3:uid="{75DD8E85-1ADA-4A12-978F-CAE987F17D36}" name="ESP10TP - ESP Standard for trucks" dataDxfId="123"/>
    <tableColumn id="19" xr3:uid="{2443C2DB-550E-470B-802B-7FE3B8EC86E2}" name="ESP10TU - ESP Standard for trucks" dataDxfId="122"/>
    <tableColumn id="20" xr3:uid="{4A19C16F-2D70-4F9D-9493-03B9AC188523}" name="IPB 1.0 Size Se"/>
    <tableColumn id="18" xr3:uid="{FE3CD32A-BDD3-472D-9EB7-2C1926B585EA}" name="IPB 1.1 Size Sd"/>
    <tableColumn id="21" xr3:uid="{9D814504-9D4F-477C-B293-5C5723A00138}" name="IPB 1.1 Size Se"/>
    <tableColumn id="22" xr3:uid="{A251DFF3-434C-47DE-9593-0B6B3226653D}" name="IPB 2.0 Size S"/>
    <tableColumn id="23" xr3:uid="{E52E1C9B-CA9D-49D8-9041-2AD6CA385C33}" name="IPB 2.0 Size M"/>
    <tableColumn id="24" xr3:uid="{A343C0EE-75B7-4540-A2B9-739E7D9EF284}" name="IPB 2.0 Size L"/>
    <tableColumn id="25" xr3:uid="{9FA3AD8F-E985-488B-8545-480C30E693EC}" name="DPB Size M"/>
    <tableColumn id="26" xr3:uid="{752BE6CA-649C-4702-AC65-4C61B94E32EB}" name="DPB Size L"/>
    <tableColumn id="27" xr3:uid="{DE1AA29E-B2EB-4387-B654-EAD6BED68392}" name="Competitor"/>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9B647103-434D-4E42-9A43-D721638F1E4D}" name="tab_pressure_sensor" displayName="tab_pressure_sensor" ref="A364:AC366" totalsRowShown="0" headerRowBorderDxfId="121" tableBorderDxfId="120">
  <autoFilter ref="A364:AC366" xr:uid="{00000000-0009-0000-0100-00001D000000}"/>
  <tableColumns count="29">
    <tableColumn id="1" xr3:uid="{6BF97C30-EA52-4934-BFC8-A2DC1C341878}" name="ESP9.3CB - ESP Standard"/>
    <tableColumn id="2" xr3:uid="{32B3FBD8-EE92-4BC9-8AA2-E8488C9EB363}" name="ESP9.3CP - ESP Standard"/>
    <tableColumn id="3" xr3:uid="{0544A2CF-9905-40A5-A4B2-94F3DBD7EADB}" name="ESP9UHDS - ESP Standard"/>
    <tableColumn id="4" xr3:uid="{A840EE43-AEF6-4745-BDB8-EED16BA4DCE2}" name="ESP9.3HP - ESP hevX"/>
    <tableColumn id="5" xr3:uid="{B9EB97E7-589C-40DC-AEA1-FA7A86BF94E5}" name="ESP9.3HU - ESP hevII"/>
    <tableColumn id="6" xr3:uid="{7149D080-7A59-4EF7-8052-157568F8B052}" name="ESP9UHDH - ESP hevX"/>
    <tableColumn id="7" xr3:uid="{D6AB4221-5144-487B-8DF8-1ADBDB768DC4}" name="ESP9.3TE - ESP Standard for light trucks"/>
    <tableColumn id="8" xr3:uid="{A6C1C5EB-53B8-46B1-A992-8C1364668EAA}" name="ESP9.3TA - ESP Standard for medium heavy trucks"/>
    <tableColumn id="9" xr3:uid="{2480576E-EFEB-4734-88C4-1AE8DA92E055}" name="ESP10CB - ESP Standard"/>
    <tableColumn id="10" xr3:uid="{56752E52-9B2B-466A-AF6F-FF67CEEE55DC}" name="ESP10HB - ESP hevX"/>
    <tableColumn id="11" xr3:uid="{2FE3CE15-D88A-45F2-85F3-8513357AF04C}" name="ESP10CE - ESP Standard"/>
    <tableColumn id="12" xr3:uid="{8C52FD1F-AAD7-4B22-A7B3-AEF0B47DBDF0}" name="ESP10HE - ESP hevX"/>
    <tableColumn id="13" xr3:uid="{5EE0895F-D2CA-40C4-A8EC-32FD3BC1678E}" name="ESP10CL - ESP Standard"/>
    <tableColumn id="14" xr3:uid="{8A75C718-4281-42B4-A0B8-A9A7CEF7301D}" name="ESP10CP - ESP Standard"/>
    <tableColumn id="15" xr3:uid="{2C709180-89C0-4787-8620-E9F7E436B506}" name="ESP10HP - ESP hevX"/>
    <tableColumn id="16" xr3:uid="{F92A7F50-2CF7-41FB-BD99-77488FE4AFBA}" name="ESP10CU - ESP Standard"/>
    <tableColumn id="17" xr3:uid="{714140C8-808B-4E05-BEAB-65D21C6FD3F9}" name="ESP10HU - ESP hevX"/>
    <tableColumn id="29" xr3:uid="{E92C4AED-B137-48B3-995E-486834649DA3}" name="ESP10TE - ESP Standard for trucks" dataDxfId="119"/>
    <tableColumn id="28" xr3:uid="{18A37479-860C-427B-A987-5398BADEBCDA}" name="ESP10TP - ESP Standard for trucks" dataDxfId="118"/>
    <tableColumn id="19" xr3:uid="{CEAAB77E-21FB-492B-8F34-7FBBAEF62834}" name="ESP10TU - ESP Standard for trucks" dataDxfId="117"/>
    <tableColumn id="20" xr3:uid="{4A05B19C-9087-4685-A4C2-D35AE85CA6A7}" name="IPB 1.0 Size Se"/>
    <tableColumn id="18" xr3:uid="{606FD8DA-6478-4871-B578-CE47ABA891E1}" name="IPB 1.1 Size Sd"/>
    <tableColumn id="21" xr3:uid="{9A17622B-F953-4753-9144-561D0100B31A}" name="IPB 1.1 Size Se"/>
    <tableColumn id="22" xr3:uid="{CE4E8251-4BA2-4B43-9C39-A4ADFB0F279D}" name="IPB 2.0 Size S"/>
    <tableColumn id="23" xr3:uid="{4D9AF894-ACD4-4F21-9958-B49662D399EF}" name="IPB 2.0 Size M"/>
    <tableColumn id="24" xr3:uid="{25947A05-D389-459F-935F-C432C01A8DDE}" name="IPB 2.0 Size L"/>
    <tableColumn id="25" xr3:uid="{F09FF729-EB85-41EE-AB06-5DE23B624262}" name="DPB Size M"/>
    <tableColumn id="26" xr3:uid="{2438204B-16DB-4236-BAC2-1D511D5E3716}" name="DPB Size L"/>
    <tableColumn id="27" xr3:uid="{B0D5B596-D648-4924-B723-50AA59263776}" name="Competitor"/>
  </tableColumns>
  <tableStyleInfo name="TableStyleMedium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9EDB222D-88CD-4142-A0BB-28715C335846}" name="tab_outlet_valve_rear" displayName="tab_outlet_valve_rear" ref="A138:AC144" totalsRowShown="0" tableBorderDxfId="116">
  <autoFilter ref="A138:AC144" xr:uid="{00000000-0009-0000-0100-00001E000000}"/>
  <tableColumns count="29">
    <tableColumn id="1" xr3:uid="{C0179E4D-CC58-40B0-B6D0-4F12935D6F9D}" name="ESP9.3CB - ESP Standard"/>
    <tableColumn id="2" xr3:uid="{43E46B58-7E46-4FC2-B232-AB29C027E0DE}" name="ESP9.3CP - ESP Standard"/>
    <tableColumn id="3" xr3:uid="{83C890D7-A3CE-4741-BB0D-89A1985FAE75}" name="ESP9UHDS - ESP Standard"/>
    <tableColumn id="4" xr3:uid="{04C5C8E9-1D14-47F2-93A0-8DB5A6712727}" name="ESP9.3HP - ESP hevX"/>
    <tableColumn id="5" xr3:uid="{B86BDF00-8F17-4ADF-A4C6-3535907A7975}" name="ESP9.3HU - ESP hevII"/>
    <tableColumn id="6" xr3:uid="{14E6E26E-C6CC-4C4B-A5C2-3F50EF88BBF4}" name="ESP9UHDH - ESP hevX"/>
    <tableColumn id="7" xr3:uid="{B8B4FC46-8971-4C1B-966A-A4451D14889B}" name="ESP9.3TE - ESP Standard for light trucks"/>
    <tableColumn id="8" xr3:uid="{27FAC3B7-E90C-4DCD-9AEA-A4F0D5653EA2}" name="ESP9.3TA - ESP Standard for medium heavy trucks"/>
    <tableColumn id="9" xr3:uid="{C2A0DFAE-080D-425C-A4A3-46F4E03B63BD}" name="ESP10CB - ESP Standard"/>
    <tableColumn id="10" xr3:uid="{B73B7591-4335-4FED-B76A-BD77BA1F9479}" name="ESP10HB - ESP hevX"/>
    <tableColumn id="11" xr3:uid="{E6983C19-D671-4290-AFE0-D8C203F8DE99}" name="ESP10CE - ESP Standard"/>
    <tableColumn id="12" xr3:uid="{32C4A2ED-8D2C-498F-9BC1-79A13C58D2A7}" name="ESP10HE - ESP hevX"/>
    <tableColumn id="13" xr3:uid="{0184839C-19B9-446F-9233-1065011D4E92}" name="ESP10CL - ESP Standard"/>
    <tableColumn id="14" xr3:uid="{F37307C1-BB25-4A29-ACCF-B0A59FC0D1A8}" name="ESP10CP - ESP Standard"/>
    <tableColumn id="15" xr3:uid="{CBDA8EE2-D222-4E95-AC41-5823FBFE6015}" name="ESP10HP - ESP hevX"/>
    <tableColumn id="16" xr3:uid="{696EC889-A9E6-4CD4-9155-9AAF09AACF67}" name="ESP10CU - ESP Standard"/>
    <tableColumn id="17" xr3:uid="{73054059-5170-4BB8-A5CF-DA3B94F3B058}" name="ESP10HU - ESP hevX"/>
    <tableColumn id="20" xr3:uid="{43DB22F5-2567-48FD-AFB7-37639F6D16AA}" name="ESP10TE - ESP Standard for trucks" dataDxfId="115"/>
    <tableColumn id="29" xr3:uid="{508D8158-5122-4A07-8F9A-F9D716E0F6B1}" name="ESP10TP - ESP Standard for trucks" dataDxfId="114"/>
    <tableColumn id="28" xr3:uid="{D6F991CA-E9A1-431F-BB90-8BBBDAC2B3F2}" name="ESP10TU - ESP Standard for trucks" dataDxfId="113"/>
    <tableColumn id="19" xr3:uid="{8C7C46DE-D3E3-4D06-A08C-04B42544A1BE}" name="IPB 1.0 Size Se2"/>
    <tableColumn id="25" xr3:uid="{3CE478E6-5E58-4641-AF27-434549147E4B}" name="IPB 1.1 Size Sd"/>
    <tableColumn id="27" xr3:uid="{3E9CD536-312A-48F3-ABA4-E705F1224B46}" name="IPB 1.1 Size Se"/>
    <tableColumn id="26" xr3:uid="{FBBAE177-6CC3-46ED-8D8D-E44EADB37D41}" name="IPB 2.0 Size S"/>
    <tableColumn id="24" xr3:uid="{1ED30759-768D-456C-A878-5A6A436BD351}" name="IPB 2.0 Size M"/>
    <tableColumn id="23" xr3:uid="{85CBA119-FE50-4D72-A3FB-4C6A0887AA5C}" name="IPB 2.0 Size L"/>
    <tableColumn id="22" xr3:uid="{55F92466-73B3-41DA-8181-94AC656B7A88}" name="DPB Size M"/>
    <tableColumn id="18" xr3:uid="{706136A0-1477-4344-98AE-E5690EB696EE}" name="DPB Size L"/>
    <tableColumn id="21" xr3:uid="{A052ECCA-DB78-41AF-9FE9-D33DCB4247ED}" name="Competitor"/>
  </tableColumns>
  <tableStyleInfo name="TableStyleMedium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32EA6350-12A7-4AA2-AEFF-FD71CA38D7B5}" name="tab_availability" displayName="tab_availability" ref="G5:G8" totalsRowShown="0">
  <autoFilter ref="G5:G8" xr:uid="{00000000-0009-0000-0100-00001F000000}"/>
  <tableColumns count="1">
    <tableColumn id="1" xr3:uid="{6FFE350E-26A2-41B9-A07B-E853F62787E9}" name="Availability"/>
  </tableColumns>
  <tableStyleInfo name="TableStyleMedium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F148E486-EC49-474F-9D55-E38C71449D35}" name="tab_ebr" displayName="tab_ebr" ref="H5:H7" totalsRowShown="0">
  <autoFilter ref="H5:H7" xr:uid="{00000000-0009-0000-0100-000020000000}"/>
  <tableColumns count="1">
    <tableColumn id="1" xr3:uid="{E61F273B-A102-435F-85AF-92C3CA221DAD}" name="EBR function"/>
  </tableColumns>
  <tableStyleInfo name="TableStyleMedium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CEBB96D3-BDA7-4182-9F94-CFA7E25DBDE0}" name="tab_hom_class" displayName="tab_hom_class" ref="I5:I13" totalsRowShown="0">
  <autoFilter ref="I5:I13" xr:uid="{00000000-0009-0000-0100-000021000000}"/>
  <tableColumns count="1">
    <tableColumn id="1" xr3:uid="{7C5F73C5-C929-4989-B066-4DA7D7C11365}" name="Homolgation Class"/>
  </tableColumns>
  <tableStyleInfo name="TableStyleMedium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510E8604-E0C3-44CD-B762-70C89CEB2962}" name="tab_yes_no" displayName="tab_yes_no" ref="J5:J7" totalsRowShown="0">
  <autoFilter ref="J5:J7" xr:uid="{00000000-0009-0000-0100-000022000000}"/>
  <tableColumns count="1">
    <tableColumn id="1" xr3:uid="{3F887A28-7FD6-4829-A8D0-CCF87FF648B6}" name="yes_no"/>
  </tableColumns>
  <tableStyleInfo name="TableStyleMedium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F10604C2-97E8-4954-BCA6-0C0228513149}" name="tab_pfs" displayName="tab_pfs" ref="K5:K7" totalsRowShown="0">
  <autoFilter ref="K5:K7" xr:uid="{00000000-0009-0000-0100-000023000000}"/>
  <tableColumns count="1">
    <tableColumn id="1" xr3:uid="{02E5CACC-B2B6-429A-992B-052D5D265CED}" name="PFS available"/>
  </tableColumns>
  <tableStyleInfo name="TableStyleMedium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BFFE5EB8-E006-4880-999B-41456D24CFCF}" name="tab_software" displayName="tab_software" ref="L5:L8" totalsRowShown="0">
  <autoFilter ref="L5:L8" xr:uid="{00000000-0009-0000-0100-000024000000}"/>
  <tableColumns count="1">
    <tableColumn id="1" xr3:uid="{378AA40D-F1F4-4F5E-B65F-491E981455E4}" name="Software"/>
  </tableColumns>
  <tableStyleInfo name="TableStyleMedium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F50E5C33-6F52-453E-A799-413E626F78A8}" name="tab_iis" displayName="tab_iis" ref="A63:AC65" totalsRowShown="0" tableBorderDxfId="112">
  <autoFilter ref="A63:AC65" xr:uid="{00000000-0009-0000-0100-000026000000}"/>
  <tableColumns count="29">
    <tableColumn id="1" xr3:uid="{D19505F2-9545-4F0E-8D91-3DD12671597E}" name="ESP9.3CB - ESP Standard"/>
    <tableColumn id="2" xr3:uid="{7F40FECB-E35D-4A23-BAEC-E4C6617B47A2}" name="ESP9.3CP - ESP Standard"/>
    <tableColumn id="3" xr3:uid="{9731F109-1EA6-43B3-93B8-5ED20AE81F9E}" name="ESP9UHDS - ESP Standard"/>
    <tableColumn id="4" xr3:uid="{551CE37A-1D49-4654-8277-BA64A38764D2}" name="ESP9.3HP - ESP hevX"/>
    <tableColumn id="5" xr3:uid="{6FA7D82A-C9AB-4A72-AAC5-C247311E57CA}" name="ESP9.3HU - ESP hevII"/>
    <tableColumn id="6" xr3:uid="{9E8525EF-B9D1-4876-A098-36614D0BDB15}" name="ESP9UHDH - ESP hevX"/>
    <tableColumn id="7" xr3:uid="{93F070B0-E601-4343-84FC-0425B7303635}" name="ESP9.3TE - ESP Standard for light trucks"/>
    <tableColumn id="8" xr3:uid="{EFB09701-E01D-4673-B290-8398AB745E41}" name="ESP9.3TA - ESP Standard for medium heavy trucks"/>
    <tableColumn id="9" xr3:uid="{22370584-F986-488F-A7F8-1BA0F36C0BC2}" name="ESP10CB - ESP Standard"/>
    <tableColumn id="10" xr3:uid="{7ABF46F3-395E-452A-85AE-CB8A49D74095}" name="ESP10HB - ESP hevX"/>
    <tableColumn id="11" xr3:uid="{1B99EF06-F161-4536-94EC-626C12401DEF}" name="ESP10CE - ESP Standard"/>
    <tableColumn id="12" xr3:uid="{8D681612-AEAD-4380-916F-FD5E3DBFCE2B}" name="ESP10HE - ESP hevX"/>
    <tableColumn id="13" xr3:uid="{DE7336E3-53D0-4C44-8B3A-35599E9518FA}" name="ESP10CL - ESP Standard"/>
    <tableColumn id="14" xr3:uid="{F2B029BA-5BEA-4D51-8067-EAD3652A6389}" name="ESP10CP - ESP Standard"/>
    <tableColumn id="15" xr3:uid="{10B8889D-5283-4E0E-B542-B6FBB50EC264}" name="ESP10HP - ESP hevX"/>
    <tableColumn id="16" xr3:uid="{CA205E51-0296-482D-8418-D7E271079D42}" name="ESP10CU - ESP Standard"/>
    <tableColumn id="20" xr3:uid="{D72E4ED7-8166-4AE1-B946-D003EAC59649}" name="ESP10HU - ESP hevX"/>
    <tableColumn id="29" xr3:uid="{DAA8566D-A74D-4D2F-9243-BA549EA00677}" name="ESP10TE - ESP Standard for trucks" dataDxfId="111"/>
    <tableColumn id="27" xr3:uid="{B9C5AB27-43AA-4739-934B-5D84599B5EBD}" name="ESP10TP - ESP Standard for trucks" dataDxfId="110"/>
    <tableColumn id="19" xr3:uid="{4E0DE0DA-8F12-4832-83CB-ABE14739C5BC}" name="ESP10TU - ESP Standard for trucks" dataDxfId="109"/>
    <tableColumn id="26" xr3:uid="{8E9B4A91-AA75-4D82-8DB4-FCD088E791AB}" name="IPB 1.0 Size Se"/>
    <tableColumn id="25" xr3:uid="{B277E80C-1718-45DD-AACE-6F7CCAEF1D3D}" name="IPB 1.1 Size Sd"/>
    <tableColumn id="24" xr3:uid="{F9F05D59-AAAC-4657-9E5C-17D0D802CAD6}" name="IPB 1.1 Size Se"/>
    <tableColumn id="23" xr3:uid="{03E4582E-6917-4696-95B3-6555F15112CF}" name="IPB 2.0 Size S"/>
    <tableColumn id="22" xr3:uid="{033B7C28-4E96-46C3-9E75-10962C6FA60C}" name="IPB 2.0 Size M"/>
    <tableColumn id="17" xr3:uid="{9B78D42A-258E-4268-8F58-9AF52BFC9AB2}" name="IPB 2.0 Size L"/>
    <tableColumn id="28" xr3:uid="{EE1F8963-8CAA-4C96-BBE7-4EFFE8F6101F}" name="DPB Size M"/>
    <tableColumn id="18" xr3:uid="{807A3ED1-143F-4796-83B1-D6222696E0CC}" name="DPB Size L"/>
    <tableColumn id="21" xr3:uid="{31C34EB1-4905-46A9-B855-AFA99A9E6081}" name="Competitor"/>
  </tableColumns>
  <tableStyleInfo name="TableStyleMedium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ED6E40E6-02FF-46E7-8621-53971083826C}" name="tab_RBU" displayName="tab_RBU" ref="A50:AC52" totalsRowShown="0" tableBorderDxfId="108">
  <autoFilter ref="A50:AC52" xr:uid="{00000000-0009-0000-0100-000025000000}"/>
  <tableColumns count="29">
    <tableColumn id="1" xr3:uid="{D8FC2020-197F-4496-AC89-90A009DF46F3}" name="ESP9.3CB - ESP Standard"/>
    <tableColumn id="2" xr3:uid="{E5009786-3D80-4256-97EB-9F5CFBD86C3B}" name="ESP9.3CP - ESP Standard"/>
    <tableColumn id="3" xr3:uid="{4F9AA0C6-7216-457D-B564-7A8093E4A926}" name="ESP9UHDS - ESP Standard"/>
    <tableColumn id="4" xr3:uid="{92446647-B762-45D8-A5AE-5B0392800E19}" name="ESP9.3HP - ESP hevX"/>
    <tableColumn id="5" xr3:uid="{078343D3-B35D-492A-B2D9-6BD9880B388F}" name="ESP9.3HU - ESP hevII"/>
    <tableColumn id="6" xr3:uid="{3E22F20C-62E7-4F5C-AACB-2BE64EC0F25D}" name="ESP9UHDH - ESP hevX"/>
    <tableColumn id="7" xr3:uid="{D1086749-6FC0-44B0-AA7B-2376FA578944}" name="ESP9.3TE - ESP Standard for light trucks"/>
    <tableColumn id="8" xr3:uid="{783FB788-1F43-4616-BB65-7BA634EE516E}" name="ESP9.3TA - ESP Standard for medium heavy trucks"/>
    <tableColumn id="9" xr3:uid="{312C4A07-A44D-4C04-B2AE-59E93E45E550}" name="ESP10CB - ESP Standard"/>
    <tableColumn id="10" xr3:uid="{9088025F-BE0A-4683-84B5-E459D7955F37}" name="ESP10HB - ESP hevX"/>
    <tableColumn id="11" xr3:uid="{30A0B65B-5CE2-4B4E-8AC2-3B636AA2BA61}" name="ESP10CE - ESP Standard"/>
    <tableColumn id="12" xr3:uid="{139B9602-6F55-4E9B-885B-53D8CCC53EDF}" name="ESP10HE - ESP hevX"/>
    <tableColumn id="13" xr3:uid="{B41A575A-80B9-4854-A504-28D3BCB8156B}" name="ESP10CL - ESP Standard"/>
    <tableColumn id="14" xr3:uid="{49C20F9F-0208-4D58-B7CA-A38F22B6C74D}" name="ESP10CP - ESP Standard"/>
    <tableColumn id="15" xr3:uid="{CB7FFB48-930B-4E00-817B-02E7EF9B6342}" name="ESP10HP - ESP hevX"/>
    <tableColumn id="16" xr3:uid="{834B6273-E0E6-48B0-8327-BA07C8B5E5FF}" name="ESP10CU - ESP Standard"/>
    <tableColumn id="19" xr3:uid="{8FB5393F-54A9-460E-875D-B785CBA572D3}" name="ESP10HU - ESP hevX"/>
    <tableColumn id="29" xr3:uid="{78A1C568-650A-44D9-A808-DBB6CFED81B3}" name="ESP10TE - ESP Standard for trucks" dataDxfId="107"/>
    <tableColumn id="26" xr3:uid="{7DFDF39B-911A-46EC-8725-3ADECD11317B}" name="ESP10TP - ESP Standard for trucks" dataDxfId="106"/>
    <tableColumn id="20" xr3:uid="{978AC682-3282-437C-B6B7-760C8713F2F3}" name="ESP10TU - ESP Standard for trucks" dataDxfId="105"/>
    <tableColumn id="25" xr3:uid="{36D2E991-178B-4D37-8121-47F4BDD8C4BC}" name="IPB 1.0 Size Se"/>
    <tableColumn id="24" xr3:uid="{4FF5DC4C-AD9E-4CCA-A216-3148B4E456EE}" name="IPB 1.1 Size Sd"/>
    <tableColumn id="23" xr3:uid="{00603E99-0F3C-4C4C-AEBF-4172AD7FBE0C}" name="IPB 1.1 Size Se"/>
    <tableColumn id="22" xr3:uid="{588E2B72-8424-47BA-9D8A-B43C515D039C}" name="IPB 2.0 Size S"/>
    <tableColumn id="17" xr3:uid="{12C9EFBF-1D21-4289-94B6-E0B8486F46BE}" name="IPB 2.0 Size M"/>
    <tableColumn id="27" xr3:uid="{C760E8FD-C891-4A7F-BA2E-11B89B46AF68}" name="IPB 2.0 Size L"/>
    <tableColumn id="28" xr3:uid="{11392EA6-5B40-48F2-8A1D-A688934EDE39}" name="DPB Size M"/>
    <tableColumn id="18" xr3:uid="{D62E4588-FC7A-4595-88B0-DFBC881C35EE}" name="DPB Size L"/>
    <tableColumn id="21" xr3:uid="{C832609E-28F8-4150-9896-FDC878294CC4}" name="Competitor"/>
  </tableColumns>
  <tableStyleInfo name="TableStyleMedium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6C5F26EE-E621-48D3-8651-699ED65B9420}" name="tab_thermal_layout" displayName="tab_thermal_layout" ref="A208:AC211" totalsRowShown="0" headerRowBorderDxfId="104" tableBorderDxfId="103">
  <autoFilter ref="A208:AC211" xr:uid="{00000000-0009-0000-0100-000027000000}"/>
  <tableColumns count="29">
    <tableColumn id="1" xr3:uid="{1134EB9C-7537-4003-A82C-D14C1ED6CBD8}" name="ESP9.3CB - ESP Standard"/>
    <tableColumn id="2" xr3:uid="{2A711D3F-DBB0-45B4-80D9-F710E308456A}" name="ESP9.3CP - ESP Standard"/>
    <tableColumn id="3" xr3:uid="{778D931F-894A-4D8A-9815-3A344761A964}" name="ESP9UHDS - ESP Standard"/>
    <tableColumn id="4" xr3:uid="{191AA752-2E5C-4125-AA01-B0A6515729DC}" name="ESP9.3HP - ESP hevX"/>
    <tableColumn id="5" xr3:uid="{26AAA506-265B-4478-90EA-F688ACB87120}" name="ESP9.3HU - ESP hevII"/>
    <tableColumn id="6" xr3:uid="{2CB7020E-0EEA-4202-B300-71674C3B9497}" name="ESP9UHDH - ESP hevX"/>
    <tableColumn id="7" xr3:uid="{963F6AFE-BEFE-449A-894A-43A120880F6A}" name="ESP9.3TE - ESP Standard for light trucks"/>
    <tableColumn id="8" xr3:uid="{93D3642C-8C57-4EA9-B591-D52968C2D37C}" name="ESP9.3TA - ESP Standard for medium heavy trucks"/>
    <tableColumn id="9" xr3:uid="{DA1CA039-01FC-4811-979A-39CA69696CD9}" name="ESP10CB - ESP Standard"/>
    <tableColumn id="10" xr3:uid="{8B18474B-A911-43AF-B484-DB303837D2E3}" name="ESP10HB - ESP hevX"/>
    <tableColumn id="11" xr3:uid="{6565ED37-02CE-48E5-B9BD-6A329FEF12E7}" name="ESP10CE - ESP Standard"/>
    <tableColumn id="12" xr3:uid="{07E68D21-5FED-49F9-A5CA-347C333C0AF6}" name="ESP10HE - ESP hevX"/>
    <tableColumn id="13" xr3:uid="{FC3C3B2B-2317-4E2D-A9A2-35E6AC657E09}" name="ESP10CL - ESP Standard"/>
    <tableColumn id="14" xr3:uid="{063E4DC1-D08B-4598-A909-258547AB469A}" name="ESP10CP - ESP Standard"/>
    <tableColumn id="15" xr3:uid="{382EA96C-9330-49CB-9B07-A199439DD51B}" name="ESP10HP - ESP hevX"/>
    <tableColumn id="16" xr3:uid="{A556F200-F945-4293-ACFC-4FF93E241A34}" name="ESP10CU - ESP Standard"/>
    <tableColumn id="19" xr3:uid="{5660CAA4-D21C-492E-ABF0-9D7B9A4C4383}" name="ESP10HU - ESP hevX"/>
    <tableColumn id="29" xr3:uid="{B3A97F09-F065-440C-A07C-F1DCA64500EF}" name="ESP10TE - ESP Standard for trucks" dataDxfId="102"/>
    <tableColumn id="28" xr3:uid="{6F737E59-FF73-443B-9812-893E6D46E109}" name="ESP10TP - ESP Standard for trucks" dataDxfId="101"/>
    <tableColumn id="20" xr3:uid="{58879F6A-2CCE-40A4-AF82-978E53A4E580}" name="ESP10TU - ESP Standard for trucks" dataDxfId="100"/>
    <tableColumn id="17" xr3:uid="{7553BBE8-7E87-4A6B-B567-377666D05E2E}" name="IPB 1.0 Size Se"/>
    <tableColumn id="18" xr3:uid="{758CDD21-DB11-4077-A0B6-C67C1C469B40}" name="IPB 1.1 Size Sd"/>
    <tableColumn id="21" xr3:uid="{58ACF2AB-17BE-4BF5-97B2-DD8FF295F1EA}" name="IPB 1.1 Size Se"/>
    <tableColumn id="22" xr3:uid="{E6803A15-5F2B-44A7-88F2-4C947A146143}" name="IPB 2.0 Size S"/>
    <tableColumn id="23" xr3:uid="{1B4AC07C-F92F-4E27-BA20-2A47CC6CFEDA}" name="IPB 2.0 Size M"/>
    <tableColumn id="24" xr3:uid="{1EAAE149-3066-46A2-AFF6-C410D992C1B8}" name="IPB 2.0 Size L"/>
    <tableColumn id="25" xr3:uid="{ADCD2F6C-18F4-482B-B0D8-06F211E66F65}" name="DPB Size M"/>
    <tableColumn id="26" xr3:uid="{A6F6C028-BFA4-4125-ACDB-49919D1A6F51}" name="DPB Size L"/>
    <tableColumn id="27" xr3:uid="{A260BC13-F905-4E69-B80B-F6F1912BBD41}" name="Competitor"/>
  </tableColumns>
  <tableStyleInfo name="TableStyleMedium9"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206F3E92-10FF-4CA0-8B35-635E52AA66E1}" name="tab_ECU" displayName="tab_ECU" ref="A221:AC223" totalsRowShown="0" headerRowBorderDxfId="99" tableBorderDxfId="98">
  <autoFilter ref="A221:AC223" xr:uid="{00000000-0009-0000-0100-000028000000}"/>
  <tableColumns count="29">
    <tableColumn id="1" xr3:uid="{3F5B1A10-DFF8-416C-9ABA-D2F20625B778}" name="ESP9.3CB - ESP Standard"/>
    <tableColumn id="2" xr3:uid="{1CF6B254-C51E-409E-A762-86BE22B58F11}" name="ESP9.3CP - ESP Standard"/>
    <tableColumn id="3" xr3:uid="{8A2D9AA7-BD37-4C54-9C36-48BEA6132671}" name="ESP9UHDS - ESP Standard"/>
    <tableColumn id="4" xr3:uid="{81F14108-6E0A-48A6-9494-4A712FAB481F}" name="ESP9.3HP - ESP hevX"/>
    <tableColumn id="5" xr3:uid="{DC12C0E2-B7DC-42E9-AA48-DECEC06FE5DB}" name="ESP9.3HU - ESP hevII"/>
    <tableColumn id="6" xr3:uid="{D6B75BD3-9B30-4B02-8297-20535294D449}" name="ESP9UHDH - ESP hevX"/>
    <tableColumn id="7" xr3:uid="{104BB023-80DD-4FAD-BE79-811C40C52BE1}" name="ESP9.3TE - ESP Standard for light trucks"/>
    <tableColumn id="8" xr3:uid="{7ED88896-DF9F-4E06-8AF4-C1324297D790}" name="ESP9.3TA - ESP Standard for medium heavy trucks"/>
    <tableColumn id="9" xr3:uid="{4075F586-B1D7-4ED1-A23D-31ADF48708F6}" name="ESP10CB - ESP Standard"/>
    <tableColumn id="10" xr3:uid="{FB2714C9-5214-4739-9CB2-66D3280402A7}" name="ESP10HB - ESP hevX"/>
    <tableColumn id="11" xr3:uid="{C6F9D5D4-BA31-4404-9878-9435D5FAD287}" name="ESP10CE - ESP Standard"/>
    <tableColumn id="12" xr3:uid="{0A295081-DA6F-43D6-A9EF-5F6B574ED000}" name="ESP10HE - ESP hevX"/>
    <tableColumn id="13" xr3:uid="{EBC039FC-0860-41E9-A859-B9E88BD185C5}" name="ESP10CL - ESP Standard"/>
    <tableColumn id="14" xr3:uid="{27931382-2F9D-4E27-88DE-A5A2741B307C}" name="ESP10CP - ESP Standard"/>
    <tableColumn id="15" xr3:uid="{507D269F-71D3-4F38-AFB6-D85A63DA6946}" name="ESP10HP - ESP hevX"/>
    <tableColumn id="16" xr3:uid="{4712CCF6-0132-4B90-8C16-D7E61335CFCD}" name="ESP10CU - ESP Standard"/>
    <tableColumn id="20" xr3:uid="{7500ED18-A46F-4E29-A866-C8E7D2DBF21D}" name="ESP10HU - ESP hevX"/>
    <tableColumn id="29" xr3:uid="{C096AB83-7ECE-4CB5-8BE3-81855BDB0B54}" name="ESP10TE - ESP Standard for trucks" dataDxfId="97"/>
    <tableColumn id="28" xr3:uid="{8E6CF5E5-5266-49DD-B03B-F4FA4352B777}" name="ESP10TP - ESP Standard for trucks" dataDxfId="96"/>
    <tableColumn id="19" xr3:uid="{17F33946-505E-4D63-B004-0A3A517458B8}" name="ESP10TU - ESP Standard for trucks" dataDxfId="95"/>
    <tableColumn id="17" xr3:uid="{945251B8-63B8-4D14-A116-5A2AE0D714C2}" name="IPB 1.0 Size Se"/>
    <tableColumn id="18" xr3:uid="{EDA3E579-4E5C-4A5A-8BA9-A01799843028}" name="IPB 1.1 Size Sd"/>
    <tableColumn id="21" xr3:uid="{4A82FA66-9FB0-4263-B236-A424B65E5BC5}" name="IPB 1.1 Size Se"/>
    <tableColumn id="22" xr3:uid="{D0462FF2-92B3-45C0-A7DC-141FC74D9D1A}" name="IPB 2.0 Size S"/>
    <tableColumn id="23" xr3:uid="{E59E90F5-1E55-4C69-BF6C-C373B60AA29F}" name="IPB 2.0 Size M"/>
    <tableColumn id="24" xr3:uid="{65CF5243-C13E-47AD-98D4-4A40955B80F6}" name="IPB 2.0 Size L"/>
    <tableColumn id="25" xr3:uid="{611F152B-2047-472A-8519-FE9AD17E8CBF}" name="DPB Size M"/>
    <tableColumn id="26" xr3:uid="{1B3D88E1-24EB-4A00-B7D0-CEC73378B8F6}" name="DPB Size L"/>
    <tableColumn id="27" xr3:uid="{06BEDDFC-1A77-4580-BE49-198B658D48A1}" name="Competitor"/>
  </tableColumns>
  <tableStyleInfo name="TableStyleMedium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A8EC98DB-D9BF-4FE0-B3AE-B8FB20DBAAAB}" name="tab_automated_parking" displayName="tab_automated_parking" ref="A338:AC340" totalsRowShown="0" headerRowBorderDxfId="94" tableBorderDxfId="93">
  <autoFilter ref="A338:AC340" xr:uid="{00000000-0009-0000-0100-000029000000}"/>
  <tableColumns count="29">
    <tableColumn id="1" xr3:uid="{17A5C225-FBE1-496E-AAAB-BB535906EB65}" name="ESP9.3CB - ESP Standard"/>
    <tableColumn id="2" xr3:uid="{A00C2437-9537-4B59-A810-D99480017016}" name="ESP9.3CP - ESP Standard"/>
    <tableColumn id="3" xr3:uid="{AE9A1D04-BE47-4540-9E2C-5A156A28B465}" name="ESP9UHDS - ESP Standard"/>
    <tableColumn id="4" xr3:uid="{11B3B4CF-3246-4974-A7DC-9874DFB4A5CA}" name="ESP9.3HP - ESP hevX"/>
    <tableColumn id="5" xr3:uid="{AE330B24-BE44-452A-B491-20B8A82F5C50}" name="ESP9.3HU - ESP hevII"/>
    <tableColumn id="6" xr3:uid="{F03C83BE-BBF1-4C1F-8E99-3CCA56937727}" name="ESP9UHDH - ESP hevX"/>
    <tableColumn id="7" xr3:uid="{28C2CD90-3FE8-4F4F-87AD-0AC2B3533321}" name="ESP9.3TE - ESP Standard for light trucks"/>
    <tableColumn id="8" xr3:uid="{F7DD37B2-B3A3-4317-850E-8A00FBA6D237}" name="ESP9.3TA - ESP Standard for medium heavy trucks"/>
    <tableColumn id="9" xr3:uid="{938727B0-3E6C-4F41-8F5A-BE1BCAB689CF}" name="ESP10CB - ESP Standard"/>
    <tableColumn id="10" xr3:uid="{4F3D2894-1ECE-4ABA-8506-114312C43E3E}" name="ESP10HB - ESP hevX"/>
    <tableColumn id="11" xr3:uid="{3133DD30-0C48-4D84-A0A3-0B30C851F04D}" name="ESP10CE - ESP Standard"/>
    <tableColumn id="12" xr3:uid="{0FE49A8C-9580-4798-A154-F7224FD7679E}" name="ESP10HE - ESP hevX"/>
    <tableColumn id="13" xr3:uid="{F6D22DD5-7774-48E2-AB33-74FE7AF7BAC6}" name="ESP10CL - ESP Standard"/>
    <tableColumn id="14" xr3:uid="{A5FCEDD2-CCBD-4465-856A-8F3600200508}" name="ESP10CP - ESP Standard"/>
    <tableColumn id="15" xr3:uid="{1DABF333-EE54-4F3B-ACD4-6430EFC427E6}" name="ESP10HP - ESP hevX"/>
    <tableColumn id="16" xr3:uid="{2B876286-22BD-4C4E-9AE1-F963BFB1703C}" name="ESP10CU - ESP Standard"/>
    <tableColumn id="17" xr3:uid="{EF99F6FF-16DD-434E-8D9D-3F4331E966A9}" name="ESP10HU - ESP hevX"/>
    <tableColumn id="29" xr3:uid="{6EB8F850-D80E-41F5-AEF6-4FB4AE75C6CF}" name="ESP10TE - ESP Standard for trucks" dataDxfId="92"/>
    <tableColumn id="28" xr3:uid="{C421EC2D-9EEA-4524-A067-E3A1C10B7CC3}" name="ESP10TP - ESP Standard for trucks" dataDxfId="91"/>
    <tableColumn id="20" xr3:uid="{4E7F04F0-1942-41BE-9C0C-1135D9899ADD}" name="ESP10TU - ESP Standard for trucks" dataDxfId="90"/>
    <tableColumn id="19" xr3:uid="{ECF57833-BE08-4F0A-9BCD-A103570574E2}" name="IPB 1.0 Size Se"/>
    <tableColumn id="18" xr3:uid="{4115A2FC-8299-4660-B5DA-84F869090B3A}" name="IPB 1.1 Size Sd"/>
    <tableColumn id="21" xr3:uid="{BB525107-3A19-4DBF-BACF-921026B190CF}" name="IPB 1.1 Size Se"/>
    <tableColumn id="22" xr3:uid="{1940CDFC-F289-4411-8076-9E5A3DC79B41}" name="IPB 2.0 Size S"/>
    <tableColumn id="23" xr3:uid="{5D8708B5-0004-4FFE-8230-A4F9159D8788}" name="IPB 2.0 Size M"/>
    <tableColumn id="24" xr3:uid="{6EFC8A0E-7453-43D3-9E63-B98F3D43AA3D}" name="IPB 2.0 Size L"/>
    <tableColumn id="25" xr3:uid="{A607F1E6-F663-4165-926C-DDD5B0502340}" name="DPB Size M"/>
    <tableColumn id="26" xr3:uid="{33A0ED62-ED42-4A37-9D5A-180F16A0A6DA}" name="DPB Size L"/>
    <tableColumn id="27" xr3:uid="{FDB2F46D-7C76-45AD-95D2-447933FB794B}" name="Competitor"/>
  </tableColumns>
  <tableStyleInfo name="TableStyleMedium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0D68CF4E-D02D-4A46-9467-9746A5F37A0D}" name="tab_Requested_Redundancy" displayName="tab_Requested_Redundancy" ref="A343:AC347" totalsRowShown="0" headerRowBorderDxfId="89" tableBorderDxfId="88">
  <autoFilter ref="A343:AC347" xr:uid="{00000000-0009-0000-0100-00002A000000}"/>
  <tableColumns count="29">
    <tableColumn id="1" xr3:uid="{892D1BB9-F00F-4425-B03D-9B8C5A0D34A5}" name="ESP9.3CB - ESP Standard"/>
    <tableColumn id="2" xr3:uid="{6F502E19-9E91-4A3B-84FB-EF6A5C811F38}" name="ESP9.3CP - ESP Standard"/>
    <tableColumn id="3" xr3:uid="{DAE088E8-A419-4BE7-AC5D-A0635FCCB986}" name="ESP9UHDS - ESP Standard"/>
    <tableColumn id="4" xr3:uid="{73A28BB7-2FB3-48ED-B2F3-A7AF7B174AFF}" name="ESP9.3HP - ESP hevX"/>
    <tableColumn id="5" xr3:uid="{6DF3EF26-CC8B-463E-9513-9368C81DBA93}" name="ESP9.3HU - ESP hevII"/>
    <tableColumn id="6" xr3:uid="{7A50E326-A064-47AA-9C9C-B588C7073454}" name="ESP9UHDH - ESP hevX"/>
    <tableColumn id="7" xr3:uid="{C096FCE7-7677-4217-94AC-032204542F25}" name="ESP9.3TE - ESP Standard for light trucks"/>
    <tableColumn id="8" xr3:uid="{84F5BDA2-D0F7-448E-9C60-F57A44CF9A58}" name="ESP9.3TA - ESP Standard for medium heavy trucks"/>
    <tableColumn id="9" xr3:uid="{21194320-D50E-4AE7-9F96-D409BBB28804}" name="ESP10CB - ESP Standard"/>
    <tableColumn id="10" xr3:uid="{9B9BAEED-C718-489B-97FD-0C512F6D2360}" name="ESP10HB - ESP hevX"/>
    <tableColumn id="11" xr3:uid="{0B607B65-CFC8-4442-90A5-BD6075C1399E}" name="ESP10CE - ESP Standard"/>
    <tableColumn id="12" xr3:uid="{800BBD88-B178-48D6-AD06-0E471DD9751D}" name="ESP10HE - ESP hevX"/>
    <tableColumn id="13" xr3:uid="{4CD405B3-409A-404A-B9C2-52F47E0CB29D}" name="ESP10CL - ESP Standard"/>
    <tableColumn id="14" xr3:uid="{67A14365-87CC-4EDF-ACE7-890A20036F40}" name="ESP10CP - ESP Standard"/>
    <tableColumn id="15" xr3:uid="{596F9C6D-D7BA-4566-B8C9-ED290CC4F5C3}" name="ESP10HP - ESP hevX"/>
    <tableColumn id="16" xr3:uid="{1A985ADD-3A66-459A-9971-9AB118C343A5}" name="ESP10CU - ESP Standard"/>
    <tableColumn id="17" xr3:uid="{51C8F8D9-33C5-4643-9268-5C3FFA4892B3}" name="ESP10HU - ESP hevX"/>
    <tableColumn id="29" xr3:uid="{1F43C687-2538-4087-A7DA-953CEDBD8F19}" name="ESP10TE - ESP Standard for trucks" dataDxfId="87"/>
    <tableColumn id="28" xr3:uid="{02380C70-06B1-4789-9520-1DB13599E7A4}" name="ESP10TP - ESP Standard for trucks" dataDxfId="86"/>
    <tableColumn id="19" xr3:uid="{76C75DB7-FA20-49F5-9907-A0076F40C595}" name="ESP10TU - ESP Standard for trucks" dataDxfId="85"/>
    <tableColumn id="21" xr3:uid="{3E8EA0EB-D64F-4934-864D-15D5916E279B}" name="IPB 1.0 Size Se"/>
    <tableColumn id="18" xr3:uid="{B3FF3827-195A-4BE6-9DC7-1B2573477B33}" name="IPB 1.1 Size Sd"/>
    <tableColumn id="20" xr3:uid="{59A74B6D-BA77-4F2E-A711-87B83566BDB1}" name="IPB 1.1 Size Se"/>
    <tableColumn id="22" xr3:uid="{C4A8CF27-7947-4709-A506-F6195FA55F67}" name="IPB 2.0 Size S"/>
    <tableColumn id="23" xr3:uid="{C68DD72F-C236-488A-B288-1DCFDAAD0E38}" name="IPB 2.0 Size M"/>
    <tableColumn id="24" xr3:uid="{031B8BF2-36C7-4060-AC80-AB4AC2BA0F6A}" name="IPB 2.0 Size L"/>
    <tableColumn id="25" xr3:uid="{E6F699FD-9D3B-4F41-8B50-D701E946C1F0}" name="DPB Size M"/>
    <tableColumn id="26" xr3:uid="{205FEEC8-A032-4C21-8118-2F79BB467CF5}" name="DPB Size L"/>
    <tableColumn id="27" xr3:uid="{C96E4365-20A0-42F8-87C9-3645AB308443}" name="Competitor"/>
  </tableColumns>
  <tableStyleInfo name="TableStyleMedium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A7BEE240-22D5-4F80-B322-837C459A5265}" name="tab_duration_backup_parking" displayName="tab_duration_backup_parking" ref="A386:AC388" totalsRowShown="0" headerRowBorderDxfId="84" tableBorderDxfId="83">
  <autoFilter ref="A386:AC388" xr:uid="{00000000-0009-0000-0100-00002B000000}"/>
  <tableColumns count="29">
    <tableColumn id="1" xr3:uid="{80E5495B-E174-4486-93F7-A83B7BC2B163}" name="ESP9.3CB - ESP Standard"/>
    <tableColumn id="2" xr3:uid="{71671DC5-9B90-4778-A46F-03AC7B6E144E}" name="ESP9.3CP - ESP Standard"/>
    <tableColumn id="3" xr3:uid="{27231B3B-2D69-47F4-B6B7-9DB801B58C8B}" name="ESP9UHDS - ESP Standard"/>
    <tableColumn id="4" xr3:uid="{8154B19A-01D7-443F-B28D-65F718A4F51E}" name="ESP9.3HP - ESP hevX"/>
    <tableColumn id="5" xr3:uid="{38873971-6B78-47E9-A847-3CC9CE4F9CFA}" name="ESP9.3HU - ESP hevII"/>
    <tableColumn id="6" xr3:uid="{3319CDD2-7993-4888-A702-FDEA425D9CD0}" name="ESP9UHDH - ESP hevX"/>
    <tableColumn id="7" xr3:uid="{0DDDAB6E-85FF-4243-9A43-0CD3A81E17BD}" name="ESP9.3TE - ESP Standard for light trucks"/>
    <tableColumn id="8" xr3:uid="{3512ACDF-8030-4EF2-A007-BD36E67E2EA5}" name="ESP9.3TA - ESP Standard for medium heavy trucks"/>
    <tableColumn id="9" xr3:uid="{3C5500A4-107D-4ACB-8288-831B9976FCF0}" name="ESP10CB - ESP Standard"/>
    <tableColumn id="10" xr3:uid="{C0E4E56E-EE9D-494D-A4E6-7283053826AD}" name="ESP10HB - ESP hevX"/>
    <tableColumn id="11" xr3:uid="{60B9ECFB-049E-436B-91B7-D264E291C869}" name="ESP10CE - ESP Standard"/>
    <tableColumn id="12" xr3:uid="{5E199677-DF4B-42C0-8770-F3AC6E902447}" name="ESP10HE - ESP hevX"/>
    <tableColumn id="13" xr3:uid="{201EAA1E-221C-420E-A55B-7620553DBC19}" name="ESP10CL - ESP Standard"/>
    <tableColumn id="14" xr3:uid="{36FDF724-F26D-4D79-A081-A4D804850C6B}" name="ESP10CP - ESP Standard"/>
    <tableColumn id="15" xr3:uid="{7D618CD5-CD83-41B6-9A00-6F5AF7072F30}" name="ESP10HP - ESP hevX"/>
    <tableColumn id="16" xr3:uid="{AF13FDA8-FB1F-4834-9BE2-5E5EAECB4429}" name="ESP10CU - ESP Standard"/>
    <tableColumn id="17" xr3:uid="{68D2120B-9C10-4DC8-BF48-24B9A25F46B4}" name="ESP10HU - ESP hevX"/>
    <tableColumn id="29" xr3:uid="{4B3F2166-644B-4C3E-A95D-32E360852903}" name="ESP10TE - ESP Standard for trucks" dataDxfId="82"/>
    <tableColumn id="28" xr3:uid="{35ADBB0A-F84C-4D3C-9083-B20E1E87BFB0}" name="ESP10TP - ESP Standard for trucks" dataDxfId="81"/>
    <tableColumn id="19" xr3:uid="{75E2808A-CAD6-404A-91DF-B14D04CF174F}" name="ESP10TU - ESP Standard for trucks" dataDxfId="80"/>
    <tableColumn id="20" xr3:uid="{31A0ABA3-0D35-43D6-8E4F-315AC21D0822}" name="IPB 1.0 Size Se"/>
    <tableColumn id="18" xr3:uid="{1163C292-7ABB-485D-B20F-FC5869349B38}" name="IPB 1.1 Size Sd"/>
    <tableColumn id="21" xr3:uid="{1F513ED7-EB0B-423F-AB92-40CD75ACF69F}" name="IPB 1.1 Size Se"/>
    <tableColumn id="22" xr3:uid="{FAC827C6-5C92-4B68-9106-09F2B570A858}" name="IPB 2.0 Size S"/>
    <tableColumn id="23" xr3:uid="{E05B5CC0-6B7D-466F-AF1C-C349FBFC95A6}" name="IPB 2.0 Size M"/>
    <tableColumn id="24" xr3:uid="{28CB0B76-AC0C-49F6-B4DB-F2762B61E26F}" name="IPB 2.0 Size L"/>
    <tableColumn id="25" xr3:uid="{8019183A-8C1F-4348-87F7-2D838F708CE9}" name="DPB Size M"/>
    <tableColumn id="26" xr3:uid="{2A1A4FE2-AE29-42B2-81E8-B4E4D6BFE773}" name="DPB Size L"/>
    <tableColumn id="27" xr3:uid="{07D92046-7AA8-4231-9327-D3CE51202D3B}" name="Competitor"/>
  </tableColumns>
  <tableStyleInfo name="TableStyleMedium9"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ACA40AF9-D0A6-4319-BBD6-3BAFE37F5043}" name="tab_driver_takeover_time" displayName="tab_driver_takeover_time" ref="A393:AC396" totalsRowShown="0" headerRowBorderDxfId="79" tableBorderDxfId="78">
  <autoFilter ref="A393:AC396" xr:uid="{00000000-0009-0000-0100-00002C000000}"/>
  <tableColumns count="29">
    <tableColumn id="1" xr3:uid="{0A31EF54-F956-4C98-BADD-0F5A6FBBE976}" name="ESP9.3CB - ESP Standard"/>
    <tableColumn id="2" xr3:uid="{D4BE5473-998E-40B5-B8D7-391D73F61B92}" name="ESP9.3CP - ESP Standard"/>
    <tableColumn id="3" xr3:uid="{89D098A4-C418-4F4D-AEFE-1F1F8599E9F9}" name="ESP9UHDS - ESP Standard"/>
    <tableColumn id="4" xr3:uid="{9A1D3AF2-A6BE-4E44-9DB2-80104F9F8F89}" name="ESP9.3HP - ESP hevX"/>
    <tableColumn id="5" xr3:uid="{654FF7FF-0F34-4575-A115-0EEF483505C3}" name="ESP9.3HU - ESP hevII"/>
    <tableColumn id="6" xr3:uid="{3D2B2F01-86C2-45C2-9BC7-83F5C06A466F}" name="ESP9UHDH - ESP hevX"/>
    <tableColumn id="7" xr3:uid="{2BAB0177-70D3-4E09-ABDC-CF5E3971CA91}" name="ESP9.3TE - ESP Standard for light trucks"/>
    <tableColumn id="8" xr3:uid="{A98ECB2A-263F-4FCA-9947-BCCBB153DAD1}" name="ESP9.3TA - ESP Standard for medium heavy trucks"/>
    <tableColumn id="9" xr3:uid="{0C232211-75C7-46E0-A7B5-2EB0E38BDE26}" name="ESP10CB - ESP Standard"/>
    <tableColumn id="10" xr3:uid="{92A0D535-BE1C-4DF9-8F8F-83092AC7F01D}" name="ESP10HB - ESP hevX"/>
    <tableColumn id="11" xr3:uid="{F95BB193-CF8B-476B-88C6-796CBD9D174D}" name="ESP10CE - ESP Standard"/>
    <tableColumn id="12" xr3:uid="{DCD12FB6-7D75-4A13-A5E9-E129D766AA39}" name="ESP10HE - ESP hevX"/>
    <tableColumn id="13" xr3:uid="{FC6E8095-D254-47F3-B4CD-F4F69430E783}" name="ESP10CL - ESP Standard"/>
    <tableColumn id="14" xr3:uid="{3C51D5AD-4E9D-402D-93C3-B32E55D86F94}" name="ESP10CP - ESP Standard"/>
    <tableColumn id="15" xr3:uid="{694A6D74-C842-4C06-9C53-C0924DC74217}" name="ESP10HP - ESP hevX"/>
    <tableColumn id="16" xr3:uid="{6F05E2AC-C829-40B1-A959-2920A6CCFC95}" name="ESP10CU - ESP Standard"/>
    <tableColumn id="17" xr3:uid="{639A3B91-D085-4C9A-B8AE-D3337D85F983}" name="ESP10HU - ESP hevX"/>
    <tableColumn id="29" xr3:uid="{244C46BD-123D-4121-BF40-5E149590EED7}" name="ESP10TE - ESP Standard for trucks" dataDxfId="77"/>
    <tableColumn id="28" xr3:uid="{34ABB67A-8F27-4D34-8903-D1E4C3EED869}" name="ESP10TP - ESP Standard for trucks" dataDxfId="76"/>
    <tableColumn id="19" xr3:uid="{57474540-01AD-40DE-B418-E69C737211CD}" name="ESP10TU - ESP Standard for trucks" dataDxfId="75"/>
    <tableColumn id="20" xr3:uid="{1AA07560-D5FB-4CFB-96BC-197B7D5D1BA0}" name="IPB 1.0 Size Se"/>
    <tableColumn id="18" xr3:uid="{279A0E2B-E73F-4B8F-9C4A-20951EE4B0C7}" name="IPB 1.1 Size Sd"/>
    <tableColumn id="21" xr3:uid="{12A5C278-7372-4398-AEF3-4D597304F858}" name="IPB 1.1 Size Se"/>
    <tableColumn id="22" xr3:uid="{1441F8CC-D346-4040-B3A9-AF44EA69A9E8}" name="IPB 2.0 Size S"/>
    <tableColumn id="23" xr3:uid="{F70BD53E-7E8E-46AD-85EA-04AC02521068}" name="IPB 2.0 Size M"/>
    <tableColumn id="24" xr3:uid="{DEB4BC77-2861-48CA-88A8-9AA3D5518345}" name="IPB 2.0 Size L"/>
    <tableColumn id="25" xr3:uid="{FB1A179D-5B7D-4F73-98B4-F9ABAC5DAC1D}" name="DPB Size M"/>
    <tableColumn id="26" xr3:uid="{3455C5DD-403D-4093-B288-F0B888D74104}" name="DPB Size L"/>
    <tableColumn id="27" xr3:uid="{DC30CA6A-8EBF-4DAC-92CD-AD97003AB083}" name="Competitor"/>
  </tableColumns>
  <tableStyleInfo name="TableStyleMedium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FBD125BD-749B-47F1-A1D8-790BE2104934}" name="tab_ib_motor" displayName="tab_ib_motor" ref="A286:I289" totalsRowShown="0" tableBorderDxfId="74">
  <autoFilter ref="A286:I289" xr:uid="{00000000-0009-0000-0100-00001A000000}"/>
  <tableColumns count="9">
    <tableColumn id="1" xr3:uid="{219B2C68-6B3E-4B91-9F5E-01D70D3CB05B}" name="Vacuum Booster"/>
    <tableColumn id="2" xr3:uid="{AB5063FB-B6CD-4850-93BA-72625A6CCD96}" name="iBoosterGen1"/>
    <tableColumn id="3" xr3:uid="{45919B57-A36E-485A-81C0-C9E9318C1484}" name="iBoostergen2"/>
    <tableColumn id="9" xr3:uid="{8881ACBA-3C3E-472E-B983-999F07C04F0A}" name="iBoostergen2evo"/>
    <tableColumn id="4" xr3:uid="{FDC70ED4-D95B-4959-9078-40C7798FA064}" name="DPB"/>
    <tableColumn id="5" xr3:uid="{2E536F3E-3E2A-4CAF-B336-D9D52E5675B1}" name="Hydromax"/>
    <tableColumn id="6" xr3:uid="{507EDA03-F684-4B0F-92DE-C4325B2C99F3}" name="Hydro-Boost"/>
    <tableColumn id="7" xr3:uid="{B820B266-BA4D-4423-87F2-8031C86ABB04}" name="BWA Size S"/>
    <tableColumn id="8" xr3:uid="{2C258F67-0713-4E35-ACE4-9F0996B345F3}" name="BWA Size M"/>
  </tableColumns>
  <tableStyleInfo name="TableStyleMedium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3306C680-1134-4EC0-9FD6-A62253ACB787}" name="tab_variant_status" displayName="tab_variant_status" ref="M5:M10" totalsRowShown="0">
  <autoFilter ref="M5:M10" xr:uid="{00000000-0009-0000-0100-00002E000000}"/>
  <tableColumns count="1">
    <tableColumn id="1" xr3:uid="{BB84CD17-9437-49D0-95A4-8E6C92511B0B}" name="Variant Status"/>
  </tableColumns>
  <tableStyleInfo name="TableStyleMedium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82012D20-575F-4224-8968-15DE2484C4F6}" name="tab_outlet_valve_front" displayName="tab_outlet_valve_front" ref="A129:AC134" totalsRowShown="0" tableBorderDxfId="73">
  <autoFilter ref="A129:AC134" xr:uid="{00000000-0009-0000-0100-00002D000000}"/>
  <tableColumns count="29">
    <tableColumn id="1" xr3:uid="{B307BE25-BE25-4339-920F-65B3FF502841}" name="ESP9.3CB - ESP Standard"/>
    <tableColumn id="2" xr3:uid="{87E63020-A6C2-4474-8767-B90499089D38}" name="ESP9.3CP - ESP Standard"/>
    <tableColumn id="3" xr3:uid="{B288167B-9307-4126-B07D-8194F38B953C}" name="ESP9UHDS - ESP Standard"/>
    <tableColumn id="4" xr3:uid="{D8FEA668-F011-4059-83E5-A583448E3BEB}" name="ESP9.3HP - ESP hevX"/>
    <tableColumn id="5" xr3:uid="{50D8DBD2-E18E-470A-9BD9-92BA10EAEC47}" name="ESP9.3HU - ESP hevII"/>
    <tableColumn id="6" xr3:uid="{8DAA5886-FA7D-4172-82F0-409FC62EC7AD}" name="ESP9UHDH - ESP hevX"/>
    <tableColumn id="7" xr3:uid="{DE7C101F-BC6A-459E-AD6F-4B3C15392B34}" name="ESP9.3TE - ESP Standard for light trucks"/>
    <tableColumn id="8" xr3:uid="{49182BA8-A300-47A2-8409-799008D5B3BC}" name="ESP9.3TA - ESP Standard for medium heavy trucks"/>
    <tableColumn id="9" xr3:uid="{79F4A78C-7E5F-4CEA-AE68-2D25C7B29B91}" name="ESP10CB - ESP Standard"/>
    <tableColumn id="10" xr3:uid="{4A615D81-1049-4EBF-84CC-0A68A6A1ECA6}" name="ESP10HB - ESP hevX"/>
    <tableColumn id="11" xr3:uid="{5FD8E2A0-A06D-4E58-B646-3CA7907C5B26}" name="ESP10CE - ESP Standard"/>
    <tableColumn id="12" xr3:uid="{558AE2D7-5BAA-4038-92B3-A6CE152FB8D7}" name="ESP10HE - ESP hevX"/>
    <tableColumn id="13" xr3:uid="{9D227A98-AC59-4A0E-84E4-3C7D58EEE033}" name="ESP10CL - ESP Standard"/>
    <tableColumn id="14" xr3:uid="{6CA739B0-DE63-4FF2-ACDE-C5815C181877}" name="ESP10CP - ESP Standard"/>
    <tableColumn id="15" xr3:uid="{3F2113B4-6FA6-4B16-B19D-FFB92D3DE98C}" name="ESP10HP - ESP hevX"/>
    <tableColumn id="16" xr3:uid="{E40C33DB-97EB-48FC-938D-D11EDDE4B9D6}" name="ESP10CU - ESP Standard"/>
    <tableColumn id="17" xr3:uid="{29B14EA0-DA02-4DD2-A8DF-690B10DCC464}" name="ESP10HU - ESP hevX"/>
    <tableColumn id="29" xr3:uid="{08DC250D-B6AD-4858-86AA-482CDEFE2935}" name="ESP10TE - ESP Standard for trucks" dataDxfId="72"/>
    <tableColumn id="28" xr3:uid="{30A3677E-681F-4A5F-8CBD-BC3187AA2E14}" name="ESP10TP - ESP Standard for trucks" dataDxfId="71"/>
    <tableColumn id="19" xr3:uid="{BEB4CF7B-9595-4588-937C-88CBF0D64B1A}" name="ESP10TU - ESP Standard for trucks" dataDxfId="70"/>
    <tableColumn id="24" xr3:uid="{B49B72EB-1DF1-4D9F-99F6-204195231658}" name="IPB 1.0 Size Se"/>
    <tableColumn id="23" xr3:uid="{E9A3F237-2F55-406C-A776-824F96AAC291}" name="IPB 1.1 Size Sd"/>
    <tableColumn id="27" xr3:uid="{C8AC04BA-D06D-456A-A35C-42BA08FE294A}" name="IPB 1.1 Size Se"/>
    <tableColumn id="26" xr3:uid="{5DF60DD0-136C-4BB2-ABCF-A0F465A41052}" name="IPB 2.0 Size S"/>
    <tableColumn id="25" xr3:uid="{7498B06D-24A4-43D1-9228-E6A71A37D28F}" name="IPB 2.0 Size M"/>
    <tableColumn id="22" xr3:uid="{BF88B604-4E28-4E87-BBE1-9DC75B1D3E5B}" name="IPB 2.0 Size L"/>
    <tableColumn id="20" xr3:uid="{C6AEEC38-AD15-40F1-98DE-CF9497FF6740}" name="DPB Size M"/>
    <tableColumn id="18" xr3:uid="{8356E3A3-F9A1-4EB4-9CCA-B004EC41549B}" name="DPB Size L"/>
    <tableColumn id="21" xr3:uid="{7540E5E3-EC87-4F61-8078-46EB7BD91F29}" name="Competitor"/>
  </tableColumns>
  <tableStyleInfo name="TableStyleMedium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9DA90D72-8122-4C95-9BCD-0E39C12D0F12}" name="tab_motor_control" displayName="tab_motor_control" ref="A371:AC373" totalsRowShown="0" headerRowBorderDxfId="69" tableBorderDxfId="68">
  <autoFilter ref="A371:AC373" xr:uid="{00000000-0009-0000-0100-000030000000}"/>
  <tableColumns count="29">
    <tableColumn id="1" xr3:uid="{C00E5596-E2B8-4BA1-A02B-DDF4F4549354}" name="ESP9.3CB - ESP Standard"/>
    <tableColumn id="2" xr3:uid="{CC1C54A3-CF88-47E9-A6E9-EDEB9DED5C79}" name="ESP9.3CP - ESP Standard"/>
    <tableColumn id="3" xr3:uid="{9090F264-6026-4A51-8BDD-4674CCC47D5B}" name="ESP9UHDS - ESP Standard"/>
    <tableColumn id="4" xr3:uid="{65ED4DF8-26D3-475A-9CFE-8936FA6561CD}" name="ESP9.3HP - ESP hevX"/>
    <tableColumn id="5" xr3:uid="{365C6642-D918-41E7-BFB0-F733F7EEF3FD}" name="ESP9.3HU - ESP hevII"/>
    <tableColumn id="6" xr3:uid="{CEA78F18-576F-49E1-9929-55C0378D2353}" name="ESP9UHDH - ESP hevX"/>
    <tableColumn id="7" xr3:uid="{D68740CC-A797-4525-BF16-05263E204935}" name="ESP9.3TE - ESP Standard for light trucks"/>
    <tableColumn id="8" xr3:uid="{014716FC-5572-46A6-BE7C-F909D6A3D25C}" name="ESP9.3TA - ESP Standard for medium heavy trucks"/>
    <tableColumn id="9" xr3:uid="{598D1847-274D-4785-9CC0-D389DCB9032B}" name="ESP10CB - ESP Standard"/>
    <tableColumn id="10" xr3:uid="{ED6A0735-6BE7-4DF4-9C39-71E33B3F21F8}" name="ESP10HB - ESP hevX"/>
    <tableColumn id="11" xr3:uid="{D0C02C77-CCFD-4330-BA03-EE5286F33065}" name="ESP10CE - ESP Standard"/>
    <tableColumn id="12" xr3:uid="{02699E2A-D012-419C-BA83-63ADD82C11A3}" name="ESP10HE - ESP hevX"/>
    <tableColumn id="13" xr3:uid="{8012ADA2-E1FB-474C-AD12-F20E3B1BFD1E}" name="ESP10CL - ESP Standard"/>
    <tableColumn id="14" xr3:uid="{B9D1244F-DE83-4C4F-841D-92135DE408E2}" name="ESP10CP - ESP Standard"/>
    <tableColumn id="15" xr3:uid="{F46E980F-8DCB-4722-A1BC-30F8259D2317}" name="ESP10HP - ESP hevX"/>
    <tableColumn id="16" xr3:uid="{1DCC460B-3FBD-4CEE-BB9E-34558E7A097E}" name="ESP10CU - ESP Standard"/>
    <tableColumn id="17" xr3:uid="{90C993A8-878E-46E9-898C-33221FEF5FFA}" name="ESP10HU - ESP hevX"/>
    <tableColumn id="29" xr3:uid="{CF7D993E-84E2-4A6A-9F78-F4F01A42EC74}" name="ESP10TE - ESP Standard for trucks" dataDxfId="67"/>
    <tableColumn id="28" xr3:uid="{BEAF96F2-389D-4971-A907-38DBF38BADD2}" name="ESP10TP - ESP Standard for trucks" dataDxfId="66"/>
    <tableColumn id="19" xr3:uid="{0940455E-6495-422F-A923-A3E22B744ECA}" name="ESP10TU - ESP Standard for trucks" dataDxfId="65"/>
    <tableColumn id="20" xr3:uid="{C5EF31D2-DD7A-4879-9E59-DBFA9F1665A8}" name="IPB 1.0 Size Se"/>
    <tableColumn id="18" xr3:uid="{47096E2A-BDF1-4A7F-B4AA-94D2E8CB61EB}" name="IPB 1.1 Size Sd"/>
    <tableColumn id="21" xr3:uid="{5C433882-455A-445D-B8D3-7927F61B9B4B}" name="IPB 1.1 Size Se"/>
    <tableColumn id="22" xr3:uid="{4EE0ABA4-C7A5-4DB6-816D-EACA373E7277}" name="IPB 2.0 Size S"/>
    <tableColumn id="23" xr3:uid="{D1BE0441-6C0E-4911-AE93-5B4EF39D0D0A}" name="IPB 2.0 Size M"/>
    <tableColumn id="24" xr3:uid="{95926067-B4E2-41EB-9765-3E77E271F36B}" name="IPB 2.0 Size L"/>
    <tableColumn id="25" xr3:uid="{14FCAC09-59FF-43B3-9870-1CC564DFD9FC}" name="DPB Size M"/>
    <tableColumn id="26" xr3:uid="{19979B44-E724-4358-8415-A1541E77D460}" name="DPB Size L"/>
    <tableColumn id="27" xr3:uid="{15EE2456-442A-4AA8-ACFD-EC6CFE615AB0}" name="Competitor"/>
  </tableColumns>
  <tableStyleInfo name="TableStyleMedium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B2CF2706-304D-4F91-9828-ADA2A9866649}" name="Tabelle49" displayName="Tabelle49" ref="A400:A402" totalsRowShown="0">
  <autoFilter ref="A400:A402" xr:uid="{6C34CF33-7BB7-4911-B9BB-AE8A097FF7FB}"/>
  <tableColumns count="1">
    <tableColumn id="1" xr3:uid="{49ED71E7-7F4E-44FC-8417-860521F69AF7}" name="Version"/>
  </tableColumns>
  <tableStyleInfo name="TableStyleMedium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DA11400E-D919-410D-933D-D97DF9C28A5B}" name="tab_Actuation" displayName="tab_Actuation" ref="A37:AA47" totalsRowShown="0" headerRowBorderDxfId="64" tableBorderDxfId="63">
  <autoFilter ref="A37:AA47" xr:uid="{00000000-0009-0000-0100-00000C000000}"/>
  <tableColumns count="27">
    <tableColumn id="1" xr3:uid="{FA74563E-E583-47DF-A7E5-BF65F47DA7B2}" name="ESP9.3CB - ESP Standard"/>
    <tableColumn id="2" xr3:uid="{347DEF1D-78DB-4DD7-ADBE-2B0CDDF7F089}" name="ESP9.3CP - ESP Standard" dataDxfId="62"/>
    <tableColumn id="3" xr3:uid="{FC52024F-98A8-4482-9280-785336F3D3A5}" name="ESP9UHDS - ESP Standard" dataDxfId="61"/>
    <tableColumn id="4" xr3:uid="{ED9E7320-6EB9-4BAC-B774-BE31F622F75F}" name="ESP9.3HP - ESP hevX" dataDxfId="60"/>
    <tableColumn id="5" xr3:uid="{37F40E3C-162F-41A1-8D08-A4BFA87E8AC3}" name="ESP9.3HU - ESP hevII" dataDxfId="59"/>
    <tableColumn id="6" xr3:uid="{FDBF5159-B9E6-4277-98D1-D1AB831BEE42}" name="ESP9UHDH - ESP hevX" dataDxfId="58"/>
    <tableColumn id="7" xr3:uid="{CE6E4F16-E55A-441A-A5D8-2133598AA675}" name="ESP9.3TE - ESP Standard for light trucks" dataDxfId="57"/>
    <tableColumn id="8" xr3:uid="{6BCDF225-B270-4CC2-8E6A-4C29BF50E242}" name="ESP9.3TA - ESP Standard for medium heavy trucks" dataDxfId="56"/>
    <tableColumn id="11" xr3:uid="{900F9C2C-6CF3-465D-99C8-0C33C1040839}" name="ESP10CB - ESP Standard" dataDxfId="55"/>
    <tableColumn id="12" xr3:uid="{8B287CE3-F4C4-499B-B8FF-D3F6E31FB4A1}" name="ESP10HB - ESP hevX" dataDxfId="54"/>
    <tableColumn id="13" xr3:uid="{B180EC4B-66A2-4D44-9054-533CA8707C79}" name="ESP10CE - ESP Standard" dataDxfId="53"/>
    <tableColumn id="14" xr3:uid="{388B993B-D8E2-4346-BC1C-FDDD32CB9ABC}" name="ESP10HE - ESP hevX" dataDxfId="52"/>
    <tableColumn id="15" xr3:uid="{0068AC77-E72C-4E91-B472-7BDC35F1AF81}" name="ESP10CL - ESP Standard" dataDxfId="51"/>
    <tableColumn id="16" xr3:uid="{6A19CD12-ED19-4DBF-BE05-B2B0C93EC8B9}" name="ESP10CP - ESP Standard" dataDxfId="50"/>
    <tableColumn id="17" xr3:uid="{F60784EA-BCC0-4C26-BFE2-EAAA867C8BBE}" name="ESP10HP - ESP hevX" dataDxfId="49"/>
    <tableColumn id="18" xr3:uid="{093D2F50-16A5-4F4A-B6FE-ADFB16D82AF3}" name="ESP10CU - ESP Standard" dataDxfId="48"/>
    <tableColumn id="9" xr3:uid="{E392A1F3-9C7E-49AB-A955-29B8A229B259}" name="ESP10HU - ESP hevX" dataDxfId="47"/>
    <tableColumn id="26" xr3:uid="{2D362EFB-AF5D-46FE-BD01-930A0E21BD7C}" name="ESP10TE - ESP Standard for trucks" dataDxfId="46"/>
    <tableColumn id="22" xr3:uid="{6E918D1F-4E60-4638-AEC0-E51CB649C5E7}" name="ESP10TP - ESP Standard for trucks" dataDxfId="45"/>
    <tableColumn id="10" xr3:uid="{798BE042-90CD-44FC-9516-0978EE32E459}" name="ESP10TU - ESP Standard for trucks" dataDxfId="44"/>
    <tableColumn id="25" xr3:uid="{DDAE437E-D6F3-4214-9CA6-C55493997916}" name="IPB 1.0 Size Se" dataDxfId="43"/>
    <tableColumn id="24" xr3:uid="{E38D752D-6CF7-41E8-A28F-02D1972DC9F5}" name="IPB 1.1 Size Sd" dataDxfId="42"/>
    <tableColumn id="23" xr3:uid="{D3D48034-AD44-4BFC-9ABF-20840B0B6E51}" name="IPB 1.1 Size Se" dataDxfId="41"/>
    <tableColumn id="20" xr3:uid="{2681A0CF-74B2-4CB0-A3F9-2FAAFEB57E27}" name="IPB 2.0 Size S" dataDxfId="40"/>
    <tableColumn id="27" xr3:uid="{1A0D7B57-2BD6-40CE-BC1A-4B59C2F72C8B}" name="IPB 2.0 Size M" dataDxfId="39"/>
    <tableColumn id="19" xr3:uid="{0F07E93B-46EE-45AA-ADF6-77ABE0C992E6}" name="IPB 2.0 Size L" dataDxfId="38"/>
    <tableColumn id="21" xr3:uid="{75BEF501-4E2C-40B4-8F55-B0D244B60338}" name="Competitor" dataDxfId="37"/>
  </tableColumns>
  <tableStyleInfo name="TableStyleMedium1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D19A0D0-2478-41BA-8125-CEB9B5C96DDD}" name="tab_IPB_Blending_strategy" displayName="tab_IPB_Blending_strategy" ref="N5:N7" totalsRowShown="0">
  <autoFilter ref="N5:N7" xr:uid="{5D19A0D0-2478-41BA-8125-CEB9B5C96DDD}"/>
  <tableColumns count="1">
    <tableColumn id="1" xr3:uid="{41A1A14E-F6AD-4E0E-B460-2F1D568B8C6E}" name="IPB Blending strategy"/>
  </tableColumns>
  <tableStyleInfo name="TableStyleMedium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86DBEBE-F52C-41AE-96D9-09B413403B78}" name="tab_ib_motor3" displayName="tab_ib_motor3" ref="A293:I296" totalsRowShown="0" tableBorderDxfId="36">
  <autoFilter ref="A293:I296" xr:uid="{686DBEBE-F52C-41AE-96D9-09B413403B78}"/>
  <tableColumns count="9">
    <tableColumn id="1" xr3:uid="{F625EA02-B0B0-48C8-86C7-0155D17F7757}" name="Vacuum Booster"/>
    <tableColumn id="2" xr3:uid="{3A3A2726-B458-47D8-B957-DB6E504A5EC4}" name="iBoosterGen1"/>
    <tableColumn id="3" xr3:uid="{AD0E0270-83A1-4B69-958E-89AD53210730}" name="iBoostergen2"/>
    <tableColumn id="9" xr3:uid="{097DDCCB-99D0-4391-86AB-EC3B051F3DE4}" name="iBoostergen2evo"/>
    <tableColumn id="4" xr3:uid="{235B51D3-EF4C-4F77-AB73-E0AEDDAFCC71}" name="DPB"/>
    <tableColumn id="5" xr3:uid="{6CDEBEC5-B7DF-41C1-B783-D810B414EEE8}" name="Hydromax"/>
    <tableColumn id="6" xr3:uid="{55EA31CA-CA42-4D57-9607-0D762B97DF23}" name="Hydro-Boost"/>
    <tableColumn id="7" xr3:uid="{535CA0DC-CD9D-4135-A921-E1BAA0DFFA54}" name="BWA Size S"/>
    <tableColumn id="8" xr3:uid="{50D39D90-FC0F-4A96-BB08-097E94819180}" name="BWA Size M"/>
  </tableColumns>
  <tableStyleInfo name="TableStyleMedium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4E5CE46-8F96-49FD-8DC9-A9A1536741F1}" name="tab_ib_motor34" displayName="tab_ib_motor34" ref="A300:I305" totalsRowShown="0" tableBorderDxfId="35">
  <autoFilter ref="A300:I305" xr:uid="{44E5CE46-8F96-49FD-8DC9-A9A1536741F1}"/>
  <tableColumns count="9">
    <tableColumn id="1" xr3:uid="{E0EC3B1D-8F68-4202-9F21-CCF0A3430E1D}" name="Vacuum Booster"/>
    <tableColumn id="2" xr3:uid="{833D0FB0-4DFE-4C37-9654-BA0EC5573DC2}" name="iBoosterGen1"/>
    <tableColumn id="3" xr3:uid="{84A7ED80-370F-4D77-8661-307E291B6317}" name="iBoostergen2"/>
    <tableColumn id="9" xr3:uid="{4E360F93-4D9F-4205-AAF2-BBFD26874FA3}" name="iBoostergen2evo"/>
    <tableColumn id="4" xr3:uid="{76A7919C-651F-4C88-AD3A-B5A0BCC4E609}" name="DPB"/>
    <tableColumn id="5" xr3:uid="{07A5B826-4522-493A-B4B3-E1CD7E1870D7}" name="Hydromax"/>
    <tableColumn id="6" xr3:uid="{5483D066-81BB-4700-8DA8-75715A5003F9}" name="Hydro-Boost"/>
    <tableColumn id="7" xr3:uid="{16667ED0-706F-44BE-B90A-E77B1899D315}" name="BWA Size S"/>
    <tableColumn id="8" xr3:uid="{F941ED06-F744-440F-9035-C5CF63FD142F}" name="BWA Size M"/>
  </tableColumns>
  <tableStyleInfo name="TableStyleMedium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E9A275-104E-434E-9BCC-EADCE8E78468}" name="tab_IIS_Sensor" displayName="tab_IIS_Sensor" ref="A215:AC217" totalsRowShown="0" headerRowBorderDxfId="34" tableBorderDxfId="33">
  <autoFilter ref="A215:AC217" xr:uid="{08E9A275-104E-434E-9BCC-EADCE8E78468}"/>
  <tableColumns count="29">
    <tableColumn id="1" xr3:uid="{81EAA68B-6389-4302-83A7-04C2FDF24E99}" name="ESP9.3CB - ESP Standard"/>
    <tableColumn id="2" xr3:uid="{08CD2313-542B-4AE0-8A95-53BA80138AD9}" name="ESP9.3CP - ESP Standard"/>
    <tableColumn id="3" xr3:uid="{B3ECAF47-F6EF-4363-9E3C-7CDA7FBC238A}" name="ESP9UHDS - ESP Standard"/>
    <tableColumn id="4" xr3:uid="{94D007F4-E407-404E-9548-12CDD74113F5}" name="ESP9.3HP - ESP hevX"/>
    <tableColumn id="5" xr3:uid="{05EC2074-87D5-4C35-92A5-7CB7CCF84A70}" name="ESP9.3HU - ESP hevII"/>
    <tableColumn id="6" xr3:uid="{5A34D22A-3DFF-44E7-B321-6868251D7044}" name="ESP9UHDH - ESP hevX"/>
    <tableColumn id="7" xr3:uid="{28E48C67-D9C7-4312-A125-3A2202D46A20}" name="ESP9.3TE - ESP Standard for light trucks"/>
    <tableColumn id="8" xr3:uid="{771751D2-4B09-4E1A-AF89-D9D1198A9B37}" name="ESP9.3TA - ESP Standard for medium heavy trucks"/>
    <tableColumn id="9" xr3:uid="{E765EDC8-CAB8-48E2-B555-3C0340E0A517}" name="ESP10CB - ESP Standard"/>
    <tableColumn id="10" xr3:uid="{78846DE9-4EAE-428B-A7B9-ACCC81A0682C}" name="ESP10HB - ESP hevX"/>
    <tableColumn id="11" xr3:uid="{A74C866A-E0A4-442F-8B34-6F930AA78FCC}" name="ESP10CE - ESP Standard"/>
    <tableColumn id="12" xr3:uid="{3C4D780A-CD2C-4496-89CC-18CE62767A4D}" name="ESP10HE - ESP hevX"/>
    <tableColumn id="13" xr3:uid="{0C5470D5-B80C-4F5E-BAD0-662D4E91D8C9}" name="ESP10CL - ESP Standard"/>
    <tableColumn id="14" xr3:uid="{9817D8EC-1EF5-451B-AE97-9FC2D10EAE10}" name="ESP10CP - ESP Standard"/>
    <tableColumn id="15" xr3:uid="{88E7A5BE-11A5-42F5-957F-E0B5AA300801}" name="ESP10HP - ESP hevX"/>
    <tableColumn id="16" xr3:uid="{264A8342-3303-4C5D-874E-9C5B906CDBB1}" name="ESP10CU - ESP Standard"/>
    <tableColumn id="19" xr3:uid="{E78C7F86-AE71-4764-ADF6-6A83F4D90539}" name="ESP10HU - ESP hevX"/>
    <tableColumn id="29" xr3:uid="{5735116D-247A-4A8C-B5B7-7C33A4D15F29}" name="ESP10TE - ESP Standard for trucks" dataDxfId="32"/>
    <tableColumn id="28" xr3:uid="{77D543E6-D9D9-4358-AC2D-10CCB91A7786}" name="ESP10TP - ESP Standard for trucks" dataDxfId="31"/>
    <tableColumn id="20" xr3:uid="{482EA9E5-7F69-40E4-A0CB-E178B0B160BA}" name="ESP10TU - ESP Standard for trucks" dataDxfId="30"/>
    <tableColumn id="17" xr3:uid="{822D37C5-C28A-4E51-9E60-FA06F6C3610E}" name="IPB 1.0 Size Se"/>
    <tableColumn id="18" xr3:uid="{6A5739D2-9E06-4C85-B17C-F599C90100CD}" name="IPB 1.1 Size Sd"/>
    <tableColumn id="21" xr3:uid="{44D430CF-7FDE-4836-ABA6-1343D04FEE58}" name="IPB 1.1 Size Se"/>
    <tableColumn id="22" xr3:uid="{77EF7E5D-5AEB-4E6C-B511-26E16723D385}" name="IPB 2.0 Size S"/>
    <tableColumn id="23" xr3:uid="{9F0437AA-8641-4A62-B7C1-50280E9E6C77}" name="IPB 2.0 Size M"/>
    <tableColumn id="24" xr3:uid="{3E5387E8-3420-47DA-9DF4-BC158111196A}" name="IPB 2.0 Size L"/>
    <tableColumn id="25" xr3:uid="{05AA20CD-80F3-47B7-966F-3A5F6D9E7B1A}" name="DPB Size M"/>
    <tableColumn id="26" xr3:uid="{05B7E0CA-A452-411E-BA48-588FB3826D91}" name="DPB Size L"/>
    <tableColumn id="27" xr3:uid="{25B8057F-2DF1-4D0D-976A-C33E2130E973}" name="Competitor"/>
  </tableColumns>
  <tableStyleInfo name="TableStyleMedium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C056331-1FF6-4209-B507-0B9EB80DD19B}" name="tab_volt_mod" displayName="tab_volt_mod" ref="A87:AC89" totalsRowShown="0">
  <autoFilter ref="A87:AC89" xr:uid="{8C056331-1FF6-4209-B507-0B9EB80DD19B}"/>
  <tableColumns count="29">
    <tableColumn id="1" xr3:uid="{680640E5-2FE5-4299-8DA2-5184D6B810FB}" name="ESP9.3CB - ESP Standard"/>
    <tableColumn id="2" xr3:uid="{D913C645-1F7B-4EB6-87A0-10D1CF8BF5D0}" name="ESP9.3CP - ESP Standard"/>
    <tableColumn id="3" xr3:uid="{981FABA3-F383-451E-AF19-89CA8DF31869}" name="ESP9UHDS - ESP Standard"/>
    <tableColumn id="4" xr3:uid="{A9BA385E-35B4-4436-837D-8C56343725BD}" name="ESP9.3HP - ESP hevX"/>
    <tableColumn id="5" xr3:uid="{41E62C51-25AA-4889-91E2-B1D4B5BFE5D2}" name="ESP9.3HU - ESP hevII"/>
    <tableColumn id="6" xr3:uid="{511B1CAA-31B1-49EE-995B-5C12387E55EE}" name="ESP9UHDH - ESP hevX"/>
    <tableColumn id="7" xr3:uid="{FBA68DE4-DAB8-4578-B41A-B6D486C96AA5}" name="ESP9.3TE - ESP Standard for light trucks"/>
    <tableColumn id="8" xr3:uid="{BAF8B3A1-C81F-4A1E-9049-5700090681AD}" name="ESP9.3TA - ESP Standard for medium heavy trucks"/>
    <tableColumn id="9" xr3:uid="{26B8BB95-A8F2-419C-B4DA-2B0AD3ECF68A}" name="ESP10CB - ESP Standard"/>
    <tableColumn id="10" xr3:uid="{85F8FFD3-2C5F-4FC2-ABB4-376E5EAAC66A}" name="ESP10HB - ESP hevX"/>
    <tableColumn id="11" xr3:uid="{103B8943-240B-46C5-A10D-8334D47F1A0F}" name="ESP10CE - ESP Standard"/>
    <tableColumn id="12" xr3:uid="{646C802B-7ABB-41B5-80B3-65450A116611}" name="ESP10HE - ESP hevX"/>
    <tableColumn id="13" xr3:uid="{9B2913BA-2DDB-4C5A-9039-84F43986FFBC}" name="ESP10CL - ESP Standard"/>
    <tableColumn id="14" xr3:uid="{89FB4B8A-DF21-4572-B5BD-D1A5064D5961}" name="ESP10CP - ESP Standard"/>
    <tableColumn id="15" xr3:uid="{EDCA0DB4-20B1-4F7F-B999-1D7E9CAFA13A}" name="ESP10HP - ESP hevX"/>
    <tableColumn id="16" xr3:uid="{C32BC260-4972-43E0-A50D-841A3A30D917}" name="ESP10CU - ESP Standard"/>
    <tableColumn id="17" xr3:uid="{F880B66C-D44D-4682-ADAE-BCD41677513B}" name="ESP10HU - ESP hevX"/>
    <tableColumn id="18" xr3:uid="{32A2BC3D-F1F3-4C4B-9861-449A06794C2C}" name="ESP10TE - ESP Standard for trucks" dataDxfId="29"/>
    <tableColumn id="19" xr3:uid="{66EF36E4-02BA-4A49-B3B6-1B360092ACA2}" name="ESP10TP - ESP Standard for trucks" dataDxfId="28"/>
    <tableColumn id="20" xr3:uid="{3043233A-7F9C-42E4-B520-35D3A19CEFB4}" name="ESP10TU - ESP Standard for trucks" dataDxfId="27"/>
    <tableColumn id="21" xr3:uid="{06469DFB-B751-4CEC-80F9-8DCCF4967881}" name="IPB 1.0 Size Se"/>
    <tableColumn id="22" xr3:uid="{6490B54F-7CAA-423C-ABDF-004643DBEBCE}" name="IPB 1.1 Size Sd"/>
    <tableColumn id="23" xr3:uid="{AC6E0376-EA72-42B2-AFD7-065081F1B748}" name="IPB 1.1 Size Se"/>
    <tableColumn id="24" xr3:uid="{AC9D235C-0C80-414A-8F49-DF9186693EE8}" name="IPB 2.0 Size S"/>
    <tableColumn id="25" xr3:uid="{3499CD2B-C876-4CCF-A1E6-B91AEAD29B9B}" name="IPB 2.0 Size M"/>
    <tableColumn id="26" xr3:uid="{EFEF809D-5F29-487B-B6DE-BF2DDAA26D31}" name="IPB 2.0 Size L"/>
    <tableColumn id="27" xr3:uid="{2E144B77-470F-4F36-BDFE-AEE03ADF8B62}" name="DPB Size M"/>
    <tableColumn id="28" xr3:uid="{0C6F63BC-7159-4C40-A073-EDB91FD6D654}" name="DPB Size L"/>
    <tableColumn id="29" xr3:uid="{87575718-0C1B-4D4E-A0CD-98B58803538E}" name="Competitor"/>
  </tableColumns>
  <tableStyleInfo name="TableStyleMedium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8046346-3084-493C-9A54-E0BF9E887A8D}" name="tab_volt_act" displayName="tab_volt_act" ref="A281:J283" totalsRowShown="0">
  <autoFilter ref="A281:J283" xr:uid="{F8046346-3084-493C-9A54-E0BF9E887A8D}"/>
  <tableColumns count="10">
    <tableColumn id="1" xr3:uid="{7DDF0DC4-1E40-4A85-8CA0-A032935A170A}" name="Vacuum Booster"/>
    <tableColumn id="2" xr3:uid="{68C3EE7C-737D-4A72-A4E6-86E70D14266E}" name="iBoosterGen1"/>
    <tableColumn id="3" xr3:uid="{9849AA9A-0033-4D42-A0BC-4E7D93A84408}" name="iBoostergen2"/>
    <tableColumn id="10" xr3:uid="{FD484951-B8DD-4303-A017-93AC277C6594}" name="iBoostergen2evo"/>
    <tableColumn id="9" xr3:uid="{CD411677-C54C-4724-A420-2BCC6B4B57DC}" name="DPB Size M"/>
    <tableColumn id="4" xr3:uid="{D09A6514-6E1D-41F7-BB72-1D6C04F33E79}" name="DPB Size L"/>
    <tableColumn id="5" xr3:uid="{B04F4D74-B53E-4068-B5E7-B99BDE758B89}" name="Hydromax"/>
    <tableColumn id="6" xr3:uid="{37DF6D21-0102-4607-AE03-E4243D17FF8F}" name="Hydro-Boost"/>
    <tableColumn id="7" xr3:uid="{9BAE8B4C-9583-439C-B828-D3732C10ABDE}" name="BWA Size S"/>
    <tableColumn id="8" xr3:uid="{83048CD8-9B9B-43F6-BC1C-63EBC9D58997}" name="BWA Size M"/>
  </tableColumns>
  <tableStyleInfo name="TableStyleMedium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646A32A-D541-4D45-8EEF-CEE6A0D35D7A}" name="tab_max_measureable_pedal_force" displayName="tab_max_measureable_pedal_force" ref="A227:A230" totalsRowShown="0" tableBorderDxfId="26">
  <autoFilter ref="A227:A230" xr:uid="{5646A32A-D541-4D45-8EEF-CEE6A0D35D7A}"/>
  <tableColumns count="1">
    <tableColumn id="1" xr3:uid="{55F91ECD-192A-46E5-9CD0-081CB4C23F4F}" name="Max measureable Pedal Force"/>
  </tableColumns>
  <tableStyleInfo name="TableStyleMedium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1C1AC67-085A-41C4-9FC7-55358E5C3D2B}" name="tab_ePedal_Supplier" displayName="tab_ePedal_Supplier" ref="O5:O7" totalsRowShown="0">
  <autoFilter ref="O5:O7" xr:uid="{91C1AC67-085A-41C4-9FC7-55358E5C3D2B}"/>
  <tableColumns count="1">
    <tableColumn id="1" xr3:uid="{3D2592BA-7A74-4B87-B1D1-B042DB09DEAF}" name="ePedal Supplier"/>
  </tableColumns>
  <tableStyleInfo name="TableStyleMedium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92C14A7-B830-445F-899E-863517318EB4}" name="tab_ePedal_Arch_same_as_RB" displayName="tab_ePedal_Arch_same_as_RB" ref="P5:P7" totalsRowShown="0">
  <autoFilter ref="P5:P7" xr:uid="{192C14A7-B830-445F-899E-863517318EB4}"/>
  <tableColumns count="1">
    <tableColumn id="1" xr3:uid="{807318B7-9AFF-457F-BEC0-293E3440EA73}" name="ePedal Spec_as_RB"/>
  </tableColumns>
  <tableStyleInfo name="TableStyleMedium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E10B78-FA96-4358-964C-07AE0645D17E}" name="tab_TMC_Diameter_ACT" displayName="tab_TMC_Diameter_ACT" ref="A190:L204" totalsRowShown="0" tableBorderDxfId="25">
  <autoFilter ref="A190:L204" xr:uid="{AAE10B78-FA96-4358-964C-07AE0645D17E}"/>
  <tableColumns count="12">
    <tableColumn id="1" xr3:uid="{A05B5881-5DBF-432E-9AED-4AABE2C4CC80}" name="Vacuum Booster"/>
    <tableColumn id="2" xr3:uid="{7090A5EC-A508-4995-B9B7-FE6B0F9C5567}" name="iBoosterGen1"/>
    <tableColumn id="3" xr3:uid="{EE806C3C-1791-43BF-9678-744E8FDCC93A}" name="iBoostergen2"/>
    <tableColumn id="9" xr3:uid="{515E2E2D-6C19-470C-8A02-A3CC91C6F776}" name="iBoostergen2evo"/>
    <tableColumn id="4" xr3:uid="{3401B294-C28C-4F68-B383-0571D364B0FD}" name="DPB Size M"/>
    <tableColumn id="12" xr3:uid="{43589BA7-F17E-4C22-9A7B-BF4DC5C2F989}" name="DPB Size L"/>
    <tableColumn id="5" xr3:uid="{7BCC306D-0AEB-4EE9-985C-0B23A01BDBAB}" name="Hydromax"/>
    <tableColumn id="6" xr3:uid="{023017B7-B333-4C2D-A1F2-53F0E145177D}" name="Hydro-Boost"/>
    <tableColumn id="7" xr3:uid="{CD35FDF3-893D-46F7-A978-1862F94BA3C1}" name="BWA Size S"/>
    <tableColumn id="8" xr3:uid="{C1EFEA97-4E51-48AB-997F-CDFE45E2C18F}" name="BWA Size M"/>
    <tableColumn id="10" xr3:uid="{9C100031-BDBD-4BF1-ACE4-1677A48AF503}" name="competitor coupled electrical actuation"/>
    <tableColumn id="11" xr3:uid="{861B582C-A50B-42DF-8393-D1ACB0065939}" name="competitor decoupled electrical actuation"/>
  </tableColumns>
  <tableStyleInfo name="TableStyleMedium9"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82DF188-C5A5-487A-A505-6789C3C74B58}" name="tab_foundation_1" displayName="tab_foundation_1" ref="A5:A9" totalsRowShown="0" tableBorderDxfId="24">
  <autoFilter ref="A5:A9" xr:uid="{582DF188-C5A5-487A-A505-6789C3C74B58}"/>
  <tableColumns count="1">
    <tableColumn id="1" xr3:uid="{E4E85E79-309A-42DD-AD99-AB272FBE57BC}" name="Foundation front"/>
  </tableColumns>
  <tableStyleInfo name="TableStyleMedium9"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22FE863-972D-41FE-9C71-2D131D1E0AC9}" name="tab_foundation_2" displayName="tab_foundation_2" ref="B5:B9" totalsRowShown="0" tableBorderDxfId="23">
  <autoFilter ref="B5:B9" xr:uid="{522FE863-972D-41FE-9C71-2D131D1E0AC9}"/>
  <tableColumns count="1">
    <tableColumn id="1" xr3:uid="{FB080017-618E-4C56-833F-92CBC16509FD}" name="Foundation rear"/>
  </tableColumns>
  <tableStyleInfo name="TableStyleMedium9"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9CE01D8-0FE4-443D-BB45-C062A4AFAEC7}" name="tab_redundancy" displayName="tab_redundancy" ref="A92:AC97" totalsRowShown="0">
  <autoFilter ref="A92:AC97" xr:uid="{F9CE01D8-0FE4-443D-BB45-C062A4AFAEC7}"/>
  <tableColumns count="29">
    <tableColumn id="1" xr3:uid="{55BBE057-651D-4255-8BE0-528488056583}" name="ESP9.3CB - ESP Standard"/>
    <tableColumn id="2" xr3:uid="{C039FEEB-C309-48C5-9132-CB125DA10820}" name="ESP9.3CP - ESP Standard"/>
    <tableColumn id="3" xr3:uid="{EF6AEC2D-7BCD-46A5-B585-309EAC91DEAC}" name="ESP9UHDS - ESP Standard"/>
    <tableColumn id="4" xr3:uid="{66DE8F2B-D677-46AA-88F1-2E34D8CC3103}" name="ESP9.3HP - ESP hevX"/>
    <tableColumn id="5" xr3:uid="{277BA529-577F-43E0-84C2-95975922BFDE}" name="ESP9.3HU - ESP hevII"/>
    <tableColumn id="6" xr3:uid="{8D2D50C0-04E7-424B-927F-42724D38970C}" name="ESP9UHDH - ESP hevX"/>
    <tableColumn id="7" xr3:uid="{72DC7F3B-53C8-4E68-98FC-F9F28759A3B6}" name="ESP9.3TE - ESP Standard for light trucks"/>
    <tableColumn id="8" xr3:uid="{4F11E496-F8D7-4508-9836-8AC94406EA9B}" name="ESP9.3TA - ESP Standard for medium heavy trucks"/>
    <tableColumn id="9" xr3:uid="{7D4EBDCD-A494-49BA-A8BD-8EEE76D2A895}" name="ESP10CB - ESP Standard"/>
    <tableColumn id="10" xr3:uid="{A259CB20-1334-4EC4-9A53-8E7A6A881A55}" name="ESP10HB - ESP hevX"/>
    <tableColumn id="11" xr3:uid="{A9DC67C6-09D1-4933-BE97-E80930A30561}" name="ESP10CE - ESP Standard"/>
    <tableColumn id="12" xr3:uid="{CD8ED1F1-7E18-4C74-927B-B82B325298D4}" name="ESP10HE - ESP hevX"/>
    <tableColumn id="13" xr3:uid="{E773A66D-0C9B-4F2C-9287-04BA97FC11FF}" name="ESP10CL - ESP Standard"/>
    <tableColumn id="14" xr3:uid="{F03CD7F4-5842-4F45-9F47-A6F657443C74}" name="ESP10CP - ESP Standard"/>
    <tableColumn id="15" xr3:uid="{AECDD89A-8582-4CEA-8386-3ED319B1C5B3}" name="ESP10HP - ESP hevX"/>
    <tableColumn id="16" xr3:uid="{4E4E43F2-7E95-4394-B3B6-F87F451491D1}" name="ESP10CU - ESP Standard"/>
    <tableColumn id="17" xr3:uid="{D0ACBC1A-24F6-424A-8150-0BE2AA477A0B}" name="ESP10HU - ESP hevX"/>
    <tableColumn id="18" xr3:uid="{340DFB39-F5A6-4C52-8E33-562DEAD6E5FD}" name="ESP10TE - ESP Standard for trucks" dataDxfId="22"/>
    <tableColumn id="19" xr3:uid="{6A80B6B8-4B37-48E5-8FBA-C1CC2E448C1A}" name="ESP10TP - ESP Standard for trucks" dataDxfId="21"/>
    <tableColumn id="20" xr3:uid="{06146061-ECBB-4DF0-806E-EEBF7A7638EC}" name="ESP10TU - ESP Standard for trucks" dataDxfId="20"/>
    <tableColumn id="21" xr3:uid="{19E4722D-23F8-4A30-8303-3B7E581C2852}" name="IPB 1.0 Size Se"/>
    <tableColumn id="22" xr3:uid="{09C9BB1B-5078-4165-9747-5FDEF1058FE2}" name="IPB 1.1 Size Sd"/>
    <tableColumn id="23" xr3:uid="{BBB045BE-B0C4-4A6C-86D3-50420DFD6B5E}" name="IPB 1.1 Size Se"/>
    <tableColumn id="24" xr3:uid="{E2A85D1E-C73C-4209-B843-65F54A2E7B41}" name="IPB 2.0 Size S"/>
    <tableColumn id="25" xr3:uid="{01CD0956-060F-4BD9-ABE0-B1947D7949F9}" name="IPB 2.0 Size M"/>
    <tableColumn id="26" xr3:uid="{136C098E-0E91-45B2-A323-17DBA3502DD8}" name="IPB 2.0 Size L"/>
    <tableColumn id="27" xr3:uid="{925C5F6A-4163-4563-830B-D87D6C282B09}" name="DPB Size M"/>
    <tableColumn id="28" xr3:uid="{2DEDF35F-7AC1-472B-8D53-9E97026EBBFE}" name="DPB Size L"/>
    <tableColumn id="29" xr3:uid="{307AAB14-5A9E-4F83-A736-32F520F71570}" name="Competitor"/>
  </tableColumns>
  <tableStyleInfo name="TableStyleMedium9"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14E2092-DC05-4CB5-AB80-E3882F9369F6}" name="tab_brake_force" displayName="tab_brake_force" ref="A100:AC102" totalsRowShown="0">
  <autoFilter ref="A100:AC102" xr:uid="{A14E2092-DC05-4CB5-AB80-E3882F9369F6}"/>
  <tableColumns count="29">
    <tableColumn id="1" xr3:uid="{8CEB91A4-C0C9-4089-9123-3853C945A427}" name="ESP9.3CB - ESP Standard"/>
    <tableColumn id="2" xr3:uid="{A3BDC5EB-160B-4E5C-8B3F-07923347B29D}" name="ESP9.3CP - ESP Standard"/>
    <tableColumn id="3" xr3:uid="{575ABBAF-42DE-42D4-9F0B-2F11A4E2C0E4}" name="ESP9UHDS - ESP Standard"/>
    <tableColumn id="4" xr3:uid="{BBCC02D8-EAAE-482D-8EE2-085ACE7354C7}" name="ESP9.3HP - ESP hevX"/>
    <tableColumn id="5" xr3:uid="{7B85F838-45F4-4BE5-8606-D37560C8FC1A}" name="ESP9.3HU - ESP hevII"/>
    <tableColumn id="6" xr3:uid="{2B25CF43-0411-459E-9835-7C4623213046}" name="ESP9UHDH - ESP hevX"/>
    <tableColumn id="7" xr3:uid="{EF4A1B01-FD78-451C-99DF-EE927744F64C}" name="ESP9.3TE - ESP Standard for light trucks"/>
    <tableColumn id="8" xr3:uid="{9F68244F-CE6D-4E05-8CA1-E6CA84212D48}" name="ESP9.3TA - ESP Standard for medium heavy trucks"/>
    <tableColumn id="9" xr3:uid="{0B6D2F72-E7B6-4533-9387-4C55AA11716D}" name="ESP10CB - ESP Standard"/>
    <tableColumn id="10" xr3:uid="{66E3A04E-E9C6-4ABB-A483-50873D800428}" name="ESP10HB - ESP hevX"/>
    <tableColumn id="11" xr3:uid="{AA245A10-0268-413B-83B7-052978637384}" name="ESP10CE - ESP Standard"/>
    <tableColumn id="12" xr3:uid="{C60FD5DF-3110-4C54-8D89-CFA71FBDF224}" name="ESP10HE - ESP hevX"/>
    <tableColumn id="13" xr3:uid="{5BD452C9-6D96-42F3-BA15-3C33206F8C95}" name="ESP10CL - ESP Standard"/>
    <tableColumn id="14" xr3:uid="{57EDFF86-A166-4611-A591-6C9D7C6BE832}" name="ESP10CP - ESP Standard"/>
    <tableColumn id="15" xr3:uid="{5F4F9EEE-A66D-41BB-A556-D6DB52B73335}" name="ESP10HP - ESP hevX"/>
    <tableColumn id="16" xr3:uid="{F2794FC4-EBCA-41F2-9B1C-53A5D91FD090}" name="ESP10CU - ESP Standard"/>
    <tableColumn id="17" xr3:uid="{1C13946C-50C2-459F-9449-48457DAAF67C}" name="ESP10HU - ESP hevX"/>
    <tableColumn id="18" xr3:uid="{11DA09C3-4846-49E0-9A92-B12EF404E186}" name="ESP10TE - ESP Standard for trucks" dataDxfId="19"/>
    <tableColumn id="19" xr3:uid="{1FC45FB4-3B56-4B9E-839B-B1D0FE96B1DB}" name="ESP10TP - ESP Standard for trucks" dataDxfId="18"/>
    <tableColumn id="20" xr3:uid="{24C404A0-7CF4-47C5-A26F-0CD31CA5D04D}" name="ESP10TU - ESP Standard for trucks" dataDxfId="17"/>
    <tableColumn id="21" xr3:uid="{B774AAD2-6B3D-472F-9130-183C221BC26B}" name="IPB 1.0 Size Se"/>
    <tableColumn id="22" xr3:uid="{96C82376-E74E-438A-BAE1-271D5507924C}" name="IPB 1.1 Size Sd"/>
    <tableColumn id="23" xr3:uid="{6DE1C857-2B90-4C96-8311-7DA5CE04F07F}" name="IPB 1.1 Size Se"/>
    <tableColumn id="24" xr3:uid="{71C8CF3D-7B33-4CF7-974C-F4ECE8B53A2C}" name="IPB 2.0 Size S"/>
    <tableColumn id="25" xr3:uid="{56E1BE37-7DD3-4B54-BC1C-D69EF89C5325}" name="IPB 2.0 Size M"/>
    <tableColumn id="26" xr3:uid="{12B07F91-45E6-4B1D-A42E-5AC5BC37670E}" name="IPB 2.0 Size L"/>
    <tableColumn id="27" xr3:uid="{38EAFE02-BD39-4457-9CE0-6664C33C2509}" name="DPB Size M"/>
    <tableColumn id="28" xr3:uid="{0A4A89EA-A3E3-4584-9381-28DFC61BB2A7}" name="DPB Size L"/>
    <tableColumn id="29" xr3:uid="{644C149E-8CD9-4E72-A714-4CF6DC2BAD3B}" name="Competitor"/>
  </tableColumns>
  <tableStyleInfo name="TableStyleMedium9"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F245BB8-6E8C-476A-8E3D-88AE21AD6431}" name="tab_APB_PLU" displayName="tab_APB_PLU" ref="A105:AC107" totalsRowShown="0">
  <autoFilter ref="A105:AC107" xr:uid="{1F245BB8-6E8C-476A-8E3D-88AE21AD6431}"/>
  <tableColumns count="29">
    <tableColumn id="1" xr3:uid="{352150D6-F62A-4921-B545-C7D7F4619CC8}" name="ESP9.3CB - ESP Standard"/>
    <tableColumn id="2" xr3:uid="{9714A094-5C1A-4F4D-810F-3F1107162539}" name="ESP9.3CP - ESP Standard"/>
    <tableColumn id="3" xr3:uid="{82595D2B-0F28-4980-9E62-00F9C55C0F94}" name="ESP9UHDS - ESP Standard"/>
    <tableColumn id="4" xr3:uid="{9D4EF941-E801-4AD4-A317-14492D1581B4}" name="ESP9.3HP - ESP hevX"/>
    <tableColumn id="5" xr3:uid="{7019CFE0-9E6C-48F6-A8D6-44DAFD8E6771}" name="ESP9.3HU - ESP hevII"/>
    <tableColumn id="6" xr3:uid="{0C730FF3-AB44-47AF-92F8-5A161CD3412F}" name="ESP9UHDH - ESP hevX"/>
    <tableColumn id="7" xr3:uid="{4247F424-D519-4712-A96B-D6485677CA1A}" name="ESP9.3TE - ESP Standard for light trucks"/>
    <tableColumn id="8" xr3:uid="{FBBB5A22-8DC0-4091-AB31-7F39C059C1D9}" name="ESP9.3TA - ESP Standard for medium heavy trucks"/>
    <tableColumn id="9" xr3:uid="{1EA8DFD2-AE87-4C19-9695-2B4DA1D1DB00}" name="ESP10CB - ESP Standard"/>
    <tableColumn id="10" xr3:uid="{C0C31E7A-8E0D-466C-B913-1E465053CF79}" name="ESP10HB - ESP hevX"/>
    <tableColumn id="11" xr3:uid="{F0A1DE51-7897-4B0D-8726-572F02553480}" name="ESP10CE - ESP Standard"/>
    <tableColumn id="12" xr3:uid="{AF6667A2-0E54-4765-8F46-ED82FBF97131}" name="ESP10HE - ESP hevX"/>
    <tableColumn id="13" xr3:uid="{0D0185D3-10E7-4772-B812-C136B95D3AAE}" name="ESP10CL - ESP Standard"/>
    <tableColumn id="14" xr3:uid="{7E5035E0-29F7-4B3E-B73D-2D50EC8DAA5C}" name="ESP10CP - ESP Standard"/>
    <tableColumn id="15" xr3:uid="{113D3797-5EEF-4885-95D2-24495284A8CF}" name="ESP10HP - ESP hevX"/>
    <tableColumn id="16" xr3:uid="{8CE7FF39-5469-4F3D-9D9D-2C1394110EA7}" name="ESP10CU - ESP Standard"/>
    <tableColumn id="17" xr3:uid="{AF5F385F-2E73-46D1-9113-437B528F2FBE}" name="ESP10HU - ESP hevX"/>
    <tableColumn id="18" xr3:uid="{8E44665A-2E51-47D5-B882-7A6FA9A9EF79}" name="ESP10TE - ESP Standard for trucks" dataDxfId="16"/>
    <tableColumn id="19" xr3:uid="{5102E5F3-C3B0-41FD-8D8A-652E805CC824}" name="ESP10TP - ESP Standard for trucks" dataDxfId="15"/>
    <tableColumn id="20" xr3:uid="{BCD4BC1A-A8E4-4F37-9A8D-6B08DB70AD2A}" name="ESP10TU - ESP Standard for trucks" dataDxfId="14"/>
    <tableColumn id="21" xr3:uid="{C69EE103-BBE4-4E11-BEC8-20D4AE34DC5F}" name="IPB 1.0 Size Se"/>
    <tableColumn id="22" xr3:uid="{5EE2A627-196D-4AD1-8682-B3C4D0DE175A}" name="IPB 1.1 Size Sd"/>
    <tableColumn id="23" xr3:uid="{4CD2F5F8-F901-42C6-A6F0-8E33FB0F4C5C}" name="IPB 1.1 Size Se"/>
    <tableColumn id="24" xr3:uid="{A04F5DCC-D01F-4DF5-9A96-5FCC706F8A88}" name="IPB 2.0 Size S"/>
    <tableColumn id="25" xr3:uid="{94EB154A-CE7E-4CD8-96B6-B9FD5AB4AEF3}" name="IPB 2.0 Size M"/>
    <tableColumn id="26" xr3:uid="{211FAAD5-7379-4562-AC35-4100B4B7392C}" name="IPB 2.0 Size L"/>
    <tableColumn id="27" xr3:uid="{28AF4CD1-498B-491D-BD5F-372EC5A8DB30}" name="DPB Size M"/>
    <tableColumn id="28" xr3:uid="{E7289687-85E5-48B6-85C5-7152C375C8BF}" name="DPB Size L"/>
    <tableColumn id="29" xr3:uid="{58236777-92C0-47BD-A2FB-A667CE6EC30E}" name="Competitor"/>
  </tableColumns>
  <tableStyleInfo name="TableStyleMedium9"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FF27BA1-3149-4D10-96E9-7F8C1EEF96F5}" name="tab_brake_rotor" displayName="tab_brake_rotor" ref="A233:AC236" totalsRowShown="0">
  <autoFilter ref="A233:AC236" xr:uid="{4FF27BA1-3149-4D10-96E9-7F8C1EEF96F5}"/>
  <tableColumns count="29">
    <tableColumn id="1" xr3:uid="{AA1D1787-83FD-4A26-90FF-B57DAE9FF161}" name="ESP9.3CB - ESP Standard"/>
    <tableColumn id="2" xr3:uid="{7D598FF6-639D-46E5-B5F3-F8BD9EB4250A}" name="ESP9.3CP - ESP Standard"/>
    <tableColumn id="3" xr3:uid="{2167CF02-6BAC-411D-B71E-EA54D922311D}" name="ESP9UHDS - ESP Standard"/>
    <tableColumn id="4" xr3:uid="{5983B993-6F51-4C2C-A264-BA910003D459}" name="ESP9.3HP - ESP hevX"/>
    <tableColumn id="5" xr3:uid="{B79725FE-D6EA-4EB7-83CC-88C015F1BE2B}" name="ESP9.3HU - ESP hevII"/>
    <tableColumn id="6" xr3:uid="{FBCCC3B8-EF7C-4F7D-A6B9-D3B6C043A445}" name="ESP9UHDH - ESP hevX"/>
    <tableColumn id="7" xr3:uid="{B656F298-FED7-44C6-8174-478DC52376B6}" name="ESP9.3TE - ESP Standard for light trucks"/>
    <tableColumn id="8" xr3:uid="{D81BA6C4-58CF-46C7-BB12-4742A1D6033E}" name="ESP9.3TA - ESP Standard for medium heavy trucks"/>
    <tableColumn id="9" xr3:uid="{10FD96E8-7714-44FC-8EFB-BD3A1AA22FBD}" name="ESP10CB - ESP Standard"/>
    <tableColumn id="10" xr3:uid="{A31C92C9-150C-4070-8FF1-0BBD20F56C0D}" name="ESP10HB - ESP hevX"/>
    <tableColumn id="11" xr3:uid="{048FBC7E-EA3E-4455-8B0D-06689F24E792}" name="ESP10CE - ESP Standard"/>
    <tableColumn id="12" xr3:uid="{7CE568C8-FD89-4BB1-9B5B-7F0AA933F833}" name="ESP10HE - ESP hevX"/>
    <tableColumn id="13" xr3:uid="{8E7B4DC7-B2D1-46FB-A000-47850F30AC18}" name="ESP10CL - ESP Standard"/>
    <tableColumn id="14" xr3:uid="{94CA49C0-82FE-4CAA-A771-0D24422B1A76}" name="ESP10CP - ESP Standard"/>
    <tableColumn id="15" xr3:uid="{D5E118AE-9421-4577-9F0B-BF91441A23A4}" name="ESP10HP - ESP hevX"/>
    <tableColumn id="16" xr3:uid="{1FE94428-E7BF-4AD5-80BD-8792BD407546}" name="ESP10CU - ESP Standard"/>
    <tableColumn id="17" xr3:uid="{DF8C5FF2-FAB7-40DB-8A54-295C1C83BA89}" name="ESP10HU - ESP hevX"/>
    <tableColumn id="18" xr3:uid="{A4F60B8F-6664-43EF-A78B-31AC2CCF3A2D}" name="ESP10TE - ESP Standard for trucks" dataDxfId="13"/>
    <tableColumn id="19" xr3:uid="{5E876F80-1A5A-411E-ACEE-8D4C24F2D7AD}" name="ESP10TP - ESP Standard for trucks" dataDxfId="12"/>
    <tableColumn id="20" xr3:uid="{73BB70BF-95DE-4944-B7C8-E00073DC19B0}" name="ESP10TU - ESP Standard for trucks" dataDxfId="11"/>
    <tableColumn id="21" xr3:uid="{3D5E7FD9-FED3-42C2-9360-768D8E4626B1}" name="IPB 1.0 Size Se"/>
    <tableColumn id="22" xr3:uid="{C78A5C4B-9080-48A0-8A6D-CC2492387595}" name="IPB 1.1 Size Sd"/>
    <tableColumn id="23" xr3:uid="{6C2F56FD-EDFB-4907-8154-394C5E061935}" name="IPB 1.1 Size Se"/>
    <tableColumn id="24" xr3:uid="{A0A03720-2950-4479-930E-90AEB8EF38E2}" name="IPB 2.0 Size S"/>
    <tableColumn id="25" xr3:uid="{5347E410-29F9-4EC2-B743-E963AB84131B}" name="IPB 2.0 Size M"/>
    <tableColumn id="26" xr3:uid="{7E9AB60C-EEDA-4CAF-8CFE-2BED9DC3EA1C}" name="IPB 2.0 Size L"/>
    <tableColumn id="27" xr3:uid="{CA59E946-EFF9-43DF-945E-752BC3C56D8D}" name="DPB Size M"/>
    <tableColumn id="28" xr3:uid="{9C558640-A1A0-45CD-9285-FF5C8E7B241B}" name="DPB Size L"/>
    <tableColumn id="29" xr3:uid="{204EDC97-2B5F-47DB-A195-FA752C96A39B}" name="Competitor"/>
  </tableColumns>
  <tableStyleInfo name="TableStyleMedium9"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BB9AAB3-058C-4302-816E-653A2F8CA8CA}" name="tab_friction_coef_front" displayName="tab_friction_coef_front" ref="A239:AC241" totalsRowShown="0">
  <autoFilter ref="A239:AC241" xr:uid="{FBB9AAB3-058C-4302-816E-653A2F8CA8CA}"/>
  <tableColumns count="29">
    <tableColumn id="1" xr3:uid="{B9331B6E-A71C-4258-A9C4-BD48833013E5}" name="ESP9.3CB - ESP Standard"/>
    <tableColumn id="2" xr3:uid="{6AAE80D7-80BE-4FFA-8E2D-B8431CF7AB66}" name="ESP9.3CP - ESP Standard"/>
    <tableColumn id="3" xr3:uid="{AA1D84C4-A180-4006-9198-23A13D9E6028}" name="ESP9UHDS - ESP Standard"/>
    <tableColumn id="4" xr3:uid="{58FE98B8-33DE-4A45-B1F2-E8E75F43B865}" name="ESP9.3HP - ESP hevX"/>
    <tableColumn id="5" xr3:uid="{DD9AED8E-5350-42C4-BC3B-CEFEE8B95F11}" name="ESP9.3HU - ESP hevII"/>
    <tableColumn id="6" xr3:uid="{31DCC889-95D8-4963-B593-1BEB7884DA01}" name="ESP9UHDH - ESP hevX"/>
    <tableColumn id="7" xr3:uid="{7158243F-5019-4392-98B2-E3B8E27B76A2}" name="ESP9.3TE - ESP Standard for light trucks"/>
    <tableColumn id="8" xr3:uid="{6B396A98-44A9-4077-BC4B-B3857960C09A}" name="ESP9.3TA - ESP Standard for medium heavy trucks"/>
    <tableColumn id="9" xr3:uid="{B8B738C1-EAE8-4512-A1CA-CD4AD4105782}" name="ESP10CB - ESP Standard"/>
    <tableColumn id="10" xr3:uid="{921989CF-11A6-43EC-8E4C-DA5A52271B11}" name="ESP10HB - ESP hevX"/>
    <tableColumn id="11" xr3:uid="{358A53B5-B543-4BF8-A2FA-286142192A4A}" name="ESP10CE - ESP Standard"/>
    <tableColumn id="12" xr3:uid="{08B970D3-2272-4E24-88FC-2896AE2F7615}" name="ESP10HE - ESP hevX"/>
    <tableColumn id="13" xr3:uid="{38087C77-9425-4A44-9147-09EED24374BF}" name="ESP10CL - ESP Standard"/>
    <tableColumn id="14" xr3:uid="{A6F0109C-4BC0-44F4-9413-F484993B95FE}" name="ESP10CP - ESP Standard"/>
    <tableColumn id="15" xr3:uid="{919892C7-1D6B-4593-A33C-40BCB6941B24}" name="ESP10HP - ESP hevX"/>
    <tableColumn id="16" xr3:uid="{9B24842F-161F-40B0-A8CD-038DD27D03B7}" name="ESP10CU - ESP Standard"/>
    <tableColumn id="17" xr3:uid="{74627A6A-A0D2-46FE-89D9-5CACE29C1CEE}" name="ESP10HU - ESP hevX"/>
    <tableColumn id="18" xr3:uid="{28F7E9CE-F266-43C1-8462-D4CD73E290C6}" name="ESP10TE - ESP Standard for trucks" dataDxfId="10"/>
    <tableColumn id="19" xr3:uid="{088C880B-6EA3-4C65-A839-B880BEF82154}" name="ESP10TP - ESP Standard for trucks" dataDxfId="9"/>
    <tableColumn id="20" xr3:uid="{F34B6338-EADD-463E-AC9A-F4A11BF36FC3}" name="ESP10TU - ESP Standard for trucks" dataDxfId="8"/>
    <tableColumn id="21" xr3:uid="{6B589CD1-114D-468D-8B8A-E44312E8A05D}" name="IPB 1.0 Size Se"/>
    <tableColumn id="22" xr3:uid="{7225DB0B-1DA0-470C-8E18-4349F3EC459F}" name="IPB 1.1 Size Sd"/>
    <tableColumn id="23" xr3:uid="{ADB55D8F-17C3-4E84-9128-1A1485BB7160}" name="IPB 1.1 Size Se"/>
    <tableColumn id="24" xr3:uid="{853C3026-43C7-42C5-AEDD-B9385E9F59C3}" name="IPB 2.0 Size S"/>
    <tableColumn id="25" xr3:uid="{8E3F514B-18F3-4932-9CE3-EC7414289AEC}" name="IPB 2.0 Size M"/>
    <tableColumn id="26" xr3:uid="{33512D6E-305B-4036-82DD-5D6B2037B7F1}" name="IPB 2.0 Size L"/>
    <tableColumn id="27" xr3:uid="{3F1B4F11-0EDC-4D70-B2F2-AF25EDBA03DE}" name="DPB Size M"/>
    <tableColumn id="28" xr3:uid="{BF42EF9F-9384-4BF3-9388-7FEB040ED915}" name="DPB Size L"/>
    <tableColumn id="29" xr3:uid="{A6C47DA9-EA71-4485-851D-DA3F2461E8DF}" name="Competitor"/>
  </tableColumns>
  <tableStyleInfo name="TableStyleMedium9"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D642DA7-F40D-490B-ADD4-715F1184F1E7}" name="tab_z_crit" displayName="tab_z_crit" ref="Q5:Q8" totalsRowShown="0">
  <autoFilter ref="Q5:Q8" xr:uid="{FD642DA7-F40D-490B-ADD4-715F1184F1E7}"/>
  <tableColumns count="1">
    <tableColumn id="1" xr3:uid="{4407399A-0166-4F74-88D3-B3AA3622ECA9}" name="z-critical"/>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67" Type="http://schemas.openxmlformats.org/officeDocument/2006/relationships/table" Target="../tables/table66.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4.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pageSetUpPr autoPageBreaks="0"/>
  </sheetPr>
  <dimension ref="A1:AV615"/>
  <sheetViews>
    <sheetView showGridLines="0" tabSelected="1" zoomScale="70" zoomScaleNormal="70" workbookViewId="0">
      <selection activeCell="K22" sqref="K22"/>
    </sheetView>
  </sheetViews>
  <sheetFormatPr defaultColWidth="11.44140625" defaultRowHeight="13.2"/>
  <cols>
    <col min="1" max="1" width="3" customWidth="1"/>
    <col min="2" max="3" width="26" customWidth="1"/>
    <col min="4" max="4" width="8.5546875" customWidth="1"/>
    <col min="5" max="5" width="14.6640625" customWidth="1"/>
    <col min="6" max="6" width="22" customWidth="1"/>
    <col min="7" max="13" width="15.6640625" customWidth="1"/>
    <col min="14" max="21" width="13.33203125" customWidth="1"/>
    <col min="22" max="22" width="18" customWidth="1"/>
    <col min="23" max="23" width="19.5546875" customWidth="1"/>
    <col min="24" max="24" width="4.44140625" customWidth="1"/>
    <col min="25" max="25" width="16.88671875" bestFit="1" customWidth="1"/>
    <col min="26" max="26" width="16.33203125" style="61" bestFit="1" customWidth="1"/>
  </cols>
  <sheetData>
    <row r="1" spans="1:33" s="2" customFormat="1" ht="20.399999999999999">
      <c r="A1" s="678" t="s">
        <v>110</v>
      </c>
      <c r="B1" s="679"/>
      <c r="C1" s="679"/>
      <c r="D1" s="679"/>
      <c r="E1" s="679"/>
      <c r="F1" s="679"/>
      <c r="G1" s="679"/>
      <c r="H1" s="677" t="s">
        <v>816</v>
      </c>
      <c r="I1" s="677"/>
      <c r="J1" s="677"/>
      <c r="K1" s="81"/>
      <c r="L1" s="81"/>
      <c r="M1" s="81"/>
      <c r="N1" s="81"/>
      <c r="O1" s="82"/>
      <c r="P1" s="83" t="s">
        <v>1161</v>
      </c>
      <c r="Q1" s="84"/>
      <c r="R1" s="84"/>
      <c r="S1" s="81"/>
      <c r="T1" s="81"/>
      <c r="U1" s="81"/>
      <c r="V1" s="84"/>
      <c r="W1" s="84"/>
      <c r="X1" s="85"/>
      <c r="Y1"/>
      <c r="Z1" s="61"/>
      <c r="AA1"/>
      <c r="AB1"/>
      <c r="AC1"/>
      <c r="AD1"/>
      <c r="AE1" s="1"/>
      <c r="AF1" s="1"/>
      <c r="AG1" s="1"/>
    </row>
    <row r="2" spans="1:33" s="2" customFormat="1" ht="18" thickBot="1">
      <c r="A2" s="258" t="s">
        <v>219</v>
      </c>
      <c r="B2" s="259"/>
      <c r="C2" s="259"/>
      <c r="D2" s="259"/>
      <c r="E2" s="259"/>
      <c r="F2" s="86"/>
      <c r="G2" s="86"/>
      <c r="H2" s="86"/>
      <c r="I2" s="86"/>
      <c r="J2" s="87"/>
      <c r="K2" s="86"/>
      <c r="L2" s="86" t="s">
        <v>66</v>
      </c>
      <c r="M2" s="88" t="s">
        <v>67</v>
      </c>
      <c r="N2" s="88"/>
      <c r="O2" s="88"/>
      <c r="P2" s="89" t="s">
        <v>0</v>
      </c>
      <c r="Q2" s="88" t="s">
        <v>1</v>
      </c>
      <c r="R2" s="89"/>
      <c r="S2" s="88"/>
      <c r="T2" s="88"/>
      <c r="U2" s="86"/>
      <c r="V2" s="89"/>
      <c r="W2" s="88"/>
      <c r="X2" s="90"/>
      <c r="Y2"/>
      <c r="Z2" s="61"/>
      <c r="AA2"/>
      <c r="AB2"/>
      <c r="AC2"/>
      <c r="AD2"/>
      <c r="AE2" s="1"/>
      <c r="AF2" s="1"/>
      <c r="AG2" s="1"/>
    </row>
    <row r="3" spans="1:33" ht="15.6" thickBot="1">
      <c r="A3" s="91"/>
      <c r="B3" s="92"/>
      <c r="C3" s="93"/>
      <c r="D3" s="93"/>
      <c r="E3" s="93"/>
      <c r="F3" s="94"/>
      <c r="G3" s="93" t="s">
        <v>22</v>
      </c>
      <c r="H3" s="95"/>
      <c r="I3" s="95"/>
      <c r="J3" s="96"/>
      <c r="K3" s="3"/>
      <c r="L3" s="4"/>
      <c r="M3" s="4"/>
      <c r="N3" s="4"/>
      <c r="O3" s="4"/>
      <c r="P3" s="4"/>
      <c r="Q3" s="4"/>
      <c r="R3" s="4"/>
      <c r="S3" s="4"/>
      <c r="T3" s="4"/>
      <c r="U3" s="5"/>
      <c r="V3" s="5"/>
      <c r="W3" s="5"/>
      <c r="X3" s="6"/>
    </row>
    <row r="4" spans="1:33" ht="14.4" thickBot="1">
      <c r="A4" s="8"/>
      <c r="B4" s="9"/>
      <c r="C4" s="9"/>
      <c r="D4" s="9"/>
      <c r="E4" s="9"/>
      <c r="F4" s="9"/>
      <c r="G4" s="9"/>
      <c r="H4" s="9"/>
      <c r="I4" s="9"/>
      <c r="J4" s="9"/>
      <c r="K4" s="9"/>
      <c r="L4" s="4"/>
      <c r="M4" s="5"/>
      <c r="N4" s="5"/>
      <c r="O4" s="5"/>
      <c r="P4" s="5"/>
      <c r="Q4" s="5"/>
      <c r="R4" s="5"/>
      <c r="S4" s="5"/>
      <c r="T4" s="5"/>
      <c r="U4" s="5"/>
      <c r="V4" s="5"/>
      <c r="W4" s="5"/>
      <c r="X4" s="10"/>
      <c r="Y4" s="7"/>
    </row>
    <row r="5" spans="1:33" ht="15.6" thickBot="1">
      <c r="A5" s="8"/>
      <c r="B5" s="685" t="s">
        <v>19</v>
      </c>
      <c r="C5" s="686"/>
      <c r="D5" s="686"/>
      <c r="E5" s="686"/>
      <c r="F5" s="686"/>
      <c r="G5" s="686"/>
      <c r="H5" s="686"/>
      <c r="I5" s="686"/>
      <c r="J5" s="686"/>
      <c r="K5" s="687"/>
      <c r="L5" s="4"/>
      <c r="M5" s="648" t="s">
        <v>220</v>
      </c>
      <c r="N5" s="649"/>
      <c r="O5" s="649"/>
      <c r="P5" s="649"/>
      <c r="Q5" s="650"/>
      <c r="R5" s="5"/>
      <c r="S5" s="5"/>
      <c r="T5" s="5"/>
      <c r="U5" s="5"/>
      <c r="V5" s="5"/>
      <c r="W5" s="5"/>
      <c r="X5" s="10"/>
    </row>
    <row r="6" spans="1:33" ht="13.8">
      <c r="A6" s="11"/>
      <c r="B6" s="688" t="s">
        <v>21</v>
      </c>
      <c r="C6" s="689"/>
      <c r="D6" s="689"/>
      <c r="E6" s="689"/>
      <c r="F6" s="689"/>
      <c r="G6" s="680" t="s">
        <v>1188</v>
      </c>
      <c r="H6" s="681"/>
      <c r="I6" s="681"/>
      <c r="J6" s="682"/>
      <c r="K6" s="12"/>
      <c r="L6" s="4"/>
      <c r="M6" s="48" t="s">
        <v>138</v>
      </c>
      <c r="N6" s="701" t="s">
        <v>109</v>
      </c>
      <c r="O6" s="702"/>
      <c r="P6" s="702"/>
      <c r="Q6" s="204" t="s">
        <v>661</v>
      </c>
      <c r="R6" s="5"/>
      <c r="S6" s="5"/>
      <c r="T6" s="5"/>
      <c r="U6" s="5"/>
      <c r="V6" s="5"/>
      <c r="W6" s="5"/>
      <c r="X6" s="13"/>
    </row>
    <row r="7" spans="1:33" ht="13.8">
      <c r="A7" s="8"/>
      <c r="B7" s="665" t="s">
        <v>495</v>
      </c>
      <c r="C7" s="666"/>
      <c r="D7" s="666"/>
      <c r="E7" s="666"/>
      <c r="F7" s="666"/>
      <c r="G7" s="683" t="s">
        <v>1187</v>
      </c>
      <c r="H7" s="672"/>
      <c r="I7" s="672"/>
      <c r="J7" s="673"/>
      <c r="K7" s="15"/>
      <c r="L7" s="4"/>
      <c r="M7" s="548" t="s">
        <v>1166</v>
      </c>
      <c r="N7" s="698" t="s">
        <v>1167</v>
      </c>
      <c r="O7" s="699"/>
      <c r="P7" s="700"/>
      <c r="Q7" s="310" t="s">
        <v>658</v>
      </c>
      <c r="R7" s="5"/>
      <c r="S7" s="5"/>
      <c r="T7" s="5"/>
      <c r="U7" s="5"/>
      <c r="V7" s="5"/>
      <c r="W7" s="5"/>
      <c r="X7" s="13"/>
    </row>
    <row r="8" spans="1:33" ht="13.8">
      <c r="A8" s="16"/>
      <c r="B8" s="665" t="s">
        <v>20</v>
      </c>
      <c r="C8" s="666"/>
      <c r="D8" s="666"/>
      <c r="E8" s="666"/>
      <c r="F8" s="666"/>
      <c r="G8" s="671" t="s">
        <v>1189</v>
      </c>
      <c r="H8" s="672"/>
      <c r="I8" s="672"/>
      <c r="J8" s="673"/>
      <c r="K8" s="17"/>
      <c r="L8" s="18"/>
      <c r="M8" s="548" t="s">
        <v>1168</v>
      </c>
      <c r="N8" s="676" t="s">
        <v>1169</v>
      </c>
      <c r="O8" s="676"/>
      <c r="P8" s="676"/>
      <c r="Q8" s="310" t="s">
        <v>656</v>
      </c>
      <c r="R8" s="5"/>
      <c r="S8" s="5"/>
      <c r="T8" s="5"/>
      <c r="U8" s="5"/>
      <c r="V8" s="5"/>
      <c r="W8" s="5"/>
      <c r="X8" s="13"/>
      <c r="Y8" s="14"/>
    </row>
    <row r="9" spans="1:33" ht="13.8">
      <c r="A9" s="8"/>
      <c r="B9" s="665" t="s">
        <v>786</v>
      </c>
      <c r="C9" s="666"/>
      <c r="D9" s="666"/>
      <c r="E9" s="666"/>
      <c r="F9" s="666"/>
      <c r="G9" s="684" t="s">
        <v>1190</v>
      </c>
      <c r="H9" s="681"/>
      <c r="I9" s="681"/>
      <c r="J9" s="682"/>
      <c r="K9" s="19"/>
      <c r="L9" s="4"/>
      <c r="M9" s="548" t="s">
        <v>1170</v>
      </c>
      <c r="N9" s="676" t="s">
        <v>1171</v>
      </c>
      <c r="O9" s="676"/>
      <c r="P9" s="676"/>
      <c r="Q9" s="310" t="s">
        <v>656</v>
      </c>
      <c r="R9" s="5"/>
      <c r="S9" s="5"/>
      <c r="T9" s="5"/>
      <c r="U9" s="5"/>
      <c r="V9" s="5"/>
      <c r="W9" s="5"/>
      <c r="X9" s="13"/>
      <c r="Y9" s="14"/>
    </row>
    <row r="10" spans="1:33" ht="13.8">
      <c r="A10" s="8"/>
      <c r="B10" s="601" t="s">
        <v>628</v>
      </c>
      <c r="C10" s="602"/>
      <c r="D10" s="602"/>
      <c r="E10" s="602"/>
      <c r="F10" s="603"/>
      <c r="G10" s="662" t="s">
        <v>1191</v>
      </c>
      <c r="H10" s="663"/>
      <c r="I10" s="663"/>
      <c r="J10" s="664"/>
      <c r="K10" s="19"/>
      <c r="L10" s="4"/>
      <c r="M10" s="548" t="s">
        <v>1172</v>
      </c>
      <c r="N10" s="676" t="s">
        <v>1173</v>
      </c>
      <c r="O10" s="676"/>
      <c r="P10" s="676"/>
      <c r="Q10" s="310" t="s">
        <v>656</v>
      </c>
      <c r="R10" s="5"/>
      <c r="S10" s="5"/>
      <c r="T10" s="5"/>
      <c r="U10" s="5"/>
      <c r="V10" s="5"/>
      <c r="W10" s="5"/>
      <c r="X10" s="13"/>
      <c r="Y10" s="14"/>
    </row>
    <row r="11" spans="1:33" ht="13.8">
      <c r="A11" s="8"/>
      <c r="B11" s="665" t="s">
        <v>23</v>
      </c>
      <c r="C11" s="666"/>
      <c r="D11" s="666"/>
      <c r="E11" s="666"/>
      <c r="F11" s="666"/>
      <c r="G11" s="671" t="s">
        <v>1165</v>
      </c>
      <c r="H11" s="672"/>
      <c r="I11" s="672"/>
      <c r="J11" s="673"/>
      <c r="K11" s="19"/>
      <c r="L11" s="4"/>
      <c r="M11" s="548" t="s">
        <v>1174</v>
      </c>
      <c r="N11" s="676" t="s">
        <v>1175</v>
      </c>
      <c r="O11" s="676"/>
      <c r="P11" s="676"/>
      <c r="Q11" s="310" t="s">
        <v>656</v>
      </c>
      <c r="R11" s="5"/>
      <c r="S11" s="5"/>
      <c r="T11" s="5"/>
      <c r="U11" s="5"/>
      <c r="V11" s="5"/>
      <c r="W11" s="5"/>
      <c r="X11" s="13"/>
      <c r="Y11" s="14"/>
    </row>
    <row r="12" spans="1:33" ht="13.8">
      <c r="A12" s="523"/>
      <c r="B12" s="601" t="s">
        <v>1070</v>
      </c>
      <c r="C12" s="602"/>
      <c r="D12" s="602"/>
      <c r="E12" s="602"/>
      <c r="F12" s="603"/>
      <c r="G12" s="705" t="s">
        <v>1146</v>
      </c>
      <c r="H12" s="706"/>
      <c r="I12" s="706"/>
      <c r="J12" s="707"/>
      <c r="K12" s="19"/>
      <c r="L12" s="4"/>
      <c r="M12" s="548" t="s">
        <v>1176</v>
      </c>
      <c r="N12" s="676" t="s">
        <v>1177</v>
      </c>
      <c r="O12" s="676"/>
      <c r="P12" s="676"/>
      <c r="Q12" s="310" t="s">
        <v>656</v>
      </c>
      <c r="R12" s="5"/>
      <c r="S12" s="5"/>
      <c r="T12" s="5"/>
      <c r="U12" s="5"/>
      <c r="V12" s="5"/>
      <c r="W12" s="5"/>
      <c r="X12" s="13"/>
      <c r="Y12" s="14"/>
    </row>
    <row r="13" spans="1:33" ht="13.8">
      <c r="A13" s="523"/>
      <c r="B13" s="601" t="s">
        <v>1071</v>
      </c>
      <c r="C13" s="602"/>
      <c r="D13" s="602"/>
      <c r="E13" s="602"/>
      <c r="F13" s="603"/>
      <c r="G13" s="705" t="s">
        <v>1146</v>
      </c>
      <c r="H13" s="706"/>
      <c r="I13" s="706"/>
      <c r="J13" s="707"/>
      <c r="K13" s="19"/>
      <c r="L13" s="4"/>
      <c r="M13" s="548" t="s">
        <v>1178</v>
      </c>
      <c r="N13" s="676" t="s">
        <v>1179</v>
      </c>
      <c r="O13" s="676"/>
      <c r="P13" s="676"/>
      <c r="Q13" s="310" t="s">
        <v>656</v>
      </c>
      <c r="R13" s="5"/>
      <c r="S13" s="5"/>
      <c r="T13" s="5"/>
      <c r="U13" s="5"/>
      <c r="V13" s="5"/>
      <c r="W13" s="5"/>
      <c r="X13" s="13"/>
      <c r="Y13" s="14"/>
    </row>
    <row r="14" spans="1:33" ht="13.8">
      <c r="A14" s="8"/>
      <c r="B14" s="665" t="s">
        <v>24</v>
      </c>
      <c r="C14" s="666"/>
      <c r="D14" s="666"/>
      <c r="E14" s="666"/>
      <c r="F14" s="670"/>
      <c r="G14" s="654" t="s">
        <v>296</v>
      </c>
      <c r="H14" s="655"/>
      <c r="I14" s="655"/>
      <c r="J14" s="655"/>
      <c r="K14" s="532"/>
      <c r="L14" s="21"/>
      <c r="M14" s="268" t="str">
        <f>IF(OR($G$15="DPB Size M",$G$15="DPB Size L",$G$14="IPB 1.0 Size Se",$G$14="IPB 1.1 Size Sd",$G$14="IPB 1.1 Size Se",$G$14="IPB 2.0 Size S",$G$14="IPB 2.0 Size M",$G$14="IPB 2.0 Size L"),"","Variant 8")</f>
        <v/>
      </c>
      <c r="N14" s="676"/>
      <c r="O14" s="676"/>
      <c r="P14" s="676"/>
      <c r="Q14" s="310"/>
      <c r="R14" s="5"/>
      <c r="S14" s="5"/>
      <c r="T14" s="5"/>
      <c r="U14" s="5"/>
      <c r="V14" s="5"/>
      <c r="W14" s="5"/>
      <c r="X14" s="13"/>
      <c r="Y14" s="14"/>
    </row>
    <row r="15" spans="1:33" ht="13.8">
      <c r="A15" s="8"/>
      <c r="B15" s="665" t="s">
        <v>496</v>
      </c>
      <c r="C15" s="666"/>
      <c r="D15" s="666"/>
      <c r="E15" s="666"/>
      <c r="F15" s="670"/>
      <c r="G15" s="659" t="s">
        <v>849</v>
      </c>
      <c r="H15" s="660"/>
      <c r="I15" s="660"/>
      <c r="J15" s="669"/>
      <c r="K15" s="531"/>
      <c r="L15" s="21"/>
      <c r="M15" s="268" t="str">
        <f>IF(OR($G$15="DPB Size M",$G$15="DPB Size L",$G$14="IPB 1.0 Size Se",$G$14="IPB 1.1 Size Sd",$G$14="IPB 1.1 Size Se",$G$14="IPB 2.0 Size S",$G$14="IPB 2.0 Size M",$G$14="IPB 2.0 Size L"),"","Variant 9")</f>
        <v/>
      </c>
      <c r="N15" s="676"/>
      <c r="O15" s="676"/>
      <c r="P15" s="676"/>
      <c r="Q15" s="310"/>
      <c r="R15" s="5"/>
      <c r="S15" s="5"/>
      <c r="T15" s="5"/>
      <c r="U15" s="5"/>
      <c r="V15" s="5"/>
      <c r="W15" s="5"/>
      <c r="X15" s="13"/>
      <c r="Y15" s="14"/>
    </row>
    <row r="16" spans="1:33" ht="13.8">
      <c r="A16" s="16"/>
      <c r="B16" s="665" t="s">
        <v>497</v>
      </c>
      <c r="C16" s="666"/>
      <c r="D16" s="666"/>
      <c r="E16" s="666"/>
      <c r="F16" s="670"/>
      <c r="G16" s="659"/>
      <c r="H16" s="660"/>
      <c r="I16" s="660"/>
      <c r="J16" s="661"/>
      <c r="K16" s="20"/>
      <c r="L16" s="22"/>
      <c r="M16" s="268" t="str">
        <f>IF(OR($G$15="DPB Size M",$G$15="DPB Size L",$G$14="IPB 1.0 Size Se",$G$14="IPB 1.1 Size Sd",$G$14="IPB 1.1 Size Se",$G$14="IPB 2.0 Size S",$G$14="IPB 2.0 Size M",$G$14="IPB 2.0 Size L"),"","Variant 10")</f>
        <v/>
      </c>
      <c r="N16" s="676"/>
      <c r="O16" s="676"/>
      <c r="P16" s="676"/>
      <c r="Q16" s="310"/>
      <c r="R16" s="5"/>
      <c r="S16" s="5"/>
      <c r="T16" s="5"/>
      <c r="U16" s="5"/>
      <c r="V16" s="5"/>
      <c r="W16" s="5"/>
      <c r="X16" s="13"/>
      <c r="Y16" s="14"/>
    </row>
    <row r="17" spans="1:25" ht="13.8">
      <c r="A17" s="16"/>
      <c r="B17" s="601" t="s">
        <v>783</v>
      </c>
      <c r="C17" s="602"/>
      <c r="D17" s="602"/>
      <c r="E17" s="602"/>
      <c r="F17" s="603"/>
      <c r="G17" s="656" t="s">
        <v>64</v>
      </c>
      <c r="H17" s="657"/>
      <c r="I17" s="657"/>
      <c r="J17" s="658"/>
      <c r="K17" s="20"/>
      <c r="L17" s="22"/>
      <c r="M17" s="268" t="str">
        <f>IF(OR($G$15="DPB Size M",$G$15="DPB Size L",$G$14="IPB 1.0 Size Se",$G$14="IPB 1.1 Size Sd",$G$14="IPB 1.1 Size Se",$G$14="IPB 2.0 Size S",$G$14="IPB 2.0 Size M",$G$14="IPB 2.0 Size L"),"","Variant 11")</f>
        <v/>
      </c>
      <c r="N17" s="676"/>
      <c r="O17" s="676"/>
      <c r="P17" s="676"/>
      <c r="Q17" s="310"/>
      <c r="R17" s="5"/>
      <c r="S17" s="5"/>
      <c r="T17" s="5"/>
      <c r="U17" s="5"/>
      <c r="V17" s="5"/>
      <c r="W17" s="5"/>
      <c r="X17" s="13"/>
      <c r="Y17" s="14"/>
    </row>
    <row r="18" spans="1:25" ht="13.8">
      <c r="A18" s="16"/>
      <c r="B18" s="674" t="s">
        <v>784</v>
      </c>
      <c r="C18" s="675"/>
      <c r="D18" s="675"/>
      <c r="E18" s="675"/>
      <c r="F18" s="675"/>
      <c r="G18" s="667" t="s">
        <v>1184</v>
      </c>
      <c r="H18" s="667"/>
      <c r="I18" s="667"/>
      <c r="J18" s="668"/>
      <c r="K18" s="20"/>
      <c r="L18" s="22"/>
      <c r="M18" s="268" t="str">
        <f>IF(OR($G$15="DPB Size M",$G$15="DPB Size L",$G$14="IPB 1.0 Size Se",$G$14="IPB 1.1 Size Sd",$G$14="IPB 1.1 Size Se",$G$14="IPB 2.0 Size S",$G$14="IPB 2.0 Size M",$G$14="IPB 2.0 Size L"),"","Variant 12")</f>
        <v/>
      </c>
      <c r="N18" s="676"/>
      <c r="O18" s="676"/>
      <c r="P18" s="676"/>
      <c r="Q18" s="310"/>
      <c r="R18" s="5"/>
      <c r="S18" s="5"/>
      <c r="T18" s="5"/>
      <c r="U18" s="5"/>
      <c r="V18" s="5"/>
      <c r="W18" s="5"/>
      <c r="X18" s="13"/>
      <c r="Y18" s="14"/>
    </row>
    <row r="19" spans="1:25" ht="13.8">
      <c r="A19" s="16"/>
      <c r="B19" s="601" t="s">
        <v>29</v>
      </c>
      <c r="C19" s="602"/>
      <c r="D19" s="602"/>
      <c r="E19" s="602"/>
      <c r="F19" s="603"/>
      <c r="G19" s="662" t="s">
        <v>30</v>
      </c>
      <c r="H19" s="663"/>
      <c r="I19" s="663"/>
      <c r="J19" s="664"/>
      <c r="K19" s="20"/>
      <c r="L19" s="22"/>
      <c r="M19" s="268" t="str">
        <f>IF(OR($G$15="DPB Size M",$G$15="DPB Size L",$G$14="IPB 1.0 Size Se",$G$14="IPB 1.1 Size Sd",$G$14="IPB 1.1 Size Se",$G$14="IPB 2.0 Size S",$G$14="IPB 2.0 Size M",$G$14="IPB 2.0 Size L"),"","Variant 13")</f>
        <v/>
      </c>
      <c r="N19" s="676"/>
      <c r="O19" s="676"/>
      <c r="P19" s="676"/>
      <c r="Q19" s="310"/>
      <c r="R19" s="5"/>
      <c r="S19" s="5"/>
      <c r="T19" s="5"/>
      <c r="U19" s="5"/>
      <c r="V19" s="5"/>
      <c r="W19" s="5"/>
      <c r="X19" s="13"/>
      <c r="Y19" s="14"/>
    </row>
    <row r="20" spans="1:25" ht="13.8">
      <c r="A20" s="16"/>
      <c r="B20" s="601" t="s">
        <v>289</v>
      </c>
      <c r="C20" s="602"/>
      <c r="D20" s="602"/>
      <c r="E20" s="602"/>
      <c r="F20" s="603"/>
      <c r="G20" s="662" t="s">
        <v>85</v>
      </c>
      <c r="H20" s="663"/>
      <c r="I20" s="663"/>
      <c r="J20" s="664"/>
      <c r="K20" s="20"/>
      <c r="L20" s="22"/>
      <c r="M20" s="268" t="str">
        <f>IF(OR($G$15="DPB Size M",$G$15="DPB Size L",$G$14="IPB 1.0 Size Se",$G$14="IPB 1.1 Size Sd",$G$14="IPB 1.1 Size Se",$G$14="IPB 2.0 Size S",$G$14="IPB 2.0 Size M",$G$14="IPB 2.0 Size L"),"","Variant 14")</f>
        <v/>
      </c>
      <c r="N20" s="676"/>
      <c r="O20" s="676"/>
      <c r="P20" s="676"/>
      <c r="Q20" s="310"/>
      <c r="R20" s="5"/>
      <c r="S20" s="5"/>
      <c r="T20" s="5"/>
      <c r="U20" s="5"/>
      <c r="V20" s="5"/>
      <c r="W20" s="5"/>
      <c r="X20" s="13"/>
      <c r="Y20" s="14"/>
    </row>
    <row r="21" spans="1:25" ht="14.4" thickBot="1">
      <c r="A21" s="8"/>
      <c r="B21" s="601" t="s">
        <v>520</v>
      </c>
      <c r="C21" s="602"/>
      <c r="D21" s="602"/>
      <c r="E21" s="602"/>
      <c r="F21" s="603"/>
      <c r="G21" s="651" t="s">
        <v>64</v>
      </c>
      <c r="H21" s="652"/>
      <c r="I21" s="652"/>
      <c r="J21" s="653"/>
      <c r="K21" s="20"/>
      <c r="L21" s="21"/>
      <c r="M21" s="268" t="str">
        <f>IF(OR($G$15="DPB Size M",$G$15="DPB Size L",$G$14="IPB 1.0 Size Se",$G$14="IPB 1.1 Size Sd",$G$14="IPB 1.1 Size Se",$G$14="IPB 2.0 Size S",$G$14="IPB 2.0 Size M",$G$14="IPB 2.0 Size L"),"","Variant 15")</f>
        <v/>
      </c>
      <c r="N21" s="716"/>
      <c r="O21" s="716"/>
      <c r="P21" s="716"/>
      <c r="Q21" s="311"/>
      <c r="R21" s="5"/>
      <c r="S21" s="5"/>
      <c r="T21" s="5"/>
      <c r="U21" s="5"/>
      <c r="V21" s="5"/>
      <c r="W21" s="5"/>
      <c r="X21" s="13"/>
      <c r="Y21" s="14"/>
    </row>
    <row r="22" spans="1:25" ht="13.8">
      <c r="A22" s="8"/>
      <c r="B22" s="601" t="s">
        <v>221</v>
      </c>
      <c r="C22" s="625"/>
      <c r="D22" s="625"/>
      <c r="E22" s="625"/>
      <c r="F22" s="625"/>
      <c r="G22" s="651" t="s">
        <v>64</v>
      </c>
      <c r="H22" s="652"/>
      <c r="I22" s="652"/>
      <c r="J22" s="653"/>
      <c r="K22" s="20"/>
      <c r="L22" s="21"/>
      <c r="M22" s="488"/>
      <c r="N22" s="489"/>
      <c r="O22" s="489"/>
      <c r="P22" s="489"/>
      <c r="Q22" s="181"/>
      <c r="R22" s="5"/>
      <c r="S22" s="5"/>
      <c r="T22" s="5"/>
      <c r="U22" s="5"/>
      <c r="V22" s="5"/>
      <c r="W22" s="5"/>
      <c r="X22" s="13"/>
      <c r="Y22" s="14"/>
    </row>
    <row r="23" spans="1:25" ht="13.8">
      <c r="A23" s="8"/>
      <c r="B23" s="601" t="s">
        <v>1067</v>
      </c>
      <c r="C23" s="625"/>
      <c r="D23" s="625"/>
      <c r="E23" s="625"/>
      <c r="F23" s="625"/>
      <c r="G23" s="704" t="e">
        <f>IF(AND(IF( ISERROR(SEARCH("ESP",$G$14)),"FALSCH","WAHR"),
               OR(
                           _xlfn.IFS(Features!E80="","FALSCH",Features!E80="no","FALSCH","WAHR","WAHR"),
                            _xlfn.IFS(Features!E85="","FALSCH",Features!E85="no","FALSCH","WAHR","WAHR"),
                            MIN(G59:U59)&lt;1.1
                          )
                        ),
                 "yes","no")</f>
        <v>#VALUE!</v>
      </c>
      <c r="H23" s="704"/>
      <c r="I23" s="704"/>
      <c r="J23" s="704"/>
      <c r="K23" s="491"/>
      <c r="L23" s="21"/>
      <c r="R23" s="160"/>
      <c r="S23" s="5"/>
      <c r="T23" s="5"/>
      <c r="U23" s="5"/>
      <c r="V23" s="5"/>
      <c r="W23" s="5"/>
      <c r="X23" s="13"/>
      <c r="Y23" s="14"/>
    </row>
    <row r="24" spans="1:25" ht="15">
      <c r="A24" s="8"/>
      <c r="B24" s="601" t="s">
        <v>546</v>
      </c>
      <c r="C24" s="602"/>
      <c r="D24" s="602"/>
      <c r="E24" s="602"/>
      <c r="F24" s="603"/>
      <c r="G24" s="719" t="s">
        <v>64</v>
      </c>
      <c r="H24" s="719"/>
      <c r="I24" s="719"/>
      <c r="J24" s="719"/>
      <c r="K24" s="20"/>
      <c r="L24" s="21"/>
      <c r="M24" s="710" t="s">
        <v>663</v>
      </c>
      <c r="N24" s="711"/>
      <c r="O24" s="711"/>
      <c r="P24" s="711"/>
      <c r="Q24" s="712"/>
      <c r="R24" s="177"/>
      <c r="S24" s="5"/>
      <c r="T24" s="5"/>
      <c r="U24" s="5"/>
      <c r="V24" s="5"/>
      <c r="W24" s="5"/>
      <c r="X24" s="13"/>
      <c r="Y24" s="14"/>
    </row>
    <row r="25" spans="1:25" ht="13.8">
      <c r="A25" s="8"/>
      <c r="B25" s="191"/>
      <c r="C25" s="192"/>
      <c r="D25" s="192"/>
      <c r="E25" s="192"/>
      <c r="F25" s="192"/>
      <c r="G25" s="193"/>
      <c r="H25" s="193"/>
      <c r="I25" s="193"/>
      <c r="J25" s="193"/>
      <c r="K25" s="194"/>
      <c r="L25" s="21"/>
      <c r="M25" s="713" t="s">
        <v>664</v>
      </c>
      <c r="N25" s="714"/>
      <c r="O25" s="714"/>
      <c r="P25" s="714"/>
      <c r="Q25" s="715"/>
      <c r="R25" s="161"/>
      <c r="S25" s="5"/>
      <c r="T25" s="5"/>
      <c r="U25" s="5"/>
      <c r="V25" s="5"/>
      <c r="W25" s="5"/>
      <c r="X25" s="13"/>
      <c r="Y25" s="14"/>
    </row>
    <row r="26" spans="1:25" ht="15.6" thickBot="1">
      <c r="A26" s="8"/>
      <c r="B26" s="261"/>
      <c r="C26" s="262"/>
      <c r="D26" s="262"/>
      <c r="E26" s="262"/>
      <c r="F26" s="262"/>
      <c r="G26" s="188"/>
      <c r="H26" s="188"/>
      <c r="I26" s="188"/>
      <c r="J26" s="188"/>
      <c r="K26" s="23"/>
      <c r="L26" s="21"/>
      <c r="M26" s="210" t="s">
        <v>665</v>
      </c>
      <c r="N26" s="208"/>
      <c r="O26" s="208"/>
      <c r="P26" s="208"/>
      <c r="Q26" s="209"/>
      <c r="R26" s="207"/>
      <c r="S26" s="207"/>
      <c r="T26" s="207"/>
      <c r="U26" s="5"/>
      <c r="V26" s="5"/>
      <c r="W26" s="5"/>
      <c r="X26" s="13"/>
      <c r="Y26" s="14"/>
    </row>
    <row r="27" spans="1:25" ht="13.8">
      <c r="A27" s="8"/>
      <c r="B27" s="25"/>
      <c r="C27" s="9"/>
      <c r="D27" s="9"/>
      <c r="E27" s="9"/>
      <c r="F27" s="446"/>
      <c r="G27" s="9"/>
      <c r="H27" s="9"/>
      <c r="I27" s="9"/>
      <c r="J27" s="9"/>
      <c r="K27" s="26"/>
      <c r="L27" s="21"/>
      <c r="M27" s="128"/>
      <c r="N27" s="69"/>
      <c r="O27" s="69"/>
      <c r="P27" s="69"/>
      <c r="Q27" s="69"/>
      <c r="R27" s="206"/>
      <c r="S27" s="5"/>
      <c r="T27" s="5"/>
      <c r="U27" s="5"/>
      <c r="V27" s="5"/>
      <c r="W27" s="5"/>
      <c r="X27" s="10"/>
      <c r="Y27" s="7"/>
    </row>
    <row r="28" spans="1:25" ht="13.8">
      <c r="A28" s="8"/>
      <c r="B28" s="25"/>
      <c r="C28" s="9"/>
      <c r="D28" s="9"/>
      <c r="E28" s="9"/>
      <c r="F28" s="9"/>
      <c r="G28" s="9"/>
      <c r="H28" s="9"/>
      <c r="I28" s="302"/>
      <c r="J28" s="9"/>
      <c r="K28" s="26"/>
      <c r="L28" s="21"/>
      <c r="M28" s="514"/>
      <c r="N28" s="130"/>
      <c r="O28" s="130"/>
      <c r="P28" s="130"/>
      <c r="Q28" s="515"/>
      <c r="R28" s="286"/>
      <c r="V28" s="5"/>
      <c r="W28" s="5"/>
      <c r="X28" s="10"/>
      <c r="Y28" s="7"/>
    </row>
    <row r="29" spans="1:25" ht="15.6" thickBot="1">
      <c r="A29" s="8"/>
      <c r="B29" s="25"/>
      <c r="C29" s="9"/>
      <c r="D29" s="9"/>
      <c r="E29" s="9"/>
      <c r="F29" s="9"/>
      <c r="G29" s="9"/>
      <c r="H29" s="9"/>
      <c r="I29" s="9"/>
      <c r="J29" s="9"/>
      <c r="K29" s="26"/>
      <c r="L29" s="21"/>
      <c r="M29" s="514"/>
      <c r="N29" s="130"/>
      <c r="O29" s="130"/>
      <c r="P29" s="130"/>
      <c r="Q29" s="516"/>
      <c r="R29" s="517"/>
      <c r="V29" s="5"/>
      <c r="W29" s="5"/>
      <c r="X29" s="10"/>
      <c r="Y29" s="7"/>
    </row>
    <row r="30" spans="1:25" ht="15">
      <c r="A30" s="8"/>
      <c r="B30" s="685" t="s">
        <v>111</v>
      </c>
      <c r="C30" s="686"/>
      <c r="D30" s="686"/>
      <c r="E30" s="726"/>
      <c r="G30" s="26" t="str">
        <f>IF(G24="yes","Important information for Automated Driving and Parking","")</f>
        <v>Important information for Automated Driving and Parking</v>
      </c>
      <c r="H30" s="21"/>
      <c r="I30" s="128"/>
      <c r="J30" s="69"/>
      <c r="K30" s="69"/>
      <c r="L30" s="69"/>
      <c r="M30" s="26" t="str">
        <f>IF(OR($G$15="BWA Size S",$G$15="BWA Size M"),"Important information for By Wire Systems","")</f>
        <v/>
      </c>
      <c r="N30" s="21"/>
      <c r="O30" s="128"/>
      <c r="P30" s="69"/>
      <c r="Q30" s="69"/>
      <c r="R30" s="21"/>
      <c r="S30" s="128"/>
      <c r="T30" s="69"/>
      <c r="U30" s="69"/>
      <c r="V30" s="5"/>
      <c r="W30" s="5"/>
      <c r="X30" s="10"/>
      <c r="Y30" s="7"/>
    </row>
    <row r="31" spans="1:25" ht="15">
      <c r="A31" s="8"/>
      <c r="B31" s="508" t="s">
        <v>129</v>
      </c>
      <c r="C31" s="509"/>
      <c r="D31" s="509"/>
      <c r="E31" s="510"/>
      <c r="G31" s="157" t="str">
        <f>IF(G24="yes","For Highly Automated Driving and","")</f>
        <v>For Highly Automated Driving and</v>
      </c>
      <c r="H31" s="21"/>
      <c r="I31" s="128"/>
      <c r="J31" s="69"/>
      <c r="K31" s="69"/>
      <c r="L31" s="69"/>
      <c r="M31" s="157" t="str">
        <f>IF(OR($G$15="BWA Size S",$G$15="BWA Size M"),"For By Wire System combination","")</f>
        <v/>
      </c>
      <c r="N31" s="21"/>
      <c r="O31" s="128"/>
      <c r="P31" s="69"/>
      <c r="Q31" s="69"/>
      <c r="R31" s="21"/>
      <c r="S31" s="128"/>
      <c r="T31" s="69"/>
      <c r="U31" s="69"/>
      <c r="V31" s="5"/>
      <c r="W31" s="5"/>
      <c r="X31" s="10"/>
      <c r="Y31" s="7"/>
    </row>
    <row r="32" spans="1:25" ht="15">
      <c r="A32" s="8"/>
      <c r="B32" s="508" t="s">
        <v>112</v>
      </c>
      <c r="C32" s="509"/>
      <c r="D32" s="509"/>
      <c r="E32" s="510"/>
      <c r="G32" s="157" t="str">
        <f>IF(G24="yes","Automated Parking/Remote parking, please read","")</f>
        <v>Automated Parking/Remote parking, please read</v>
      </c>
      <c r="H32" s="157"/>
      <c r="I32" s="157"/>
      <c r="J32" s="157"/>
      <c r="K32" s="157"/>
      <c r="L32" s="157"/>
      <c r="M32" s="157" t="str">
        <f>IF(OR($G$15="BWA Size S",$G$15="BWA Size M"),"please read the following Conditions of Use","")</f>
        <v/>
      </c>
      <c r="N32" s="157"/>
      <c r="O32" s="157"/>
      <c r="P32" s="157"/>
      <c r="Q32" s="157"/>
      <c r="R32" s="157"/>
      <c r="S32" s="157"/>
      <c r="T32" s="157"/>
      <c r="U32" s="157"/>
      <c r="V32" s="5"/>
      <c r="W32" s="5"/>
      <c r="X32" s="10"/>
      <c r="Y32" s="7"/>
    </row>
    <row r="33" spans="1:27" ht="15.6">
      <c r="A33" s="8"/>
      <c r="B33" s="508" t="s">
        <v>113</v>
      </c>
      <c r="C33" s="509"/>
      <c r="D33" s="509"/>
      <c r="E33" s="510"/>
      <c r="G33" s="157" t="str">
        <f>IF(G24="yes","the following Conditions of Use","")</f>
        <v>the following Conditions of Use</v>
      </c>
      <c r="H33" s="157"/>
      <c r="I33" s="158"/>
      <c r="J33" s="159"/>
      <c r="K33" s="159"/>
      <c r="L33" s="159"/>
      <c r="M33" s="157" t="str">
        <f>IF(OR($G$15="BWA Size S",$G$15="BWA Size M"),"and discuss them with your OEM!","")</f>
        <v/>
      </c>
      <c r="N33" s="157"/>
      <c r="O33" s="158"/>
      <c r="P33" s="159"/>
      <c r="Q33" s="159"/>
      <c r="R33" s="157"/>
      <c r="S33" s="158"/>
      <c r="T33" s="159"/>
      <c r="U33" s="159"/>
      <c r="V33" s="5"/>
      <c r="W33" s="5"/>
      <c r="X33" s="10"/>
      <c r="Y33" s="7"/>
    </row>
    <row r="34" spans="1:27" ht="15">
      <c r="A34" s="8"/>
      <c r="B34" s="508" t="s">
        <v>114</v>
      </c>
      <c r="C34" s="509"/>
      <c r="D34" s="509"/>
      <c r="E34" s="510"/>
      <c r="G34" s="157" t="str">
        <f>IF(G24="yes","and discuss them with your OEM!","")</f>
        <v>and discuss them with your OEM!</v>
      </c>
      <c r="H34" s="26"/>
      <c r="I34" s="68"/>
      <c r="J34" s="69"/>
      <c r="K34" s="69"/>
      <c r="L34" s="69"/>
      <c r="M34" s="157"/>
      <c r="N34" s="26"/>
      <c r="O34" s="68"/>
      <c r="P34" s="69"/>
      <c r="Q34" s="69"/>
      <c r="R34" s="26"/>
      <c r="S34" s="68"/>
      <c r="T34" s="69"/>
      <c r="U34" s="69"/>
      <c r="V34" s="5"/>
      <c r="W34" s="5"/>
      <c r="X34" s="10"/>
      <c r="Y34" s="7"/>
    </row>
    <row r="35" spans="1:27" ht="15">
      <c r="A35" s="8"/>
      <c r="B35" s="508" t="s">
        <v>115</v>
      </c>
      <c r="C35" s="509"/>
      <c r="D35" s="509"/>
      <c r="E35" s="510"/>
      <c r="G35" s="157"/>
      <c r="H35" s="21"/>
      <c r="I35" s="27"/>
      <c r="J35" s="27"/>
      <c r="K35" s="27"/>
      <c r="L35" s="27"/>
      <c r="M35" s="157"/>
      <c r="N35" s="21"/>
      <c r="O35" s="27"/>
      <c r="P35" s="27"/>
      <c r="Q35" s="27"/>
      <c r="R35" s="21"/>
      <c r="S35" s="27"/>
      <c r="T35" s="27"/>
      <c r="U35" s="27"/>
      <c r="V35" s="5"/>
      <c r="W35" s="5"/>
      <c r="X35" s="10"/>
      <c r="Y35" s="7"/>
    </row>
    <row r="36" spans="1:27" ht="13.8">
      <c r="A36" s="8"/>
      <c r="B36" s="508" t="s">
        <v>116</v>
      </c>
      <c r="D36" s="509"/>
      <c r="E36" s="510"/>
      <c r="G36" s="513" t="str">
        <f>IF(AND(OR(G14="IPB 1.0 Size Se",G14="IPB 1.1 Size Sd",G14="IPB 1.1 Size Se",G14="IPB 2.0 Size S",G14="IPB 2.0 Size M",G14="IPB 2.0 Size L"),G16="no",G24="yes"),"FOR IPB and HAD RBU is strictly required!",IF(AND(OR(G14="ESP9.3CB - ESP Standard",G14="ESP9.3CP - ESP Standard",G14="ESP9UHDS - ESP Standard",G14="ESP9.3HP - ESP hevX",G14="ESP9.3HU - ESP hevII",G14="ESP9UHDH - ESP hevX",G14="ESP10CL - ESP Standard",G14="ESP10CB - ESP Standard",G14="ESP10HB - ESP hevX",G14="ESP10CE - ESP Standard",G14="ESP10HE - ESP hevX",G14="ESP10CP - ESP Standard",G14="ESP10HP - ESP hevX",G14="ESP10CU - ESP Standard",G14="ESP10HU - ESP hevX",OR(G14="IPB 1.0 Size Se",G14="IPB 1.1 Size Sd",G14="IPB 1.1 Size Se",G14="IPB 2.0 Size S",G14="IPB 2.0 Size M",G14="IPB 2.0 Size L")),OR(G16="yes",OR(G15="iBoosterGen2",G15="iBoosterGen2evo",G15="DPB Size L",G15="DPB Size M",G15="BWA Size S",G15="BWA Size M")),G24="yes"),HYPERLINK("https://inside-share-hosted-apps.bosch.com/DMS/GetDocumentService/Document.svc/GetDocumentURL?documentID=P01S026084-1822950271-583171
","click here"),""))</f>
        <v>click here</v>
      </c>
      <c r="H36" s="21"/>
      <c r="I36" s="27"/>
      <c r="J36" s="27"/>
      <c r="K36" s="27"/>
      <c r="L36" s="27"/>
      <c r="M36" s="513" t="str">
        <f>IF(OR(G15="BWA Size S",G15="BWA Size M"),HYPERLINK("https://inside-share-hosted-apps.bosch.com/DMS/GetDocumentService/Document.svc/GetDocumentURL?documentID=P14S026084-1822950271-591087","click here"),"")</f>
        <v/>
      </c>
      <c r="N36" s="21"/>
      <c r="O36" s="27"/>
      <c r="P36" s="27"/>
      <c r="Q36" s="27"/>
      <c r="R36" s="21"/>
      <c r="S36" s="27"/>
      <c r="T36" s="27"/>
      <c r="U36" s="27"/>
      <c r="V36" s="5"/>
      <c r="W36" s="5"/>
      <c r="X36" s="10"/>
      <c r="Y36" s="7"/>
    </row>
    <row r="37" spans="1:27" ht="13.8">
      <c r="A37" s="8"/>
      <c r="B37" s="508" t="s">
        <v>117</v>
      </c>
      <c r="C37" s="509"/>
      <c r="D37" s="509"/>
      <c r="E37" s="510"/>
      <c r="G37" s="26"/>
      <c r="H37" s="21"/>
      <c r="I37" s="27"/>
      <c r="J37" s="27"/>
      <c r="K37" s="27"/>
      <c r="L37" s="27"/>
      <c r="M37" s="26"/>
      <c r="N37" s="21"/>
      <c r="O37" s="27"/>
      <c r="P37" s="27"/>
      <c r="Q37" s="27"/>
      <c r="R37" s="21"/>
      <c r="S37" s="27"/>
      <c r="T37" s="27"/>
      <c r="U37" s="27"/>
      <c r="V37" s="5"/>
      <c r="W37" s="5"/>
      <c r="X37" s="10"/>
      <c r="Y37" s="7"/>
    </row>
    <row r="38" spans="1:27" ht="13.8">
      <c r="A38" s="8"/>
      <c r="B38" s="508" t="s">
        <v>130</v>
      </c>
      <c r="C38" s="509"/>
      <c r="D38" s="509"/>
      <c r="E38" s="510"/>
      <c r="G38" s="232"/>
      <c r="H38" s="21"/>
      <c r="I38" s="27"/>
      <c r="J38" s="27"/>
      <c r="K38" s="27"/>
      <c r="L38" s="27"/>
      <c r="M38" s="232"/>
      <c r="N38" s="21"/>
      <c r="O38" s="27"/>
      <c r="P38" s="27"/>
      <c r="Q38" s="27"/>
      <c r="R38" s="21"/>
      <c r="S38" s="27"/>
      <c r="T38" s="27"/>
      <c r="U38" s="27"/>
      <c r="V38" s="5"/>
      <c r="W38" s="5"/>
      <c r="X38" s="10"/>
      <c r="Y38" s="7"/>
    </row>
    <row r="39" spans="1:27" ht="14.4" thickBot="1">
      <c r="A39" s="8"/>
      <c r="B39" s="28"/>
      <c r="C39" s="24"/>
      <c r="D39" s="24"/>
      <c r="E39" s="511"/>
      <c r="G39" s="26"/>
      <c r="H39" s="21"/>
      <c r="I39" s="27"/>
      <c r="J39" s="27"/>
      <c r="K39" s="27"/>
      <c r="L39" s="27"/>
      <c r="M39" s="26"/>
      <c r="N39" s="21"/>
      <c r="O39" s="27"/>
      <c r="P39" s="27"/>
      <c r="Q39" s="27"/>
      <c r="R39" s="21"/>
      <c r="S39" s="27"/>
      <c r="T39" s="27"/>
      <c r="U39" s="27"/>
      <c r="V39" s="5"/>
      <c r="W39" s="5"/>
      <c r="X39" s="10"/>
      <c r="Y39" s="7"/>
    </row>
    <row r="40" spans="1:27" ht="13.8">
      <c r="A40" s="8"/>
      <c r="B40" s="5"/>
      <c r="C40" s="5"/>
      <c r="D40" s="5"/>
      <c r="E40" s="5"/>
      <c r="F40" s="5"/>
      <c r="G40" s="5"/>
      <c r="H40" s="9"/>
      <c r="I40" s="9"/>
      <c r="J40" s="9"/>
      <c r="K40" s="26"/>
      <c r="L40" s="21"/>
      <c r="M40" s="27"/>
      <c r="N40" s="27"/>
      <c r="O40" s="27"/>
      <c r="P40" s="27"/>
      <c r="Q40" s="27"/>
      <c r="R40" s="178"/>
      <c r="S40" s="27"/>
      <c r="T40" s="27"/>
      <c r="U40" s="5"/>
      <c r="V40" s="5"/>
      <c r="W40" s="5"/>
      <c r="X40" s="10"/>
      <c r="Y40" s="7"/>
    </row>
    <row r="41" spans="1:27" ht="17.399999999999999">
      <c r="A41" s="8"/>
      <c r="B41" s="77" t="s">
        <v>280</v>
      </c>
      <c r="C41" s="9"/>
      <c r="D41" s="9"/>
      <c r="E41" s="9"/>
      <c r="F41" s="9"/>
      <c r="G41" s="9"/>
      <c r="H41" s="9"/>
      <c r="I41" s="26"/>
      <c r="J41" s="9"/>
      <c r="K41" s="26"/>
      <c r="L41" s="21"/>
      <c r="M41" s="27"/>
      <c r="N41" s="27"/>
      <c r="O41" s="27"/>
      <c r="P41" s="27"/>
      <c r="Q41" s="444"/>
      <c r="R41" s="27"/>
      <c r="S41" s="27"/>
      <c r="T41" s="27"/>
      <c r="U41" s="5"/>
      <c r="V41" s="5"/>
      <c r="W41" s="5"/>
      <c r="X41" s="10"/>
      <c r="Y41" s="7"/>
    </row>
    <row r="42" spans="1:27" ht="17.399999999999999">
      <c r="A42" s="8"/>
      <c r="B42" s="77" t="s">
        <v>309</v>
      </c>
      <c r="C42" s="9"/>
      <c r="D42" s="9"/>
      <c r="E42" s="9"/>
      <c r="F42" s="9"/>
      <c r="G42" s="9"/>
      <c r="H42" s="9"/>
      <c r="I42" s="9"/>
      <c r="J42" s="9"/>
      <c r="K42" s="26"/>
      <c r="L42" s="21"/>
      <c r="M42" s="27"/>
      <c r="N42" s="27"/>
      <c r="O42" s="27"/>
      <c r="P42" s="27"/>
      <c r="Q42" s="27"/>
      <c r="R42" s="27"/>
      <c r="S42" s="27"/>
      <c r="T42" s="27"/>
      <c r="U42" s="5"/>
      <c r="V42" s="5"/>
      <c r="W42" s="5"/>
      <c r="X42" s="10"/>
      <c r="Y42" s="7"/>
    </row>
    <row r="43" spans="1:27" ht="17.399999999999999">
      <c r="A43" s="8"/>
      <c r="B43" s="77" t="s">
        <v>327</v>
      </c>
      <c r="C43" s="9"/>
      <c r="D43" s="9"/>
      <c r="E43" s="9"/>
      <c r="F43" s="9"/>
      <c r="G43" s="68"/>
      <c r="H43" s="68"/>
      <c r="I43" s="68"/>
      <c r="J43" s="68"/>
      <c r="K43" s="232"/>
      <c r="L43" s="500"/>
      <c r="M43" s="340"/>
      <c r="N43" s="340"/>
      <c r="O43" s="340"/>
      <c r="P43" s="340"/>
      <c r="Q43" s="340"/>
      <c r="R43" s="340"/>
      <c r="S43" s="340"/>
      <c r="T43" s="340"/>
      <c r="U43" s="69"/>
      <c r="V43" s="5"/>
      <c r="W43" s="5"/>
      <c r="X43" s="10"/>
      <c r="Y43" s="7"/>
    </row>
    <row r="44" spans="1:27" ht="14.4" thickBot="1">
      <c r="A44" s="8"/>
      <c r="B44" s="25"/>
      <c r="C44" s="9"/>
      <c r="D44" s="9"/>
      <c r="E44" s="9" t="s">
        <v>478</v>
      </c>
      <c r="F44" s="29" t="s">
        <v>131</v>
      </c>
      <c r="G44" s="436" t="str">
        <f>IF($M$7="","",$M$7)</f>
        <v>L 2WD NAO 2ROW</v>
      </c>
      <c r="H44" s="436" t="str">
        <f>IF($M$8="","",$M$8)</f>
        <v>L 4WD NAO 2ROW US</v>
      </c>
      <c r="I44" s="499" t="str">
        <f>IF($M$9="","",$M$9)</f>
        <v>L 4WD NAO 2ROW</v>
      </c>
      <c r="J44" s="499" t="str">
        <f>IF($M$10="","",$M$10)</f>
        <v>L 4WD NAO 3ROW</v>
      </c>
      <c r="K44" s="499" t="str">
        <f>IF($M$11="","",$M$11)</f>
        <v>R 2WD NAO 2ROW</v>
      </c>
      <c r="L44" s="499" t="str">
        <f>IF($M$12="","",$M$12)</f>
        <v>R 4WD NAO 2ROW</v>
      </c>
      <c r="M44" s="499" t="str">
        <f>IF($M$13="","",$M$13)</f>
        <v>R 4WD NAO 3ROW</v>
      </c>
      <c r="N44" s="436" t="str">
        <f>IF($M$14="","",$M$14)</f>
        <v/>
      </c>
      <c r="O44" s="436" t="str">
        <f>IF($M$15="","",$M$15)</f>
        <v/>
      </c>
      <c r="P44" s="436" t="str">
        <f>IF($M$16="","",$M$16)</f>
        <v/>
      </c>
      <c r="Q44" s="436" t="str">
        <f>IF($M$17="","",$M$17)</f>
        <v/>
      </c>
      <c r="R44" s="436" t="str">
        <f>IF($M$18="","",$M$18)</f>
        <v/>
      </c>
      <c r="S44" s="436" t="str">
        <f>IF($M$19="","",$M$19)</f>
        <v/>
      </c>
      <c r="T44" s="436" t="str">
        <f>IF($M$20="","",$M$20)</f>
        <v/>
      </c>
      <c r="U44" s="436" t="str">
        <f>IF($M$21="","",$M$21)</f>
        <v/>
      </c>
      <c r="V44" s="5"/>
      <c r="W44" s="5"/>
      <c r="X44" s="10"/>
      <c r="Y44" s="7" t="s">
        <v>491</v>
      </c>
      <c r="Z44" s="61" t="s">
        <v>492</v>
      </c>
    </row>
    <row r="45" spans="1:27" ht="15">
      <c r="A45" s="8"/>
      <c r="B45" s="100" t="s">
        <v>313</v>
      </c>
      <c r="C45" s="99"/>
      <c r="D45" s="99"/>
      <c r="E45" s="99"/>
      <c r="F45" s="99"/>
      <c r="G45" s="339"/>
      <c r="H45" s="339"/>
      <c r="I45" s="339"/>
      <c r="J45" s="339"/>
      <c r="K45" s="339"/>
      <c r="L45" s="339"/>
      <c r="M45" s="339"/>
      <c r="N45" s="339"/>
      <c r="O45" s="339"/>
      <c r="P45" s="339"/>
      <c r="Q45" s="339"/>
      <c r="R45" s="339"/>
      <c r="S45" s="339"/>
      <c r="T45" s="339"/>
      <c r="U45" s="339"/>
      <c r="V45" s="189"/>
      <c r="W45" s="5"/>
      <c r="X45" s="10"/>
      <c r="Y45" s="7"/>
    </row>
    <row r="46" spans="1:27" ht="55.2">
      <c r="A46" s="201"/>
      <c r="B46" s="608" t="s">
        <v>622</v>
      </c>
      <c r="C46" s="609"/>
      <c r="D46" s="165" t="s">
        <v>46</v>
      </c>
      <c r="E46" s="175"/>
      <c r="F46" s="445"/>
      <c r="G46" s="549" t="s">
        <v>580</v>
      </c>
      <c r="H46" s="549" t="s">
        <v>629</v>
      </c>
      <c r="I46" s="549" t="s">
        <v>580</v>
      </c>
      <c r="J46" s="549" t="s">
        <v>580</v>
      </c>
      <c r="K46" s="549" t="s">
        <v>580</v>
      </c>
      <c r="L46" s="549" t="s">
        <v>580</v>
      </c>
      <c r="M46" s="549" t="s">
        <v>580</v>
      </c>
      <c r="N46" s="549"/>
      <c r="O46" s="549"/>
      <c r="P46" s="549"/>
      <c r="Q46" s="549"/>
      <c r="R46" s="549"/>
      <c r="S46" s="549"/>
      <c r="T46" s="549"/>
      <c r="U46" s="549"/>
      <c r="V46" s="380" t="s">
        <v>46</v>
      </c>
      <c r="W46" s="69"/>
      <c r="X46" s="381"/>
      <c r="Y46" s="382"/>
      <c r="Z46" s="383"/>
      <c r="AA46" s="130"/>
    </row>
    <row r="47" spans="1:27" ht="13.8">
      <c r="A47" s="201"/>
      <c r="B47" s="693" t="s">
        <v>901</v>
      </c>
      <c r="C47" s="694"/>
      <c r="D47" s="165" t="s">
        <v>124</v>
      </c>
      <c r="E47" s="175"/>
      <c r="F47" s="445"/>
      <c r="G47" s="549"/>
      <c r="H47" s="549" t="s">
        <v>903</v>
      </c>
      <c r="I47" s="549" t="s">
        <v>903</v>
      </c>
      <c r="J47" s="549" t="s">
        <v>903</v>
      </c>
      <c r="K47" s="549" t="s">
        <v>903</v>
      </c>
      <c r="L47" s="549"/>
      <c r="M47" s="549" t="s">
        <v>903</v>
      </c>
      <c r="N47" s="549"/>
      <c r="O47" s="549"/>
      <c r="P47" s="549"/>
      <c r="Q47" s="549"/>
      <c r="R47" s="549"/>
      <c r="S47" s="549"/>
      <c r="T47" s="549"/>
      <c r="U47" s="549"/>
      <c r="V47" s="380"/>
      <c r="W47" s="69"/>
      <c r="X47" s="381"/>
      <c r="Y47" s="382"/>
      <c r="Z47" s="383"/>
      <c r="AA47" s="130"/>
    </row>
    <row r="48" spans="1:27" ht="13.8">
      <c r="A48" s="201"/>
      <c r="B48" s="693" t="s">
        <v>902</v>
      </c>
      <c r="C48" s="694"/>
      <c r="D48" s="165" t="s">
        <v>124</v>
      </c>
      <c r="E48" s="175"/>
      <c r="F48" s="78"/>
      <c r="G48" s="549"/>
      <c r="H48" s="549" t="s">
        <v>903</v>
      </c>
      <c r="I48" s="549" t="s">
        <v>903</v>
      </c>
      <c r="J48" s="549" t="s">
        <v>903</v>
      </c>
      <c r="K48" s="549" t="s">
        <v>903</v>
      </c>
      <c r="L48" s="549" t="s">
        <v>903</v>
      </c>
      <c r="M48" s="549"/>
      <c r="N48" s="549"/>
      <c r="O48" s="549"/>
      <c r="P48" s="549"/>
      <c r="Q48" s="549"/>
      <c r="R48" s="549"/>
      <c r="S48" s="549"/>
      <c r="T48" s="549"/>
      <c r="U48" s="549"/>
      <c r="V48" s="380"/>
      <c r="W48" s="69"/>
      <c r="X48" s="381"/>
      <c r="Y48" s="382"/>
      <c r="Z48" s="383"/>
      <c r="AA48" s="130"/>
    </row>
    <row r="49" spans="1:30" ht="13.8">
      <c r="A49" s="307"/>
      <c r="B49" s="691" t="s">
        <v>941</v>
      </c>
      <c r="C49" s="703"/>
      <c r="D49" s="165" t="s">
        <v>46</v>
      </c>
      <c r="E49" s="175"/>
      <c r="F49" s="78"/>
      <c r="G49" s="549" t="s">
        <v>64</v>
      </c>
      <c r="H49" s="549" t="s">
        <v>64</v>
      </c>
      <c r="I49" s="549" t="s">
        <v>64</v>
      </c>
      <c r="J49" s="549" t="s">
        <v>64</v>
      </c>
      <c r="K49" s="549" t="s">
        <v>64</v>
      </c>
      <c r="L49" s="549" t="s">
        <v>64</v>
      </c>
      <c r="M49" s="549" t="s">
        <v>64</v>
      </c>
      <c r="N49" s="549"/>
      <c r="O49" s="549"/>
      <c r="P49" s="549"/>
      <c r="Q49" s="549"/>
      <c r="R49" s="549"/>
      <c r="S49" s="549"/>
      <c r="T49" s="549"/>
      <c r="U49" s="549"/>
      <c r="V49" s="380" t="s">
        <v>46</v>
      </c>
      <c r="W49" s="69"/>
      <c r="X49" s="381"/>
      <c r="Y49" s="382"/>
      <c r="Z49" s="383"/>
      <c r="AA49" s="130"/>
    </row>
    <row r="50" spans="1:30" ht="13.8">
      <c r="A50" s="520"/>
      <c r="B50" s="691" t="s">
        <v>1103</v>
      </c>
      <c r="C50" s="703"/>
      <c r="D50" s="165" t="s">
        <v>46</v>
      </c>
      <c r="E50" s="175"/>
      <c r="F50" s="78"/>
      <c r="G50" s="850"/>
      <c r="H50" s="850"/>
      <c r="I50" s="850"/>
      <c r="J50" s="850"/>
      <c r="K50" s="850"/>
      <c r="L50" s="850"/>
      <c r="M50" s="850"/>
      <c r="N50" s="850"/>
      <c r="O50" s="850"/>
      <c r="P50" s="850"/>
      <c r="Q50" s="850"/>
      <c r="R50" s="850"/>
      <c r="S50" s="850"/>
      <c r="T50" s="850"/>
      <c r="U50" s="850"/>
      <c r="V50" s="380"/>
      <c r="W50" s="69"/>
      <c r="X50" s="381"/>
      <c r="Y50" s="382"/>
      <c r="Z50" s="383"/>
      <c r="AA50" s="130"/>
    </row>
    <row r="51" spans="1:30" ht="13.8">
      <c r="A51" s="307"/>
      <c r="B51" s="608" t="s">
        <v>276</v>
      </c>
      <c r="C51" s="609"/>
      <c r="D51" s="165" t="s">
        <v>49</v>
      </c>
      <c r="E51" s="175" t="str">
        <f t="shared" ref="E51:E79" si="0">IF(G51="","check",IF(MIN(G51:U51)&lt;Y51,"Attention," &amp;CHAR(10)&amp;"one of your parameters is below the usual range: "&amp;Y51&amp;D51,IF(MAX(G51:U51)&gt;Z51,"Attention," &amp;CHAR(10)&amp;" one of your parameters is above the usual range: "&amp;Z51&amp;D51,"check")))</f>
        <v>check</v>
      </c>
      <c r="F51" s="586" t="s">
        <v>1180</v>
      </c>
      <c r="G51" s="584">
        <v>1191</v>
      </c>
      <c r="H51" s="584">
        <v>1160</v>
      </c>
      <c r="I51" s="584">
        <v>1190</v>
      </c>
      <c r="J51" s="584">
        <v>1179</v>
      </c>
      <c r="K51" s="584">
        <v>1185</v>
      </c>
      <c r="L51" s="584">
        <v>1213</v>
      </c>
      <c r="M51" s="584">
        <v>1186</v>
      </c>
      <c r="N51" s="518"/>
      <c r="O51" s="518"/>
      <c r="P51" s="518"/>
      <c r="Q51" s="518"/>
      <c r="R51" s="518"/>
      <c r="S51" s="518"/>
      <c r="T51" s="518"/>
      <c r="U51" s="518"/>
      <c r="V51" s="380" t="s">
        <v>49</v>
      </c>
      <c r="W51" s="355"/>
      <c r="X51" s="381"/>
      <c r="Y51" s="382">
        <v>480</v>
      </c>
      <c r="Z51" s="383">
        <v>1850</v>
      </c>
      <c r="AA51" s="384"/>
      <c r="AD51" s="174"/>
    </row>
    <row r="52" spans="1:30" ht="13.8">
      <c r="A52" s="307"/>
      <c r="B52" s="608" t="s">
        <v>275</v>
      </c>
      <c r="C52" s="690"/>
      <c r="D52" s="165" t="s">
        <v>49</v>
      </c>
      <c r="E52" s="175" t="str">
        <f t="shared" si="0"/>
        <v>check</v>
      </c>
      <c r="F52" s="586" t="s">
        <v>1180</v>
      </c>
      <c r="G52" s="585">
        <v>1008</v>
      </c>
      <c r="H52" s="585">
        <v>1173</v>
      </c>
      <c r="I52" s="585">
        <v>1150</v>
      </c>
      <c r="J52" s="585">
        <v>1341</v>
      </c>
      <c r="K52" s="585">
        <v>1083</v>
      </c>
      <c r="L52" s="585">
        <v>1193</v>
      </c>
      <c r="M52" s="585">
        <v>1398</v>
      </c>
      <c r="N52" s="519"/>
      <c r="O52" s="519"/>
      <c r="P52" s="519"/>
      <c r="Q52" s="519"/>
      <c r="R52" s="519"/>
      <c r="S52" s="519"/>
      <c r="T52" s="519"/>
      <c r="U52" s="519"/>
      <c r="V52" s="380" t="s">
        <v>49</v>
      </c>
      <c r="W52" s="355"/>
      <c r="X52" s="381"/>
      <c r="Y52" s="382">
        <v>220</v>
      </c>
      <c r="Z52" s="383">
        <v>2270</v>
      </c>
      <c r="AA52" s="384"/>
    </row>
    <row r="53" spans="1:30" ht="13.8">
      <c r="A53" s="307"/>
      <c r="B53" s="608" t="s">
        <v>277</v>
      </c>
      <c r="C53" s="690"/>
      <c r="D53" s="165" t="s">
        <v>49</v>
      </c>
      <c r="E53" s="175" t="str">
        <f>IF(G53="","check",IF(MIN(G53:U53)&lt;Y53,"Attention," &amp;CHAR(10)&amp;"one of your parameters is below the usual range: "&amp;Y53&amp;D53,IF(MAX(G53:U53)&gt;Z53,"Attention," &amp;CHAR(10)&amp;" one of your parameters is above the usual range: "&amp;Z53&amp;D53,"check")))</f>
        <v>check</v>
      </c>
      <c r="F53" s="586" t="s">
        <v>1180</v>
      </c>
      <c r="G53" s="851">
        <v>1176.9413463414635</v>
      </c>
      <c r="H53" s="851">
        <v>1192.2282046143569</v>
      </c>
      <c r="I53" s="851">
        <v>1184.6827936191178</v>
      </c>
      <c r="J53" s="851">
        <v>1177.3865022172949</v>
      </c>
      <c r="K53" s="851">
        <v>1183.8709266321755</v>
      </c>
      <c r="L53" s="851">
        <v>1185.3145900781315</v>
      </c>
      <c r="M53" s="851">
        <v>1177.3865022172949</v>
      </c>
      <c r="N53" s="852"/>
      <c r="O53" s="852"/>
      <c r="P53" s="852"/>
      <c r="Q53" s="852"/>
      <c r="R53" s="852"/>
      <c r="S53" s="852"/>
      <c r="T53" s="852"/>
      <c r="U53" s="852"/>
      <c r="V53" s="380" t="s">
        <v>49</v>
      </c>
      <c r="W53" s="355"/>
      <c r="X53" s="381"/>
      <c r="Y53" s="382">
        <v>250</v>
      </c>
      <c r="Z53" s="383">
        <f>1.1*MAX(G51:U51)</f>
        <v>1334.3000000000002</v>
      </c>
      <c r="AA53" s="383" t="s">
        <v>493</v>
      </c>
    </row>
    <row r="54" spans="1:30" ht="13.8">
      <c r="A54" s="307"/>
      <c r="B54" s="608" t="s">
        <v>278</v>
      </c>
      <c r="C54" s="690"/>
      <c r="D54" s="165" t="s">
        <v>49</v>
      </c>
      <c r="E54" s="175" t="str">
        <f t="shared" si="0"/>
        <v>check</v>
      </c>
      <c r="F54" s="586" t="s">
        <v>1180</v>
      </c>
      <c r="G54" s="851">
        <v>774.53125365853657</v>
      </c>
      <c r="H54" s="851">
        <v>921.90647538986968</v>
      </c>
      <c r="I54" s="851">
        <v>888.89523971421522</v>
      </c>
      <c r="J54" s="851">
        <v>946.61874778270521</v>
      </c>
      <c r="K54" s="851">
        <v>779.09152892338022</v>
      </c>
      <c r="L54" s="851">
        <v>889.36929139109475</v>
      </c>
      <c r="M54" s="851">
        <v>946.61874778270521</v>
      </c>
      <c r="N54" s="852"/>
      <c r="O54" s="852"/>
      <c r="P54" s="852"/>
      <c r="Q54" s="852"/>
      <c r="R54" s="852"/>
      <c r="S54" s="852"/>
      <c r="T54" s="852"/>
      <c r="U54" s="852"/>
      <c r="V54" s="380" t="s">
        <v>49</v>
      </c>
      <c r="W54" s="355"/>
      <c r="X54" s="381"/>
      <c r="Y54" s="382">
        <v>250</v>
      </c>
      <c r="Z54" s="383">
        <f>MAX(G52:U52)</f>
        <v>1398</v>
      </c>
      <c r="AA54" s="383" t="s">
        <v>494</v>
      </c>
    </row>
    <row r="55" spans="1:30" ht="13.8">
      <c r="A55" s="307"/>
      <c r="B55" s="608" t="s">
        <v>382</v>
      </c>
      <c r="C55" s="690"/>
      <c r="D55" s="165" t="s">
        <v>35</v>
      </c>
      <c r="E55" s="175" t="str">
        <f t="shared" si="0"/>
        <v>check</v>
      </c>
      <c r="F55" s="586" t="s">
        <v>1180</v>
      </c>
      <c r="G55" s="853">
        <v>625</v>
      </c>
      <c r="H55" s="852">
        <v>623</v>
      </c>
      <c r="I55" s="853">
        <v>612</v>
      </c>
      <c r="J55" s="853">
        <v>618</v>
      </c>
      <c r="K55" s="853">
        <v>625</v>
      </c>
      <c r="L55" s="853">
        <v>612</v>
      </c>
      <c r="M55" s="853">
        <v>618</v>
      </c>
      <c r="N55" s="852"/>
      <c r="O55" s="852"/>
      <c r="P55" s="852"/>
      <c r="Q55" s="852"/>
      <c r="R55" s="852"/>
      <c r="S55" s="852"/>
      <c r="T55" s="852"/>
      <c r="U55" s="852"/>
      <c r="V55" s="380" t="s">
        <v>35</v>
      </c>
      <c r="W55" s="355"/>
      <c r="X55" s="381"/>
      <c r="Y55" s="382">
        <v>376.5</v>
      </c>
      <c r="Z55" s="383">
        <v>841</v>
      </c>
      <c r="AA55" s="384"/>
    </row>
    <row r="56" spans="1:30" ht="13.8">
      <c r="A56" s="307"/>
      <c r="B56" s="608" t="s">
        <v>383</v>
      </c>
      <c r="C56" s="609"/>
      <c r="D56" s="165" t="s">
        <v>35</v>
      </c>
      <c r="E56" s="175" t="str">
        <f t="shared" si="0"/>
        <v>check</v>
      </c>
      <c r="F56" s="586" t="s">
        <v>1180</v>
      </c>
      <c r="G56" s="585">
        <v>639</v>
      </c>
      <c r="H56" s="519">
        <v>632</v>
      </c>
      <c r="I56" s="585">
        <v>627</v>
      </c>
      <c r="J56" s="585">
        <v>631</v>
      </c>
      <c r="K56" s="585">
        <v>639</v>
      </c>
      <c r="L56" s="585">
        <v>627</v>
      </c>
      <c r="M56" s="585">
        <v>631</v>
      </c>
      <c r="N56" s="519"/>
      <c r="O56" s="519"/>
      <c r="P56" s="519"/>
      <c r="Q56" s="519"/>
      <c r="R56" s="519"/>
      <c r="S56" s="519"/>
      <c r="T56" s="519"/>
      <c r="U56" s="519"/>
      <c r="V56" s="31" t="s">
        <v>35</v>
      </c>
      <c r="W56" s="32"/>
      <c r="X56" s="10"/>
      <c r="Y56" s="7">
        <v>200</v>
      </c>
      <c r="Z56" s="61">
        <v>2000</v>
      </c>
      <c r="AA56" s="45"/>
    </row>
    <row r="57" spans="1:30" ht="13.8">
      <c r="A57" s="307"/>
      <c r="B57" s="608" t="s">
        <v>384</v>
      </c>
      <c r="C57" s="609"/>
      <c r="D57" s="165" t="s">
        <v>35</v>
      </c>
      <c r="E57" s="175" t="str">
        <f t="shared" si="0"/>
        <v>check</v>
      </c>
      <c r="F57" s="586" t="s">
        <v>1180</v>
      </c>
      <c r="G57" s="519">
        <v>2706</v>
      </c>
      <c r="H57" s="519">
        <v>2706</v>
      </c>
      <c r="I57" s="519">
        <v>2706</v>
      </c>
      <c r="J57" s="519">
        <v>2706</v>
      </c>
      <c r="K57" s="519">
        <v>2706</v>
      </c>
      <c r="L57" s="519">
        <v>2706</v>
      </c>
      <c r="M57" s="519">
        <v>2706</v>
      </c>
      <c r="N57" s="519"/>
      <c r="O57" s="519"/>
      <c r="P57" s="519"/>
      <c r="Q57" s="519"/>
      <c r="R57" s="519"/>
      <c r="S57" s="519"/>
      <c r="T57" s="519"/>
      <c r="U57" s="519"/>
      <c r="V57" s="380" t="s">
        <v>35</v>
      </c>
      <c r="W57" s="355"/>
      <c r="X57" s="381"/>
      <c r="Y57" s="382">
        <v>1000</v>
      </c>
      <c r="Z57" s="383">
        <v>5000</v>
      </c>
      <c r="AA57" s="384"/>
    </row>
    <row r="58" spans="1:30" ht="13.8">
      <c r="A58" s="493"/>
      <c r="B58" s="608" t="s">
        <v>1062</v>
      </c>
      <c r="C58" s="609"/>
      <c r="D58" s="166" t="s">
        <v>35</v>
      </c>
      <c r="E58" s="175" t="str">
        <f>IF(G58="","check",IF(MIN(G58:U58)&lt;Y58,"Attention," &amp;CHAR(10)&amp;"one of your parameters is below the usual range: "&amp;Y58&amp;D58,IF(MAX(G58:U58)&gt;Z58,"Attention," &amp;CHAR(10)&amp;" one of your parameters is above the usual range: "&amp;Z58&amp;D58,"check")))</f>
        <v>check</v>
      </c>
      <c r="F58" s="79"/>
      <c r="G58" s="519"/>
      <c r="H58" s="519"/>
      <c r="I58" s="519"/>
      <c r="J58" s="519"/>
      <c r="K58" s="519"/>
      <c r="L58" s="519"/>
      <c r="M58" s="519"/>
      <c r="N58" s="519"/>
      <c r="O58" s="519"/>
      <c r="P58" s="519"/>
      <c r="Q58" s="519"/>
      <c r="R58" s="519"/>
      <c r="S58" s="519"/>
      <c r="T58" s="519"/>
      <c r="U58" s="519"/>
      <c r="V58" s="380" t="s">
        <v>35</v>
      </c>
      <c r="W58" s="355"/>
      <c r="X58" s="381"/>
      <c r="Y58" s="382">
        <v>100</v>
      </c>
      <c r="Z58" s="383">
        <v>2500</v>
      </c>
      <c r="AA58" s="384"/>
    </row>
    <row r="59" spans="1:30" ht="13.8">
      <c r="A59" s="307"/>
      <c r="B59" s="720" t="s">
        <v>1068</v>
      </c>
      <c r="C59" s="721"/>
      <c r="D59" s="486"/>
      <c r="E59" s="175"/>
      <c r="F59" s="490"/>
      <c r="G59" s="553">
        <f t="shared" ref="G59:U59" si="1">IF(MAX(G55:G56)&gt;0,G58/(2*MAX(G55:G56)),"")</f>
        <v>0</v>
      </c>
      <c r="H59" s="553">
        <f t="shared" si="1"/>
        <v>0</v>
      </c>
      <c r="I59" s="553">
        <f t="shared" si="1"/>
        <v>0</v>
      </c>
      <c r="J59" s="553">
        <f t="shared" si="1"/>
        <v>0</v>
      </c>
      <c r="K59" s="553">
        <f t="shared" si="1"/>
        <v>0</v>
      </c>
      <c r="L59" s="553">
        <f t="shared" si="1"/>
        <v>0</v>
      </c>
      <c r="M59" s="553">
        <f t="shared" si="1"/>
        <v>0</v>
      </c>
      <c r="N59" s="553" t="str">
        <f t="shared" si="1"/>
        <v/>
      </c>
      <c r="O59" s="553" t="str">
        <f t="shared" si="1"/>
        <v/>
      </c>
      <c r="P59" s="553" t="str">
        <f t="shared" si="1"/>
        <v/>
      </c>
      <c r="Q59" s="553" t="str">
        <f t="shared" si="1"/>
        <v/>
      </c>
      <c r="R59" s="553" t="str">
        <f t="shared" si="1"/>
        <v/>
      </c>
      <c r="S59" s="553" t="str">
        <f t="shared" si="1"/>
        <v/>
      </c>
      <c r="T59" s="553" t="str">
        <f t="shared" si="1"/>
        <v/>
      </c>
      <c r="U59" s="553" t="str">
        <f t="shared" si="1"/>
        <v/>
      </c>
      <c r="V59" s="380"/>
      <c r="W59" s="355"/>
      <c r="X59" s="381"/>
      <c r="Y59" s="382"/>
      <c r="Z59" s="383"/>
      <c r="AA59" s="384"/>
    </row>
    <row r="60" spans="1:30" ht="13.8">
      <c r="A60" s="307"/>
      <c r="B60" s="608" t="s">
        <v>48</v>
      </c>
      <c r="C60" s="690"/>
      <c r="D60" s="165" t="s">
        <v>35</v>
      </c>
      <c r="E60" s="175" t="str">
        <f t="shared" si="0"/>
        <v>check</v>
      </c>
      <c r="F60" s="586" t="s">
        <v>1180</v>
      </c>
      <c r="G60" s="519">
        <v>353</v>
      </c>
      <c r="H60" s="519">
        <v>355</v>
      </c>
      <c r="I60" s="519">
        <v>355</v>
      </c>
      <c r="J60" s="519">
        <v>355</v>
      </c>
      <c r="K60" s="519">
        <v>353</v>
      </c>
      <c r="L60" s="519">
        <v>355</v>
      </c>
      <c r="M60" s="519">
        <v>355</v>
      </c>
      <c r="N60" s="519"/>
      <c r="O60" s="519"/>
      <c r="P60" s="519"/>
      <c r="Q60" s="519"/>
      <c r="R60" s="519"/>
      <c r="S60" s="519"/>
      <c r="T60" s="519"/>
      <c r="U60" s="519"/>
      <c r="V60" s="380" t="s">
        <v>35</v>
      </c>
      <c r="W60" s="355"/>
      <c r="X60" s="381"/>
      <c r="Y60" s="382">
        <v>261.7</v>
      </c>
      <c r="Z60" s="383">
        <v>416.5</v>
      </c>
      <c r="AA60" s="384"/>
    </row>
    <row r="61" spans="1:30" ht="13.8">
      <c r="A61" s="307"/>
      <c r="B61" s="608" t="s">
        <v>47</v>
      </c>
      <c r="C61" s="690"/>
      <c r="D61" s="165" t="s">
        <v>35</v>
      </c>
      <c r="E61" s="175" t="str">
        <f t="shared" si="0"/>
        <v>check</v>
      </c>
      <c r="F61" s="586" t="s">
        <v>1180</v>
      </c>
      <c r="G61" s="519">
        <v>353</v>
      </c>
      <c r="H61" s="519">
        <v>355</v>
      </c>
      <c r="I61" s="519">
        <v>355</v>
      </c>
      <c r="J61" s="519">
        <v>355</v>
      </c>
      <c r="K61" s="519">
        <v>353</v>
      </c>
      <c r="L61" s="519">
        <v>355</v>
      </c>
      <c r="M61" s="519">
        <v>355</v>
      </c>
      <c r="N61" s="519"/>
      <c r="O61" s="519"/>
      <c r="P61" s="519"/>
      <c r="Q61" s="519"/>
      <c r="R61" s="519"/>
      <c r="S61" s="519"/>
      <c r="T61" s="519"/>
      <c r="U61" s="519"/>
      <c r="V61" s="380" t="s">
        <v>35</v>
      </c>
      <c r="W61" s="355"/>
      <c r="X61" s="381"/>
      <c r="Y61" s="382">
        <v>261.89999999999998</v>
      </c>
      <c r="Z61" s="383">
        <v>416.5</v>
      </c>
      <c r="AA61" s="384"/>
    </row>
    <row r="62" spans="1:30" ht="13.8">
      <c r="A62" s="307"/>
      <c r="B62" s="608" t="s">
        <v>480</v>
      </c>
      <c r="C62" s="690"/>
      <c r="D62" s="165" t="s">
        <v>50</v>
      </c>
      <c r="E62" s="175" t="str">
        <f t="shared" si="0"/>
        <v>check</v>
      </c>
      <c r="F62" s="586" t="s">
        <v>1180</v>
      </c>
      <c r="G62" s="519">
        <v>101</v>
      </c>
      <c r="H62" s="519">
        <v>101</v>
      </c>
      <c r="I62" s="519">
        <v>101</v>
      </c>
      <c r="J62" s="519">
        <v>101</v>
      </c>
      <c r="K62" s="519">
        <v>101</v>
      </c>
      <c r="L62" s="519">
        <v>101</v>
      </c>
      <c r="M62" s="519">
        <v>101</v>
      </c>
      <c r="N62" s="519"/>
      <c r="O62" s="519"/>
      <c r="P62" s="519"/>
      <c r="Q62" s="519"/>
      <c r="R62" s="519"/>
      <c r="S62" s="519"/>
      <c r="T62" s="519"/>
      <c r="U62" s="519"/>
      <c r="V62" s="380" t="s">
        <v>50</v>
      </c>
      <c r="W62" s="385"/>
      <c r="X62" s="381"/>
      <c r="Y62" s="382">
        <v>20</v>
      </c>
      <c r="Z62" s="383">
        <v>1000</v>
      </c>
      <c r="AA62" s="130"/>
    </row>
    <row r="63" spans="1:30" ht="13.8">
      <c r="A63" s="307"/>
      <c r="B63" s="608" t="s">
        <v>481</v>
      </c>
      <c r="C63" s="690"/>
      <c r="D63" s="165" t="s">
        <v>50</v>
      </c>
      <c r="E63" s="175" t="str">
        <f t="shared" si="0"/>
        <v>check</v>
      </c>
      <c r="F63" s="586" t="s">
        <v>1180</v>
      </c>
      <c r="G63" s="519">
        <v>84</v>
      </c>
      <c r="H63" s="519">
        <v>84</v>
      </c>
      <c r="I63" s="519">
        <v>84</v>
      </c>
      <c r="J63" s="519">
        <v>84</v>
      </c>
      <c r="K63" s="519">
        <v>84</v>
      </c>
      <c r="L63" s="519">
        <v>84</v>
      </c>
      <c r="M63" s="519">
        <v>84</v>
      </c>
      <c r="N63" s="519"/>
      <c r="O63" s="519"/>
      <c r="P63" s="519"/>
      <c r="Q63" s="519"/>
      <c r="R63" s="519"/>
      <c r="S63" s="519"/>
      <c r="T63" s="519"/>
      <c r="U63" s="519"/>
      <c r="V63" s="380" t="s">
        <v>50</v>
      </c>
      <c r="W63" s="385"/>
      <c r="X63" s="381"/>
      <c r="Y63" s="382">
        <v>20</v>
      </c>
      <c r="Z63" s="383">
        <v>1000</v>
      </c>
      <c r="AA63" s="130"/>
    </row>
    <row r="64" spans="1:30" ht="13.8">
      <c r="A64" s="307"/>
      <c r="B64" s="608" t="s">
        <v>482</v>
      </c>
      <c r="C64" s="690"/>
      <c r="D64" s="165" t="s">
        <v>50</v>
      </c>
      <c r="E64" s="175" t="str">
        <f t="shared" si="0"/>
        <v>check</v>
      </c>
      <c r="F64" s="586" t="s">
        <v>1180</v>
      </c>
      <c r="G64" s="519">
        <v>94</v>
      </c>
      <c r="H64" s="519">
        <v>94</v>
      </c>
      <c r="I64" s="519">
        <v>94</v>
      </c>
      <c r="J64" s="519">
        <v>94</v>
      </c>
      <c r="K64" s="519">
        <v>94</v>
      </c>
      <c r="L64" s="519">
        <v>94</v>
      </c>
      <c r="M64" s="519">
        <v>94</v>
      </c>
      <c r="N64" s="519"/>
      <c r="O64" s="519"/>
      <c r="P64" s="519"/>
      <c r="Q64" s="519"/>
      <c r="R64" s="519"/>
      <c r="S64" s="519"/>
      <c r="T64" s="519"/>
      <c r="U64" s="519"/>
      <c r="V64" s="386" t="s">
        <v>50</v>
      </c>
      <c r="W64" s="385"/>
      <c r="X64" s="381"/>
      <c r="Y64" s="382">
        <v>20</v>
      </c>
      <c r="Z64" s="383">
        <v>1000</v>
      </c>
      <c r="AA64" s="130"/>
    </row>
    <row r="65" spans="1:27" ht="13.8">
      <c r="A65" s="307"/>
      <c r="B65" s="608" t="s">
        <v>483</v>
      </c>
      <c r="C65" s="690"/>
      <c r="D65" s="165" t="s">
        <v>50</v>
      </c>
      <c r="E65" s="175" t="str">
        <f t="shared" si="0"/>
        <v>check</v>
      </c>
      <c r="F65" s="586" t="s">
        <v>1180</v>
      </c>
      <c r="G65" s="519">
        <v>64</v>
      </c>
      <c r="H65" s="519">
        <v>64</v>
      </c>
      <c r="I65" s="519">
        <v>64</v>
      </c>
      <c r="J65" s="519">
        <v>64</v>
      </c>
      <c r="K65" s="519">
        <v>64</v>
      </c>
      <c r="L65" s="519">
        <v>64</v>
      </c>
      <c r="M65" s="519">
        <v>64</v>
      </c>
      <c r="N65" s="519"/>
      <c r="O65" s="519"/>
      <c r="P65" s="519"/>
      <c r="Q65" s="519"/>
      <c r="R65" s="519"/>
      <c r="S65" s="519"/>
      <c r="T65" s="519"/>
      <c r="U65" s="519"/>
      <c r="V65" s="386" t="s">
        <v>50</v>
      </c>
      <c r="W65" s="385"/>
      <c r="X65" s="381"/>
      <c r="Y65" s="382">
        <v>20</v>
      </c>
      <c r="Z65" s="383">
        <v>1000</v>
      </c>
      <c r="AA65" s="130"/>
    </row>
    <row r="66" spans="1:27" ht="13.8">
      <c r="A66" s="522"/>
      <c r="B66" s="608" t="s">
        <v>1076</v>
      </c>
      <c r="C66" s="609"/>
      <c r="D66" s="165" t="s">
        <v>1145</v>
      </c>
      <c r="E66" s="175" t="str">
        <f t="shared" si="0"/>
        <v>check</v>
      </c>
      <c r="F66" s="79"/>
      <c r="G66" s="852"/>
      <c r="H66" s="852"/>
      <c r="I66" s="852"/>
      <c r="J66" s="852"/>
      <c r="K66" s="852"/>
      <c r="L66" s="852"/>
      <c r="M66" s="852"/>
      <c r="N66" s="852"/>
      <c r="O66" s="852"/>
      <c r="P66" s="852"/>
      <c r="Q66" s="852"/>
      <c r="R66" s="852"/>
      <c r="S66" s="852"/>
      <c r="T66" s="852"/>
      <c r="U66" s="852"/>
      <c r="V66" s="386" t="s">
        <v>1145</v>
      </c>
      <c r="W66" s="385"/>
      <c r="X66" s="381"/>
      <c r="Y66" s="382">
        <v>2</v>
      </c>
      <c r="Z66" s="383">
        <v>100</v>
      </c>
      <c r="AA66" s="130"/>
    </row>
    <row r="67" spans="1:27" ht="13.8">
      <c r="A67" s="522"/>
      <c r="B67" s="608" t="s">
        <v>1077</v>
      </c>
      <c r="C67" s="609"/>
      <c r="D67" s="165" t="s">
        <v>1145</v>
      </c>
      <c r="E67" s="175" t="str">
        <f t="shared" si="0"/>
        <v>check</v>
      </c>
      <c r="F67" s="79"/>
      <c r="G67" s="852"/>
      <c r="H67" s="852"/>
      <c r="I67" s="852"/>
      <c r="J67" s="852"/>
      <c r="K67" s="852"/>
      <c r="L67" s="852"/>
      <c r="M67" s="852"/>
      <c r="N67" s="852"/>
      <c r="O67" s="852"/>
      <c r="P67" s="852"/>
      <c r="Q67" s="852"/>
      <c r="R67" s="852"/>
      <c r="S67" s="852"/>
      <c r="T67" s="852"/>
      <c r="U67" s="852"/>
      <c r="V67" s="386" t="s">
        <v>1145</v>
      </c>
      <c r="W67" s="385"/>
      <c r="X67" s="381"/>
      <c r="Y67" s="382">
        <v>2</v>
      </c>
      <c r="Z67" s="383">
        <v>100</v>
      </c>
      <c r="AA67" s="130"/>
    </row>
    <row r="68" spans="1:27" ht="13.8">
      <c r="A68" s="522"/>
      <c r="B68" s="608" t="s">
        <v>1078</v>
      </c>
      <c r="C68" s="609"/>
      <c r="D68" s="165" t="s">
        <v>1145</v>
      </c>
      <c r="E68" s="175" t="str">
        <f t="shared" si="0"/>
        <v>check</v>
      </c>
      <c r="F68" s="79"/>
      <c r="G68" s="852"/>
      <c r="H68" s="852"/>
      <c r="I68" s="852"/>
      <c r="J68" s="852"/>
      <c r="K68" s="852"/>
      <c r="L68" s="852"/>
      <c r="M68" s="852"/>
      <c r="N68" s="852"/>
      <c r="O68" s="852"/>
      <c r="P68" s="852"/>
      <c r="Q68" s="852"/>
      <c r="R68" s="852"/>
      <c r="S68" s="852"/>
      <c r="T68" s="852"/>
      <c r="U68" s="852"/>
      <c r="V68" s="386" t="s">
        <v>1145</v>
      </c>
      <c r="W68" s="385"/>
      <c r="X68" s="381"/>
      <c r="Y68" s="382">
        <v>2</v>
      </c>
      <c r="Z68" s="383">
        <v>100</v>
      </c>
      <c r="AA68" s="130"/>
    </row>
    <row r="69" spans="1:27" ht="13.8">
      <c r="A69" s="522"/>
      <c r="B69" s="608" t="s">
        <v>1079</v>
      </c>
      <c r="C69" s="609"/>
      <c r="D69" s="165" t="s">
        <v>1145</v>
      </c>
      <c r="E69" s="175" t="str">
        <f t="shared" si="0"/>
        <v>check</v>
      </c>
      <c r="F69" s="79"/>
      <c r="G69" s="852"/>
      <c r="H69" s="852"/>
      <c r="I69" s="852"/>
      <c r="J69" s="852"/>
      <c r="K69" s="852"/>
      <c r="L69" s="852"/>
      <c r="M69" s="852"/>
      <c r="N69" s="852"/>
      <c r="O69" s="852"/>
      <c r="P69" s="852"/>
      <c r="Q69" s="852"/>
      <c r="R69" s="852"/>
      <c r="S69" s="852"/>
      <c r="T69" s="852"/>
      <c r="U69" s="852"/>
      <c r="V69" s="386" t="s">
        <v>1145</v>
      </c>
      <c r="W69" s="385"/>
      <c r="X69" s="381"/>
      <c r="Y69" s="382">
        <v>2</v>
      </c>
      <c r="Z69" s="383">
        <v>100</v>
      </c>
      <c r="AA69" s="130"/>
    </row>
    <row r="70" spans="1:27" ht="13.8">
      <c r="A70" s="522"/>
      <c r="B70" s="608" t="s">
        <v>1080</v>
      </c>
      <c r="C70" s="609"/>
      <c r="D70" s="165" t="s">
        <v>46</v>
      </c>
      <c r="E70" s="175"/>
      <c r="F70" s="79"/>
      <c r="G70" s="850"/>
      <c r="H70" s="852"/>
      <c r="I70" s="852"/>
      <c r="J70" s="852"/>
      <c r="K70" s="852"/>
      <c r="L70" s="852"/>
      <c r="M70" s="852"/>
      <c r="N70" s="852"/>
      <c r="O70" s="852"/>
      <c r="P70" s="852"/>
      <c r="Q70" s="852"/>
      <c r="R70" s="852"/>
      <c r="S70" s="852"/>
      <c r="T70" s="852"/>
      <c r="U70" s="852"/>
      <c r="V70" s="386" t="s">
        <v>46</v>
      </c>
      <c r="W70" s="385"/>
      <c r="X70" s="381"/>
      <c r="Y70" s="382"/>
      <c r="Z70" s="383"/>
      <c r="AA70" s="130"/>
    </row>
    <row r="71" spans="1:27" ht="13.8">
      <c r="A71" s="520"/>
      <c r="B71" s="608" t="s">
        <v>1150</v>
      </c>
      <c r="C71" s="609"/>
      <c r="D71" s="165" t="s">
        <v>46</v>
      </c>
      <c r="E71" s="175"/>
      <c r="F71" s="260"/>
      <c r="G71" s="854"/>
      <c r="H71" s="854"/>
      <c r="I71" s="854"/>
      <c r="J71" s="854"/>
      <c r="K71" s="854"/>
      <c r="L71" s="854"/>
      <c r="M71" s="854"/>
      <c r="N71" s="854"/>
      <c r="O71" s="854"/>
      <c r="P71" s="854"/>
      <c r="Q71" s="854"/>
      <c r="R71" s="854"/>
      <c r="S71" s="854"/>
      <c r="T71" s="854"/>
      <c r="U71" s="854"/>
      <c r="V71" s="386" t="s">
        <v>63</v>
      </c>
      <c r="W71" s="385"/>
      <c r="X71" s="381"/>
      <c r="Y71" s="382"/>
      <c r="Z71" s="383"/>
      <c r="AA71" s="130"/>
    </row>
    <row r="72" spans="1:27" ht="13.8">
      <c r="A72" s="522"/>
      <c r="B72" s="608" t="s">
        <v>1158</v>
      </c>
      <c r="C72" s="690"/>
      <c r="D72" s="165" t="s">
        <v>214</v>
      </c>
      <c r="E72" s="165" t="s">
        <v>214</v>
      </c>
      <c r="F72" s="586" t="s">
        <v>1180</v>
      </c>
      <c r="G72" s="852">
        <v>10.5</v>
      </c>
      <c r="H72" s="852">
        <v>10.5</v>
      </c>
      <c r="I72" s="852">
        <v>10.5</v>
      </c>
      <c r="J72" s="852">
        <v>10.5</v>
      </c>
      <c r="K72" s="852">
        <v>10.5</v>
      </c>
      <c r="L72" s="852">
        <v>10.5</v>
      </c>
      <c r="M72" s="852">
        <v>10.5</v>
      </c>
      <c r="N72" s="852"/>
      <c r="O72" s="852"/>
      <c r="P72" s="852"/>
      <c r="Q72" s="852"/>
      <c r="R72" s="852"/>
      <c r="S72" s="852"/>
      <c r="T72" s="852"/>
      <c r="U72" s="852"/>
      <c r="V72" s="386" t="s">
        <v>214</v>
      </c>
      <c r="W72" s="385"/>
      <c r="X72" s="381"/>
      <c r="Y72" s="382">
        <v>2</v>
      </c>
      <c r="Z72" s="383">
        <v>20</v>
      </c>
      <c r="AA72" s="130"/>
    </row>
    <row r="73" spans="1:27" ht="13.8">
      <c r="A73" s="520"/>
      <c r="B73" s="608" t="s">
        <v>1110</v>
      </c>
      <c r="C73" s="609"/>
      <c r="D73" s="165" t="s">
        <v>1113</v>
      </c>
      <c r="E73" s="175"/>
      <c r="F73" s="260"/>
      <c r="G73" s="854"/>
      <c r="H73" s="854"/>
      <c r="I73" s="854"/>
      <c r="J73" s="854"/>
      <c r="K73" s="854"/>
      <c r="L73" s="854"/>
      <c r="M73" s="854"/>
      <c r="N73" s="854"/>
      <c r="O73" s="854"/>
      <c r="P73" s="854"/>
      <c r="Q73" s="854"/>
      <c r="R73" s="854"/>
      <c r="S73" s="854"/>
      <c r="T73" s="854"/>
      <c r="U73" s="854"/>
      <c r="V73" s="386" t="s">
        <v>1113</v>
      </c>
      <c r="W73" s="385"/>
      <c r="X73" s="381"/>
      <c r="Y73" s="382"/>
      <c r="Z73" s="383"/>
      <c r="AA73" s="130"/>
    </row>
    <row r="74" spans="1:27" ht="13.8">
      <c r="A74" s="520"/>
      <c r="B74" s="608" t="s">
        <v>1111</v>
      </c>
      <c r="C74" s="609"/>
      <c r="D74" s="165" t="s">
        <v>560</v>
      </c>
      <c r="E74" s="175"/>
      <c r="F74" s="260"/>
      <c r="G74" s="854"/>
      <c r="H74" s="854"/>
      <c r="I74" s="854"/>
      <c r="J74" s="854"/>
      <c r="K74" s="854"/>
      <c r="L74" s="854"/>
      <c r="M74" s="854"/>
      <c r="N74" s="854"/>
      <c r="O74" s="854"/>
      <c r="P74" s="854"/>
      <c r="Q74" s="854"/>
      <c r="R74" s="854"/>
      <c r="S74" s="854"/>
      <c r="T74" s="854"/>
      <c r="U74" s="854"/>
      <c r="V74" s="386" t="s">
        <v>560</v>
      </c>
      <c r="W74" s="385"/>
      <c r="X74" s="381"/>
      <c r="Y74" s="382"/>
      <c r="Z74" s="383"/>
      <c r="AA74" s="130"/>
    </row>
    <row r="75" spans="1:27" ht="13.8">
      <c r="A75" s="520"/>
      <c r="B75" s="608" t="s">
        <v>1112</v>
      </c>
      <c r="C75" s="609"/>
      <c r="D75" s="165" t="s">
        <v>46</v>
      </c>
      <c r="E75" s="175"/>
      <c r="F75" s="260"/>
      <c r="G75" s="852"/>
      <c r="H75" s="852"/>
      <c r="I75" s="852"/>
      <c r="J75" s="852"/>
      <c r="K75" s="852"/>
      <c r="L75" s="852"/>
      <c r="M75" s="852"/>
      <c r="N75" s="852"/>
      <c r="O75" s="852"/>
      <c r="P75" s="852"/>
      <c r="Q75" s="852"/>
      <c r="R75" s="852"/>
      <c r="S75" s="852"/>
      <c r="T75" s="852"/>
      <c r="U75" s="852"/>
      <c r="V75" s="386" t="s">
        <v>46</v>
      </c>
      <c r="W75" s="385"/>
      <c r="X75" s="381"/>
      <c r="Y75" s="382"/>
      <c r="Z75" s="383"/>
      <c r="AA75" s="130"/>
    </row>
    <row r="76" spans="1:27" ht="27.6">
      <c r="A76" s="522"/>
      <c r="B76" s="608" t="s">
        <v>1081</v>
      </c>
      <c r="C76" s="609"/>
      <c r="D76" s="165" t="s">
        <v>46</v>
      </c>
      <c r="E76" s="175" t="s">
        <v>1147</v>
      </c>
      <c r="F76" s="260"/>
      <c r="G76" s="850"/>
      <c r="H76" s="850"/>
      <c r="I76" s="850"/>
      <c r="J76" s="850"/>
      <c r="K76" s="850"/>
      <c r="L76" s="850"/>
      <c r="M76" s="850"/>
      <c r="N76" s="850"/>
      <c r="O76" s="850"/>
      <c r="P76" s="850"/>
      <c r="Q76" s="850"/>
      <c r="R76" s="850"/>
      <c r="S76" s="850"/>
      <c r="T76" s="850"/>
      <c r="U76" s="850"/>
      <c r="V76" s="386" t="s">
        <v>46</v>
      </c>
      <c r="W76" s="385"/>
      <c r="X76" s="381"/>
      <c r="Y76" s="382"/>
      <c r="Z76" s="383"/>
      <c r="AA76" s="130"/>
    </row>
    <row r="77" spans="1:27" s="61" customFormat="1" ht="13.8">
      <c r="A77" s="529"/>
      <c r="B77" s="604" t="s">
        <v>1139</v>
      </c>
      <c r="C77" s="610"/>
      <c r="D77" s="503" t="s">
        <v>1082</v>
      </c>
      <c r="E77" s="504"/>
      <c r="F77" s="505"/>
      <c r="G77" s="855"/>
      <c r="H77" s="855"/>
      <c r="I77" s="855"/>
      <c r="J77" s="855"/>
      <c r="K77" s="855"/>
      <c r="L77" s="855"/>
      <c r="M77" s="855"/>
      <c r="N77" s="855"/>
      <c r="O77" s="855"/>
      <c r="P77" s="855"/>
      <c r="Q77" s="855"/>
      <c r="R77" s="855"/>
      <c r="S77" s="855"/>
      <c r="T77" s="855"/>
      <c r="U77" s="855"/>
      <c r="V77" s="495" t="s">
        <v>1082</v>
      </c>
      <c r="W77" s="496"/>
      <c r="X77" s="497"/>
      <c r="Y77" s="462">
        <v>0</v>
      </c>
      <c r="Z77" s="61">
        <v>50</v>
      </c>
    </row>
    <row r="78" spans="1:27" s="61" customFormat="1" ht="13.8">
      <c r="A78" s="529"/>
      <c r="B78" s="604" t="s">
        <v>1140</v>
      </c>
      <c r="C78" s="610"/>
      <c r="D78" s="503" t="s">
        <v>1082</v>
      </c>
      <c r="E78" s="504"/>
      <c r="F78" s="505"/>
      <c r="G78" s="855"/>
      <c r="H78" s="855"/>
      <c r="I78" s="855"/>
      <c r="J78" s="855"/>
      <c r="K78" s="855"/>
      <c r="L78" s="855"/>
      <c r="M78" s="855"/>
      <c r="N78" s="855"/>
      <c r="O78" s="855"/>
      <c r="P78" s="855"/>
      <c r="Q78" s="855"/>
      <c r="R78" s="855"/>
      <c r="S78" s="855"/>
      <c r="T78" s="855"/>
      <c r="U78" s="855"/>
      <c r="V78" s="495" t="s">
        <v>1082</v>
      </c>
      <c r="W78" s="496"/>
      <c r="X78" s="497"/>
      <c r="Y78" s="462">
        <v>0</v>
      </c>
      <c r="Z78" s="61">
        <v>50</v>
      </c>
    </row>
    <row r="79" spans="1:27" ht="13.8">
      <c r="A79" s="201"/>
      <c r="B79" s="717" t="s">
        <v>363</v>
      </c>
      <c r="C79" s="718"/>
      <c r="D79" s="165" t="s">
        <v>123</v>
      </c>
      <c r="E79" s="427" t="str">
        <f t="shared" si="0"/>
        <v>check</v>
      </c>
      <c r="F79" s="586" t="s">
        <v>1180</v>
      </c>
      <c r="G79" s="854">
        <v>300</v>
      </c>
      <c r="H79" s="854">
        <v>300</v>
      </c>
      <c r="I79" s="854">
        <v>300</v>
      </c>
      <c r="J79" s="854">
        <v>300</v>
      </c>
      <c r="K79" s="854">
        <v>300</v>
      </c>
      <c r="L79" s="854">
        <v>300</v>
      </c>
      <c r="M79" s="854">
        <v>300</v>
      </c>
      <c r="N79" s="854"/>
      <c r="O79" s="854"/>
      <c r="P79" s="854"/>
      <c r="Q79" s="854"/>
      <c r="R79" s="854"/>
      <c r="S79" s="854"/>
      <c r="T79" s="854"/>
      <c r="U79" s="854"/>
      <c r="V79" s="202" t="s">
        <v>123</v>
      </c>
      <c r="W79" s="33"/>
      <c r="X79" s="10"/>
      <c r="Y79" s="7">
        <v>100</v>
      </c>
      <c r="Z79" s="61">
        <v>3000</v>
      </c>
    </row>
    <row r="80" spans="1:27" ht="13.8">
      <c r="A80" s="201"/>
      <c r="B80" s="691" t="s">
        <v>146</v>
      </c>
      <c r="C80" s="692"/>
      <c r="D80" s="165" t="s">
        <v>35</v>
      </c>
      <c r="E80" s="427" t="str">
        <f>IF(COUNTIF(G80:U80,"13ccm/s (diam 0,45)")+COUNTIF(G80:U80,"26ccm/s (diam 0,66)")+COUNTIF(G80:U80,"37ccm/s (diam 0,81)")+COUNTIF(G80:U80,"")&lt;15,"FAILURE"&amp;CHAR(10)&amp;"one of your parameter is not expected."&amp;CHAR(10)&amp;"Please use only the selection liste","check")</f>
        <v>check</v>
      </c>
      <c r="F80" s="260"/>
      <c r="G80" s="596" t="s">
        <v>841</v>
      </c>
      <c r="H80" s="596" t="s">
        <v>841</v>
      </c>
      <c r="I80" s="596" t="s">
        <v>841</v>
      </c>
      <c r="J80" s="596" t="s">
        <v>841</v>
      </c>
      <c r="K80" s="596" t="s">
        <v>841</v>
      </c>
      <c r="L80" s="596" t="s">
        <v>841</v>
      </c>
      <c r="M80" s="596" t="s">
        <v>841</v>
      </c>
      <c r="N80" s="596"/>
      <c r="O80" s="596"/>
      <c r="P80" s="596"/>
      <c r="Q80" s="596"/>
      <c r="R80" s="596"/>
      <c r="S80" s="596"/>
      <c r="T80" s="596"/>
      <c r="U80" s="596"/>
      <c r="V80" s="386" t="s">
        <v>35</v>
      </c>
      <c r="W80" s="387"/>
      <c r="X80" s="381"/>
      <c r="Y80" s="382"/>
      <c r="Z80" s="383"/>
      <c r="AA80" s="130"/>
    </row>
    <row r="81" spans="1:27" ht="13.8">
      <c r="A81" s="201"/>
      <c r="B81" s="691" t="s">
        <v>147</v>
      </c>
      <c r="C81" s="692"/>
      <c r="D81" s="165" t="s">
        <v>35</v>
      </c>
      <c r="E81" s="427" t="str">
        <f>IF(COUNTIF(G81:U81,"7,5ccm/s (diam 0,34)")+COUNTIF(G81:U81,"13ccm/s (diam 0,45)")+COUNTIF(G81:U81,"26ccm/s (diam 0,66)")+COUNTIF(G81:U81,"37ccm/s (diam 0,81)")+COUNTIF(G81:U81,"")&lt;15,"FAILURE"&amp;CHAR(10)&amp;"one of your parameter is not expected."&amp;CHAR(10)&amp;"Please use only the selection liste","check")</f>
        <v>check</v>
      </c>
      <c r="F81" s="260"/>
      <c r="G81" s="596" t="s">
        <v>841</v>
      </c>
      <c r="H81" s="596" t="s">
        <v>841</v>
      </c>
      <c r="I81" s="596" t="s">
        <v>841</v>
      </c>
      <c r="J81" s="596" t="s">
        <v>841</v>
      </c>
      <c r="K81" s="596" t="s">
        <v>841</v>
      </c>
      <c r="L81" s="596" t="s">
        <v>841</v>
      </c>
      <c r="M81" s="596" t="s">
        <v>841</v>
      </c>
      <c r="N81" s="596"/>
      <c r="O81" s="596"/>
      <c r="P81" s="596"/>
      <c r="Q81" s="596"/>
      <c r="R81" s="596"/>
      <c r="S81" s="596"/>
      <c r="T81" s="596"/>
      <c r="U81" s="596"/>
      <c r="V81" s="386" t="s">
        <v>35</v>
      </c>
      <c r="W81" s="387"/>
      <c r="X81" s="381"/>
      <c r="Y81" s="382"/>
      <c r="Z81" s="383"/>
      <c r="AA81" s="130"/>
    </row>
    <row r="82" spans="1:27" ht="13.8">
      <c r="A82" s="201"/>
      <c r="B82" s="691" t="s">
        <v>576</v>
      </c>
      <c r="C82" s="692"/>
      <c r="D82" s="165" t="s">
        <v>35</v>
      </c>
      <c r="E82" s="427" t="str">
        <f>IF(COUNTIF(G82:U82,"4,5ccm/s (diam 0,3)")+COUNTIF(G82:U82,"7,9ccm/s (diam 0,4)")+COUNTIF(G82:U82,"11,2ccm/s (diam 0,51)")+COUNTIF(G82:U82,"19,2ccm/s (diam 1,2)")+COUNTIF(G82:U82,"25ccm/s (diam 1,5)")+COUNTIF(G82:U82,"")&lt;15,"FAILURE"&amp;CHAR(10)&amp;"one of your parameter is not expected."&amp;CHAR(10)&amp;"Please use only the selection liste","check")</f>
        <v>check</v>
      </c>
      <c r="F82" s="260"/>
      <c r="G82" s="854"/>
      <c r="H82" s="854"/>
      <c r="I82" s="854"/>
      <c r="J82" s="854"/>
      <c r="K82" s="854"/>
      <c r="L82" s="854"/>
      <c r="M82" s="854"/>
      <c r="N82" s="854"/>
      <c r="O82" s="854"/>
      <c r="P82" s="854"/>
      <c r="Q82" s="854"/>
      <c r="R82" s="854"/>
      <c r="S82" s="854"/>
      <c r="T82" s="854"/>
      <c r="U82" s="854"/>
      <c r="V82" s="202" t="s">
        <v>35</v>
      </c>
      <c r="W82" s="33"/>
      <c r="X82" s="10"/>
      <c r="Y82" s="7"/>
    </row>
    <row r="83" spans="1:27" ht="13.8">
      <c r="A83" s="201"/>
      <c r="B83" s="691" t="s">
        <v>339</v>
      </c>
      <c r="C83" s="692"/>
      <c r="D83" s="165" t="s">
        <v>35</v>
      </c>
      <c r="E83" s="427" t="str">
        <f>IF(COUNTIF(G83:U83,"4,5ccm/s (diam 0,3)")+COUNTIF(G83:U83,"7,9ccm/s (diam 0,4)")+COUNTIF(G83:U83,"11,2ccm/s (diam 0,51)")+COUNTIF(G83:U83,"15,5ccm/s (diam 0,74)")+COUNTIF(G83:U83,"19,2ccm/s (diam 1,2)")+COUNTIF(G83:U83,"25ccm/s (diam 1,5)")+COUNTIF(G83:U83,"")&lt;15,"FAILURE"&amp;CHAR(10)&amp;"one of your parameter is not expected."&amp;CHAR(10)&amp;"Please use only the selection liste","check")</f>
        <v>check</v>
      </c>
      <c r="F83" s="79"/>
      <c r="G83" s="852"/>
      <c r="H83" s="852"/>
      <c r="I83" s="852"/>
      <c r="J83" s="852"/>
      <c r="K83" s="852"/>
      <c r="L83" s="852"/>
      <c r="M83" s="852"/>
      <c r="N83" s="852"/>
      <c r="O83" s="852"/>
      <c r="P83" s="852"/>
      <c r="Q83" s="852"/>
      <c r="R83" s="852"/>
      <c r="S83" s="852"/>
      <c r="T83" s="852"/>
      <c r="U83" s="852"/>
      <c r="V83" s="202" t="s">
        <v>35</v>
      </c>
      <c r="W83" s="33"/>
      <c r="X83" s="10"/>
      <c r="Y83" s="7"/>
    </row>
    <row r="84" spans="1:27" ht="13.8">
      <c r="A84" s="201"/>
      <c r="B84" s="608" t="s">
        <v>273</v>
      </c>
      <c r="C84" s="690"/>
      <c r="D84" s="165" t="s">
        <v>50</v>
      </c>
      <c r="E84" s="165"/>
      <c r="F84" s="586" t="s">
        <v>1180</v>
      </c>
      <c r="G84" s="558">
        <f>IF(OR(G$14="IPB 1.0 Size Se",$G$14="IPB 1.1 Size Sd",$G$14="IPB 1.1 Size Se",$G$14="IPB 2.0 Size S",$G$14="IPB 2.0 Size M",$G$14="IPB 2.0 Size L"),180,
IF(OR($G$15="DPB Size M",$G$15="DPB Size L"),120,""))</f>
        <v>120</v>
      </c>
      <c r="H84" s="558">
        <f>IF(OR(G$14="IPB 1.0 Size Se",$G$14="IPB 1.1 Size Sd",$G$14="IPB 1.1 Size Se",$G$14="IPB 2.0 Size S",$G$14="IPB 2.0 Size M",$G$14="IPB 2.0 Size L"),180,
IF(OR($G$15="DPB Size M",$G$15="DPB Size L"),120,""))</f>
        <v>120</v>
      </c>
      <c r="I84" s="558">
        <f>IF(OR(G$14="IPB 1.0 Size Se",$G$14="IPB 1.1 Size Sd",$G$14="IPB 1.1 Size Se",$G$14="IPB 2.0 Size S",$G$14="IPB 2.0 Size M",$G$14="IPB 2.0 Size L"),180,
IF(OR($G$15="DPB Size M",$G$15="DPB Size L"),120,""))</f>
        <v>120</v>
      </c>
      <c r="J84" s="558">
        <f>IF(OR(G$14="IPB 1.0 Size Se",$G$14="IPB 1.1 Size Sd",$G$14="IPB 1.1 Size Se",$G$14="IPB 2.0 Size S",$G$14="IPB 2.0 Size M",$G$14="IPB 2.0 Size L"),180,
IF(OR($G$15="DPB Size M",$G$15="DPB Size L"),120,""))</f>
        <v>120</v>
      </c>
      <c r="K84" s="558">
        <f>IF(OR(G$14="IPB 1.0 Size Se",$G$14="IPB 1.1 Size Sd",$G$14="IPB 1.1 Size Se",$G$14="IPB 2.0 Size S",$G$14="IPB 2.0 Size M",$G$14="IPB 2.0 Size L"),180,
IF(OR($G$15="DPB Size M",$G$15="DPB Size L"),120,""))</f>
        <v>120</v>
      </c>
      <c r="L84" s="558">
        <f>IF(OR(G$14="IPB 1.0 Size Se",$G$14="IPB 1.1 Size Sd",$G$14="IPB 1.1 Size Se",$G$14="IPB 2.0 Size S",$G$14="IPB 2.0 Size M",$G$14="IPB 2.0 Size L"),180,
IF(OR($G$15="DPB Size M",$G$15="DPB Size L"),120,""))</f>
        <v>120</v>
      </c>
      <c r="M84" s="558">
        <f>IF(OR(G$14="IPB 1.0 Size Se",$G$14="IPB 1.1 Size Sd",$G$14="IPB 1.1 Size Se",$G$14="IPB 2.0 Size S",$G$14="IPB 2.0 Size M",$G$14="IPB 2.0 Size L"),180,
IF(OR($G$15="DPB Size M",$G$15="DPB Size L"),120,""))</f>
        <v>120</v>
      </c>
      <c r="N84" s="558">
        <f>IF(OR(G$14="IPB 1.0 Size Se",$G$14="IPB 1.1 Size Sd",$G$14="IPB 1.1 Size Se",$G$14="IPB 2.0 Size S",$G$14="IPB 2.0 Size M",$G$14="IPB 2.0 Size L"),180,
IF(OR($G$15="DPB Size M",$G$15="DPB Size L"),120,""))</f>
        <v>120</v>
      </c>
      <c r="O84" s="558">
        <f>IF(OR(G$14="IPB 1.0 Size Se",$G$14="IPB 1.1 Size Sd",$G$14="IPB 1.1 Size Se",$G$14="IPB 2.0 Size S",$G$14="IPB 2.0 Size M",$G$14="IPB 2.0 Size L"),180,
IF(OR($G$15="DPB Size M",$G$15="DPB Size L"),120,""))</f>
        <v>120</v>
      </c>
      <c r="P84" s="558">
        <f>IF(OR(G$14="IPB 1.0 Size Se",$G$14="IPB 1.1 Size Sd",$G$14="IPB 1.1 Size Se",$G$14="IPB 2.0 Size S",$G$14="IPB 2.0 Size M",$G$14="IPB 2.0 Size L"),180,
IF(OR($G$15="DPB Size M",$G$15="DPB Size L"),120,""))</f>
        <v>120</v>
      </c>
      <c r="Q84" s="558">
        <f>IF(OR(G$14="IPB 1.0 Size Se",$G$14="IPB 1.1 Size Sd",$G$14="IPB 1.1 Size Se",$G$14="IPB 2.0 Size S",$G$14="IPB 2.0 Size M",$G$14="IPB 2.0 Size L"),180,
IF(OR($G$15="DPB Size M",$G$15="DPB Size L"),120,""))</f>
        <v>120</v>
      </c>
      <c r="R84" s="558">
        <f>IF(OR(G$14="IPB 1.0 Size Se",$G$14="IPB 1.1 Size Sd",$G$14="IPB 1.1 Size Se",$G$14="IPB 2.0 Size S",$G$14="IPB 2.0 Size M",$G$14="IPB 2.0 Size L"),180,
IF(OR($G$15="DPB Size M",$G$15="DPB Size L"),120,""))</f>
        <v>120</v>
      </c>
      <c r="S84" s="558">
        <f>IF(OR(G$14="IPB 1.0 Size Se",$G$14="IPB 1.1 Size Sd",$G$14="IPB 1.1 Size Se",$G$14="IPB 2.0 Size S",$G$14="IPB 2.0 Size M",$G$14="IPB 2.0 Size L"),180,
IF(OR($G$15="DPB Size M",$G$15="DPB Size L"),120,""))</f>
        <v>120</v>
      </c>
      <c r="T84" s="558">
        <f>IF(OR(G$14="IPB 1.0 Size Se",$G$14="IPB 1.1 Size Sd",$G$14="IPB 1.1 Size Se",$G$14="IPB 2.0 Size S",$G$14="IPB 2.0 Size M",$G$14="IPB 2.0 Size L"),180,
IF(OR($G$15="DPB Size M",$G$15="DPB Size L"),120,""))</f>
        <v>120</v>
      </c>
      <c r="U84" s="558">
        <f>IF(OR(G$14="IPB 1.0 Size Se",$G$14="IPB 1.1 Size Sd",$G$14="IPB 1.1 Size Se",$G$14="IPB 2.0 Size S",$G$14="IPB 2.0 Size M",$G$14="IPB 2.0 Size L"),180,
IF(OR($G$15="DPB Size M",$G$15="DPB Size L"),120,""))</f>
        <v>120</v>
      </c>
      <c r="V84" s="31" t="s">
        <v>50</v>
      </c>
      <c r="W84" s="33"/>
      <c r="X84" s="10"/>
      <c r="Y84" s="7"/>
    </row>
    <row r="85" spans="1:27" ht="13.8">
      <c r="A85" s="201"/>
      <c r="B85" s="608" t="s">
        <v>279</v>
      </c>
      <c r="C85" s="690"/>
      <c r="D85" s="165" t="s">
        <v>46</v>
      </c>
      <c r="E85" s="165" t="str">
        <f>IF(OR($G$14="ESP9.3HP - ESP hevX",$G$14="ESP9.3HU - ESP hevII",$G$14="ESP9UHDH - ESP hevX",$G$14="ESP10HB - ESP hevX",$G$14="ESP10HE - ESP hevX",$G$14="ESP10HP - ESP hevX",$G$14="ESP10HU - ESP hevX"),"Attention: z-crtical Level must be &gt;= 0,3 for ESPhev-X","")</f>
        <v/>
      </c>
      <c r="F85" s="586" t="s">
        <v>1180</v>
      </c>
      <c r="G85" s="519" t="s">
        <v>246</v>
      </c>
      <c r="H85" s="519" t="s">
        <v>246</v>
      </c>
      <c r="I85" s="519" t="s">
        <v>246</v>
      </c>
      <c r="J85" s="519" t="s">
        <v>246</v>
      </c>
      <c r="K85" s="519" t="s">
        <v>246</v>
      </c>
      <c r="L85" s="519" t="s">
        <v>246</v>
      </c>
      <c r="M85" s="519" t="s">
        <v>246</v>
      </c>
      <c r="N85" s="519"/>
      <c r="O85" s="519"/>
      <c r="P85" s="519"/>
      <c r="Q85" s="519"/>
      <c r="R85" s="519"/>
      <c r="S85" s="519"/>
      <c r="T85" s="519"/>
      <c r="U85" s="519"/>
      <c r="V85" s="34" t="s">
        <v>46</v>
      </c>
      <c r="W85" s="33"/>
      <c r="X85" s="10"/>
      <c r="Y85" s="7"/>
    </row>
    <row r="86" spans="1:27" ht="13.8">
      <c r="A86" s="201"/>
      <c r="B86" s="608" t="s">
        <v>127</v>
      </c>
      <c r="C86" s="690"/>
      <c r="D86" s="165" t="s">
        <v>124</v>
      </c>
      <c r="E86" s="165"/>
      <c r="F86" s="586" t="s">
        <v>1180</v>
      </c>
      <c r="G86" s="519">
        <v>12.5</v>
      </c>
      <c r="H86" s="519">
        <v>12.5</v>
      </c>
      <c r="I86" s="519">
        <v>12.5</v>
      </c>
      <c r="J86" s="519">
        <v>12.5</v>
      </c>
      <c r="K86" s="519">
        <v>12.5</v>
      </c>
      <c r="L86" s="519">
        <v>12.5</v>
      </c>
      <c r="M86" s="519">
        <v>12.5</v>
      </c>
      <c r="N86" s="519"/>
      <c r="O86" s="519"/>
      <c r="P86" s="519"/>
      <c r="Q86" s="519"/>
      <c r="R86" s="519"/>
      <c r="S86" s="519"/>
      <c r="T86" s="519"/>
      <c r="U86" s="519"/>
      <c r="V86" s="35" t="s">
        <v>124</v>
      </c>
      <c r="W86" s="33"/>
      <c r="X86" s="10"/>
      <c r="Y86" s="7"/>
    </row>
    <row r="87" spans="1:27" ht="13.8">
      <c r="A87" s="201"/>
      <c r="B87" s="608" t="s">
        <v>211</v>
      </c>
      <c r="C87" s="690"/>
      <c r="D87" s="165" t="s">
        <v>128</v>
      </c>
      <c r="E87" s="427" t="str">
        <f>IF(G87="","check",IF(MIN(G87:U87)&lt;Y87,"Attention," &amp; CHAR(10) &amp;"one of your parameters is below the usual range: "&amp;Y87&amp;D87,IF(MAX(G87:U87)&gt;Z87,"Attention," &amp;CHAR(10)&amp;" one of your parameters is above the usual range: "&amp;Z87&amp;D87,"check")))</f>
        <v>check</v>
      </c>
      <c r="F87" s="586" t="s">
        <v>1180</v>
      </c>
      <c r="G87" s="519">
        <v>3.2000000000000001E-2</v>
      </c>
      <c r="H87" s="519">
        <v>3.2000000000000001E-2</v>
      </c>
      <c r="I87" s="519">
        <v>3.2000000000000001E-2</v>
      </c>
      <c r="J87" s="519">
        <v>3.2000000000000001E-2</v>
      </c>
      <c r="K87" s="519">
        <v>3.2000000000000001E-2</v>
      </c>
      <c r="L87" s="519">
        <v>3.2000000000000001E-2</v>
      </c>
      <c r="M87" s="519">
        <v>3.2000000000000001E-2</v>
      </c>
      <c r="N87" s="519"/>
      <c r="O87" s="519"/>
      <c r="P87" s="519"/>
      <c r="Q87" s="519"/>
      <c r="R87" s="519"/>
      <c r="S87" s="519"/>
      <c r="T87" s="519"/>
      <c r="U87" s="519"/>
      <c r="V87" s="388" t="s">
        <v>128</v>
      </c>
      <c r="W87" s="385"/>
      <c r="X87" s="381"/>
      <c r="Y87" s="382">
        <v>5.0000000000000001E-3</v>
      </c>
      <c r="Z87" s="383">
        <v>0.6</v>
      </c>
      <c r="AA87" s="130"/>
    </row>
    <row r="88" spans="1:27" ht="13.8">
      <c r="A88" s="307"/>
      <c r="B88" s="691" t="s">
        <v>838</v>
      </c>
      <c r="C88" s="692"/>
      <c r="D88" s="165" t="s">
        <v>46</v>
      </c>
      <c r="E88" s="165"/>
      <c r="F88" s="586" t="s">
        <v>1180</v>
      </c>
      <c r="G88" s="519" t="s">
        <v>310</v>
      </c>
      <c r="H88" s="519" t="s">
        <v>310</v>
      </c>
      <c r="I88" s="519" t="s">
        <v>310</v>
      </c>
      <c r="J88" s="519" t="s">
        <v>310</v>
      </c>
      <c r="K88" s="519" t="s">
        <v>310</v>
      </c>
      <c r="L88" s="519" t="s">
        <v>310</v>
      </c>
      <c r="M88" s="519" t="s">
        <v>310</v>
      </c>
      <c r="N88" s="519"/>
      <c r="O88" s="519"/>
      <c r="P88" s="519"/>
      <c r="Q88" s="519"/>
      <c r="R88" s="519"/>
      <c r="S88" s="519"/>
      <c r="T88" s="519"/>
      <c r="U88" s="519"/>
      <c r="V88" s="389" t="s">
        <v>46</v>
      </c>
      <c r="W88" s="385"/>
      <c r="X88" s="381"/>
      <c r="Y88" s="382"/>
      <c r="Z88" s="383"/>
      <c r="AA88" s="130"/>
    </row>
    <row r="89" spans="1:27" ht="13.8">
      <c r="A89" s="16"/>
      <c r="B89" s="617" t="s">
        <v>721</v>
      </c>
      <c r="C89" s="626"/>
      <c r="D89" s="164" t="s">
        <v>46</v>
      </c>
      <c r="E89" s="164"/>
      <c r="F89" s="586" t="s">
        <v>1180</v>
      </c>
      <c r="G89" s="518" t="s">
        <v>723</v>
      </c>
      <c r="H89" s="518" t="s">
        <v>723</v>
      </c>
      <c r="I89" s="518" t="s">
        <v>723</v>
      </c>
      <c r="J89" s="518" t="s">
        <v>723</v>
      </c>
      <c r="K89" s="518" t="s">
        <v>723</v>
      </c>
      <c r="L89" s="518" t="s">
        <v>723</v>
      </c>
      <c r="M89" s="518" t="s">
        <v>723</v>
      </c>
      <c r="N89" s="518" t="str">
        <f t="shared" ref="N89:U89" si="2">IF(AND(IF(ISBLANK(N552),FALSE,TRUE),OR($G$14="ESP10CP - ESP Standard",$G$14="ESP10CU - ESP Standard",$G$14="ESP10HP - ESP hevX",$G$14="ESP10HU - ESP hevX",$G$14="ESP10TP - ESP Standard for trucks",$G$14="ESP10TU - ESP Standard for trucks")),"Motor Control EC","")</f>
        <v/>
      </c>
      <c r="O89" s="518" t="str">
        <f t="shared" si="2"/>
        <v/>
      </c>
      <c r="P89" s="518" t="str">
        <f t="shared" si="2"/>
        <v/>
      </c>
      <c r="Q89" s="518" t="str">
        <f t="shared" si="2"/>
        <v/>
      </c>
      <c r="R89" s="518" t="str">
        <f t="shared" si="2"/>
        <v/>
      </c>
      <c r="S89" s="518" t="str">
        <f t="shared" si="2"/>
        <v/>
      </c>
      <c r="T89" s="518" t="str">
        <f t="shared" si="2"/>
        <v/>
      </c>
      <c r="U89" s="518" t="str">
        <f t="shared" si="2"/>
        <v/>
      </c>
      <c r="V89" s="39" t="s">
        <v>46</v>
      </c>
      <c r="W89" s="5"/>
      <c r="X89" s="13"/>
    </row>
    <row r="90" spans="1:27" ht="13.8">
      <c r="A90" s="201"/>
      <c r="B90" s="691" t="s">
        <v>362</v>
      </c>
      <c r="C90" s="692"/>
      <c r="D90" s="165" t="s">
        <v>46</v>
      </c>
      <c r="E90" s="165"/>
      <c r="F90" s="586" t="s">
        <v>1180</v>
      </c>
      <c r="G90" s="519" t="s">
        <v>65</v>
      </c>
      <c r="H90" s="519" t="s">
        <v>65</v>
      </c>
      <c r="I90" s="519" t="s">
        <v>65</v>
      </c>
      <c r="J90" s="519" t="s">
        <v>65</v>
      </c>
      <c r="K90" s="519" t="s">
        <v>65</v>
      </c>
      <c r="L90" s="519" t="s">
        <v>65</v>
      </c>
      <c r="M90" s="519" t="s">
        <v>65</v>
      </c>
      <c r="N90" s="519"/>
      <c r="O90" s="519"/>
      <c r="P90" s="519"/>
      <c r="Q90" s="519"/>
      <c r="R90" s="519"/>
      <c r="S90" s="519"/>
      <c r="T90" s="519"/>
      <c r="U90" s="519"/>
      <c r="V90" s="389" t="s">
        <v>46</v>
      </c>
      <c r="W90" s="385"/>
      <c r="X90" s="381"/>
      <c r="Y90" s="382"/>
      <c r="Z90" s="383"/>
      <c r="AA90" s="130"/>
    </row>
    <row r="91" spans="1:27" ht="13.8">
      <c r="A91" s="201"/>
      <c r="B91" s="691" t="s">
        <v>308</v>
      </c>
      <c r="C91" s="692"/>
      <c r="D91" s="165" t="s">
        <v>46</v>
      </c>
      <c r="E91" s="165"/>
      <c r="F91" s="586" t="s">
        <v>1180</v>
      </c>
      <c r="G91" s="519" t="s">
        <v>65</v>
      </c>
      <c r="H91" s="519" t="s">
        <v>65</v>
      </c>
      <c r="I91" s="519" t="s">
        <v>65</v>
      </c>
      <c r="J91" s="519" t="s">
        <v>65</v>
      </c>
      <c r="K91" s="519" t="s">
        <v>65</v>
      </c>
      <c r="L91" s="519" t="s">
        <v>65</v>
      </c>
      <c r="M91" s="519" t="s">
        <v>65</v>
      </c>
      <c r="N91" s="519"/>
      <c r="O91" s="519"/>
      <c r="P91" s="519"/>
      <c r="Q91" s="519"/>
      <c r="R91" s="519"/>
      <c r="S91" s="519"/>
      <c r="T91" s="519"/>
      <c r="U91" s="519"/>
      <c r="V91" s="389" t="s">
        <v>46</v>
      </c>
      <c r="W91" s="385"/>
      <c r="X91" s="381"/>
      <c r="Y91" s="382"/>
      <c r="Z91" s="383"/>
      <c r="AA91" s="130"/>
    </row>
    <row r="92" spans="1:27" ht="13.8">
      <c r="A92" s="201"/>
      <c r="B92" s="693" t="s">
        <v>836</v>
      </c>
      <c r="C92" s="694"/>
      <c r="D92" s="165"/>
      <c r="E92" s="301"/>
      <c r="F92" s="586" t="s">
        <v>1180</v>
      </c>
      <c r="G92" s="559" t="str" cm="1">
        <f t="array" ref="G92">_xlfn.IFS(
EXACT(G14,Dropdowns!C26),"Motor Se",
EXACT(G14,Dropdowns!C27),"Motor Sd",
EXACT(G14,Dropdowns!C28),"Motor Se",
EXACT(G14,Dropdowns!C29),"Motor M2",
EXACT(G14,Dropdowns!C30),"Motor M2E",
EXACT(G14,Dropdowns!C31),"Motor M3",
EXACT(G15,Dropdowns!D10),"Motor M1",
EXACT(G15,Dropdowns!D11),"Motor M3",
TRUE,""
)</f>
        <v>Motor M1</v>
      </c>
      <c r="H92" s="559" t="str">
        <f t="shared" ref="H92:U92" si="3">$G$92</f>
        <v>Motor M1</v>
      </c>
      <c r="I92" s="559" t="str">
        <f t="shared" si="3"/>
        <v>Motor M1</v>
      </c>
      <c r="J92" s="559" t="str">
        <f t="shared" si="3"/>
        <v>Motor M1</v>
      </c>
      <c r="K92" s="559" t="str">
        <f t="shared" si="3"/>
        <v>Motor M1</v>
      </c>
      <c r="L92" s="559" t="str">
        <f t="shared" si="3"/>
        <v>Motor M1</v>
      </c>
      <c r="M92" s="559" t="str">
        <f t="shared" si="3"/>
        <v>Motor M1</v>
      </c>
      <c r="N92" s="559" t="str">
        <f t="shared" si="3"/>
        <v>Motor M1</v>
      </c>
      <c r="O92" s="559" t="str">
        <f t="shared" si="3"/>
        <v>Motor M1</v>
      </c>
      <c r="P92" s="559" t="str">
        <f t="shared" si="3"/>
        <v>Motor M1</v>
      </c>
      <c r="Q92" s="559" t="str">
        <f t="shared" si="3"/>
        <v>Motor M1</v>
      </c>
      <c r="R92" s="559" t="str">
        <f t="shared" si="3"/>
        <v>Motor M1</v>
      </c>
      <c r="S92" s="559" t="str">
        <f t="shared" si="3"/>
        <v>Motor M1</v>
      </c>
      <c r="T92" s="559" t="str">
        <f t="shared" si="3"/>
        <v>Motor M1</v>
      </c>
      <c r="U92" s="559" t="str">
        <f t="shared" si="3"/>
        <v>Motor M1</v>
      </c>
      <c r="V92" s="295"/>
      <c r="W92" s="60"/>
      <c r="X92" s="19"/>
      <c r="Y92" s="7"/>
    </row>
    <row r="93" spans="1:27" ht="13.8">
      <c r="A93" s="201"/>
      <c r="B93" s="693" t="s">
        <v>837</v>
      </c>
      <c r="C93" s="694"/>
      <c r="D93" s="165"/>
      <c r="E93" s="301"/>
      <c r="F93" s="586" t="s">
        <v>1180</v>
      </c>
      <c r="G93" s="559" t="str" cm="1">
        <f t="array" ref="G93">_xlfn.IFS(
EXACT(G14,Dropdowns!C26),"Plunger 24.6 cc",
EXACT(G14,Dropdowns!C27),"Plunger 20,0 cc",
EXACT(G14,Dropdowns!C28),"Plunger 24,6 cc",
EXACT(G14,Dropdowns!C29),"Plunger 20,2 cc",
EXACT(G14,Dropdowns!C30),"Plunger 26,0 cc",
EXACT(G14,Dropdowns!C31),"Plunger 26,0 cc",
EXACT(G15,Dropdowns!D10),"Plunger 20,2 cc",
EXACT(G15,Dropdowns!D11),"Plunger 26,0 cc",
TRUE,""
)</f>
        <v>Plunger 20,2 cc</v>
      </c>
      <c r="H93" s="559" t="str">
        <f>$G$93</f>
        <v>Plunger 20,2 cc</v>
      </c>
      <c r="I93" s="559" t="str">
        <f t="shared" ref="I93:U93" si="4">$G$93</f>
        <v>Plunger 20,2 cc</v>
      </c>
      <c r="J93" s="559" t="str">
        <f t="shared" si="4"/>
        <v>Plunger 20,2 cc</v>
      </c>
      <c r="K93" s="559" t="str">
        <f t="shared" si="4"/>
        <v>Plunger 20,2 cc</v>
      </c>
      <c r="L93" s="559" t="str">
        <f t="shared" si="4"/>
        <v>Plunger 20,2 cc</v>
      </c>
      <c r="M93" s="559" t="str">
        <f t="shared" si="4"/>
        <v>Plunger 20,2 cc</v>
      </c>
      <c r="N93" s="559" t="str">
        <f t="shared" si="4"/>
        <v>Plunger 20,2 cc</v>
      </c>
      <c r="O93" s="559" t="str">
        <f t="shared" si="4"/>
        <v>Plunger 20,2 cc</v>
      </c>
      <c r="P93" s="559" t="str">
        <f t="shared" si="4"/>
        <v>Plunger 20,2 cc</v>
      </c>
      <c r="Q93" s="559" t="str">
        <f t="shared" si="4"/>
        <v>Plunger 20,2 cc</v>
      </c>
      <c r="R93" s="559" t="str">
        <f t="shared" si="4"/>
        <v>Plunger 20,2 cc</v>
      </c>
      <c r="S93" s="559" t="str">
        <f t="shared" si="4"/>
        <v>Plunger 20,2 cc</v>
      </c>
      <c r="T93" s="559" t="str">
        <f t="shared" si="4"/>
        <v>Plunger 20,2 cc</v>
      </c>
      <c r="U93" s="560" t="str">
        <f t="shared" si="4"/>
        <v>Plunger 20,2 cc</v>
      </c>
      <c r="V93" s="295"/>
      <c r="W93" s="60"/>
      <c r="X93" s="19"/>
      <c r="Y93" s="7"/>
    </row>
    <row r="94" spans="1:27" ht="27.6">
      <c r="A94" s="201"/>
      <c r="B94" s="608" t="s">
        <v>364</v>
      </c>
      <c r="C94" s="609"/>
      <c r="D94" s="166" t="s">
        <v>50</v>
      </c>
      <c r="E94" s="166"/>
      <c r="F94" s="586" t="s">
        <v>1180</v>
      </c>
      <c r="G94" s="574">
        <v>19.5</v>
      </c>
      <c r="H94" s="574">
        <v>22.1</v>
      </c>
      <c r="I94" s="574">
        <v>21.9</v>
      </c>
      <c r="J94" s="574">
        <v>23.6</v>
      </c>
      <c r="K94" s="574">
        <v>19.5</v>
      </c>
      <c r="L94" s="574">
        <v>21.9</v>
      </c>
      <c r="M94" s="574">
        <v>23.6</v>
      </c>
      <c r="N94" s="574" t="str">
        <f>FAQ!M54</f>
        <v>will be calculated</v>
      </c>
      <c r="O94" s="574" t="str">
        <f>FAQ!N54</f>
        <v>will be calculated</v>
      </c>
      <c r="P94" s="574" t="str">
        <f>FAQ!O54</f>
        <v>will be calculated</v>
      </c>
      <c r="Q94" s="574" t="str">
        <f>FAQ!P54</f>
        <v>will be calculated</v>
      </c>
      <c r="R94" s="574" t="str">
        <f>FAQ!Q54</f>
        <v>will be calculated</v>
      </c>
      <c r="S94" s="574" t="str">
        <f>FAQ!R54</f>
        <v>will be calculated</v>
      </c>
      <c r="T94" s="574" t="str">
        <f>FAQ!S54</f>
        <v>will be calculated</v>
      </c>
      <c r="U94" s="574" t="str">
        <f>FAQ!T54</f>
        <v>will be calculated</v>
      </c>
      <c r="V94" s="388" t="s">
        <v>50</v>
      </c>
      <c r="W94" s="385"/>
      <c r="X94" s="381"/>
      <c r="Y94" s="382"/>
      <c r="Z94" s="383"/>
      <c r="AA94" s="130"/>
    </row>
    <row r="95" spans="1:27" ht="27.6">
      <c r="A95" s="201"/>
      <c r="B95" s="608" t="s">
        <v>365</v>
      </c>
      <c r="C95" s="690"/>
      <c r="D95" s="166" t="s">
        <v>50</v>
      </c>
      <c r="E95" s="166"/>
      <c r="F95" s="586" t="s">
        <v>1180</v>
      </c>
      <c r="G95" s="575">
        <v>18.2</v>
      </c>
      <c r="H95" s="575">
        <v>20.2</v>
      </c>
      <c r="I95" s="575">
        <v>19.3</v>
      </c>
      <c r="J95" s="575">
        <v>20</v>
      </c>
      <c r="K95" s="575">
        <v>18.2</v>
      </c>
      <c r="L95" s="575">
        <v>19.3</v>
      </c>
      <c r="M95" s="575">
        <v>20</v>
      </c>
      <c r="N95" s="575" t="str">
        <f>FAQ!M55</f>
        <v>will be calculated</v>
      </c>
      <c r="O95" s="575" t="str">
        <f>FAQ!N55</f>
        <v>will be calculated</v>
      </c>
      <c r="P95" s="575" t="str">
        <f>FAQ!O55</f>
        <v>will be calculated</v>
      </c>
      <c r="Q95" s="575" t="str">
        <f>FAQ!P55</f>
        <v>will be calculated</v>
      </c>
      <c r="R95" s="575" t="str">
        <f>FAQ!Q55</f>
        <v>will be calculated</v>
      </c>
      <c r="S95" s="575" t="str">
        <f>FAQ!R55</f>
        <v>will be calculated</v>
      </c>
      <c r="T95" s="575" t="str">
        <f>FAQ!S55</f>
        <v>will be calculated</v>
      </c>
      <c r="U95" s="575" t="str">
        <f>FAQ!T55</f>
        <v>will be calculated</v>
      </c>
      <c r="V95" s="35" t="s">
        <v>50</v>
      </c>
      <c r="W95" s="33"/>
      <c r="X95" s="10"/>
      <c r="Y95" s="7"/>
    </row>
    <row r="96" spans="1:27" ht="27.6">
      <c r="A96" s="201"/>
      <c r="B96" s="608" t="s">
        <v>704</v>
      </c>
      <c r="C96" s="609"/>
      <c r="D96" s="166" t="s">
        <v>50</v>
      </c>
      <c r="E96" s="166"/>
      <c r="F96" s="79"/>
      <c r="G96" s="438">
        <f>FAQ!F58</f>
        <v>24.596198546511626</v>
      </c>
      <c r="H96" s="438">
        <f>FAQ!G58</f>
        <v>26.242859011627903</v>
      </c>
      <c r="I96" s="438">
        <f>FAQ!H58</f>
        <v>26.321598837209301</v>
      </c>
      <c r="J96" s="438">
        <f>FAQ!I58</f>
        <v>28.34633720930232</v>
      </c>
      <c r="K96" s="438">
        <f>FAQ!J58</f>
        <v>25.367975581395346</v>
      </c>
      <c r="L96" s="438">
        <f>FAQ!K58</f>
        <v>27.064002906976739</v>
      </c>
      <c r="M96" s="438">
        <f>FAQ!L58</f>
        <v>29.066244186046507</v>
      </c>
      <c r="N96" s="438" t="str">
        <f>FAQ!M58</f>
        <v>will be calculated</v>
      </c>
      <c r="O96" s="438" t="str">
        <f>FAQ!N58</f>
        <v>will be calculated</v>
      </c>
      <c r="P96" s="438" t="str">
        <f>FAQ!O58</f>
        <v>will be calculated</v>
      </c>
      <c r="Q96" s="438" t="str">
        <f>FAQ!P58</f>
        <v>will be calculated</v>
      </c>
      <c r="R96" s="438" t="str">
        <f>FAQ!Q58</f>
        <v>will be calculated</v>
      </c>
      <c r="S96" s="438" t="str">
        <f>FAQ!R58</f>
        <v>will be calculated</v>
      </c>
      <c r="T96" s="438" t="str">
        <f>FAQ!S58</f>
        <v>will be calculated</v>
      </c>
      <c r="U96" s="438" t="str">
        <f>FAQ!T58</f>
        <v>will be calculated</v>
      </c>
      <c r="V96" s="35" t="s">
        <v>50</v>
      </c>
      <c r="W96" s="33"/>
      <c r="X96" s="10"/>
      <c r="Y96" s="7"/>
    </row>
    <row r="97" spans="1:43" ht="27.6">
      <c r="A97" s="201"/>
      <c r="B97" s="608" t="s">
        <v>705</v>
      </c>
      <c r="C97" s="609"/>
      <c r="D97" s="166" t="s">
        <v>50</v>
      </c>
      <c r="E97" s="166"/>
      <c r="F97" s="79"/>
      <c r="G97" s="438">
        <f>FAQ!F59</f>
        <v>71.035289832089546</v>
      </c>
      <c r="H97" s="438">
        <f>FAQ!G59</f>
        <v>75.790943563432833</v>
      </c>
      <c r="I97" s="438">
        <f>FAQ!H59</f>
        <v>76.018348880597017</v>
      </c>
      <c r="J97" s="438">
        <f>FAQ!I59</f>
        <v>81.865914179104479</v>
      </c>
      <c r="K97" s="438">
        <f>FAQ!J59</f>
        <v>73.264227985074626</v>
      </c>
      <c r="L97" s="438">
        <f>FAQ!K59</f>
        <v>78.162456156716416</v>
      </c>
      <c r="M97" s="438">
        <f>FAQ!L59</f>
        <v>83.945048507462687</v>
      </c>
      <c r="N97" s="438" t="str">
        <f>FAQ!M59</f>
        <v>will be calculated</v>
      </c>
      <c r="O97" s="438" t="str">
        <f>FAQ!N59</f>
        <v>will be calculated</v>
      </c>
      <c r="P97" s="438" t="str">
        <f>FAQ!O59</f>
        <v>will be calculated</v>
      </c>
      <c r="Q97" s="438" t="str">
        <f>FAQ!P59</f>
        <v>will be calculated</v>
      </c>
      <c r="R97" s="438" t="str">
        <f>FAQ!Q59</f>
        <v>will be calculated</v>
      </c>
      <c r="S97" s="438" t="str">
        <f>FAQ!R59</f>
        <v>will be calculated</v>
      </c>
      <c r="T97" s="438" t="str">
        <f>FAQ!S59</f>
        <v>will be calculated</v>
      </c>
      <c r="U97" s="438" t="str">
        <f>FAQ!T59</f>
        <v>will be calculated</v>
      </c>
      <c r="V97" s="35" t="s">
        <v>50</v>
      </c>
      <c r="W97" s="33"/>
      <c r="X97" s="10"/>
      <c r="Y97" s="7"/>
    </row>
    <row r="98" spans="1:43" ht="27.6">
      <c r="A98" s="201"/>
      <c r="B98" s="608" t="s">
        <v>706</v>
      </c>
      <c r="C98" s="609"/>
      <c r="D98" s="166" t="s">
        <v>50</v>
      </c>
      <c r="E98" s="166"/>
      <c r="F98" s="79"/>
      <c r="G98" s="438">
        <f>FAQ!F60</f>
        <v>21.827561404127909</v>
      </c>
      <c r="H98" s="438">
        <f>FAQ!G60</f>
        <v>23.78094227987312</v>
      </c>
      <c r="I98" s="438">
        <f>FAQ!H60</f>
        <v>23.324738953439919</v>
      </c>
      <c r="J98" s="438">
        <f>FAQ!I60</f>
        <v>23.891971845566857</v>
      </c>
      <c r="K98" s="438">
        <f>FAQ!J60</f>
        <v>21.956077442561369</v>
      </c>
      <c r="L98" s="438">
        <f>FAQ!K60</f>
        <v>23.337178137631312</v>
      </c>
      <c r="M98" s="438">
        <f>FAQ!L60</f>
        <v>23.891971845566857</v>
      </c>
      <c r="N98" s="438" t="str">
        <f>FAQ!M60</f>
        <v>will be calculated</v>
      </c>
      <c r="O98" s="438" t="str">
        <f>FAQ!N60</f>
        <v>will be calculated</v>
      </c>
      <c r="P98" s="438" t="str">
        <f>FAQ!O60</f>
        <v>will be calculated</v>
      </c>
      <c r="Q98" s="438" t="str">
        <f>FAQ!P60</f>
        <v>will be calculated</v>
      </c>
      <c r="R98" s="438" t="str">
        <f>FAQ!Q60</f>
        <v>will be calculated</v>
      </c>
      <c r="S98" s="438" t="str">
        <f>FAQ!R60</f>
        <v>will be calculated</v>
      </c>
      <c r="T98" s="438" t="str">
        <f>FAQ!S60</f>
        <v>will be calculated</v>
      </c>
      <c r="U98" s="438" t="str">
        <f>FAQ!T60</f>
        <v>will be calculated</v>
      </c>
      <c r="V98" s="35" t="s">
        <v>50</v>
      </c>
      <c r="W98" s="33"/>
      <c r="X98" s="10"/>
      <c r="Y98" s="7"/>
    </row>
    <row r="99" spans="1:43" ht="27.6">
      <c r="A99" s="201"/>
      <c r="B99" s="608" t="s">
        <v>707</v>
      </c>
      <c r="C99" s="609"/>
      <c r="D99" s="166" t="s">
        <v>50</v>
      </c>
      <c r="E99" s="166"/>
      <c r="F99" s="79"/>
      <c r="G99" s="438">
        <f>FAQ!F61</f>
        <v>63.039300473115667</v>
      </c>
      <c r="H99" s="438">
        <f>FAQ!G61</f>
        <v>68.680781062021623</v>
      </c>
      <c r="I99" s="438">
        <f>FAQ!H61</f>
        <v>67.363238619263058</v>
      </c>
      <c r="J99" s="438">
        <f>FAQ!I61</f>
        <v>69.00144107637594</v>
      </c>
      <c r="K99" s="438">
        <f>FAQ!J61</f>
        <v>63.410462464710818</v>
      </c>
      <c r="L99" s="438">
        <f>FAQ!K61</f>
        <v>67.399163725845654</v>
      </c>
      <c r="M99" s="438">
        <f>FAQ!L61</f>
        <v>69.00144107637594</v>
      </c>
      <c r="N99" s="438" t="str">
        <f>FAQ!M61</f>
        <v>will be calculated</v>
      </c>
      <c r="O99" s="438" t="str">
        <f>FAQ!N61</f>
        <v>will be calculated</v>
      </c>
      <c r="P99" s="438" t="str">
        <f>FAQ!O61</f>
        <v>will be calculated</v>
      </c>
      <c r="Q99" s="438" t="str">
        <f>FAQ!P61</f>
        <v>will be calculated</v>
      </c>
      <c r="R99" s="438" t="str">
        <f>FAQ!Q61</f>
        <v>will be calculated</v>
      </c>
      <c r="S99" s="438" t="str">
        <f>FAQ!R61</f>
        <v>will be calculated</v>
      </c>
      <c r="T99" s="438" t="str">
        <f>FAQ!S61</f>
        <v>will be calculated</v>
      </c>
      <c r="U99" s="438" t="str">
        <f>FAQ!T61</f>
        <v>will be calculated</v>
      </c>
      <c r="V99" s="35" t="s">
        <v>50</v>
      </c>
      <c r="W99" s="33"/>
      <c r="X99" s="10"/>
      <c r="Y99" s="7"/>
    </row>
    <row r="100" spans="1:43" ht="14.4" thickBot="1">
      <c r="A100" s="8"/>
      <c r="B100" s="36"/>
      <c r="C100" s="37"/>
      <c r="D100" s="37"/>
      <c r="E100" s="37"/>
      <c r="F100" s="332"/>
      <c r="G100" s="332"/>
      <c r="H100" s="332"/>
      <c r="I100" s="333"/>
      <c r="J100" s="333"/>
      <c r="K100" s="334"/>
      <c r="L100" s="335"/>
      <c r="M100" s="335"/>
      <c r="N100" s="335"/>
      <c r="O100" s="335"/>
      <c r="P100" s="335"/>
      <c r="Q100" s="335"/>
      <c r="R100" s="335"/>
      <c r="S100" s="335"/>
      <c r="T100" s="335"/>
      <c r="U100" s="332"/>
      <c r="V100" s="390"/>
      <c r="W100" s="385"/>
      <c r="X100" s="381"/>
      <c r="Y100" s="382"/>
      <c r="Z100" s="383"/>
      <c r="AA100" s="130"/>
      <c r="AC100" s="60"/>
    </row>
    <row r="101" spans="1:43" ht="13.8">
      <c r="A101" s="16"/>
      <c r="B101" s="5"/>
      <c r="C101" s="5"/>
      <c r="D101" s="5"/>
      <c r="E101" s="5"/>
      <c r="F101" s="436" t="s">
        <v>131</v>
      </c>
      <c r="G101" s="336" t="str">
        <f>$G$44</f>
        <v>L 2WD NAO 2ROW</v>
      </c>
      <c r="H101" s="336" t="str">
        <f>$H$44</f>
        <v>L 4WD NAO 2ROW US</v>
      </c>
      <c r="I101" s="336" t="str">
        <f>$I$44</f>
        <v>L 4WD NAO 2ROW</v>
      </c>
      <c r="J101" s="336" t="str">
        <f>$J$44</f>
        <v>L 4WD NAO 3ROW</v>
      </c>
      <c r="K101" s="336" t="str">
        <f>$K$44</f>
        <v>R 2WD NAO 2ROW</v>
      </c>
      <c r="L101" s="336" t="str">
        <f>$L$44</f>
        <v>R 4WD NAO 2ROW</v>
      </c>
      <c r="M101" s="336" t="str">
        <f>$M$44</f>
        <v>R 4WD NAO 3ROW</v>
      </c>
      <c r="N101" s="336" t="str">
        <f>$N$44</f>
        <v/>
      </c>
      <c r="O101" s="336" t="str">
        <f>$O$44</f>
        <v/>
      </c>
      <c r="P101" s="336" t="str">
        <f>$P$44</f>
        <v/>
      </c>
      <c r="Q101" s="336" t="str">
        <f>$Q$44</f>
        <v/>
      </c>
      <c r="R101" s="336" t="str">
        <f>$R$44</f>
        <v/>
      </c>
      <c r="S101" s="336" t="str">
        <f>$S$44</f>
        <v/>
      </c>
      <c r="T101" s="336" t="str">
        <f>$T$44</f>
        <v/>
      </c>
      <c r="U101" s="336" t="str">
        <f>$U$44</f>
        <v/>
      </c>
      <c r="V101" s="130"/>
      <c r="W101" s="69"/>
      <c r="X101" s="391"/>
      <c r="Y101" s="382"/>
      <c r="Z101" s="383"/>
      <c r="AA101" s="130"/>
    </row>
    <row r="102" spans="1:43" ht="15">
      <c r="A102" s="16"/>
      <c r="B102" s="97" t="s">
        <v>215</v>
      </c>
      <c r="C102" s="98"/>
      <c r="D102" s="98"/>
      <c r="E102" s="98"/>
      <c r="F102" s="337"/>
      <c r="G102" s="337"/>
      <c r="H102" s="337"/>
      <c r="I102" s="337"/>
      <c r="J102" s="337"/>
      <c r="K102" s="337"/>
      <c r="L102" s="337"/>
      <c r="M102" s="337"/>
      <c r="N102" s="337"/>
      <c r="O102" s="337"/>
      <c r="P102" s="337"/>
      <c r="Q102" s="337"/>
      <c r="R102" s="337"/>
      <c r="S102" s="337"/>
      <c r="T102" s="337"/>
      <c r="U102" s="337"/>
      <c r="V102" s="392"/>
      <c r="W102" s="385"/>
      <c r="X102" s="381"/>
      <c r="Y102" s="382"/>
      <c r="Z102" s="383"/>
      <c r="AA102" s="130"/>
      <c r="AC102" s="60"/>
    </row>
    <row r="103" spans="1:43" ht="13.8">
      <c r="A103" s="321"/>
      <c r="B103" s="617" t="s">
        <v>366</v>
      </c>
      <c r="C103" s="618"/>
      <c r="D103" s="164" t="s">
        <v>49</v>
      </c>
      <c r="E103" s="164"/>
      <c r="F103" s="586" t="s">
        <v>1180</v>
      </c>
      <c r="G103" s="78">
        <v>750</v>
      </c>
      <c r="H103" s="78">
        <v>750</v>
      </c>
      <c r="I103" s="78">
        <v>750</v>
      </c>
      <c r="J103" s="78">
        <v>750</v>
      </c>
      <c r="K103" s="78">
        <v>750</v>
      </c>
      <c r="L103" s="78">
        <v>750</v>
      </c>
      <c r="M103" s="78">
        <v>750</v>
      </c>
      <c r="N103" s="78">
        <v>750</v>
      </c>
      <c r="O103" s="78">
        <v>750</v>
      </c>
      <c r="P103" s="78">
        <v>750</v>
      </c>
      <c r="Q103" s="78">
        <v>750</v>
      </c>
      <c r="R103" s="78">
        <v>750</v>
      </c>
      <c r="S103" s="78">
        <v>750</v>
      </c>
      <c r="T103" s="78">
        <v>750</v>
      </c>
      <c r="U103" s="78">
        <v>750</v>
      </c>
      <c r="V103" s="393" t="s">
        <v>49</v>
      </c>
      <c r="W103" s="69"/>
      <c r="X103" s="391"/>
      <c r="Y103" s="130"/>
      <c r="Z103" s="383"/>
      <c r="AA103" s="130"/>
      <c r="AC103" s="60"/>
    </row>
    <row r="104" spans="1:43" ht="14.4" thickBot="1">
      <c r="A104" s="16"/>
      <c r="B104" s="28"/>
      <c r="C104" s="24"/>
      <c r="D104" s="108"/>
      <c r="E104" s="108"/>
      <c r="F104" s="332"/>
      <c r="G104" s="332"/>
      <c r="H104" s="332"/>
      <c r="I104" s="332"/>
      <c r="J104" s="332"/>
      <c r="K104" s="332"/>
      <c r="L104" s="338"/>
      <c r="M104" s="338"/>
      <c r="N104" s="338"/>
      <c r="O104" s="338"/>
      <c r="P104" s="338"/>
      <c r="Q104" s="338"/>
      <c r="R104" s="338"/>
      <c r="S104" s="332"/>
      <c r="T104" s="332"/>
      <c r="U104" s="332"/>
      <c r="V104" s="390"/>
      <c r="W104" s="69"/>
      <c r="X104" s="391"/>
      <c r="Y104" s="382"/>
      <c r="Z104" s="383"/>
      <c r="AA104" s="130"/>
    </row>
    <row r="105" spans="1:43" ht="14.4" thickBot="1">
      <c r="A105" s="8"/>
      <c r="B105" s="5"/>
      <c r="C105" s="5"/>
      <c r="D105" s="33"/>
      <c r="E105" s="33" t="s">
        <v>478</v>
      </c>
      <c r="F105" s="436" t="s">
        <v>131</v>
      </c>
      <c r="G105" s="336" t="str">
        <f>$G$44</f>
        <v>L 2WD NAO 2ROW</v>
      </c>
      <c r="H105" s="336" t="str">
        <f>$H$44</f>
        <v>L 4WD NAO 2ROW US</v>
      </c>
      <c r="I105" s="336" t="str">
        <f>$I$44</f>
        <v>L 4WD NAO 2ROW</v>
      </c>
      <c r="J105" s="336" t="str">
        <f>$J$44</f>
        <v>L 4WD NAO 3ROW</v>
      </c>
      <c r="K105" s="336" t="str">
        <f>$K$44</f>
        <v>R 2WD NAO 2ROW</v>
      </c>
      <c r="L105" s="336" t="str">
        <f>$L$44</f>
        <v>R 4WD NAO 2ROW</v>
      </c>
      <c r="M105" s="336" t="str">
        <f>$M$44</f>
        <v>R 4WD NAO 3ROW</v>
      </c>
      <c r="N105" s="336" t="str">
        <f>$N$44</f>
        <v/>
      </c>
      <c r="O105" s="336" t="str">
        <f>$O$44</f>
        <v/>
      </c>
      <c r="P105" s="336" t="str">
        <f>$P$44</f>
        <v/>
      </c>
      <c r="Q105" s="336" t="str">
        <f>$Q$44</f>
        <v/>
      </c>
      <c r="R105" s="336" t="str">
        <f>$R$44</f>
        <v/>
      </c>
      <c r="S105" s="336" t="str">
        <f>$S$44</f>
        <v/>
      </c>
      <c r="T105" s="336" t="str">
        <f>$T$44</f>
        <v/>
      </c>
      <c r="U105" s="336" t="str">
        <f>$U$44</f>
        <v/>
      </c>
      <c r="V105" s="69"/>
      <c r="W105" s="385"/>
      <c r="X105" s="381"/>
      <c r="Y105" s="382"/>
      <c r="Z105" s="383"/>
      <c r="AA105" s="130"/>
    </row>
    <row r="106" spans="1:43" ht="15">
      <c r="A106" s="8"/>
      <c r="B106" s="100" t="s">
        <v>43</v>
      </c>
      <c r="C106" s="99"/>
      <c r="D106" s="109"/>
      <c r="E106" s="109"/>
      <c r="F106" s="339"/>
      <c r="G106" s="339"/>
      <c r="H106" s="339"/>
      <c r="I106" s="339"/>
      <c r="J106" s="339"/>
      <c r="K106" s="339"/>
      <c r="L106" s="339"/>
      <c r="M106" s="339"/>
      <c r="N106" s="339"/>
      <c r="O106" s="339"/>
      <c r="P106" s="339"/>
      <c r="Q106" s="339"/>
      <c r="R106" s="339"/>
      <c r="S106" s="339"/>
      <c r="T106" s="339"/>
      <c r="U106" s="339"/>
      <c r="V106" s="394"/>
      <c r="W106" s="69"/>
      <c r="X106" s="381"/>
      <c r="Y106" s="382"/>
      <c r="Z106" s="383"/>
      <c r="AA106" s="130"/>
    </row>
    <row r="107" spans="1:43" ht="13.8">
      <c r="A107" s="8"/>
      <c r="B107" s="611" t="s">
        <v>44</v>
      </c>
      <c r="C107" s="728"/>
      <c r="D107" s="265" t="s">
        <v>35</v>
      </c>
      <c r="E107" s="299" t="str">
        <f>IF(G107="","check",IF(MIN(G107:U107)&lt;Y107,"Attention," &amp;CHAR(10)&amp;"one of your parameters is below the usual range: "&amp;Y107&amp;D107,IF(MAX(G107:U107)&gt;Z107,"Attention," &amp;CHAR(10)&amp;" one of your parameters is above the usual range: "&amp;Z107&amp;D107,"check")))</f>
        <v>check</v>
      </c>
      <c r="F107" s="586" t="s">
        <v>1180</v>
      </c>
      <c r="G107" s="554">
        <v>20.64</v>
      </c>
      <c r="H107" s="554">
        <v>20.64</v>
      </c>
      <c r="I107" s="554">
        <v>20.64</v>
      </c>
      <c r="J107" s="554">
        <v>20.64</v>
      </c>
      <c r="K107" s="554">
        <v>20.64</v>
      </c>
      <c r="L107" s="554">
        <v>20.64</v>
      </c>
      <c r="M107" s="554">
        <v>20.64</v>
      </c>
      <c r="N107" s="554"/>
      <c r="O107" s="554"/>
      <c r="P107" s="554"/>
      <c r="Q107" s="554"/>
      <c r="R107" s="554"/>
      <c r="S107" s="554"/>
      <c r="T107" s="554"/>
      <c r="U107" s="554"/>
      <c r="V107" s="395" t="s">
        <v>35</v>
      </c>
      <c r="W107" s="130"/>
      <c r="X107" s="396"/>
      <c r="Y107" s="382">
        <v>16</v>
      </c>
      <c r="Z107" s="383">
        <v>35</v>
      </c>
      <c r="AA107" s="130"/>
      <c r="AC107">
        <f t="shared" ref="AC107:AQ107" si="5">IF(ISBLANK(G108),0,1)</f>
        <v>1</v>
      </c>
      <c r="AD107">
        <f t="shared" si="5"/>
        <v>1</v>
      </c>
      <c r="AE107">
        <f t="shared" si="5"/>
        <v>1</v>
      </c>
      <c r="AF107">
        <f t="shared" si="5"/>
        <v>1</v>
      </c>
      <c r="AG107">
        <f t="shared" si="5"/>
        <v>1</v>
      </c>
      <c r="AH107">
        <f t="shared" si="5"/>
        <v>1</v>
      </c>
      <c r="AI107">
        <f>IF(ISBLANK(M108),0,1)</f>
        <v>1</v>
      </c>
      <c r="AJ107">
        <f>IF(ISBLANK(N108),0,1)</f>
        <v>0</v>
      </c>
      <c r="AK107">
        <f>IF(ISBLANK(O108),0,1)</f>
        <v>0</v>
      </c>
      <c r="AL107">
        <f>IF(ISBLANK(P108),0,1)</f>
        <v>0</v>
      </c>
      <c r="AM107">
        <f>IF(ISBLANK(Q108),0,1)</f>
        <v>0</v>
      </c>
      <c r="AN107">
        <f t="shared" si="5"/>
        <v>0</v>
      </c>
      <c r="AO107">
        <f t="shared" si="5"/>
        <v>0</v>
      </c>
      <c r="AP107">
        <f t="shared" si="5"/>
        <v>0</v>
      </c>
      <c r="AQ107">
        <f t="shared" si="5"/>
        <v>0</v>
      </c>
    </row>
    <row r="108" spans="1:43" ht="13.8">
      <c r="A108" s="8"/>
      <c r="B108" s="611" t="s">
        <v>312</v>
      </c>
      <c r="C108" s="612"/>
      <c r="D108" s="265" t="s">
        <v>35</v>
      </c>
      <c r="E108" s="727" t="str">
        <f>IF(AND(OR($G$14="IPB 1.0 / 1.1",$G$14="IPB 2.0"),$G$19="II-Split"),Checkbox!A4,IF(AND($G$15="DPB",$G$19="II-Split"),Checkbox!D4,Checkbox!G4))</f>
        <v>check</v>
      </c>
      <c r="F108" s="586" t="s">
        <v>1180</v>
      </c>
      <c r="G108" s="555">
        <v>17</v>
      </c>
      <c r="H108" s="555">
        <v>17</v>
      </c>
      <c r="I108" s="555">
        <v>17</v>
      </c>
      <c r="J108" s="555">
        <v>17</v>
      </c>
      <c r="K108" s="555">
        <v>17</v>
      </c>
      <c r="L108" s="555">
        <v>17</v>
      </c>
      <c r="M108" s="555">
        <v>17</v>
      </c>
      <c r="N108" s="555"/>
      <c r="O108" s="555"/>
      <c r="P108" s="555"/>
      <c r="Q108" s="555"/>
      <c r="R108" s="555"/>
      <c r="S108" s="555"/>
      <c r="T108" s="555"/>
      <c r="U108" s="555"/>
      <c r="V108" s="395" t="s">
        <v>35</v>
      </c>
      <c r="W108" s="130"/>
      <c r="X108" s="396"/>
      <c r="Y108" s="382">
        <v>30</v>
      </c>
      <c r="Z108" s="130">
        <v>50</v>
      </c>
      <c r="AA108" s="130"/>
      <c r="AC108">
        <f>SUM(AC107:AQ107,)</f>
        <v>7</v>
      </c>
    </row>
    <row r="109" spans="1:43" ht="13.8">
      <c r="A109" s="8"/>
      <c r="B109" s="611" t="s">
        <v>711</v>
      </c>
      <c r="C109" s="612"/>
      <c r="D109" s="265" t="s">
        <v>35</v>
      </c>
      <c r="E109" s="709"/>
      <c r="F109" s="586" t="s">
        <v>1180</v>
      </c>
      <c r="G109" s="555">
        <v>17</v>
      </c>
      <c r="H109" s="555">
        <v>17</v>
      </c>
      <c r="I109" s="555">
        <v>17</v>
      </c>
      <c r="J109" s="555">
        <v>17</v>
      </c>
      <c r="K109" s="555">
        <v>17</v>
      </c>
      <c r="L109" s="555">
        <v>17</v>
      </c>
      <c r="M109" s="555">
        <v>17</v>
      </c>
      <c r="N109" s="555"/>
      <c r="O109" s="555"/>
      <c r="P109" s="555"/>
      <c r="Q109" s="555"/>
      <c r="R109" s="555"/>
      <c r="S109" s="555"/>
      <c r="T109" s="555"/>
      <c r="U109" s="555"/>
      <c r="V109" s="395" t="s">
        <v>35</v>
      </c>
      <c r="W109" s="130"/>
      <c r="X109" s="396"/>
      <c r="Y109" s="382"/>
      <c r="Z109" s="130"/>
      <c r="AA109" s="130"/>
      <c r="AE109" s="229">
        <f>MIN(SUM(G108,G109),SUM(H108,H109),SUM(I108,I109),SUM(J108,J109),SUM(K108,K109),SUM(L108,L109),SUM(M108,M109),SUM(N108,N109),SUM(O108,O109),SUM(P108,P109),SUM(Q108,Q109),SUM(R108,R109),SUM(S108,S109),SUM(T108,T109),SUM(U108,U109))</f>
        <v>0</v>
      </c>
    </row>
    <row r="110" spans="1:43" ht="13.8">
      <c r="A110" s="8"/>
      <c r="B110" s="611" t="s">
        <v>350</v>
      </c>
      <c r="C110" s="612"/>
      <c r="D110" s="167" t="s">
        <v>45</v>
      </c>
      <c r="E110" s="708" t="s">
        <v>812</v>
      </c>
      <c r="F110" s="586" t="s">
        <v>1180</v>
      </c>
      <c r="G110" s="556">
        <v>60</v>
      </c>
      <c r="H110" s="556">
        <v>60</v>
      </c>
      <c r="I110" s="556">
        <v>60</v>
      </c>
      <c r="J110" s="556">
        <v>60</v>
      </c>
      <c r="K110" s="556">
        <v>60</v>
      </c>
      <c r="L110" s="556">
        <v>60</v>
      </c>
      <c r="M110" s="556">
        <v>60</v>
      </c>
      <c r="N110" s="556" t="str">
        <f>IF(OR(N107="",N108=""),"",'TMC Matrix'!I$165)</f>
        <v/>
      </c>
      <c r="O110" s="556" t="str">
        <f>IF(OR(O107="",O108=""),"",'TMC Matrix'!J$165)</f>
        <v/>
      </c>
      <c r="P110" s="556" t="str">
        <f>IF(OR(P107="",P108=""),"",'TMC Matrix'!K$165)</f>
        <v/>
      </c>
      <c r="Q110" s="556" t="str">
        <f>IF(OR(Q107="",Q108=""),"",'TMC Matrix'!L$165)</f>
        <v/>
      </c>
      <c r="R110" s="556" t="str">
        <f>IF(OR(R107="",R108=""),"",'TMC Matrix'!M$165)</f>
        <v/>
      </c>
      <c r="S110" s="556" t="str">
        <f>IF(OR(S107="",S108=""),"",'TMC Matrix'!N$165)</f>
        <v/>
      </c>
      <c r="T110" s="556" t="str">
        <f>IF(OR(T107="",T108=""),"",'TMC Matrix'!O$165)</f>
        <v/>
      </c>
      <c r="U110" s="556" t="str">
        <f>IF(OR(U107="",U108=""),"",'TMC Matrix'!P$165)</f>
        <v/>
      </c>
      <c r="V110" s="395" t="s">
        <v>45</v>
      </c>
      <c r="W110" s="69"/>
      <c r="X110" s="397"/>
      <c r="Y110" s="398"/>
      <c r="Z110" s="383"/>
      <c r="AA110" s="130"/>
    </row>
    <row r="111" spans="1:43" ht="13.8">
      <c r="A111" s="308"/>
      <c r="B111" s="611" t="s">
        <v>351</v>
      </c>
      <c r="C111" s="612"/>
      <c r="D111" s="167" t="s">
        <v>45</v>
      </c>
      <c r="E111" s="709"/>
      <c r="F111" s="586" t="s">
        <v>1180</v>
      </c>
      <c r="G111" s="556">
        <v>80</v>
      </c>
      <c r="H111" s="556">
        <v>80</v>
      </c>
      <c r="I111" s="556">
        <v>80</v>
      </c>
      <c r="J111" s="556">
        <v>80</v>
      </c>
      <c r="K111" s="556">
        <v>80</v>
      </c>
      <c r="L111" s="556">
        <v>80</v>
      </c>
      <c r="M111" s="556">
        <v>80</v>
      </c>
      <c r="N111" s="556" t="str">
        <f>IF(OR(N107="",N108=""),"",'TMC Matrix'!I$166)</f>
        <v/>
      </c>
      <c r="O111" s="556" t="str">
        <f>IF(OR(O107="",O108=""),"",'TMC Matrix'!J$166)</f>
        <v/>
      </c>
      <c r="P111" s="556" t="str">
        <f>IF(OR(P107="",P108=""),"",'TMC Matrix'!K$166)</f>
        <v/>
      </c>
      <c r="Q111" s="556" t="str">
        <f>IF(OR(Q107="",Q108=""),"",'TMC Matrix'!L$166)</f>
        <v/>
      </c>
      <c r="R111" s="556" t="str">
        <f>IF(OR(R107="",R108=""),"",'TMC Matrix'!M$166)</f>
        <v/>
      </c>
      <c r="S111" s="556" t="str">
        <f>IF(OR(S107="",S108=""),"",'TMC Matrix'!N$166)</f>
        <v/>
      </c>
      <c r="T111" s="556" t="str">
        <f>IF(OR(T107="",T108=""),"",'TMC Matrix'!O$166)</f>
        <v/>
      </c>
      <c r="U111" s="556" t="str">
        <f>IF(OR(U107="",U108=""),"",'TMC Matrix'!P$166)</f>
        <v/>
      </c>
      <c r="V111" s="395" t="s">
        <v>45</v>
      </c>
      <c r="W111" s="69"/>
      <c r="X111" s="391"/>
      <c r="Y111" s="398"/>
      <c r="Z111" s="383"/>
      <c r="AA111" s="130"/>
    </row>
    <row r="112" spans="1:43" ht="14.4" thickBot="1">
      <c r="A112" s="16"/>
      <c r="B112" s="28"/>
      <c r="C112" s="24"/>
      <c r="D112" s="108"/>
      <c r="E112" s="108"/>
      <c r="F112" s="332"/>
      <c r="G112" s="332"/>
      <c r="H112" s="332"/>
      <c r="I112" s="332"/>
      <c r="J112" s="332"/>
      <c r="K112" s="332"/>
      <c r="L112" s="338"/>
      <c r="M112" s="338"/>
      <c r="N112" s="338"/>
      <c r="O112" s="338"/>
      <c r="P112" s="338"/>
      <c r="Q112" s="338"/>
      <c r="R112" s="338"/>
      <c r="S112" s="338"/>
      <c r="T112" s="338"/>
      <c r="U112" s="332"/>
      <c r="V112" s="399"/>
      <c r="W112" s="69"/>
      <c r="X112" s="391"/>
      <c r="Y112" s="398"/>
      <c r="Z112" s="383"/>
      <c r="AA112" s="130"/>
    </row>
    <row r="113" spans="1:27" ht="14.4" thickBot="1">
      <c r="A113" s="16"/>
      <c r="B113" s="5"/>
      <c r="C113" s="5"/>
      <c r="D113" s="33"/>
      <c r="E113" s="33" t="s">
        <v>478</v>
      </c>
      <c r="F113" s="69" t="s">
        <v>131</v>
      </c>
      <c r="G113" s="69" t="s">
        <v>100</v>
      </c>
      <c r="H113" s="69" t="s">
        <v>101</v>
      </c>
      <c r="I113" s="69" t="s">
        <v>102</v>
      </c>
      <c r="J113" s="69" t="s">
        <v>103</v>
      </c>
      <c r="K113" s="69" t="s">
        <v>104</v>
      </c>
      <c r="L113" s="340" t="s">
        <v>105</v>
      </c>
      <c r="M113" s="340" t="s">
        <v>108</v>
      </c>
      <c r="N113" s="340" t="s">
        <v>106</v>
      </c>
      <c r="O113" s="340" t="s">
        <v>107</v>
      </c>
      <c r="P113" s="340" t="s">
        <v>149</v>
      </c>
      <c r="Q113" s="340" t="s">
        <v>150</v>
      </c>
      <c r="R113" s="340" t="s">
        <v>151</v>
      </c>
      <c r="S113" s="340" t="s">
        <v>152</v>
      </c>
      <c r="T113" s="340" t="s">
        <v>153</v>
      </c>
      <c r="U113" s="69" t="s">
        <v>154</v>
      </c>
      <c r="V113" s="130"/>
      <c r="W113" s="69"/>
      <c r="X113" s="391"/>
      <c r="Y113" s="398"/>
      <c r="Z113" s="383"/>
      <c r="AA113" s="130"/>
    </row>
    <row r="114" spans="1:27" ht="15">
      <c r="A114" s="16"/>
      <c r="B114" s="100" t="s">
        <v>517</v>
      </c>
      <c r="C114" s="99"/>
      <c r="D114" s="99"/>
      <c r="E114" s="99"/>
      <c r="F114" s="339"/>
      <c r="G114" s="339"/>
      <c r="H114" s="339"/>
      <c r="I114" s="339"/>
      <c r="J114" s="339"/>
      <c r="K114" s="339"/>
      <c r="L114" s="339"/>
      <c r="M114" s="339"/>
      <c r="N114" s="339"/>
      <c r="O114" s="339"/>
      <c r="P114" s="339"/>
      <c r="Q114" s="339"/>
      <c r="R114" s="339"/>
      <c r="S114" s="339"/>
      <c r="T114" s="339"/>
      <c r="U114" s="339"/>
      <c r="V114" s="394"/>
      <c r="W114" s="69"/>
      <c r="X114" s="391"/>
      <c r="Y114" s="398"/>
      <c r="Z114" s="383"/>
      <c r="AA114" s="130"/>
    </row>
    <row r="115" spans="1:27" ht="13.8">
      <c r="A115" s="16"/>
      <c r="B115" s="604" t="s">
        <v>475</v>
      </c>
      <c r="C115" s="610"/>
      <c r="D115" s="457" t="s">
        <v>46</v>
      </c>
      <c r="E115" s="265"/>
      <c r="F115" s="266"/>
      <c r="G115" s="576" t="s">
        <v>1183</v>
      </c>
      <c r="H115" s="576" t="s">
        <v>1183</v>
      </c>
      <c r="I115" s="576" t="s">
        <v>1183</v>
      </c>
      <c r="J115" s="576" t="s">
        <v>1183</v>
      </c>
      <c r="K115" s="576" t="s">
        <v>1183</v>
      </c>
      <c r="L115" s="576" t="s">
        <v>1183</v>
      </c>
      <c r="M115" s="576" t="s">
        <v>1183</v>
      </c>
      <c r="N115" s="576"/>
      <c r="O115" s="576"/>
      <c r="P115" s="576"/>
      <c r="Q115" s="576"/>
      <c r="R115" s="576"/>
      <c r="S115" s="576"/>
      <c r="T115" s="576"/>
      <c r="U115" s="576"/>
      <c r="V115" s="400" t="s">
        <v>46</v>
      </c>
      <c r="W115" s="69"/>
      <c r="X115" s="391"/>
      <c r="Y115" s="398"/>
      <c r="Z115" s="383"/>
      <c r="AA115" s="130"/>
    </row>
    <row r="116" spans="1:27" ht="13.8">
      <c r="A116" s="16"/>
      <c r="B116" s="604" t="s">
        <v>476</v>
      </c>
      <c r="C116" s="610"/>
      <c r="D116" s="299" t="s">
        <v>46</v>
      </c>
      <c r="E116" s="265"/>
      <c r="F116" s="266"/>
      <c r="G116" s="576" t="s">
        <v>501</v>
      </c>
      <c r="H116" s="576" t="s">
        <v>501</v>
      </c>
      <c r="I116" s="576" t="s">
        <v>501</v>
      </c>
      <c r="J116" s="576" t="s">
        <v>501</v>
      </c>
      <c r="K116" s="576" t="s">
        <v>501</v>
      </c>
      <c r="L116" s="576" t="s">
        <v>501</v>
      </c>
      <c r="M116" s="576" t="s">
        <v>501</v>
      </c>
      <c r="N116" s="576"/>
      <c r="O116" s="576"/>
      <c r="P116" s="576"/>
      <c r="Q116" s="576"/>
      <c r="R116" s="576"/>
      <c r="S116" s="576"/>
      <c r="T116" s="576"/>
      <c r="U116" s="576"/>
      <c r="V116" s="401" t="s">
        <v>46</v>
      </c>
      <c r="W116" s="5"/>
      <c r="X116" s="13"/>
      <c r="Y116" s="14"/>
    </row>
    <row r="117" spans="1:27" ht="13.8">
      <c r="A117" s="16"/>
      <c r="B117" s="604" t="s">
        <v>900</v>
      </c>
      <c r="C117" s="610"/>
      <c r="D117" s="167" t="s">
        <v>46</v>
      </c>
      <c r="E117" s="167"/>
      <c r="F117" s="266"/>
      <c r="G117" s="576" t="s">
        <v>897</v>
      </c>
      <c r="H117" s="576" t="s">
        <v>897</v>
      </c>
      <c r="I117" s="576" t="s">
        <v>897</v>
      </c>
      <c r="J117" s="576" t="s">
        <v>897</v>
      </c>
      <c r="K117" s="576" t="s">
        <v>897</v>
      </c>
      <c r="L117" s="576" t="s">
        <v>897</v>
      </c>
      <c r="M117" s="576" t="s">
        <v>897</v>
      </c>
      <c r="N117" s="576"/>
      <c r="O117" s="576"/>
      <c r="P117" s="576"/>
      <c r="Q117" s="576"/>
      <c r="R117" s="576"/>
      <c r="S117" s="576"/>
      <c r="T117" s="576"/>
      <c r="U117" s="576"/>
      <c r="V117" s="401" t="s">
        <v>46</v>
      </c>
      <c r="W117" s="5"/>
      <c r="X117" s="13"/>
      <c r="Y117" s="14"/>
    </row>
    <row r="118" spans="1:27" ht="13.8">
      <c r="A118" s="16"/>
      <c r="B118" s="695" t="s">
        <v>477</v>
      </c>
      <c r="C118" s="696"/>
      <c r="D118" s="264"/>
      <c r="E118" s="264"/>
      <c r="F118" s="435"/>
      <c r="G118" s="435"/>
      <c r="H118" s="435"/>
      <c r="I118" s="435"/>
      <c r="J118" s="435"/>
      <c r="K118" s="435"/>
      <c r="L118" s="435"/>
      <c r="M118" s="435"/>
      <c r="N118" s="435"/>
      <c r="O118" s="435"/>
      <c r="P118" s="435"/>
      <c r="Q118" s="435"/>
      <c r="R118" s="435"/>
      <c r="S118" s="435"/>
      <c r="T118" s="435"/>
      <c r="U118" s="435"/>
      <c r="V118" s="463"/>
      <c r="W118" s="5"/>
      <c r="X118" s="13"/>
      <c r="Y118" s="14"/>
    </row>
    <row r="119" spans="1:27" ht="13.8">
      <c r="A119" s="16"/>
      <c r="B119" s="604" t="s">
        <v>630</v>
      </c>
      <c r="C119" s="610"/>
      <c r="D119" s="167" t="s">
        <v>46</v>
      </c>
      <c r="E119" s="167"/>
      <c r="F119" s="266"/>
      <c r="G119" s="576" t="s">
        <v>64</v>
      </c>
      <c r="H119" s="576" t="s">
        <v>64</v>
      </c>
      <c r="I119" s="576" t="s">
        <v>64</v>
      </c>
      <c r="J119" s="576" t="s">
        <v>64</v>
      </c>
      <c r="K119" s="576" t="s">
        <v>64</v>
      </c>
      <c r="L119" s="576" t="s">
        <v>64</v>
      </c>
      <c r="M119" s="576" t="s">
        <v>64</v>
      </c>
      <c r="N119" s="576"/>
      <c r="O119" s="576"/>
      <c r="P119" s="576"/>
      <c r="Q119" s="576"/>
      <c r="R119" s="576"/>
      <c r="S119" s="576"/>
      <c r="T119" s="576"/>
      <c r="U119" s="576"/>
      <c r="V119" s="401" t="s">
        <v>46</v>
      </c>
      <c r="W119" s="5"/>
      <c r="X119" s="13"/>
      <c r="Y119" s="14"/>
    </row>
    <row r="120" spans="1:27" ht="13.8">
      <c r="A120" s="16"/>
      <c r="B120" s="604" t="s">
        <v>631</v>
      </c>
      <c r="C120" s="610"/>
      <c r="D120" s="265" t="s">
        <v>46</v>
      </c>
      <c r="E120" s="265"/>
      <c r="F120" s="266"/>
      <c r="G120" s="856"/>
      <c r="H120" s="856"/>
      <c r="I120" s="856"/>
      <c r="J120" s="856"/>
      <c r="K120" s="856"/>
      <c r="L120" s="856"/>
      <c r="M120" s="856"/>
      <c r="N120" s="856"/>
      <c r="O120" s="856"/>
      <c r="P120" s="856"/>
      <c r="Q120" s="856"/>
      <c r="R120" s="856"/>
      <c r="S120" s="856"/>
      <c r="T120" s="856"/>
      <c r="U120" s="856"/>
      <c r="V120" s="401" t="s">
        <v>46</v>
      </c>
      <c r="W120" s="5"/>
      <c r="X120" s="13"/>
      <c r="Y120" s="14"/>
    </row>
    <row r="121" spans="1:27" ht="13.8">
      <c r="A121" s="16"/>
      <c r="B121" s="604" t="s">
        <v>632</v>
      </c>
      <c r="C121" s="610"/>
      <c r="D121" s="265" t="s">
        <v>46</v>
      </c>
      <c r="E121" s="265"/>
      <c r="F121" s="266"/>
      <c r="G121" s="856"/>
      <c r="H121" s="856"/>
      <c r="I121" s="856"/>
      <c r="J121" s="856"/>
      <c r="K121" s="856"/>
      <c r="L121" s="856"/>
      <c r="M121" s="856"/>
      <c r="N121" s="856"/>
      <c r="O121" s="856"/>
      <c r="P121" s="856"/>
      <c r="Q121" s="856"/>
      <c r="R121" s="856"/>
      <c r="S121" s="856"/>
      <c r="T121" s="856"/>
      <c r="U121" s="856"/>
      <c r="V121" s="401" t="s">
        <v>46</v>
      </c>
      <c r="W121" s="5"/>
      <c r="X121" s="13"/>
      <c r="Y121" s="14"/>
    </row>
    <row r="122" spans="1:27" ht="13.8">
      <c r="A122" s="16"/>
      <c r="B122" s="604" t="s">
        <v>633</v>
      </c>
      <c r="C122" s="610"/>
      <c r="D122" s="265" t="s">
        <v>46</v>
      </c>
      <c r="E122" s="265"/>
      <c r="F122" s="266"/>
      <c r="G122" s="856"/>
      <c r="H122" s="856"/>
      <c r="I122" s="856"/>
      <c r="J122" s="856"/>
      <c r="K122" s="856"/>
      <c r="L122" s="856"/>
      <c r="M122" s="856"/>
      <c r="N122" s="856"/>
      <c r="O122" s="856"/>
      <c r="P122" s="856"/>
      <c r="Q122" s="856"/>
      <c r="R122" s="856"/>
      <c r="S122" s="856"/>
      <c r="T122" s="856"/>
      <c r="U122" s="856"/>
      <c r="V122" s="401" t="s">
        <v>46</v>
      </c>
      <c r="W122" s="5"/>
      <c r="X122" s="13"/>
      <c r="Y122" s="14"/>
    </row>
    <row r="123" spans="1:27" ht="13.8">
      <c r="A123" s="16"/>
      <c r="B123" s="604" t="s">
        <v>634</v>
      </c>
      <c r="C123" s="610"/>
      <c r="D123" s="265" t="s">
        <v>46</v>
      </c>
      <c r="E123" s="265"/>
      <c r="F123" s="266"/>
      <c r="G123" s="576" t="s">
        <v>64</v>
      </c>
      <c r="H123" s="576" t="s">
        <v>64</v>
      </c>
      <c r="I123" s="576" t="s">
        <v>64</v>
      </c>
      <c r="J123" s="576" t="s">
        <v>64</v>
      </c>
      <c r="K123" s="576" t="s">
        <v>64</v>
      </c>
      <c r="L123" s="576" t="s">
        <v>64</v>
      </c>
      <c r="M123" s="576" t="s">
        <v>64</v>
      </c>
      <c r="N123" s="576"/>
      <c r="O123" s="576"/>
      <c r="P123" s="576"/>
      <c r="Q123" s="576"/>
      <c r="R123" s="576"/>
      <c r="S123" s="576"/>
      <c r="T123" s="576"/>
      <c r="U123" s="576"/>
      <c r="V123" s="401" t="s">
        <v>46</v>
      </c>
      <c r="W123" s="5"/>
      <c r="X123" s="13"/>
      <c r="Y123" s="14"/>
    </row>
    <row r="124" spans="1:27" ht="13.8">
      <c r="A124" s="16"/>
      <c r="B124" s="604" t="s">
        <v>635</v>
      </c>
      <c r="C124" s="610"/>
      <c r="D124" s="265" t="s">
        <v>46</v>
      </c>
      <c r="E124" s="265"/>
      <c r="F124" s="266"/>
      <c r="G124" s="576" t="s">
        <v>64</v>
      </c>
      <c r="H124" s="576" t="s">
        <v>64</v>
      </c>
      <c r="I124" s="576" t="s">
        <v>64</v>
      </c>
      <c r="J124" s="576" t="s">
        <v>64</v>
      </c>
      <c r="K124" s="576" t="s">
        <v>64</v>
      </c>
      <c r="L124" s="576" t="s">
        <v>64</v>
      </c>
      <c r="M124" s="576" t="s">
        <v>64</v>
      </c>
      <c r="N124" s="576"/>
      <c r="O124" s="576"/>
      <c r="P124" s="576"/>
      <c r="Q124" s="576"/>
      <c r="R124" s="576"/>
      <c r="S124" s="576"/>
      <c r="T124" s="576"/>
      <c r="U124" s="576"/>
      <c r="V124" s="401" t="s">
        <v>46</v>
      </c>
      <c r="W124" s="5"/>
      <c r="X124" s="13"/>
      <c r="Y124" s="14"/>
    </row>
    <row r="125" spans="1:27" ht="13.8">
      <c r="A125" s="16"/>
      <c r="B125" s="604" t="s">
        <v>636</v>
      </c>
      <c r="C125" s="610"/>
      <c r="D125" s="265" t="s">
        <v>46</v>
      </c>
      <c r="E125" s="265"/>
      <c r="F125" s="266"/>
      <c r="G125" s="576" t="s">
        <v>64</v>
      </c>
      <c r="H125" s="576" t="s">
        <v>64</v>
      </c>
      <c r="I125" s="576" t="s">
        <v>64</v>
      </c>
      <c r="J125" s="576" t="s">
        <v>64</v>
      </c>
      <c r="K125" s="576" t="s">
        <v>64</v>
      </c>
      <c r="L125" s="576" t="s">
        <v>64</v>
      </c>
      <c r="M125" s="576" t="s">
        <v>64</v>
      </c>
      <c r="N125" s="576"/>
      <c r="O125" s="576"/>
      <c r="P125" s="576"/>
      <c r="Q125" s="576"/>
      <c r="R125" s="576"/>
      <c r="S125" s="576"/>
      <c r="T125" s="576"/>
      <c r="U125" s="576"/>
      <c r="V125" s="401" t="s">
        <v>46</v>
      </c>
      <c r="W125" s="5"/>
      <c r="X125" s="13"/>
      <c r="Y125" s="14"/>
    </row>
    <row r="126" spans="1:27" ht="13.8">
      <c r="A126" s="16"/>
      <c r="B126" s="604" t="s">
        <v>637</v>
      </c>
      <c r="C126" s="610"/>
      <c r="D126" s="265" t="s">
        <v>46</v>
      </c>
      <c r="E126" s="265"/>
      <c r="F126" s="266"/>
      <c r="G126" s="576" t="s">
        <v>64</v>
      </c>
      <c r="H126" s="576" t="s">
        <v>64</v>
      </c>
      <c r="I126" s="576" t="s">
        <v>64</v>
      </c>
      <c r="J126" s="576" t="s">
        <v>64</v>
      </c>
      <c r="K126" s="576" t="s">
        <v>64</v>
      </c>
      <c r="L126" s="576" t="s">
        <v>64</v>
      </c>
      <c r="M126" s="576" t="s">
        <v>64</v>
      </c>
      <c r="N126" s="576"/>
      <c r="O126" s="576"/>
      <c r="P126" s="576"/>
      <c r="Q126" s="576"/>
      <c r="R126" s="576"/>
      <c r="S126" s="576"/>
      <c r="T126" s="576"/>
      <c r="U126" s="576"/>
      <c r="V126" s="401" t="s">
        <v>46</v>
      </c>
      <c r="W126" s="5"/>
      <c r="X126" s="13"/>
      <c r="Y126" s="14"/>
    </row>
    <row r="127" spans="1:27" ht="13.8">
      <c r="A127" s="16"/>
      <c r="B127" s="604" t="s">
        <v>638</v>
      </c>
      <c r="C127" s="610"/>
      <c r="D127" s="265" t="s">
        <v>46</v>
      </c>
      <c r="E127" s="265"/>
      <c r="F127" s="266"/>
      <c r="G127" s="576" t="s">
        <v>64</v>
      </c>
      <c r="H127" s="576" t="s">
        <v>64</v>
      </c>
      <c r="I127" s="576" t="s">
        <v>64</v>
      </c>
      <c r="J127" s="576" t="s">
        <v>64</v>
      </c>
      <c r="K127" s="576" t="s">
        <v>64</v>
      </c>
      <c r="L127" s="576" t="s">
        <v>64</v>
      </c>
      <c r="M127" s="576" t="s">
        <v>64</v>
      </c>
      <c r="N127" s="576"/>
      <c r="O127" s="576"/>
      <c r="P127" s="576"/>
      <c r="Q127" s="576"/>
      <c r="R127" s="576"/>
      <c r="S127" s="576"/>
      <c r="T127" s="576"/>
      <c r="U127" s="576"/>
      <c r="V127" s="401" t="s">
        <v>46</v>
      </c>
      <c r="W127" s="5"/>
      <c r="X127" s="13"/>
      <c r="Y127" s="14"/>
    </row>
    <row r="128" spans="1:27" ht="13.8">
      <c r="A128" s="16"/>
      <c r="B128" s="604" t="s">
        <v>639</v>
      </c>
      <c r="C128" s="610"/>
      <c r="D128" s="265" t="s">
        <v>46</v>
      </c>
      <c r="E128" s="265"/>
      <c r="F128" s="266"/>
      <c r="G128" s="856"/>
      <c r="H128" s="856"/>
      <c r="I128" s="856"/>
      <c r="J128" s="856"/>
      <c r="K128" s="856"/>
      <c r="L128" s="856"/>
      <c r="M128" s="856"/>
      <c r="N128" s="856"/>
      <c r="O128" s="856"/>
      <c r="P128" s="856"/>
      <c r="Q128" s="856"/>
      <c r="R128" s="856"/>
      <c r="S128" s="856"/>
      <c r="T128" s="856"/>
      <c r="U128" s="856"/>
      <c r="V128" s="401" t="s">
        <v>46</v>
      </c>
      <c r="W128" s="5"/>
      <c r="X128" s="13"/>
      <c r="Y128" s="14"/>
    </row>
    <row r="129" spans="1:27" ht="13.8">
      <c r="A129" s="16"/>
      <c r="B129" s="604" t="s">
        <v>640</v>
      </c>
      <c r="C129" s="610"/>
      <c r="D129" s="265" t="s">
        <v>46</v>
      </c>
      <c r="E129" s="265"/>
      <c r="F129" s="266"/>
      <c r="G129" s="856"/>
      <c r="H129" s="856"/>
      <c r="I129" s="856"/>
      <c r="J129" s="856"/>
      <c r="K129" s="856"/>
      <c r="L129" s="856"/>
      <c r="M129" s="856"/>
      <c r="N129" s="856"/>
      <c r="O129" s="856"/>
      <c r="P129" s="856"/>
      <c r="Q129" s="856"/>
      <c r="R129" s="856"/>
      <c r="S129" s="856"/>
      <c r="T129" s="856"/>
      <c r="U129" s="856"/>
      <c r="V129" s="401" t="s">
        <v>46</v>
      </c>
      <c r="W129" s="5"/>
      <c r="X129" s="13"/>
      <c r="Y129" s="14"/>
    </row>
    <row r="130" spans="1:27" ht="13.8">
      <c r="A130" s="16"/>
      <c r="B130" s="604" t="s">
        <v>641</v>
      </c>
      <c r="C130" s="610"/>
      <c r="D130" s="265" t="s">
        <v>46</v>
      </c>
      <c r="E130" s="265"/>
      <c r="F130" s="266"/>
      <c r="G130" s="856"/>
      <c r="H130" s="856"/>
      <c r="I130" s="856"/>
      <c r="J130" s="856"/>
      <c r="K130" s="856"/>
      <c r="L130" s="856"/>
      <c r="M130" s="856"/>
      <c r="N130" s="856"/>
      <c r="O130" s="856"/>
      <c r="P130" s="856"/>
      <c r="Q130" s="856"/>
      <c r="R130" s="856"/>
      <c r="S130" s="856"/>
      <c r="T130" s="856"/>
      <c r="U130" s="856"/>
      <c r="V130" s="401" t="s">
        <v>46</v>
      </c>
      <c r="W130" s="5"/>
      <c r="X130" s="13"/>
      <c r="Y130" s="14"/>
    </row>
    <row r="131" spans="1:27" ht="13.8">
      <c r="A131" s="16"/>
      <c r="B131" s="604" t="s">
        <v>642</v>
      </c>
      <c r="C131" s="610"/>
      <c r="D131" s="265" t="s">
        <v>46</v>
      </c>
      <c r="E131" s="265"/>
      <c r="F131" s="266"/>
      <c r="G131" s="856"/>
      <c r="H131" s="856"/>
      <c r="I131" s="856"/>
      <c r="J131" s="856"/>
      <c r="K131" s="856"/>
      <c r="L131" s="856"/>
      <c r="M131" s="856"/>
      <c r="N131" s="856"/>
      <c r="O131" s="856"/>
      <c r="P131" s="856"/>
      <c r="Q131" s="856"/>
      <c r="R131" s="856"/>
      <c r="S131" s="856"/>
      <c r="T131" s="856"/>
      <c r="U131" s="856"/>
      <c r="V131" s="401" t="s">
        <v>46</v>
      </c>
      <c r="W131" s="5"/>
      <c r="X131" s="13"/>
      <c r="Y131" s="14"/>
    </row>
    <row r="132" spans="1:27" ht="13.8">
      <c r="A132" s="16"/>
      <c r="B132" s="604" t="s">
        <v>643</v>
      </c>
      <c r="C132" s="610"/>
      <c r="D132" s="265" t="s">
        <v>46</v>
      </c>
      <c r="E132" s="265"/>
      <c r="F132" s="266"/>
      <c r="G132" s="856"/>
      <c r="H132" s="856"/>
      <c r="I132" s="856"/>
      <c r="J132" s="856"/>
      <c r="K132" s="856"/>
      <c r="L132" s="856"/>
      <c r="M132" s="856"/>
      <c r="N132" s="856"/>
      <c r="O132" s="856"/>
      <c r="P132" s="856"/>
      <c r="Q132" s="856"/>
      <c r="R132" s="856"/>
      <c r="S132" s="856"/>
      <c r="T132" s="856"/>
      <c r="U132" s="856"/>
      <c r="V132" s="401" t="s">
        <v>46</v>
      </c>
      <c r="W132" s="5"/>
      <c r="X132" s="13"/>
      <c r="Y132" s="14"/>
    </row>
    <row r="133" spans="1:27" ht="13.8">
      <c r="A133" s="16"/>
      <c r="B133" s="604" t="s">
        <v>644</v>
      </c>
      <c r="C133" s="610"/>
      <c r="D133" s="265" t="s">
        <v>46</v>
      </c>
      <c r="E133" s="265"/>
      <c r="F133" s="266"/>
      <c r="G133" s="856"/>
      <c r="H133" s="856"/>
      <c r="I133" s="856"/>
      <c r="J133" s="856"/>
      <c r="K133" s="856"/>
      <c r="L133" s="856"/>
      <c r="M133" s="856"/>
      <c r="N133" s="856"/>
      <c r="O133" s="856"/>
      <c r="P133" s="856"/>
      <c r="Q133" s="856"/>
      <c r="R133" s="856"/>
      <c r="S133" s="856"/>
      <c r="T133" s="856"/>
      <c r="U133" s="856"/>
      <c r="V133" s="401" t="s">
        <v>46</v>
      </c>
      <c r="W133" s="5"/>
      <c r="X133" s="13"/>
      <c r="Y133" s="14"/>
    </row>
    <row r="134" spans="1:27" ht="13.8">
      <c r="A134" s="16"/>
      <c r="B134" s="604" t="s">
        <v>645</v>
      </c>
      <c r="C134" s="610"/>
      <c r="D134" s="265" t="s">
        <v>46</v>
      </c>
      <c r="E134" s="265"/>
      <c r="F134" s="266"/>
      <c r="G134" s="856"/>
      <c r="H134" s="856"/>
      <c r="I134" s="856"/>
      <c r="J134" s="856"/>
      <c r="K134" s="856"/>
      <c r="L134" s="856"/>
      <c r="M134" s="856"/>
      <c r="N134" s="856"/>
      <c r="O134" s="856"/>
      <c r="P134" s="856"/>
      <c r="Q134" s="856"/>
      <c r="R134" s="856"/>
      <c r="S134" s="856"/>
      <c r="T134" s="856"/>
      <c r="U134" s="856"/>
      <c r="V134" s="401" t="s">
        <v>46</v>
      </c>
      <c r="W134" s="5"/>
      <c r="X134" s="13"/>
      <c r="Y134" s="14"/>
    </row>
    <row r="135" spans="1:27" ht="13.8">
      <c r="A135" s="16"/>
      <c r="B135" s="633" t="s">
        <v>646</v>
      </c>
      <c r="C135" s="697"/>
      <c r="D135" s="265" t="s">
        <v>46</v>
      </c>
      <c r="E135" s="265"/>
      <c r="F135" s="266"/>
      <c r="G135" s="856"/>
      <c r="H135" s="856"/>
      <c r="I135" s="856"/>
      <c r="J135" s="856"/>
      <c r="K135" s="856"/>
      <c r="L135" s="856"/>
      <c r="M135" s="856"/>
      <c r="N135" s="856"/>
      <c r="O135" s="856"/>
      <c r="P135" s="856"/>
      <c r="Q135" s="856"/>
      <c r="R135" s="856"/>
      <c r="S135" s="856"/>
      <c r="T135" s="856"/>
      <c r="U135" s="856"/>
      <c r="V135" s="401" t="s">
        <v>46</v>
      </c>
      <c r="W135" s="5"/>
      <c r="X135" s="13"/>
      <c r="Y135" s="14"/>
    </row>
    <row r="136" spans="1:27" ht="13.8">
      <c r="A136" s="16"/>
      <c r="B136" s="604" t="s">
        <v>647</v>
      </c>
      <c r="C136" s="610"/>
      <c r="D136" s="265" t="s">
        <v>46</v>
      </c>
      <c r="E136" s="265"/>
      <c r="F136" s="266"/>
      <c r="G136" s="856"/>
      <c r="H136" s="856"/>
      <c r="I136" s="856"/>
      <c r="J136" s="856"/>
      <c r="K136" s="856"/>
      <c r="L136" s="856"/>
      <c r="M136" s="856"/>
      <c r="N136" s="856"/>
      <c r="O136" s="856"/>
      <c r="P136" s="856"/>
      <c r="Q136" s="856"/>
      <c r="R136" s="856"/>
      <c r="S136" s="856"/>
      <c r="T136" s="856"/>
      <c r="U136" s="856"/>
      <c r="V136" s="401" t="s">
        <v>46</v>
      </c>
      <c r="W136" s="5"/>
      <c r="X136" s="13"/>
      <c r="Y136" s="14"/>
    </row>
    <row r="137" spans="1:27" ht="13.8">
      <c r="A137" s="16"/>
      <c r="B137" s="604" t="s">
        <v>648</v>
      </c>
      <c r="C137" s="610"/>
      <c r="D137" s="265" t="s">
        <v>46</v>
      </c>
      <c r="E137" s="265"/>
      <c r="F137" s="266"/>
      <c r="G137" s="856"/>
      <c r="H137" s="856"/>
      <c r="I137" s="856"/>
      <c r="J137" s="856"/>
      <c r="K137" s="856"/>
      <c r="L137" s="856"/>
      <c r="M137" s="856"/>
      <c r="N137" s="856"/>
      <c r="O137" s="856"/>
      <c r="P137" s="856"/>
      <c r="Q137" s="856"/>
      <c r="R137" s="856"/>
      <c r="S137" s="856"/>
      <c r="T137" s="856"/>
      <c r="U137" s="856"/>
      <c r="V137" s="401" t="s">
        <v>46</v>
      </c>
      <c r="W137" s="5"/>
      <c r="X137" s="13"/>
      <c r="Y137" s="14"/>
    </row>
    <row r="138" spans="1:27" ht="13.8">
      <c r="A138" s="16"/>
      <c r="B138" s="604" t="s">
        <v>649</v>
      </c>
      <c r="C138" s="610"/>
      <c r="D138" s="265" t="s">
        <v>46</v>
      </c>
      <c r="E138" s="265"/>
      <c r="F138" s="266"/>
      <c r="G138" s="856"/>
      <c r="H138" s="856"/>
      <c r="I138" s="856"/>
      <c r="J138" s="856"/>
      <c r="K138" s="856"/>
      <c r="L138" s="856"/>
      <c r="M138" s="856"/>
      <c r="N138" s="856"/>
      <c r="O138" s="856"/>
      <c r="P138" s="856"/>
      <c r="Q138" s="856"/>
      <c r="R138" s="856"/>
      <c r="S138" s="856"/>
      <c r="T138" s="856"/>
      <c r="U138" s="856"/>
      <c r="V138" s="401" t="s">
        <v>46</v>
      </c>
      <c r="W138" s="5"/>
      <c r="X138" s="13"/>
      <c r="Y138" s="14"/>
    </row>
    <row r="139" spans="1:27" ht="13.8">
      <c r="A139" s="16"/>
      <c r="B139" s="604" t="s">
        <v>650</v>
      </c>
      <c r="C139" s="610"/>
      <c r="D139" s="265" t="s">
        <v>46</v>
      </c>
      <c r="E139" s="265"/>
      <c r="F139" s="266"/>
      <c r="G139" s="856"/>
      <c r="H139" s="856"/>
      <c r="I139" s="856"/>
      <c r="J139" s="856"/>
      <c r="K139" s="856"/>
      <c r="L139" s="856"/>
      <c r="M139" s="856"/>
      <c r="N139" s="856"/>
      <c r="O139" s="856"/>
      <c r="P139" s="856"/>
      <c r="Q139" s="856"/>
      <c r="R139" s="856"/>
      <c r="S139" s="856"/>
      <c r="T139" s="856"/>
      <c r="U139" s="856"/>
      <c r="V139" s="401" t="s">
        <v>46</v>
      </c>
      <c r="W139" s="5"/>
      <c r="X139" s="13"/>
      <c r="Y139" s="14"/>
    </row>
    <row r="140" spans="1:27" ht="13.8">
      <c r="A140" s="16"/>
      <c r="B140" s="604" t="s">
        <v>651</v>
      </c>
      <c r="C140" s="610"/>
      <c r="D140" s="265" t="s">
        <v>46</v>
      </c>
      <c r="E140" s="265"/>
      <c r="F140" s="266"/>
      <c r="G140" s="856"/>
      <c r="H140" s="856"/>
      <c r="I140" s="856"/>
      <c r="J140" s="856"/>
      <c r="K140" s="856"/>
      <c r="L140" s="856"/>
      <c r="M140" s="856"/>
      <c r="N140" s="856"/>
      <c r="O140" s="856"/>
      <c r="P140" s="856"/>
      <c r="Q140" s="856"/>
      <c r="R140" s="856"/>
      <c r="S140" s="856"/>
      <c r="T140" s="856"/>
      <c r="U140" s="856"/>
      <c r="V140" s="401" t="s">
        <v>46</v>
      </c>
      <c r="W140" s="5"/>
      <c r="X140" s="13"/>
      <c r="Y140" s="14"/>
    </row>
    <row r="141" spans="1:27" ht="13.8">
      <c r="A141" s="16"/>
      <c r="B141" s="604" t="s">
        <v>652</v>
      </c>
      <c r="C141" s="610"/>
      <c r="D141" s="265" t="s">
        <v>46</v>
      </c>
      <c r="E141" s="265"/>
      <c r="F141" s="266"/>
      <c r="G141" s="856"/>
      <c r="H141" s="856"/>
      <c r="I141" s="856"/>
      <c r="J141" s="856"/>
      <c r="K141" s="856"/>
      <c r="L141" s="856"/>
      <c r="M141" s="856"/>
      <c r="N141" s="856"/>
      <c r="O141" s="856"/>
      <c r="P141" s="856"/>
      <c r="Q141" s="856"/>
      <c r="R141" s="856"/>
      <c r="S141" s="856"/>
      <c r="T141" s="856"/>
      <c r="U141" s="856"/>
      <c r="V141" s="401" t="s">
        <v>46</v>
      </c>
      <c r="W141" s="5"/>
      <c r="X141" s="13"/>
      <c r="Y141" s="14"/>
    </row>
    <row r="142" spans="1:27" ht="13.8">
      <c r="A142" s="16"/>
      <c r="B142" s="604" t="s">
        <v>653</v>
      </c>
      <c r="C142" s="610"/>
      <c r="D142" s="265" t="s">
        <v>46</v>
      </c>
      <c r="E142" s="265"/>
      <c r="F142" s="266"/>
      <c r="G142" s="856"/>
      <c r="H142" s="856"/>
      <c r="I142" s="856"/>
      <c r="J142" s="856"/>
      <c r="K142" s="856"/>
      <c r="L142" s="856"/>
      <c r="M142" s="856"/>
      <c r="N142" s="856"/>
      <c r="O142" s="856"/>
      <c r="P142" s="856"/>
      <c r="Q142" s="856"/>
      <c r="R142" s="856"/>
      <c r="S142" s="856"/>
      <c r="T142" s="856"/>
      <c r="U142" s="856"/>
      <c r="V142" s="401" t="s">
        <v>46</v>
      </c>
      <c r="W142" s="5"/>
      <c r="X142" s="13"/>
      <c r="Y142" s="14"/>
    </row>
    <row r="143" spans="1:27" ht="14.4" thickBot="1">
      <c r="A143" s="16"/>
      <c r="B143" s="121"/>
      <c r="C143" s="122"/>
      <c r="D143" s="296"/>
      <c r="E143" s="296"/>
      <c r="F143" s="341"/>
      <c r="G143" s="341"/>
      <c r="H143" s="341"/>
      <c r="I143" s="341"/>
      <c r="J143" s="341"/>
      <c r="K143" s="341"/>
      <c r="L143" s="342"/>
      <c r="M143" s="342"/>
      <c r="N143" s="342"/>
      <c r="O143" s="342"/>
      <c r="P143" s="342"/>
      <c r="Q143" s="342"/>
      <c r="R143" s="342"/>
      <c r="S143" s="342"/>
      <c r="T143" s="342"/>
      <c r="U143" s="341"/>
      <c r="V143" s="399"/>
      <c r="W143" s="69"/>
      <c r="X143" s="391"/>
      <c r="Y143" s="398"/>
      <c r="Z143" s="383"/>
      <c r="AA143" s="130"/>
    </row>
    <row r="144" spans="1:27" ht="14.4" thickBot="1">
      <c r="A144" s="16"/>
      <c r="B144" s="5"/>
      <c r="C144" s="5"/>
      <c r="D144" s="33"/>
      <c r="E144" s="33" t="s">
        <v>478</v>
      </c>
      <c r="F144" s="436" t="s">
        <v>131</v>
      </c>
      <c r="G144" s="336" t="str">
        <f>$G$44</f>
        <v>L 2WD NAO 2ROW</v>
      </c>
      <c r="H144" s="336" t="str">
        <f>$H$44</f>
        <v>L 4WD NAO 2ROW US</v>
      </c>
      <c r="I144" s="336" t="str">
        <f>$I$44</f>
        <v>L 4WD NAO 2ROW</v>
      </c>
      <c r="J144" s="336" t="str">
        <f>$J$44</f>
        <v>L 4WD NAO 3ROW</v>
      </c>
      <c r="K144" s="336" t="str">
        <f>$K$44</f>
        <v>R 2WD NAO 2ROW</v>
      </c>
      <c r="L144" s="336" t="str">
        <f>$L$44</f>
        <v>R 4WD NAO 2ROW</v>
      </c>
      <c r="M144" s="336" t="str">
        <f>$M$44</f>
        <v>R 4WD NAO 3ROW</v>
      </c>
      <c r="N144" s="336" t="str">
        <f>$N$44</f>
        <v/>
      </c>
      <c r="O144" s="336" t="str">
        <f>$O$44</f>
        <v/>
      </c>
      <c r="P144" s="336" t="str">
        <f>$P$44</f>
        <v/>
      </c>
      <c r="Q144" s="336" t="str">
        <f>$Q$44</f>
        <v/>
      </c>
      <c r="R144" s="336" t="str">
        <f>$R$44</f>
        <v/>
      </c>
      <c r="S144" s="336" t="str">
        <f>$S$44</f>
        <v/>
      </c>
      <c r="T144" s="336" t="str">
        <f>$T$44</f>
        <v/>
      </c>
      <c r="U144" s="336" t="str">
        <f>$U$44</f>
        <v/>
      </c>
      <c r="V144" s="130"/>
      <c r="W144" s="69"/>
      <c r="X144" s="391"/>
      <c r="Y144" s="398"/>
      <c r="Z144" s="383"/>
      <c r="AA144" s="130"/>
    </row>
    <row r="145" spans="1:27" ht="15">
      <c r="A145" s="16"/>
      <c r="B145" s="100" t="s">
        <v>449</v>
      </c>
      <c r="C145" s="99"/>
      <c r="D145" s="99"/>
      <c r="E145" s="99"/>
      <c r="F145" s="339"/>
      <c r="G145" s="339"/>
      <c r="H145" s="339"/>
      <c r="I145" s="339"/>
      <c r="J145" s="339"/>
      <c r="K145" s="339"/>
      <c r="L145" s="339"/>
      <c r="M145" s="339"/>
      <c r="N145" s="339"/>
      <c r="O145" s="339"/>
      <c r="P145" s="339"/>
      <c r="Q145" s="339"/>
      <c r="R145" s="339"/>
      <c r="S145" s="339"/>
      <c r="T145" s="339"/>
      <c r="U145" s="339"/>
      <c r="V145" s="394"/>
      <c r="W145" s="69"/>
      <c r="X145" s="391"/>
      <c r="Y145" s="398"/>
      <c r="Z145" s="383"/>
      <c r="AA145" s="130"/>
    </row>
    <row r="146" spans="1:27" ht="13.8">
      <c r="A146" s="16"/>
      <c r="B146" s="604" t="s">
        <v>785</v>
      </c>
      <c r="C146" s="605"/>
      <c r="D146" s="168" t="s">
        <v>35</v>
      </c>
      <c r="E146" s="168" t="str">
        <f t="shared" ref="E146:E162" si="6">IF(G146="","check",IF(MIN(G146:U146)&lt;Y146,"Attention," &amp;CHAR(10)&amp;"one of your parameters is below the usual range: "&amp;Y146&amp;D146,IF(MAX(G146:U146)&gt;Z146,"Attention," &amp;CHAR(10)&amp;" one of your parameters is above the usual range: "&amp;Z146&amp;D146,"check")))</f>
        <v>check</v>
      </c>
      <c r="F146" s="116"/>
      <c r="G146" s="257"/>
      <c r="H146" s="257"/>
      <c r="I146" s="257"/>
      <c r="J146" s="257"/>
      <c r="K146" s="257"/>
      <c r="L146" s="257"/>
      <c r="M146" s="257"/>
      <c r="N146" s="257"/>
      <c r="O146" s="257"/>
      <c r="P146" s="257"/>
      <c r="Q146" s="257"/>
      <c r="R146" s="257"/>
      <c r="S146" s="257"/>
      <c r="T146" s="257"/>
      <c r="U146" s="257"/>
      <c r="V146" s="145" t="s">
        <v>35</v>
      </c>
      <c r="W146" s="5"/>
      <c r="X146" s="13"/>
      <c r="Y146" s="7">
        <v>3.2</v>
      </c>
      <c r="Z146">
        <v>6.6</v>
      </c>
    </row>
    <row r="147" spans="1:27" ht="13.8">
      <c r="A147" s="16"/>
      <c r="B147" s="604" t="s">
        <v>450</v>
      </c>
      <c r="C147" s="605"/>
      <c r="D147" s="168" t="s">
        <v>35</v>
      </c>
      <c r="E147" s="168" t="str">
        <f t="shared" si="6"/>
        <v>check</v>
      </c>
      <c r="F147" s="116"/>
      <c r="G147" s="257"/>
      <c r="H147" s="257"/>
      <c r="I147" s="257"/>
      <c r="J147" s="257"/>
      <c r="K147" s="257"/>
      <c r="L147" s="257"/>
      <c r="M147" s="257"/>
      <c r="N147" s="257"/>
      <c r="O147" s="257"/>
      <c r="P147" s="257"/>
      <c r="Q147" s="257"/>
      <c r="R147" s="257"/>
      <c r="S147" s="257"/>
      <c r="T147" s="257"/>
      <c r="U147" s="257"/>
      <c r="V147" s="145" t="s">
        <v>35</v>
      </c>
      <c r="W147" s="5"/>
      <c r="X147" s="13"/>
      <c r="Y147" s="7">
        <v>0</v>
      </c>
      <c r="Z147">
        <v>1500</v>
      </c>
    </row>
    <row r="148" spans="1:27" ht="13.8">
      <c r="A148" s="16"/>
      <c r="B148" s="604" t="s">
        <v>451</v>
      </c>
      <c r="C148" s="605"/>
      <c r="D148" s="168" t="s">
        <v>35</v>
      </c>
      <c r="E148" s="168" t="str">
        <f t="shared" si="6"/>
        <v>check</v>
      </c>
      <c r="F148" s="116"/>
      <c r="G148" s="257"/>
      <c r="H148" s="257"/>
      <c r="I148" s="257"/>
      <c r="J148" s="257"/>
      <c r="K148" s="257"/>
      <c r="L148" s="257"/>
      <c r="M148" s="257"/>
      <c r="N148" s="257"/>
      <c r="O148" s="257"/>
      <c r="P148" s="257"/>
      <c r="Q148" s="257"/>
      <c r="R148" s="257"/>
      <c r="S148" s="257"/>
      <c r="T148" s="257"/>
      <c r="U148" s="257"/>
      <c r="V148" s="145" t="s">
        <v>35</v>
      </c>
      <c r="W148" s="5"/>
      <c r="X148" s="13"/>
      <c r="Y148" s="7">
        <v>0</v>
      </c>
      <c r="Z148">
        <v>1500</v>
      </c>
    </row>
    <row r="149" spans="1:27" ht="13.8">
      <c r="A149" s="16"/>
      <c r="B149" s="604" t="s">
        <v>456</v>
      </c>
      <c r="C149" s="605"/>
      <c r="D149" s="168" t="s">
        <v>35</v>
      </c>
      <c r="E149" s="168" t="str">
        <f t="shared" si="6"/>
        <v>check</v>
      </c>
      <c r="F149" s="116"/>
      <c r="G149" s="257"/>
      <c r="H149" s="257"/>
      <c r="I149" s="257"/>
      <c r="J149" s="257"/>
      <c r="K149" s="257"/>
      <c r="L149" s="257"/>
      <c r="M149" s="257"/>
      <c r="N149" s="257"/>
      <c r="O149" s="257"/>
      <c r="P149" s="257"/>
      <c r="Q149" s="257"/>
      <c r="R149" s="257"/>
      <c r="S149" s="257"/>
      <c r="T149" s="257"/>
      <c r="U149" s="257"/>
      <c r="V149" s="145" t="s">
        <v>35</v>
      </c>
      <c r="W149" s="5"/>
      <c r="X149" s="13"/>
      <c r="Y149" s="7">
        <v>-1000</v>
      </c>
      <c r="Z149">
        <v>1500</v>
      </c>
    </row>
    <row r="150" spans="1:27" ht="13.8">
      <c r="A150" s="16"/>
      <c r="B150" s="604" t="s">
        <v>894</v>
      </c>
      <c r="C150" s="605"/>
      <c r="D150" s="168" t="s">
        <v>35</v>
      </c>
      <c r="E150" s="168" t="str">
        <f t="shared" si="6"/>
        <v>check</v>
      </c>
      <c r="F150" s="116"/>
      <c r="G150" s="257"/>
      <c r="H150" s="257"/>
      <c r="I150" s="257"/>
      <c r="J150" s="257"/>
      <c r="K150" s="257"/>
      <c r="L150" s="257"/>
      <c r="M150" s="257"/>
      <c r="N150" s="257"/>
      <c r="O150" s="257"/>
      <c r="P150" s="257"/>
      <c r="Q150" s="257"/>
      <c r="R150" s="257"/>
      <c r="S150" s="257"/>
      <c r="T150" s="257"/>
      <c r="U150" s="257"/>
      <c r="V150" s="145" t="s">
        <v>35</v>
      </c>
      <c r="W150" s="5"/>
      <c r="X150" s="13"/>
      <c r="Y150" s="7">
        <v>3.3</v>
      </c>
      <c r="Z150">
        <v>6.6</v>
      </c>
    </row>
    <row r="151" spans="1:27" ht="13.8">
      <c r="A151" s="16"/>
      <c r="B151" s="604" t="s">
        <v>452</v>
      </c>
      <c r="C151" s="605"/>
      <c r="D151" s="168" t="s">
        <v>35</v>
      </c>
      <c r="E151" s="168" t="str">
        <f t="shared" si="6"/>
        <v>check</v>
      </c>
      <c r="F151" s="116"/>
      <c r="G151" s="257"/>
      <c r="H151" s="257"/>
      <c r="I151" s="257"/>
      <c r="J151" s="257"/>
      <c r="K151" s="257"/>
      <c r="L151" s="257"/>
      <c r="M151" s="257"/>
      <c r="N151" s="257"/>
      <c r="O151" s="257"/>
      <c r="P151" s="257"/>
      <c r="Q151" s="257"/>
      <c r="R151" s="257"/>
      <c r="S151" s="257"/>
      <c r="T151" s="257"/>
      <c r="U151" s="257"/>
      <c r="V151" s="145" t="s">
        <v>35</v>
      </c>
      <c r="W151" s="5"/>
      <c r="X151" s="13"/>
      <c r="Y151" s="7">
        <v>300</v>
      </c>
      <c r="Z151">
        <v>10000</v>
      </c>
    </row>
    <row r="152" spans="1:27" ht="13.8">
      <c r="A152" s="16"/>
      <c r="B152" s="604" t="s">
        <v>453</v>
      </c>
      <c r="C152" s="605"/>
      <c r="D152" s="168" t="s">
        <v>35</v>
      </c>
      <c r="E152" s="168" t="str">
        <f t="shared" si="6"/>
        <v>check</v>
      </c>
      <c r="F152" s="116"/>
      <c r="G152" s="257"/>
      <c r="H152" s="257"/>
      <c r="I152" s="257"/>
      <c r="J152" s="257"/>
      <c r="K152" s="257"/>
      <c r="L152" s="257"/>
      <c r="M152" s="257"/>
      <c r="N152" s="257"/>
      <c r="O152" s="257"/>
      <c r="P152" s="257"/>
      <c r="Q152" s="257"/>
      <c r="R152" s="257"/>
      <c r="S152" s="257"/>
      <c r="T152" s="257"/>
      <c r="U152" s="257"/>
      <c r="V152" s="145" t="s">
        <v>35</v>
      </c>
      <c r="W152" s="5"/>
      <c r="X152" s="13"/>
      <c r="Y152" s="7">
        <v>300</v>
      </c>
      <c r="Z152">
        <v>10000</v>
      </c>
    </row>
    <row r="153" spans="1:27" ht="13.8">
      <c r="A153" s="16"/>
      <c r="B153" s="604" t="s">
        <v>454</v>
      </c>
      <c r="C153" s="605"/>
      <c r="D153" s="168" t="s">
        <v>35</v>
      </c>
      <c r="E153" s="168" t="str">
        <f t="shared" si="6"/>
        <v>check</v>
      </c>
      <c r="F153" s="116"/>
      <c r="G153" s="257"/>
      <c r="H153" s="257"/>
      <c r="I153" s="257"/>
      <c r="J153" s="257"/>
      <c r="K153" s="257"/>
      <c r="L153" s="257"/>
      <c r="M153" s="257"/>
      <c r="N153" s="257"/>
      <c r="O153" s="257"/>
      <c r="P153" s="257"/>
      <c r="Q153" s="257"/>
      <c r="R153" s="257"/>
      <c r="S153" s="257"/>
      <c r="T153" s="257"/>
      <c r="U153" s="257"/>
      <c r="V153" s="145" t="s">
        <v>35</v>
      </c>
      <c r="W153" s="5"/>
      <c r="X153" s="13"/>
      <c r="Y153" s="7">
        <v>300</v>
      </c>
      <c r="Z153">
        <v>10000</v>
      </c>
    </row>
    <row r="154" spans="1:27" ht="13.8">
      <c r="A154" s="16"/>
      <c r="B154" s="604" t="s">
        <v>455</v>
      </c>
      <c r="C154" s="605"/>
      <c r="D154" s="168" t="s">
        <v>35</v>
      </c>
      <c r="E154" s="168" t="str">
        <f t="shared" si="6"/>
        <v>check</v>
      </c>
      <c r="F154" s="116"/>
      <c r="G154" s="257"/>
      <c r="H154" s="257"/>
      <c r="I154" s="257"/>
      <c r="J154" s="257"/>
      <c r="K154" s="257"/>
      <c r="L154" s="257"/>
      <c r="M154" s="257"/>
      <c r="N154" s="257"/>
      <c r="O154" s="257"/>
      <c r="P154" s="257"/>
      <c r="Q154" s="257"/>
      <c r="R154" s="257"/>
      <c r="S154" s="257"/>
      <c r="T154" s="257"/>
      <c r="U154" s="257"/>
      <c r="V154" s="145" t="s">
        <v>35</v>
      </c>
      <c r="W154" s="5"/>
      <c r="X154" s="13"/>
      <c r="Y154" s="7">
        <v>300</v>
      </c>
      <c r="Z154">
        <v>10000</v>
      </c>
    </row>
    <row r="155" spans="1:27" ht="13.8">
      <c r="A155" s="16"/>
      <c r="B155" s="619"/>
      <c r="C155" s="620"/>
      <c r="D155" s="297"/>
      <c r="E155" s="168"/>
      <c r="F155" s="437"/>
      <c r="G155" s="577" t="s">
        <v>506</v>
      </c>
      <c r="H155" s="578"/>
      <c r="I155" s="579"/>
      <c r="J155" s="579"/>
      <c r="K155" s="579"/>
      <c r="L155" s="579"/>
      <c r="M155" s="579"/>
      <c r="N155" s="579"/>
      <c r="O155" s="579"/>
      <c r="P155" s="579"/>
      <c r="Q155" s="579"/>
      <c r="R155" s="579"/>
      <c r="S155" s="579"/>
      <c r="T155" s="579"/>
      <c r="U155" s="580"/>
      <c r="V155" s="298"/>
      <c r="W155" s="5"/>
      <c r="X155" s="13"/>
      <c r="Y155" s="7"/>
      <c r="Z155"/>
    </row>
    <row r="156" spans="1:27" ht="13.8">
      <c r="A156" s="16"/>
      <c r="B156" s="604" t="s">
        <v>509</v>
      </c>
      <c r="C156" s="610"/>
      <c r="D156" s="168" t="s">
        <v>508</v>
      </c>
      <c r="E156" s="168" t="str">
        <f t="shared" si="6"/>
        <v>check</v>
      </c>
      <c r="F156" s="116"/>
      <c r="G156" s="257"/>
      <c r="H156" s="257"/>
      <c r="I156" s="581"/>
      <c r="J156" s="257"/>
      <c r="K156" s="257"/>
      <c r="L156" s="257"/>
      <c r="M156" s="257"/>
      <c r="N156" s="257"/>
      <c r="O156" s="257"/>
      <c r="P156" s="257"/>
      <c r="Q156" s="257"/>
      <c r="R156" s="257"/>
      <c r="S156" s="257"/>
      <c r="T156" s="257"/>
      <c r="U156" s="257"/>
      <c r="V156" s="145" t="s">
        <v>508</v>
      </c>
      <c r="W156" s="5"/>
      <c r="X156" s="13"/>
      <c r="Y156" s="7">
        <v>0</v>
      </c>
      <c r="Z156">
        <v>1000</v>
      </c>
    </row>
    <row r="157" spans="1:27" ht="13.8">
      <c r="A157" s="16"/>
      <c r="B157" s="604" t="s">
        <v>510</v>
      </c>
      <c r="C157" s="610"/>
      <c r="D157" s="168" t="s">
        <v>508</v>
      </c>
      <c r="E157" s="168" t="str">
        <f t="shared" si="6"/>
        <v>check</v>
      </c>
      <c r="F157" s="116"/>
      <c r="G157" s="257"/>
      <c r="H157" s="257"/>
      <c r="I157" s="581"/>
      <c r="J157" s="257"/>
      <c r="K157" s="257"/>
      <c r="L157" s="257"/>
      <c r="M157" s="257"/>
      <c r="N157" s="257"/>
      <c r="O157" s="257"/>
      <c r="P157" s="257"/>
      <c r="Q157" s="257"/>
      <c r="R157" s="257"/>
      <c r="S157" s="257"/>
      <c r="T157" s="257"/>
      <c r="U157" s="257"/>
      <c r="V157" s="145" t="s">
        <v>508</v>
      </c>
      <c r="W157" s="5"/>
      <c r="X157" s="13"/>
      <c r="Y157" s="7">
        <v>0</v>
      </c>
      <c r="Z157">
        <v>1000</v>
      </c>
    </row>
    <row r="158" spans="1:27" ht="13.8">
      <c r="A158" s="16"/>
      <c r="B158" s="604" t="s">
        <v>511</v>
      </c>
      <c r="C158" s="610"/>
      <c r="D158" s="168" t="s">
        <v>508</v>
      </c>
      <c r="E158" s="168" t="str">
        <f t="shared" si="6"/>
        <v>check</v>
      </c>
      <c r="F158" s="116"/>
      <c r="G158" s="257"/>
      <c r="H158" s="257"/>
      <c r="I158" s="581"/>
      <c r="J158" s="257"/>
      <c r="K158" s="257"/>
      <c r="L158" s="257"/>
      <c r="M158" s="257"/>
      <c r="N158" s="257"/>
      <c r="O158" s="257"/>
      <c r="P158" s="257"/>
      <c r="Q158" s="257"/>
      <c r="R158" s="257"/>
      <c r="S158" s="257"/>
      <c r="T158" s="257"/>
      <c r="U158" s="257"/>
      <c r="V158" s="145" t="s">
        <v>508</v>
      </c>
      <c r="W158" s="5"/>
      <c r="X158" s="13"/>
      <c r="Y158" s="7">
        <v>0</v>
      </c>
      <c r="Z158">
        <v>1000</v>
      </c>
    </row>
    <row r="159" spans="1:27" ht="13.8">
      <c r="A159" s="16"/>
      <c r="B159" s="619"/>
      <c r="C159" s="620"/>
      <c r="D159" s="297"/>
      <c r="E159" s="168"/>
      <c r="F159" s="437"/>
      <c r="G159" s="577" t="s">
        <v>507</v>
      </c>
      <c r="H159" s="578"/>
      <c r="I159" s="579"/>
      <c r="J159" s="579"/>
      <c r="K159" s="579"/>
      <c r="L159" s="579"/>
      <c r="M159" s="579"/>
      <c r="N159" s="579"/>
      <c r="O159" s="579"/>
      <c r="P159" s="579"/>
      <c r="Q159" s="579"/>
      <c r="R159" s="579"/>
      <c r="S159" s="579"/>
      <c r="T159" s="579"/>
      <c r="U159" s="580"/>
      <c r="V159" s="298"/>
      <c r="W159" s="5"/>
      <c r="X159" s="13"/>
      <c r="Y159" s="7"/>
      <c r="Z159"/>
    </row>
    <row r="160" spans="1:27" ht="13.8">
      <c r="A160" s="16"/>
      <c r="B160" s="613" t="s">
        <v>512</v>
      </c>
      <c r="C160" s="614"/>
      <c r="D160" s="190" t="s">
        <v>515</v>
      </c>
      <c r="E160" s="168" t="str">
        <f t="shared" si="6"/>
        <v>check</v>
      </c>
      <c r="F160" s="116"/>
      <c r="G160" s="257"/>
      <c r="H160" s="257"/>
      <c r="I160" s="257"/>
      <c r="J160" s="257"/>
      <c r="K160" s="257"/>
      <c r="L160" s="257"/>
      <c r="M160" s="257"/>
      <c r="N160" s="257"/>
      <c r="O160" s="257"/>
      <c r="P160" s="257"/>
      <c r="Q160" s="257"/>
      <c r="R160" s="257"/>
      <c r="S160" s="257"/>
      <c r="T160" s="257"/>
      <c r="U160" s="257"/>
      <c r="V160" s="145" t="s">
        <v>515</v>
      </c>
      <c r="W160" s="5"/>
      <c r="X160" s="13"/>
      <c r="Y160" s="7">
        <v>0</v>
      </c>
      <c r="Z160">
        <v>100</v>
      </c>
    </row>
    <row r="161" spans="1:44" ht="13.8">
      <c r="A161" s="16"/>
      <c r="B161" s="613" t="s">
        <v>513</v>
      </c>
      <c r="C161" s="614"/>
      <c r="D161" s="168" t="s">
        <v>515</v>
      </c>
      <c r="E161" s="168" t="str">
        <f t="shared" si="6"/>
        <v>check</v>
      </c>
      <c r="F161" s="116"/>
      <c r="G161" s="257"/>
      <c r="H161" s="257"/>
      <c r="I161" s="257"/>
      <c r="J161" s="257"/>
      <c r="K161" s="257"/>
      <c r="L161" s="257"/>
      <c r="M161" s="257"/>
      <c r="N161" s="257"/>
      <c r="O161" s="257"/>
      <c r="P161" s="257"/>
      <c r="Q161" s="257"/>
      <c r="R161" s="257"/>
      <c r="S161" s="257"/>
      <c r="T161" s="257"/>
      <c r="U161" s="257"/>
      <c r="V161" s="145" t="s">
        <v>515</v>
      </c>
      <c r="W161" s="5"/>
      <c r="X161" s="13"/>
      <c r="Y161" s="7">
        <v>0</v>
      </c>
      <c r="Z161">
        <v>100</v>
      </c>
    </row>
    <row r="162" spans="1:44" ht="13.8">
      <c r="A162" s="16"/>
      <c r="B162" s="613" t="s">
        <v>514</v>
      </c>
      <c r="C162" s="614"/>
      <c r="D162" s="168" t="s">
        <v>515</v>
      </c>
      <c r="E162" s="168" t="str">
        <f t="shared" si="6"/>
        <v>check</v>
      </c>
      <c r="F162" s="116"/>
      <c r="G162" s="257"/>
      <c r="H162" s="257"/>
      <c r="I162" s="257"/>
      <c r="J162" s="257"/>
      <c r="K162" s="257"/>
      <c r="L162" s="257"/>
      <c r="M162" s="257"/>
      <c r="N162" s="257"/>
      <c r="O162" s="257"/>
      <c r="P162" s="257"/>
      <c r="Q162" s="257"/>
      <c r="R162" s="257"/>
      <c r="S162" s="257"/>
      <c r="T162" s="257"/>
      <c r="U162" s="257"/>
      <c r="V162" s="145" t="s">
        <v>515</v>
      </c>
      <c r="W162" s="5"/>
      <c r="X162" s="13"/>
      <c r="Y162" s="7">
        <v>0</v>
      </c>
      <c r="Z162">
        <v>100</v>
      </c>
    </row>
    <row r="163" spans="1:44" ht="14.4" thickBot="1">
      <c r="A163" s="16"/>
      <c r="B163" s="615"/>
      <c r="C163" s="616"/>
      <c r="D163" s="176"/>
      <c r="E163" s="108"/>
      <c r="F163" s="332"/>
      <c r="G163" s="582"/>
      <c r="H163" s="582"/>
      <c r="I163" s="582"/>
      <c r="J163" s="582"/>
      <c r="K163" s="582"/>
      <c r="L163" s="583"/>
      <c r="M163" s="583"/>
      <c r="N163" s="583"/>
      <c r="O163" s="583"/>
      <c r="P163" s="583"/>
      <c r="Q163" s="583"/>
      <c r="R163" s="583"/>
      <c r="S163" s="583"/>
      <c r="T163" s="583"/>
      <c r="U163" s="582"/>
      <c r="V163" s="38"/>
      <c r="W163" s="5"/>
      <c r="X163" s="13"/>
      <c r="Y163" s="14"/>
    </row>
    <row r="164" spans="1:44" ht="14.4" thickBot="1">
      <c r="A164" s="16"/>
      <c r="B164" s="5"/>
      <c r="C164" s="5"/>
      <c r="D164" s="33"/>
      <c r="E164" s="33" t="s">
        <v>478</v>
      </c>
      <c r="F164" s="436" t="s">
        <v>131</v>
      </c>
      <c r="G164" s="336" t="str">
        <f>$G$44</f>
        <v>L 2WD NAO 2ROW</v>
      </c>
      <c r="H164" s="336" t="str">
        <f>$H$44</f>
        <v>L 4WD NAO 2ROW US</v>
      </c>
      <c r="I164" s="336" t="str">
        <f>$I$44</f>
        <v>L 4WD NAO 2ROW</v>
      </c>
      <c r="J164" s="336" t="str">
        <f>$J$44</f>
        <v>L 4WD NAO 3ROW</v>
      </c>
      <c r="K164" s="336" t="str">
        <f>$K$44</f>
        <v>R 2WD NAO 2ROW</v>
      </c>
      <c r="L164" s="336" t="str">
        <f>$L$44</f>
        <v>R 4WD NAO 2ROW</v>
      </c>
      <c r="M164" s="336" t="str">
        <f>$M$44</f>
        <v>R 4WD NAO 3ROW</v>
      </c>
      <c r="N164" s="336" t="str">
        <f>$N$44</f>
        <v/>
      </c>
      <c r="O164" s="336" t="str">
        <f>$O$44</f>
        <v/>
      </c>
      <c r="P164" s="336" t="str">
        <f>$P$44</f>
        <v/>
      </c>
      <c r="Q164" s="336" t="str">
        <f>$Q$44</f>
        <v/>
      </c>
      <c r="R164" s="336" t="str">
        <f>$R$44</f>
        <v/>
      </c>
      <c r="S164" s="336" t="str">
        <f>$S$44</f>
        <v/>
      </c>
      <c r="T164" s="336" t="str">
        <f>$T$44</f>
        <v/>
      </c>
      <c r="U164" s="336" t="str">
        <f>$U$44</f>
        <v/>
      </c>
      <c r="V164" s="130"/>
      <c r="W164" s="69"/>
      <c r="X164" s="391"/>
      <c r="Y164" s="398"/>
      <c r="Z164" s="383"/>
      <c r="AA164" s="130"/>
    </row>
    <row r="165" spans="1:44" ht="15">
      <c r="A165" s="16"/>
      <c r="B165" s="100" t="s">
        <v>51</v>
      </c>
      <c r="C165" s="99"/>
      <c r="D165" s="109"/>
      <c r="E165" s="109"/>
      <c r="F165" s="339"/>
      <c r="G165" s="339"/>
      <c r="H165" s="339"/>
      <c r="I165" s="339"/>
      <c r="J165" s="339"/>
      <c r="K165" s="339"/>
      <c r="L165" s="339"/>
      <c r="M165" s="339"/>
      <c r="N165" s="339"/>
      <c r="O165" s="339"/>
      <c r="P165" s="339"/>
      <c r="Q165" s="339"/>
      <c r="R165" s="339"/>
      <c r="S165" s="339"/>
      <c r="T165" s="339"/>
      <c r="U165" s="339"/>
      <c r="V165" s="394"/>
      <c r="W165" s="69"/>
      <c r="X165" s="391"/>
      <c r="Y165" s="398"/>
      <c r="Z165" s="383"/>
      <c r="AA165" s="130"/>
    </row>
    <row r="166" spans="1:44" ht="13.8">
      <c r="A166" s="16"/>
      <c r="B166" s="617" t="s">
        <v>52</v>
      </c>
      <c r="C166" s="618"/>
      <c r="D166" s="164" t="s">
        <v>46</v>
      </c>
      <c r="E166" s="429" t="str">
        <f>IF(G166="","check",IF(MIN(G166:U166)&lt;Y166,"Attention," &amp;CHAR(10)&amp;"one of your parameters is below the usual range: "&amp;Y166&amp;D166,IF(MAX(G166:U166)&gt;Z166,"Attention," &amp;CHAR(10)&amp;" one of your parameters is above the usual range: "&amp;Z166&amp;D166,"check")))</f>
        <v>check</v>
      </c>
      <c r="F166" s="586" t="s">
        <v>1180</v>
      </c>
      <c r="G166" s="518">
        <v>3.9</v>
      </c>
      <c r="H166" s="518">
        <v>3.9</v>
      </c>
      <c r="I166" s="518">
        <v>3.9</v>
      </c>
      <c r="J166" s="518">
        <v>3.9</v>
      </c>
      <c r="K166" s="518">
        <v>3.9</v>
      </c>
      <c r="L166" s="518">
        <v>3.9</v>
      </c>
      <c r="M166" s="518">
        <v>3.9</v>
      </c>
      <c r="N166" s="518"/>
      <c r="O166" s="518"/>
      <c r="P166" s="518"/>
      <c r="Q166" s="518"/>
      <c r="R166" s="518"/>
      <c r="S166" s="518"/>
      <c r="T166" s="518"/>
      <c r="U166" s="518"/>
      <c r="V166" s="393" t="s">
        <v>46</v>
      </c>
      <c r="W166" s="69"/>
      <c r="X166" s="391"/>
      <c r="Y166" s="402">
        <v>2.2000000000000002</v>
      </c>
      <c r="Z166" s="383">
        <v>4.5</v>
      </c>
      <c r="AA166" s="130"/>
    </row>
    <row r="167" spans="1:44" ht="13.8">
      <c r="A167" s="321"/>
      <c r="B167" s="617" t="s">
        <v>145</v>
      </c>
      <c r="C167" s="618"/>
      <c r="D167" s="165" t="s">
        <v>35</v>
      </c>
      <c r="E167" s="427" t="str">
        <f>IF(G167="","check",IF(AR167&gt;0,"Attention, " &amp;CHAR(10)&amp;"one of your parameters is below the usual range",IF(MAX(G167:U167)&gt;Z167,"Attention," &amp;CHAR(10)&amp;" one of your parameters is above the usual range: "&amp;Z167&amp;D167,"check")))</f>
        <v>check</v>
      </c>
      <c r="F167" s="586" t="s">
        <v>1180</v>
      </c>
      <c r="G167" s="519">
        <v>143.5</v>
      </c>
      <c r="H167" s="519">
        <v>143.5</v>
      </c>
      <c r="I167" s="519">
        <v>143.5</v>
      </c>
      <c r="J167" s="519">
        <v>143.5</v>
      </c>
      <c r="K167" s="519">
        <v>143.5</v>
      </c>
      <c r="L167" s="519">
        <v>143.5</v>
      </c>
      <c r="M167" s="519">
        <v>143.5</v>
      </c>
      <c r="N167" s="519"/>
      <c r="O167" s="519"/>
      <c r="P167" s="519"/>
      <c r="Q167" s="519"/>
      <c r="R167" s="519"/>
      <c r="S167" s="519"/>
      <c r="T167" s="519"/>
      <c r="U167" s="519"/>
      <c r="V167" s="39" t="s">
        <v>35</v>
      </c>
      <c r="X167" s="13"/>
      <c r="Y167" s="234" t="s">
        <v>424</v>
      </c>
      <c r="Z167" s="61">
        <v>500</v>
      </c>
      <c r="AB167" s="233">
        <f t="shared" ref="AB167:AP167" si="7">IF(NOT(G$167=""),IF(G$167&lt;(G$108+G$109)*G$166,1,0),0)</f>
        <v>0</v>
      </c>
      <c r="AC167" s="233">
        <f t="shared" si="7"/>
        <v>0</v>
      </c>
      <c r="AD167" s="233">
        <f t="shared" si="7"/>
        <v>0</v>
      </c>
      <c r="AE167" s="233">
        <f>IF(NOT(J$167=""),IF(J$167&lt;(J$108+J$109)*J$166,1,0),0)</f>
        <v>0</v>
      </c>
      <c r="AF167" s="233">
        <f t="shared" si="7"/>
        <v>0</v>
      </c>
      <c r="AG167" s="233">
        <f t="shared" si="7"/>
        <v>0</v>
      </c>
      <c r="AH167" s="233">
        <f>IF(NOT(M$167=""),IF(M$167&lt;(M$108+M$109)*M$166,1,0),0)</f>
        <v>0</v>
      </c>
      <c r="AI167" s="233">
        <f>IF(NOT(N$167=""),IF(N$167&lt;(N$108+N$109)*N$166,1,0),0)</f>
        <v>0</v>
      </c>
      <c r="AJ167" s="233">
        <f>IF(NOT(O$167=""),IF(O$167&lt;(O$108+O$109)*O$166,1,0),0)</f>
        <v>0</v>
      </c>
      <c r="AK167" s="233">
        <f>IF(NOT(P$167=""),IF(P$167&lt;(P$108+P$109)*P$166,1,0),0)</f>
        <v>0</v>
      </c>
      <c r="AL167" s="233">
        <f>IF(NOT(Q$167=""),IF(Q$167&lt;(Q$108+Q$109)*Q$166,1,0),0)</f>
        <v>0</v>
      </c>
      <c r="AM167" s="233">
        <f t="shared" si="7"/>
        <v>0</v>
      </c>
      <c r="AN167" s="233">
        <f t="shared" si="7"/>
        <v>0</v>
      </c>
      <c r="AO167" s="233">
        <f t="shared" si="7"/>
        <v>0</v>
      </c>
      <c r="AP167" s="233">
        <f t="shared" si="7"/>
        <v>0</v>
      </c>
      <c r="AR167" s="233">
        <f>SUM(AB167:AP167)</f>
        <v>0</v>
      </c>
    </row>
    <row r="168" spans="1:44" ht="13.8">
      <c r="A168" s="321"/>
      <c r="B168" s="617" t="s">
        <v>861</v>
      </c>
      <c r="C168" s="626"/>
      <c r="D168" s="165" t="s">
        <v>46</v>
      </c>
      <c r="E168" s="430" t="str">
        <f>IF(G168="","check",
IF(
              AND(MAX(G168:U168)&gt;4.2,
                      OR($G$14="IPB 1.0 Size Se",$G$14="IPB 1.1 Size Sd",$G$14="IPB 1.1 Size Se")
                                ),
              "Attention,"&amp;CHAR(10)&amp;"one of your parameters is above the allowed max pedal ratio for IPB1.0/1.1: max 4.2"&amp;CHAR(10)&amp;"your BSPA cannot be proceeded, please contact IPB Expert",
               IF(
                          AND(OR($G$14="IPB 2.0 Size S",$G$14="IPB 2.0 Size M",$G$14="IPB 2.0 Size L",$G$15="DPB Size M",$G$15="DPB Size L"),
                                  OR(AND(G107=19.05,G168&gt;4.2),AND(H107=19.05,H168&gt;4.2),AND(I107=19.05,I168&gt;4.2),AND(J107=19.05,J168&gt;4.2),AND(K107=19.05,K168&gt;4.2),AND(L107=19.05,L168&gt;4.2),AND(M107=19.05,M168&gt;4.2),AND(N107=19.05,N168&gt;4.2),AND(O107=19.05,O168&gt;4.2),AND(P107=19.05,P168&gt;4.2),AND(Q107=19.05,Q168&gt;4.2),AND(R107=19.05,R168&gt;4.2),AND(S107=19.05,S168&gt;4.2),AND(T107=19.05,T168&gt;4.2),AND(U107=19.05,U168&gt;4.2))),
                          "Attention,"&amp;CHAR(10)&amp;"one of your parameters is above the allowed max pedal ratio for IPB2.0 / DPB: max 4.2"&amp;CHAR(10)&amp;"your BSPA cannot be proceeded, please contact IPB Expert",
                           IF(
                                      AND(MAX(G168:U168)&gt;4.5,
                                              OR($G$14="IPB 2.0 Size S",$G$14="IPB 2.0 Size M",$G$14="IPB 2.0 Size L",$G$15="DPB Size M",$G$15="DPB Size L")
                                             ),
                                      "Attention,"&amp;CHAR(10)&amp;"one of your parameters is above the allowed max pedal ratio for IPB2.0 / DPB: max 4.5"&amp;CHAR(10)&amp;"your BSPA cannot be proceeded, please contact IPB Expert",
                                       "check")
                      )
          )
)</f>
        <v>check</v>
      </c>
      <c r="F168" s="586" t="s">
        <v>1180</v>
      </c>
      <c r="G168" s="519">
        <v>3.9</v>
      </c>
      <c r="H168" s="519">
        <v>3.9</v>
      </c>
      <c r="I168" s="519">
        <v>3.9</v>
      </c>
      <c r="J168" s="519">
        <v>3.9</v>
      </c>
      <c r="K168" s="519">
        <v>3.9</v>
      </c>
      <c r="L168" s="519">
        <v>3.9</v>
      </c>
      <c r="M168" s="519">
        <v>3.9</v>
      </c>
      <c r="N168" s="519"/>
      <c r="O168" s="519"/>
      <c r="P168" s="519"/>
      <c r="Q168" s="519"/>
      <c r="R168" s="519"/>
      <c r="S168" s="519"/>
      <c r="T168" s="519"/>
      <c r="U168" s="519"/>
      <c r="V168" s="39" t="s">
        <v>46</v>
      </c>
      <c r="X168" s="13"/>
      <c r="Y168" s="234"/>
    </row>
    <row r="169" spans="1:44" ht="13.8">
      <c r="A169" s="321"/>
      <c r="B169" s="617" t="s">
        <v>905</v>
      </c>
      <c r="C169" s="618"/>
      <c r="D169" s="165" t="s">
        <v>45</v>
      </c>
      <c r="E169" s="430"/>
      <c r="F169" s="439"/>
      <c r="G169" s="852"/>
      <c r="H169" s="852"/>
      <c r="I169" s="852"/>
      <c r="J169" s="852"/>
      <c r="K169" s="852"/>
      <c r="L169" s="852"/>
      <c r="M169" s="852"/>
      <c r="N169" s="852"/>
      <c r="O169" s="852"/>
      <c r="P169" s="852"/>
      <c r="Q169" s="852"/>
      <c r="R169" s="852"/>
      <c r="S169" s="852"/>
      <c r="T169" s="852"/>
      <c r="U169" s="852"/>
      <c r="V169" s="39" t="s">
        <v>45</v>
      </c>
      <c r="X169" s="13"/>
      <c r="Y169" s="234"/>
    </row>
    <row r="170" spans="1:44" ht="13.8">
      <c r="A170" s="521"/>
      <c r="B170" s="722" t="s">
        <v>936</v>
      </c>
      <c r="C170" s="723"/>
      <c r="D170" s="165" t="s">
        <v>46</v>
      </c>
      <c r="E170" s="430"/>
      <c r="F170" s="439"/>
      <c r="G170" s="857"/>
      <c r="H170" s="857"/>
      <c r="I170" s="857"/>
      <c r="J170" s="857"/>
      <c r="K170" s="857"/>
      <c r="L170" s="857"/>
      <c r="M170" s="857"/>
      <c r="N170" s="857"/>
      <c r="O170" s="857"/>
      <c r="P170" s="857"/>
      <c r="Q170" s="857"/>
      <c r="R170" s="857"/>
      <c r="S170" s="857"/>
      <c r="T170" s="857"/>
      <c r="U170" s="857"/>
      <c r="V170" s="39" t="s">
        <v>46</v>
      </c>
      <c r="X170" s="13"/>
      <c r="Y170" s="234"/>
    </row>
    <row r="171" spans="1:44" ht="13.8">
      <c r="A171" s="521"/>
      <c r="B171" s="724" t="s">
        <v>1056</v>
      </c>
      <c r="C171" s="725"/>
      <c r="D171" s="166" t="s">
        <v>46</v>
      </c>
      <c r="E171" s="461" t="str">
        <f>(IF(OR(G15="BWA Size S",G15="BWA Size M"),HYPERLINK("https://sites.inside-share4.bosch.com/sites/058388/Documents/06_SW/BSPA_MAMBA/BSPA_ePedal.pdf","see link"),""))</f>
        <v/>
      </c>
      <c r="F171" s="460"/>
      <c r="G171" s="858"/>
      <c r="H171" s="858"/>
      <c r="I171" s="858"/>
      <c r="J171" s="858"/>
      <c r="K171" s="858"/>
      <c r="L171" s="858"/>
      <c r="M171" s="858"/>
      <c r="N171" s="858"/>
      <c r="O171" s="858"/>
      <c r="P171" s="858"/>
      <c r="Q171" s="858"/>
      <c r="R171" s="858"/>
      <c r="S171" s="858"/>
      <c r="T171" s="858"/>
      <c r="U171" s="858"/>
      <c r="V171" s="39" t="s">
        <v>46</v>
      </c>
      <c r="X171" s="13"/>
      <c r="Y171" s="462"/>
    </row>
    <row r="172" spans="1:44" ht="14.4" thickBot="1">
      <c r="A172" s="16"/>
      <c r="B172" s="28"/>
      <c r="C172" s="24"/>
      <c r="D172" s="108"/>
      <c r="E172" s="108"/>
      <c r="F172" s="332"/>
      <c r="G172" s="332"/>
      <c r="H172" s="332"/>
      <c r="I172" s="332"/>
      <c r="J172" s="332"/>
      <c r="K172" s="332"/>
      <c r="L172" s="338"/>
      <c r="M172" s="338"/>
      <c r="N172" s="338"/>
      <c r="O172" s="338"/>
      <c r="P172" s="338"/>
      <c r="Q172" s="338"/>
      <c r="R172" s="338"/>
      <c r="S172" s="338"/>
      <c r="T172" s="338"/>
      <c r="U172" s="332"/>
      <c r="V172" s="390"/>
      <c r="W172" s="69"/>
      <c r="X172" s="391"/>
      <c r="Y172" s="398"/>
      <c r="Z172" s="383"/>
      <c r="AA172" s="130"/>
    </row>
    <row r="173" spans="1:44" ht="14.4" thickBot="1">
      <c r="A173" s="16"/>
      <c r="B173" s="5"/>
      <c r="C173" s="5"/>
      <c r="D173" s="33"/>
      <c r="E173" s="33" t="s">
        <v>478</v>
      </c>
      <c r="F173" s="436" t="s">
        <v>131</v>
      </c>
      <c r="G173" s="336" t="str">
        <f>$G$44</f>
        <v>L 2WD NAO 2ROW</v>
      </c>
      <c r="H173" s="336" t="str">
        <f>$H$44</f>
        <v>L 4WD NAO 2ROW US</v>
      </c>
      <c r="I173" s="336" t="str">
        <f>$I$44</f>
        <v>L 4WD NAO 2ROW</v>
      </c>
      <c r="J173" s="336" t="str">
        <f>$J$44</f>
        <v>L 4WD NAO 3ROW</v>
      </c>
      <c r="K173" s="336" t="str">
        <f>$K$44</f>
        <v>R 2WD NAO 2ROW</v>
      </c>
      <c r="L173" s="336" t="str">
        <f>$L$44</f>
        <v>R 4WD NAO 2ROW</v>
      </c>
      <c r="M173" s="336" t="str">
        <f>$M$44</f>
        <v>R 4WD NAO 3ROW</v>
      </c>
      <c r="N173" s="336" t="str">
        <f>$N$44</f>
        <v/>
      </c>
      <c r="O173" s="336" t="str">
        <f>$O$44</f>
        <v/>
      </c>
      <c r="P173" s="336" t="str">
        <f>$P$44</f>
        <v/>
      </c>
      <c r="Q173" s="336" t="str">
        <f>$Q$44</f>
        <v/>
      </c>
      <c r="R173" s="336" t="str">
        <f>$R$44</f>
        <v/>
      </c>
      <c r="S173" s="336" t="str">
        <f>$S$44</f>
        <v/>
      </c>
      <c r="T173" s="336" t="str">
        <f>$T$44</f>
        <v/>
      </c>
      <c r="U173" s="336" t="str">
        <f>$U$44</f>
        <v/>
      </c>
      <c r="V173" s="69"/>
      <c r="W173" s="69"/>
      <c r="X173" s="391"/>
      <c r="Y173" s="382"/>
      <c r="Z173" s="383"/>
      <c r="AA173" s="130"/>
    </row>
    <row r="174" spans="1:44" ht="15">
      <c r="A174" s="16"/>
      <c r="B174" s="101" t="s">
        <v>33</v>
      </c>
      <c r="C174" s="102"/>
      <c r="D174" s="109"/>
      <c r="E174" s="109"/>
      <c r="F174" s="343"/>
      <c r="G174" s="343"/>
      <c r="H174" s="343"/>
      <c r="I174" s="343"/>
      <c r="J174" s="343"/>
      <c r="K174" s="343"/>
      <c r="L174" s="343"/>
      <c r="M174" s="343"/>
      <c r="N174" s="343"/>
      <c r="O174" s="343"/>
      <c r="P174" s="343"/>
      <c r="Q174" s="343"/>
      <c r="R174" s="343"/>
      <c r="S174" s="343"/>
      <c r="T174" s="343"/>
      <c r="U174" s="343"/>
      <c r="V174" s="403"/>
      <c r="W174" s="69"/>
      <c r="X174" s="391"/>
      <c r="Y174" s="382"/>
      <c r="Z174" s="383"/>
      <c r="AA174" s="130"/>
    </row>
    <row r="175" spans="1:44">
      <c r="A175" s="11"/>
      <c r="B175" s="107" t="s">
        <v>34</v>
      </c>
      <c r="C175" s="65"/>
      <c r="D175" s="110"/>
      <c r="E175" s="110"/>
      <c r="F175" s="344"/>
      <c r="G175" s="344"/>
      <c r="H175" s="344"/>
      <c r="I175" s="344"/>
      <c r="J175" s="344"/>
      <c r="K175" s="344"/>
      <c r="L175" s="344"/>
      <c r="M175" s="344"/>
      <c r="N175" s="344"/>
      <c r="O175" s="344"/>
      <c r="P175" s="344"/>
      <c r="Q175" s="344"/>
      <c r="R175" s="344"/>
      <c r="S175" s="344"/>
      <c r="T175" s="344"/>
      <c r="U175" s="344"/>
      <c r="V175" s="404"/>
      <c r="W175" s="69"/>
      <c r="X175" s="381"/>
      <c r="Y175" s="382"/>
      <c r="Z175" s="383"/>
      <c r="AA175" s="130"/>
    </row>
    <row r="176" spans="1:44">
      <c r="A176" s="526"/>
      <c r="B176" s="604" t="s">
        <v>1159</v>
      </c>
      <c r="C176" s="610"/>
      <c r="D176" s="168" t="s">
        <v>46</v>
      </c>
      <c r="E176" s="525"/>
      <c r="F176" s="257"/>
      <c r="G176" s="859" t="s">
        <v>1120</v>
      </c>
      <c r="H176" s="859"/>
      <c r="I176" s="859"/>
      <c r="J176" s="859"/>
      <c r="K176" s="859"/>
      <c r="L176" s="859"/>
      <c r="M176" s="859"/>
      <c r="N176" s="859"/>
      <c r="O176" s="859"/>
      <c r="P176" s="859"/>
      <c r="Q176" s="859"/>
      <c r="R176" s="859"/>
      <c r="S176" s="859"/>
      <c r="T176" s="859"/>
      <c r="U176" s="859"/>
      <c r="V176" s="131" t="s">
        <v>46</v>
      </c>
      <c r="W176" s="69"/>
      <c r="X176" s="381"/>
      <c r="Y176" s="382"/>
      <c r="Z176" s="383"/>
      <c r="AA176" s="130"/>
    </row>
    <row r="177" spans="1:27" ht="13.8">
      <c r="A177" s="524"/>
      <c r="B177" s="604" t="s">
        <v>719</v>
      </c>
      <c r="C177" s="610"/>
      <c r="D177" s="168" t="s">
        <v>50</v>
      </c>
      <c r="E177" s="168" t="str">
        <f>IF(G177="","check",IF(MIN(G177:U177)&lt;Y177,"Attention," &amp;CHAR(10)&amp;"one of your parameters is below the usual range: "&amp;Y177&amp;D177,IF(MAX(G177:U177)&gt;Z177,"Attention," &amp;CHAR(10)&amp;" one of your parameters is above the usual range: "&amp;Z177&amp;D177,"check")))</f>
        <v>check</v>
      </c>
      <c r="F177" s="586" t="s">
        <v>1180</v>
      </c>
      <c r="G177" s="257">
        <v>0</v>
      </c>
      <c r="H177" s="257">
        <v>0</v>
      </c>
      <c r="I177" s="257">
        <v>0</v>
      </c>
      <c r="J177" s="257">
        <v>0</v>
      </c>
      <c r="K177" s="257">
        <v>0</v>
      </c>
      <c r="L177" s="257">
        <v>0</v>
      </c>
      <c r="M177" s="257">
        <v>0</v>
      </c>
      <c r="N177" s="257"/>
      <c r="O177" s="257"/>
      <c r="P177" s="257"/>
      <c r="Q177" s="257"/>
      <c r="R177" s="257"/>
      <c r="S177" s="257"/>
      <c r="T177" s="257"/>
      <c r="U177" s="257"/>
      <c r="V177" s="131" t="s">
        <v>50</v>
      </c>
      <c r="W177" s="5"/>
      <c r="X177" s="10"/>
      <c r="Y177" s="7">
        <v>0</v>
      </c>
      <c r="Z177" s="61">
        <v>2</v>
      </c>
    </row>
    <row r="178" spans="1:27" ht="13.8">
      <c r="A178" s="524"/>
      <c r="B178" s="604" t="s">
        <v>720</v>
      </c>
      <c r="C178" s="610"/>
      <c r="D178" s="168" t="s">
        <v>50</v>
      </c>
      <c r="E178" s="168" t="str">
        <f>IF(G178="","check",IF(MIN(G178:U178)&lt;Y178,"Attention," &amp;CHAR(10)&amp;"one of your parameters is below the usual range: "&amp;Y178&amp;D178,IF(MAX(G178:U178)&gt;Z178,"Attention," &amp;CHAR(10)&amp;" one of your parameters is above the usual range: "&amp;Z178&amp;D178,"check")))</f>
        <v>check</v>
      </c>
      <c r="F178" s="586" t="s">
        <v>1180</v>
      </c>
      <c r="G178" s="257">
        <v>0</v>
      </c>
      <c r="H178" s="257">
        <v>0</v>
      </c>
      <c r="I178" s="257">
        <v>0</v>
      </c>
      <c r="J178" s="257">
        <v>0</v>
      </c>
      <c r="K178" s="257">
        <v>0</v>
      </c>
      <c r="L178" s="257">
        <v>0</v>
      </c>
      <c r="M178" s="257">
        <v>0</v>
      </c>
      <c r="N178" s="257"/>
      <c r="O178" s="257"/>
      <c r="P178" s="257"/>
      <c r="Q178" s="257"/>
      <c r="R178" s="257"/>
      <c r="S178" s="257"/>
      <c r="T178" s="257"/>
      <c r="U178" s="257"/>
      <c r="V178" s="131" t="s">
        <v>50</v>
      </c>
      <c r="W178" s="5"/>
      <c r="X178" s="10"/>
      <c r="Y178" s="7">
        <v>0</v>
      </c>
      <c r="Z178" s="61">
        <v>2</v>
      </c>
    </row>
    <row r="179" spans="1:27" ht="13.8">
      <c r="A179" s="524"/>
      <c r="B179" s="604" t="s">
        <v>267</v>
      </c>
      <c r="C179" s="605"/>
      <c r="D179" s="165" t="s">
        <v>50</v>
      </c>
      <c r="E179" s="165"/>
      <c r="F179" s="79" t="s">
        <v>1186</v>
      </c>
      <c r="G179" s="79">
        <v>0</v>
      </c>
      <c r="H179" s="79">
        <v>0</v>
      </c>
      <c r="I179" s="79">
        <v>0</v>
      </c>
      <c r="J179" s="79">
        <v>0</v>
      </c>
      <c r="K179" s="79">
        <v>0</v>
      </c>
      <c r="L179" s="79">
        <v>0</v>
      </c>
      <c r="M179" s="79">
        <v>0</v>
      </c>
      <c r="N179" s="79"/>
      <c r="O179" s="79"/>
      <c r="P179" s="79"/>
      <c r="Q179" s="79"/>
      <c r="R179" s="79"/>
      <c r="S179" s="79"/>
      <c r="T179" s="79"/>
      <c r="U179" s="79"/>
      <c r="V179" s="405" t="s">
        <v>50</v>
      </c>
      <c r="W179" s="69"/>
      <c r="X179" s="381"/>
      <c r="Y179" s="382"/>
      <c r="Z179" s="383"/>
      <c r="AA179" s="130"/>
    </row>
    <row r="180" spans="1:27" ht="13.8">
      <c r="A180" s="524"/>
      <c r="B180" s="604" t="s">
        <v>268</v>
      </c>
      <c r="C180" s="605"/>
      <c r="D180" s="165" t="s">
        <v>50</v>
      </c>
      <c r="E180" s="165"/>
      <c r="F180" s="79" t="s">
        <v>1186</v>
      </c>
      <c r="G180" s="79">
        <v>0</v>
      </c>
      <c r="H180" s="79">
        <v>0</v>
      </c>
      <c r="I180" s="79">
        <v>0</v>
      </c>
      <c r="J180" s="79">
        <v>0</v>
      </c>
      <c r="K180" s="79">
        <v>0</v>
      </c>
      <c r="L180" s="79">
        <v>0</v>
      </c>
      <c r="M180" s="79">
        <v>0</v>
      </c>
      <c r="N180" s="79"/>
      <c r="O180" s="79"/>
      <c r="P180" s="79"/>
      <c r="Q180" s="79"/>
      <c r="R180" s="79"/>
      <c r="S180" s="79"/>
      <c r="T180" s="79"/>
      <c r="U180" s="79"/>
      <c r="V180" s="405" t="s">
        <v>50</v>
      </c>
      <c r="W180" s="69"/>
      <c r="X180" s="381"/>
      <c r="Y180" s="382"/>
      <c r="Z180" s="383"/>
      <c r="AA180" s="130"/>
    </row>
    <row r="181" spans="1:27" ht="82.8">
      <c r="A181" s="524"/>
      <c r="B181" s="604" t="s">
        <v>242</v>
      </c>
      <c r="C181" s="605"/>
      <c r="D181" s="165" t="s">
        <v>41</v>
      </c>
      <c r="E181" s="427" t="str">
        <f>IF(G181="","check",IF(MIN(G181:U181)&lt;Y181,"Attention," &amp;CHAR(10)&amp;"one of your parameters is below the usual range: "&amp;Y181&amp;D181,IF(MAX(G181:U181)&gt;Z181,"Attention," &amp;CHAR(10)&amp;" one of your parameters is above the usual range: "&amp;Z181&amp;D181,"check")))</f>
        <v>Attention,
one of your parameters is below the usual range: 0.1[cm³]</v>
      </c>
      <c r="F181" s="586" t="s">
        <v>1180</v>
      </c>
      <c r="G181" s="557">
        <v>0</v>
      </c>
      <c r="H181" s="79">
        <v>0</v>
      </c>
      <c r="I181" s="79">
        <v>0</v>
      </c>
      <c r="J181" s="79">
        <v>0</v>
      </c>
      <c r="K181" s="79">
        <v>0</v>
      </c>
      <c r="L181" s="79">
        <v>0</v>
      </c>
      <c r="M181" s="79">
        <v>0</v>
      </c>
      <c r="N181" s="79"/>
      <c r="O181" s="79"/>
      <c r="P181" s="79"/>
      <c r="Q181" s="79"/>
      <c r="R181" s="79"/>
      <c r="S181" s="79"/>
      <c r="T181" s="79"/>
      <c r="U181" s="79"/>
      <c r="V181" s="405" t="s">
        <v>41</v>
      </c>
      <c r="W181" s="69"/>
      <c r="X181" s="381"/>
      <c r="Y181" s="382">
        <v>0.1</v>
      </c>
      <c r="Z181" s="383">
        <v>1.85</v>
      </c>
      <c r="AA181" s="130"/>
    </row>
    <row r="182" spans="1:27" ht="82.8">
      <c r="A182" s="321"/>
      <c r="B182" s="604" t="s">
        <v>243</v>
      </c>
      <c r="C182" s="605"/>
      <c r="D182" s="537" t="s">
        <v>41</v>
      </c>
      <c r="E182" s="542" t="str">
        <f>IF(G182="","check",IF(MIN(G182:U182)&lt;Y182,"Attention," &amp;CHAR(10)&amp;"one of your parameters is below the usual range: "&amp;Y182&amp;D182,IF(MAX(G182:U182)&gt;Z182,"Attention," &amp;CHAR(10)&amp;" one of your parameters is above the usual range: "&amp;Z182&amp;D182,"check")))</f>
        <v>Attention,
one of your parameters is below the usual range: 0.1[cm³]</v>
      </c>
      <c r="F182" s="586" t="s">
        <v>1180</v>
      </c>
      <c r="G182" s="260">
        <v>0</v>
      </c>
      <c r="H182" s="260">
        <v>0</v>
      </c>
      <c r="I182" s="260">
        <v>0</v>
      </c>
      <c r="J182" s="260">
        <v>0</v>
      </c>
      <c r="K182" s="260">
        <v>0</v>
      </c>
      <c r="L182" s="260">
        <v>0</v>
      </c>
      <c r="M182" s="260">
        <v>0</v>
      </c>
      <c r="N182" s="260"/>
      <c r="O182" s="260"/>
      <c r="P182" s="260"/>
      <c r="Q182" s="260"/>
      <c r="R182" s="260"/>
      <c r="S182" s="260"/>
      <c r="T182" s="260"/>
      <c r="U182" s="260"/>
      <c r="V182" s="405" t="s">
        <v>41</v>
      </c>
      <c r="W182" s="69"/>
      <c r="X182" s="381"/>
      <c r="Y182" s="382">
        <v>0.1</v>
      </c>
      <c r="Z182" s="383">
        <v>0.9</v>
      </c>
      <c r="AA182" s="130"/>
    </row>
    <row r="183" spans="1:27" ht="13.8">
      <c r="A183" s="527"/>
      <c r="B183" s="599" t="s">
        <v>1122</v>
      </c>
      <c r="C183" s="600"/>
      <c r="D183" s="543"/>
      <c r="E183" s="544"/>
      <c r="F183" s="538"/>
      <c r="G183" s="860" t="s">
        <v>893</v>
      </c>
      <c r="H183" s="861"/>
      <c r="I183" s="861"/>
      <c r="J183" s="861"/>
      <c r="K183" s="861"/>
      <c r="L183" s="861"/>
      <c r="M183" s="861"/>
      <c r="N183" s="861"/>
      <c r="O183" s="861"/>
      <c r="P183" s="861"/>
      <c r="Q183" s="861"/>
      <c r="R183" s="861"/>
      <c r="S183" s="861"/>
      <c r="T183" s="861"/>
      <c r="U183" s="861"/>
      <c r="V183" s="405"/>
      <c r="W183" s="69"/>
      <c r="X183" s="381"/>
      <c r="Y183" s="382"/>
      <c r="Z183" s="383"/>
      <c r="AA183" s="130"/>
    </row>
    <row r="184" spans="1:27" ht="13.8">
      <c r="A184" s="527"/>
      <c r="B184" s="599"/>
      <c r="C184" s="600"/>
      <c r="D184" s="543"/>
      <c r="E184" s="544"/>
      <c r="F184" s="539" t="s">
        <v>395</v>
      </c>
      <c r="G184" s="862">
        <v>40</v>
      </c>
      <c r="H184" s="863"/>
      <c r="I184" s="863"/>
      <c r="J184" s="863"/>
      <c r="K184" s="863"/>
      <c r="L184" s="863"/>
      <c r="M184" s="863"/>
      <c r="N184" s="863"/>
      <c r="O184" s="863"/>
      <c r="P184" s="863"/>
      <c r="Q184" s="863"/>
      <c r="R184" s="863"/>
      <c r="S184" s="863"/>
      <c r="T184" s="863"/>
      <c r="U184" s="863"/>
      <c r="V184" s="405" t="s">
        <v>1145</v>
      </c>
      <c r="W184" s="69"/>
      <c r="X184" s="381"/>
      <c r="Y184" s="382"/>
      <c r="Z184" s="383"/>
      <c r="AA184" s="130"/>
    </row>
    <row r="185" spans="1:27" ht="13.8">
      <c r="A185" s="527"/>
      <c r="B185" s="599"/>
      <c r="C185" s="600"/>
      <c r="D185" s="543"/>
      <c r="E185" s="544"/>
      <c r="F185" s="539" t="s">
        <v>396</v>
      </c>
      <c r="G185" s="862">
        <v>50</v>
      </c>
      <c r="H185" s="864"/>
      <c r="I185" s="864"/>
      <c r="J185" s="864"/>
      <c r="K185" s="864"/>
      <c r="L185" s="864"/>
      <c r="M185" s="864"/>
      <c r="N185" s="864"/>
      <c r="O185" s="864"/>
      <c r="P185" s="864"/>
      <c r="Q185" s="864"/>
      <c r="R185" s="864"/>
      <c r="S185" s="864"/>
      <c r="T185" s="864"/>
      <c r="U185" s="864"/>
      <c r="V185" s="405" t="s">
        <v>1145</v>
      </c>
      <c r="W185" s="69"/>
      <c r="X185" s="381"/>
      <c r="Y185" s="382"/>
      <c r="Z185" s="383"/>
      <c r="AA185" s="130"/>
    </row>
    <row r="186" spans="1:27" ht="13.8">
      <c r="A186" s="527"/>
      <c r="B186" s="599"/>
      <c r="C186" s="600"/>
      <c r="D186" s="543"/>
      <c r="E186" s="544"/>
      <c r="F186" s="539" t="s">
        <v>397</v>
      </c>
      <c r="G186" s="865"/>
      <c r="H186" s="866"/>
      <c r="I186" s="866"/>
      <c r="J186" s="866"/>
      <c r="K186" s="866"/>
      <c r="L186" s="866"/>
      <c r="M186" s="866"/>
      <c r="N186" s="866"/>
      <c r="O186" s="866"/>
      <c r="P186" s="866"/>
      <c r="Q186" s="866"/>
      <c r="R186" s="866"/>
      <c r="S186" s="866"/>
      <c r="T186" s="866"/>
      <c r="U186" s="866"/>
      <c r="V186" s="405" t="s">
        <v>1145</v>
      </c>
      <c r="W186" s="69"/>
      <c r="X186" s="381"/>
      <c r="Y186" s="382"/>
      <c r="Z186" s="383"/>
      <c r="AA186" s="130"/>
    </row>
    <row r="187" spans="1:27" ht="13.8">
      <c r="A187" s="527"/>
      <c r="B187" s="599"/>
      <c r="C187" s="600"/>
      <c r="D187" s="543"/>
      <c r="E187" s="544"/>
      <c r="F187" s="539" t="s">
        <v>398</v>
      </c>
      <c r="G187" s="865"/>
      <c r="H187" s="866"/>
      <c r="I187" s="866"/>
      <c r="J187" s="866"/>
      <c r="K187" s="866"/>
      <c r="L187" s="866"/>
      <c r="M187" s="866"/>
      <c r="N187" s="866"/>
      <c r="O187" s="866"/>
      <c r="P187" s="866"/>
      <c r="Q187" s="866"/>
      <c r="R187" s="866"/>
      <c r="S187" s="866"/>
      <c r="T187" s="866"/>
      <c r="U187" s="866"/>
      <c r="V187" s="405" t="s">
        <v>1145</v>
      </c>
      <c r="W187" s="69"/>
      <c r="X187" s="381"/>
      <c r="Y187" s="382"/>
      <c r="Z187" s="383"/>
      <c r="AA187" s="130"/>
    </row>
    <row r="188" spans="1:27" ht="13.8">
      <c r="A188" s="527"/>
      <c r="B188" s="599"/>
      <c r="C188" s="600"/>
      <c r="D188" s="543"/>
      <c r="E188" s="544"/>
      <c r="F188" s="539" t="s">
        <v>399</v>
      </c>
      <c r="G188" s="865"/>
      <c r="H188" s="866"/>
      <c r="I188" s="866"/>
      <c r="J188" s="866"/>
      <c r="K188" s="866"/>
      <c r="L188" s="866"/>
      <c r="M188" s="866"/>
      <c r="N188" s="866"/>
      <c r="O188" s="866"/>
      <c r="P188" s="866"/>
      <c r="Q188" s="866"/>
      <c r="R188" s="866"/>
      <c r="S188" s="866"/>
      <c r="T188" s="866"/>
      <c r="U188" s="866"/>
      <c r="V188" s="405" t="s">
        <v>1145</v>
      </c>
      <c r="W188" s="69"/>
      <c r="X188" s="381"/>
      <c r="Y188" s="382"/>
      <c r="Z188" s="383"/>
      <c r="AA188" s="130"/>
    </row>
    <row r="189" spans="1:27" ht="13.8">
      <c r="A189" s="527"/>
      <c r="B189" s="599"/>
      <c r="C189" s="600"/>
      <c r="D189" s="543"/>
      <c r="E189" s="544"/>
      <c r="F189" s="540"/>
      <c r="G189" s="860" t="s">
        <v>1156</v>
      </c>
      <c r="H189" s="861"/>
      <c r="I189" s="861"/>
      <c r="J189" s="861"/>
      <c r="K189" s="861"/>
      <c r="L189" s="861"/>
      <c r="M189" s="861"/>
      <c r="N189" s="861"/>
      <c r="O189" s="861"/>
      <c r="P189" s="861"/>
      <c r="Q189" s="861"/>
      <c r="R189" s="861"/>
      <c r="S189" s="861"/>
      <c r="T189" s="861"/>
      <c r="U189" s="861"/>
      <c r="V189" s="405"/>
      <c r="W189" s="69"/>
      <c r="X189" s="381"/>
      <c r="Y189" s="382"/>
      <c r="Z189" s="383"/>
      <c r="AA189" s="130"/>
    </row>
    <row r="190" spans="1:27" ht="13.8">
      <c r="A190" s="527"/>
      <c r="B190" s="599"/>
      <c r="C190" s="600"/>
      <c r="D190" s="543"/>
      <c r="E190" s="544"/>
      <c r="F190" s="539" t="s">
        <v>395</v>
      </c>
      <c r="G190" s="867">
        <v>0.3</v>
      </c>
      <c r="H190" s="863"/>
      <c r="I190" s="863"/>
      <c r="J190" s="863"/>
      <c r="K190" s="863"/>
      <c r="L190" s="863"/>
      <c r="M190" s="863"/>
      <c r="N190" s="863"/>
      <c r="O190" s="863"/>
      <c r="P190" s="863"/>
      <c r="Q190" s="863"/>
      <c r="R190" s="863"/>
      <c r="S190" s="863"/>
      <c r="T190" s="863"/>
      <c r="U190" s="863"/>
      <c r="V190" s="405" t="s">
        <v>46</v>
      </c>
      <c r="W190" s="69"/>
      <c r="X190" s="381"/>
      <c r="Y190" s="382"/>
      <c r="Z190" s="383"/>
      <c r="AA190" s="130"/>
    </row>
    <row r="191" spans="1:27" ht="13.8">
      <c r="A191" s="527"/>
      <c r="B191" s="599"/>
      <c r="C191" s="600"/>
      <c r="D191" s="543"/>
      <c r="E191" s="544"/>
      <c r="F191" s="539" t="s">
        <v>396</v>
      </c>
      <c r="G191" s="867">
        <v>0.4</v>
      </c>
      <c r="H191" s="863"/>
      <c r="I191" s="863"/>
      <c r="J191" s="863"/>
      <c r="K191" s="863"/>
      <c r="L191" s="863"/>
      <c r="M191" s="863"/>
      <c r="N191" s="863"/>
      <c r="O191" s="863"/>
      <c r="P191" s="863"/>
      <c r="Q191" s="863"/>
      <c r="R191" s="863"/>
      <c r="S191" s="863"/>
      <c r="T191" s="863"/>
      <c r="U191" s="863"/>
      <c r="V191" s="405" t="s">
        <v>46</v>
      </c>
      <c r="W191" s="69"/>
      <c r="X191" s="381"/>
      <c r="Y191" s="382"/>
      <c r="Z191" s="383"/>
      <c r="AA191" s="130"/>
    </row>
    <row r="192" spans="1:27" ht="13.8">
      <c r="A192" s="527"/>
      <c r="B192" s="599"/>
      <c r="C192" s="600"/>
      <c r="D192" s="543"/>
      <c r="E192" s="544"/>
      <c r="F192" s="539" t="s">
        <v>397</v>
      </c>
      <c r="G192" s="867"/>
      <c r="H192" s="863"/>
      <c r="I192" s="863"/>
      <c r="J192" s="863"/>
      <c r="K192" s="863"/>
      <c r="L192" s="863"/>
      <c r="M192" s="863"/>
      <c r="N192" s="863"/>
      <c r="O192" s="863"/>
      <c r="P192" s="863"/>
      <c r="Q192" s="863"/>
      <c r="R192" s="863"/>
      <c r="S192" s="863"/>
      <c r="T192" s="863"/>
      <c r="U192" s="863"/>
      <c r="V192" s="405" t="s">
        <v>46</v>
      </c>
      <c r="W192" s="69"/>
      <c r="X192" s="381"/>
      <c r="Y192" s="382"/>
      <c r="Z192" s="383"/>
      <c r="AA192" s="130"/>
    </row>
    <row r="193" spans="1:27" ht="13.8">
      <c r="A193" s="527"/>
      <c r="B193" s="599"/>
      <c r="C193" s="600"/>
      <c r="D193" s="543"/>
      <c r="E193" s="544"/>
      <c r="F193" s="539" t="s">
        <v>398</v>
      </c>
      <c r="G193" s="868"/>
      <c r="H193" s="864"/>
      <c r="I193" s="864"/>
      <c r="J193" s="864"/>
      <c r="K193" s="864"/>
      <c r="L193" s="864"/>
      <c r="M193" s="864"/>
      <c r="N193" s="864"/>
      <c r="O193" s="864"/>
      <c r="P193" s="864"/>
      <c r="Q193" s="864"/>
      <c r="R193" s="864"/>
      <c r="S193" s="864"/>
      <c r="T193" s="864"/>
      <c r="U193" s="864"/>
      <c r="V193" s="405" t="s">
        <v>46</v>
      </c>
      <c r="W193" s="69"/>
      <c r="X193" s="381"/>
      <c r="Y193" s="382"/>
      <c r="Z193" s="383"/>
      <c r="AA193" s="130"/>
    </row>
    <row r="194" spans="1:27" ht="13.8">
      <c r="A194" s="527"/>
      <c r="B194" s="599"/>
      <c r="C194" s="600"/>
      <c r="D194" s="535"/>
      <c r="E194" s="536"/>
      <c r="F194" s="541" t="s">
        <v>399</v>
      </c>
      <c r="G194" s="868"/>
      <c r="H194" s="864"/>
      <c r="I194" s="864"/>
      <c r="J194" s="864"/>
      <c r="K194" s="864"/>
      <c r="L194" s="864"/>
      <c r="M194" s="864"/>
      <c r="N194" s="864"/>
      <c r="O194" s="864"/>
      <c r="P194" s="864"/>
      <c r="Q194" s="864"/>
      <c r="R194" s="864"/>
      <c r="S194" s="864"/>
      <c r="T194" s="864"/>
      <c r="U194" s="864"/>
      <c r="V194" s="405" t="s">
        <v>46</v>
      </c>
      <c r="W194" s="69"/>
      <c r="X194" s="381"/>
      <c r="Y194" s="382"/>
      <c r="Z194" s="383"/>
      <c r="AA194" s="130"/>
    </row>
    <row r="195" spans="1:27" ht="13.8">
      <c r="A195" s="527"/>
      <c r="B195" s="599" t="s">
        <v>1121</v>
      </c>
      <c r="C195" s="600"/>
      <c r="D195" s="534"/>
      <c r="E195" s="545"/>
      <c r="F195" s="538"/>
      <c r="G195" s="860" t="s">
        <v>893</v>
      </c>
      <c r="H195" s="861"/>
      <c r="I195" s="861"/>
      <c r="J195" s="861"/>
      <c r="K195" s="861"/>
      <c r="L195" s="861"/>
      <c r="M195" s="861"/>
      <c r="N195" s="861"/>
      <c r="O195" s="861"/>
      <c r="P195" s="861"/>
      <c r="Q195" s="861"/>
      <c r="R195" s="861"/>
      <c r="S195" s="861"/>
      <c r="T195" s="861"/>
      <c r="U195" s="861"/>
      <c r="V195" s="405"/>
      <c r="W195" s="69"/>
      <c r="X195" s="381"/>
      <c r="Y195" s="382"/>
      <c r="Z195" s="383"/>
      <c r="AA195" s="130"/>
    </row>
    <row r="196" spans="1:27" ht="13.8">
      <c r="A196" s="527"/>
      <c r="B196" s="599"/>
      <c r="C196" s="600"/>
      <c r="D196" s="543"/>
      <c r="E196" s="544"/>
      <c r="F196" s="539" t="s">
        <v>395</v>
      </c>
      <c r="G196" s="862"/>
      <c r="H196" s="863"/>
      <c r="I196" s="863"/>
      <c r="J196" s="864"/>
      <c r="K196" s="864"/>
      <c r="L196" s="864"/>
      <c r="M196" s="864"/>
      <c r="N196" s="864"/>
      <c r="O196" s="864"/>
      <c r="P196" s="864"/>
      <c r="Q196" s="864"/>
      <c r="R196" s="864"/>
      <c r="S196" s="864"/>
      <c r="T196" s="864"/>
      <c r="U196" s="864"/>
      <c r="V196" s="405" t="s">
        <v>1145</v>
      </c>
      <c r="W196" s="69"/>
      <c r="X196" s="381"/>
      <c r="Y196" s="382"/>
      <c r="Z196" s="383"/>
      <c r="AA196" s="130"/>
    </row>
    <row r="197" spans="1:27" ht="13.8">
      <c r="A197" s="527"/>
      <c r="B197" s="599"/>
      <c r="C197" s="600"/>
      <c r="D197" s="543"/>
      <c r="E197" s="544"/>
      <c r="F197" s="539" t="s">
        <v>396</v>
      </c>
      <c r="G197" s="862"/>
      <c r="H197" s="863"/>
      <c r="I197" s="863"/>
      <c r="J197" s="864"/>
      <c r="K197" s="864"/>
      <c r="L197" s="864"/>
      <c r="M197" s="864"/>
      <c r="N197" s="864"/>
      <c r="O197" s="864"/>
      <c r="P197" s="864"/>
      <c r="Q197" s="864"/>
      <c r="R197" s="864"/>
      <c r="S197" s="864"/>
      <c r="T197" s="864"/>
      <c r="U197" s="864"/>
      <c r="V197" s="405" t="s">
        <v>1145</v>
      </c>
      <c r="W197" s="69"/>
      <c r="X197" s="381"/>
      <c r="Y197" s="382"/>
      <c r="Z197" s="383"/>
      <c r="AA197" s="130"/>
    </row>
    <row r="198" spans="1:27" ht="13.8">
      <c r="A198" s="527"/>
      <c r="B198" s="599"/>
      <c r="C198" s="600"/>
      <c r="D198" s="543"/>
      <c r="E198" s="544"/>
      <c r="F198" s="539" t="s">
        <v>397</v>
      </c>
      <c r="G198" s="862"/>
      <c r="H198" s="863"/>
      <c r="I198" s="863"/>
      <c r="J198" s="864"/>
      <c r="K198" s="864"/>
      <c r="L198" s="864"/>
      <c r="M198" s="864"/>
      <c r="N198" s="864"/>
      <c r="O198" s="864"/>
      <c r="P198" s="864"/>
      <c r="Q198" s="864"/>
      <c r="R198" s="864"/>
      <c r="S198" s="864"/>
      <c r="T198" s="864"/>
      <c r="U198" s="864"/>
      <c r="V198" s="405" t="s">
        <v>1145</v>
      </c>
      <c r="W198" s="69"/>
      <c r="X198" s="381"/>
      <c r="Y198" s="382"/>
      <c r="Z198" s="383"/>
      <c r="AA198" s="130"/>
    </row>
    <row r="199" spans="1:27" ht="13.8">
      <c r="A199" s="527"/>
      <c r="B199" s="599"/>
      <c r="C199" s="600"/>
      <c r="D199" s="543"/>
      <c r="E199" s="544"/>
      <c r="F199" s="539" t="s">
        <v>398</v>
      </c>
      <c r="G199" s="862"/>
      <c r="H199" s="864"/>
      <c r="I199" s="864"/>
      <c r="J199" s="864"/>
      <c r="K199" s="864"/>
      <c r="L199" s="864"/>
      <c r="M199" s="864"/>
      <c r="N199" s="864"/>
      <c r="O199" s="864"/>
      <c r="P199" s="864"/>
      <c r="Q199" s="864"/>
      <c r="R199" s="864"/>
      <c r="S199" s="864"/>
      <c r="T199" s="864"/>
      <c r="U199" s="864"/>
      <c r="V199" s="405" t="s">
        <v>1145</v>
      </c>
      <c r="W199" s="69"/>
      <c r="X199" s="381"/>
      <c r="Y199" s="382"/>
      <c r="Z199" s="383"/>
      <c r="AA199" s="130"/>
    </row>
    <row r="200" spans="1:27" ht="13.8">
      <c r="A200" s="527"/>
      <c r="B200" s="599"/>
      <c r="C200" s="600"/>
      <c r="D200" s="543"/>
      <c r="E200" s="544"/>
      <c r="F200" s="539" t="s">
        <v>399</v>
      </c>
      <c r="G200" s="865"/>
      <c r="H200" s="866"/>
      <c r="I200" s="866"/>
      <c r="J200" s="864"/>
      <c r="K200" s="864"/>
      <c r="L200" s="864"/>
      <c r="M200" s="864"/>
      <c r="N200" s="864"/>
      <c r="O200" s="864"/>
      <c r="P200" s="864"/>
      <c r="Q200" s="864"/>
      <c r="R200" s="864"/>
      <c r="S200" s="864"/>
      <c r="T200" s="864"/>
      <c r="U200" s="864"/>
      <c r="V200" s="405" t="s">
        <v>1145</v>
      </c>
      <c r="W200" s="69"/>
      <c r="X200" s="381"/>
      <c r="Y200" s="382"/>
      <c r="Z200" s="383"/>
      <c r="AA200" s="130"/>
    </row>
    <row r="201" spans="1:27" ht="13.8">
      <c r="A201" s="527"/>
      <c r="B201" s="599"/>
      <c r="C201" s="600"/>
      <c r="D201" s="543"/>
      <c r="E201" s="544"/>
      <c r="F201" s="540"/>
      <c r="G201" s="860" t="s">
        <v>1156</v>
      </c>
      <c r="H201" s="861"/>
      <c r="I201" s="861"/>
      <c r="J201" s="861"/>
      <c r="K201" s="861"/>
      <c r="L201" s="861"/>
      <c r="M201" s="861"/>
      <c r="N201" s="861"/>
      <c r="O201" s="861"/>
      <c r="P201" s="861"/>
      <c r="Q201" s="861"/>
      <c r="R201" s="861"/>
      <c r="S201" s="861"/>
      <c r="T201" s="861"/>
      <c r="U201" s="861"/>
      <c r="V201" s="405"/>
      <c r="W201" s="69"/>
      <c r="X201" s="381"/>
      <c r="Y201" s="382"/>
      <c r="Z201" s="383"/>
      <c r="AA201" s="130"/>
    </row>
    <row r="202" spans="1:27" ht="13.8">
      <c r="A202" s="527"/>
      <c r="B202" s="599"/>
      <c r="C202" s="600"/>
      <c r="D202" s="543"/>
      <c r="E202" s="544"/>
      <c r="F202" s="539" t="s">
        <v>395</v>
      </c>
      <c r="G202" s="867"/>
      <c r="H202" s="863"/>
      <c r="I202" s="863"/>
      <c r="J202" s="864"/>
      <c r="K202" s="864"/>
      <c r="L202" s="864"/>
      <c r="M202" s="864"/>
      <c r="N202" s="864"/>
      <c r="O202" s="864"/>
      <c r="P202" s="864"/>
      <c r="Q202" s="864"/>
      <c r="R202" s="864"/>
      <c r="S202" s="864"/>
      <c r="T202" s="864"/>
      <c r="U202" s="864"/>
      <c r="V202" s="405" t="s">
        <v>46</v>
      </c>
      <c r="W202" s="69"/>
      <c r="X202" s="381"/>
      <c r="Y202" s="382"/>
      <c r="Z202" s="383"/>
      <c r="AA202" s="130"/>
    </row>
    <row r="203" spans="1:27" ht="13.8">
      <c r="A203" s="527"/>
      <c r="B203" s="599"/>
      <c r="C203" s="600"/>
      <c r="D203" s="543"/>
      <c r="E203" s="544"/>
      <c r="F203" s="539" t="s">
        <v>396</v>
      </c>
      <c r="G203" s="867"/>
      <c r="H203" s="863"/>
      <c r="I203" s="863"/>
      <c r="J203" s="864"/>
      <c r="K203" s="864"/>
      <c r="L203" s="864"/>
      <c r="M203" s="864"/>
      <c r="N203" s="864"/>
      <c r="O203" s="864"/>
      <c r="P203" s="864"/>
      <c r="Q203" s="864"/>
      <c r="R203" s="864"/>
      <c r="S203" s="864"/>
      <c r="T203" s="864"/>
      <c r="U203" s="864"/>
      <c r="V203" s="405" t="s">
        <v>46</v>
      </c>
      <c r="W203" s="69"/>
      <c r="X203" s="381"/>
      <c r="Y203" s="382"/>
      <c r="Z203" s="383"/>
      <c r="AA203" s="130"/>
    </row>
    <row r="204" spans="1:27" ht="13.8">
      <c r="A204" s="527"/>
      <c r="B204" s="599"/>
      <c r="C204" s="600"/>
      <c r="D204" s="543"/>
      <c r="E204" s="544"/>
      <c r="F204" s="539" t="s">
        <v>397</v>
      </c>
      <c r="G204" s="867"/>
      <c r="H204" s="863"/>
      <c r="I204" s="863"/>
      <c r="J204" s="864"/>
      <c r="K204" s="864"/>
      <c r="L204" s="864"/>
      <c r="M204" s="864"/>
      <c r="N204" s="864"/>
      <c r="O204" s="864"/>
      <c r="P204" s="864"/>
      <c r="Q204" s="864"/>
      <c r="R204" s="864"/>
      <c r="S204" s="864"/>
      <c r="T204" s="864"/>
      <c r="U204" s="864"/>
      <c r="V204" s="405" t="s">
        <v>46</v>
      </c>
      <c r="W204" s="69"/>
      <c r="X204" s="381"/>
      <c r="Y204" s="382"/>
      <c r="Z204" s="383"/>
      <c r="AA204" s="130"/>
    </row>
    <row r="205" spans="1:27" ht="13.8">
      <c r="A205" s="527"/>
      <c r="B205" s="599"/>
      <c r="C205" s="600"/>
      <c r="D205" s="543"/>
      <c r="E205" s="544"/>
      <c r="F205" s="539" t="s">
        <v>398</v>
      </c>
      <c r="G205" s="868"/>
      <c r="H205" s="864"/>
      <c r="I205" s="864"/>
      <c r="J205" s="864"/>
      <c r="K205" s="864"/>
      <c r="L205" s="864"/>
      <c r="M205" s="864"/>
      <c r="N205" s="864"/>
      <c r="O205" s="864"/>
      <c r="P205" s="864"/>
      <c r="Q205" s="864"/>
      <c r="R205" s="864"/>
      <c r="S205" s="864"/>
      <c r="T205" s="864"/>
      <c r="U205" s="864"/>
      <c r="V205" s="405" t="s">
        <v>46</v>
      </c>
      <c r="W205" s="69"/>
      <c r="X205" s="381"/>
      <c r="Y205" s="382"/>
      <c r="Z205" s="383"/>
      <c r="AA205" s="130"/>
    </row>
    <row r="206" spans="1:27" ht="13.8">
      <c r="A206" s="527"/>
      <c r="B206" s="599"/>
      <c r="C206" s="600"/>
      <c r="D206" s="535"/>
      <c r="E206" s="536"/>
      <c r="F206" s="541" t="s">
        <v>399</v>
      </c>
      <c r="G206" s="868"/>
      <c r="H206" s="864"/>
      <c r="I206" s="864"/>
      <c r="J206" s="864"/>
      <c r="K206" s="864"/>
      <c r="L206" s="864"/>
      <c r="M206" s="864"/>
      <c r="N206" s="864"/>
      <c r="O206" s="864"/>
      <c r="P206" s="864"/>
      <c r="Q206" s="864"/>
      <c r="R206" s="864"/>
      <c r="S206" s="864"/>
      <c r="T206" s="864"/>
      <c r="U206" s="864"/>
      <c r="V206" s="405" t="s">
        <v>46</v>
      </c>
      <c r="W206" s="69"/>
      <c r="X206" s="381"/>
      <c r="Y206" s="382"/>
      <c r="Z206" s="383"/>
      <c r="AA206" s="130"/>
    </row>
    <row r="207" spans="1:27" ht="13.8">
      <c r="A207" s="527"/>
      <c r="B207" s="604" t="s">
        <v>1125</v>
      </c>
      <c r="C207" s="610"/>
      <c r="D207" s="164" t="s">
        <v>46</v>
      </c>
      <c r="E207" s="429"/>
      <c r="F207" s="78"/>
      <c r="G207" s="864"/>
      <c r="H207" s="864"/>
      <c r="I207" s="864"/>
      <c r="J207" s="864"/>
      <c r="K207" s="864"/>
      <c r="L207" s="864"/>
      <c r="M207" s="864"/>
      <c r="N207" s="864"/>
      <c r="O207" s="864"/>
      <c r="P207" s="864"/>
      <c r="Q207" s="864"/>
      <c r="R207" s="864"/>
      <c r="S207" s="864"/>
      <c r="T207" s="864"/>
      <c r="U207" s="864"/>
      <c r="V207" s="405"/>
      <c r="W207" s="69"/>
      <c r="X207" s="381"/>
      <c r="Y207" s="382"/>
      <c r="Z207" s="383"/>
      <c r="AA207" s="130"/>
    </row>
    <row r="208" spans="1:27" ht="13.8">
      <c r="A208" s="527"/>
      <c r="B208" s="604" t="s">
        <v>1160</v>
      </c>
      <c r="C208" s="610"/>
      <c r="D208" s="165" t="s">
        <v>46</v>
      </c>
      <c r="E208" s="427"/>
      <c r="F208" s="79"/>
      <c r="G208" s="864"/>
      <c r="H208" s="864"/>
      <c r="I208" s="864"/>
      <c r="J208" s="864"/>
      <c r="K208" s="864"/>
      <c r="L208" s="864"/>
      <c r="M208" s="864"/>
      <c r="N208" s="864"/>
      <c r="O208" s="864"/>
      <c r="P208" s="864"/>
      <c r="Q208" s="864"/>
      <c r="R208" s="864"/>
      <c r="S208" s="864"/>
      <c r="T208" s="864"/>
      <c r="U208" s="864"/>
      <c r="V208" s="405"/>
      <c r="W208" s="69"/>
      <c r="X208" s="381"/>
      <c r="Y208" s="382"/>
      <c r="Z208" s="383"/>
      <c r="AA208" s="130"/>
    </row>
    <row r="209" spans="1:27" ht="13.8">
      <c r="A209" s="527"/>
      <c r="B209" s="604" t="s">
        <v>1123</v>
      </c>
      <c r="C209" s="610"/>
      <c r="D209" s="165" t="s">
        <v>46</v>
      </c>
      <c r="E209" s="427"/>
      <c r="F209" s="79"/>
      <c r="G209" s="864"/>
      <c r="H209" s="864"/>
      <c r="I209" s="864"/>
      <c r="J209" s="864"/>
      <c r="K209" s="864"/>
      <c r="L209" s="864"/>
      <c r="M209" s="864"/>
      <c r="N209" s="864"/>
      <c r="O209" s="864"/>
      <c r="P209" s="864"/>
      <c r="Q209" s="864"/>
      <c r="R209" s="864"/>
      <c r="S209" s="864"/>
      <c r="T209" s="864"/>
      <c r="U209" s="864"/>
      <c r="V209" s="405"/>
      <c r="W209" s="69"/>
      <c r="X209" s="381"/>
      <c r="Y209" s="382"/>
      <c r="Z209" s="383"/>
      <c r="AA209" s="130"/>
    </row>
    <row r="210" spans="1:27" ht="13.8">
      <c r="A210" s="527"/>
      <c r="B210" s="604" t="s">
        <v>1124</v>
      </c>
      <c r="C210" s="610"/>
      <c r="D210" s="165" t="s">
        <v>46</v>
      </c>
      <c r="E210" s="427"/>
      <c r="F210" s="79"/>
      <c r="G210" s="864"/>
      <c r="H210" s="864"/>
      <c r="I210" s="864"/>
      <c r="J210" s="864"/>
      <c r="K210" s="864"/>
      <c r="L210" s="864"/>
      <c r="M210" s="864"/>
      <c r="N210" s="864"/>
      <c r="O210" s="864"/>
      <c r="P210" s="864"/>
      <c r="Q210" s="864"/>
      <c r="R210" s="864"/>
      <c r="S210" s="864"/>
      <c r="T210" s="864"/>
      <c r="U210" s="864"/>
      <c r="V210" s="405"/>
      <c r="W210" s="69"/>
      <c r="X210" s="381"/>
      <c r="Y210" s="382"/>
      <c r="Z210" s="383"/>
      <c r="AA210" s="130"/>
    </row>
    <row r="211" spans="1:27" ht="13.8">
      <c r="A211" s="527"/>
      <c r="B211" s="604" t="s">
        <v>1126</v>
      </c>
      <c r="C211" s="610"/>
      <c r="D211" s="165" t="s">
        <v>46</v>
      </c>
      <c r="E211" s="427"/>
      <c r="F211" s="79"/>
      <c r="G211" s="864"/>
      <c r="H211" s="864"/>
      <c r="I211" s="864"/>
      <c r="J211" s="864"/>
      <c r="K211" s="864"/>
      <c r="L211" s="864"/>
      <c r="M211" s="864"/>
      <c r="N211" s="864"/>
      <c r="O211" s="864"/>
      <c r="P211" s="864"/>
      <c r="Q211" s="864"/>
      <c r="R211" s="864"/>
      <c r="S211" s="864"/>
      <c r="T211" s="864"/>
      <c r="U211" s="864"/>
      <c r="V211" s="405"/>
      <c r="W211" s="69"/>
      <c r="X211" s="381"/>
      <c r="Y211" s="382"/>
      <c r="Z211" s="383"/>
      <c r="AA211" s="130"/>
    </row>
    <row r="212" spans="1:27" ht="13.8">
      <c r="A212" s="527"/>
      <c r="B212" s="604" t="s">
        <v>1127</v>
      </c>
      <c r="C212" s="610"/>
      <c r="D212" s="165" t="s">
        <v>46</v>
      </c>
      <c r="E212" s="427"/>
      <c r="F212" s="79"/>
      <c r="G212" s="864"/>
      <c r="H212" s="864"/>
      <c r="I212" s="864"/>
      <c r="J212" s="864"/>
      <c r="K212" s="864"/>
      <c r="L212" s="864"/>
      <c r="M212" s="864"/>
      <c r="N212" s="864"/>
      <c r="O212" s="864"/>
      <c r="P212" s="864"/>
      <c r="Q212" s="864"/>
      <c r="R212" s="864"/>
      <c r="S212" s="864"/>
      <c r="T212" s="864"/>
      <c r="U212" s="864"/>
      <c r="V212" s="405"/>
      <c r="W212" s="69"/>
      <c r="X212" s="381"/>
      <c r="Y212" s="382"/>
      <c r="Z212" s="383"/>
      <c r="AA212" s="130"/>
    </row>
    <row r="213" spans="1:27" ht="13.8">
      <c r="A213" s="527"/>
      <c r="B213" s="604" t="s">
        <v>1128</v>
      </c>
      <c r="C213" s="610"/>
      <c r="D213" s="165" t="s">
        <v>46</v>
      </c>
      <c r="E213" s="427" t="s">
        <v>1157</v>
      </c>
      <c r="F213" s="79"/>
      <c r="G213" s="864"/>
      <c r="H213" s="864"/>
      <c r="I213" s="864"/>
      <c r="J213" s="864"/>
      <c r="K213" s="864"/>
      <c r="L213" s="864"/>
      <c r="M213" s="864"/>
      <c r="N213" s="864"/>
      <c r="O213" s="864"/>
      <c r="P213" s="864"/>
      <c r="Q213" s="864"/>
      <c r="R213" s="864"/>
      <c r="S213" s="864"/>
      <c r="T213" s="864"/>
      <c r="U213" s="864"/>
      <c r="V213" s="405"/>
      <c r="W213" s="69"/>
      <c r="X213" s="381"/>
      <c r="Y213" s="382"/>
      <c r="Z213" s="383"/>
      <c r="AA213" s="130"/>
    </row>
    <row r="214" spans="1:27" ht="13.8">
      <c r="A214" s="527"/>
      <c r="B214" s="604" t="s">
        <v>1129</v>
      </c>
      <c r="C214" s="610"/>
      <c r="D214" s="165" t="s">
        <v>46</v>
      </c>
      <c r="E214" s="427" t="s">
        <v>1157</v>
      </c>
      <c r="F214" s="79"/>
      <c r="G214" s="864"/>
      <c r="H214" s="864"/>
      <c r="I214" s="864"/>
      <c r="J214" s="864"/>
      <c r="K214" s="864"/>
      <c r="L214" s="864"/>
      <c r="M214" s="864"/>
      <c r="N214" s="864"/>
      <c r="O214" s="864"/>
      <c r="P214" s="864"/>
      <c r="Q214" s="864"/>
      <c r="R214" s="864"/>
      <c r="S214" s="864"/>
      <c r="T214" s="864"/>
      <c r="U214" s="864"/>
      <c r="V214" s="405"/>
      <c r="W214" s="69"/>
      <c r="X214" s="381"/>
      <c r="Y214" s="382"/>
      <c r="Z214" s="383"/>
      <c r="AA214" s="130"/>
    </row>
    <row r="215" spans="1:27" ht="13.8">
      <c r="A215" s="527"/>
      <c r="B215" s="604" t="s">
        <v>1130</v>
      </c>
      <c r="C215" s="610"/>
      <c r="D215" s="165" t="s">
        <v>259</v>
      </c>
      <c r="E215" s="427" t="s">
        <v>1157</v>
      </c>
      <c r="F215" s="79"/>
      <c r="G215" s="864"/>
      <c r="H215" s="864"/>
      <c r="I215" s="864"/>
      <c r="J215" s="864"/>
      <c r="K215" s="864"/>
      <c r="L215" s="864"/>
      <c r="M215" s="864"/>
      <c r="N215" s="864"/>
      <c r="O215" s="864"/>
      <c r="P215" s="864"/>
      <c r="Q215" s="864"/>
      <c r="R215" s="864"/>
      <c r="S215" s="864"/>
      <c r="T215" s="864"/>
      <c r="U215" s="864"/>
      <c r="V215" s="405"/>
      <c r="W215" s="69"/>
      <c r="X215" s="381"/>
      <c r="Y215" s="382"/>
      <c r="Z215" s="383"/>
      <c r="AA215" s="130"/>
    </row>
    <row r="216" spans="1:27" ht="13.8">
      <c r="A216" s="527"/>
      <c r="B216" s="604" t="s">
        <v>1131</v>
      </c>
      <c r="C216" s="610"/>
      <c r="D216" s="165" t="s">
        <v>35</v>
      </c>
      <c r="E216" s="427" t="s">
        <v>1157</v>
      </c>
      <c r="F216" s="79"/>
      <c r="G216" s="864"/>
      <c r="H216" s="864"/>
      <c r="I216" s="864"/>
      <c r="J216" s="864"/>
      <c r="K216" s="864"/>
      <c r="L216" s="864"/>
      <c r="M216" s="864"/>
      <c r="N216" s="864"/>
      <c r="O216" s="864"/>
      <c r="P216" s="864"/>
      <c r="Q216" s="864"/>
      <c r="R216" s="864"/>
      <c r="S216" s="864"/>
      <c r="T216" s="864"/>
      <c r="U216" s="864"/>
      <c r="V216" s="405"/>
      <c r="W216" s="69"/>
      <c r="X216" s="381"/>
      <c r="Y216" s="382"/>
      <c r="Z216" s="383"/>
      <c r="AA216" s="130"/>
    </row>
    <row r="217" spans="1:27" ht="13.8">
      <c r="A217" s="527"/>
      <c r="B217" s="604" t="s">
        <v>1132</v>
      </c>
      <c r="C217" s="610"/>
      <c r="D217" s="165" t="s">
        <v>259</v>
      </c>
      <c r="E217" s="427" t="s">
        <v>1157</v>
      </c>
      <c r="F217" s="79"/>
      <c r="G217" s="864"/>
      <c r="H217" s="864"/>
      <c r="I217" s="864"/>
      <c r="J217" s="864"/>
      <c r="K217" s="864"/>
      <c r="L217" s="864"/>
      <c r="M217" s="864"/>
      <c r="N217" s="864"/>
      <c r="O217" s="864"/>
      <c r="P217" s="864"/>
      <c r="Q217" s="864"/>
      <c r="R217" s="864"/>
      <c r="S217" s="864"/>
      <c r="T217" s="864"/>
      <c r="U217" s="864"/>
      <c r="V217" s="405"/>
      <c r="W217" s="69"/>
      <c r="X217" s="381"/>
      <c r="Y217" s="382"/>
      <c r="Z217" s="383"/>
      <c r="AA217" s="130"/>
    </row>
    <row r="218" spans="1:27" ht="13.8">
      <c r="A218" s="527"/>
      <c r="B218" s="604" t="s">
        <v>1133</v>
      </c>
      <c r="C218" s="610"/>
      <c r="D218" s="165" t="s">
        <v>35</v>
      </c>
      <c r="E218" s="427" t="s">
        <v>1157</v>
      </c>
      <c r="F218" s="79"/>
      <c r="G218" s="864"/>
      <c r="H218" s="864"/>
      <c r="I218" s="864"/>
      <c r="J218" s="864"/>
      <c r="K218" s="864"/>
      <c r="L218" s="864"/>
      <c r="M218" s="864"/>
      <c r="N218" s="864"/>
      <c r="O218" s="864"/>
      <c r="P218" s="864"/>
      <c r="Q218" s="864"/>
      <c r="R218" s="864"/>
      <c r="S218" s="864"/>
      <c r="T218" s="864"/>
      <c r="U218" s="864"/>
      <c r="V218" s="405"/>
      <c r="W218" s="69"/>
      <c r="X218" s="381"/>
      <c r="Y218" s="382"/>
      <c r="Z218" s="383"/>
      <c r="AA218" s="130"/>
    </row>
    <row r="219" spans="1:27" ht="13.8">
      <c r="A219" s="527"/>
      <c r="B219" s="604" t="s">
        <v>1134</v>
      </c>
      <c r="C219" s="610"/>
      <c r="D219" s="165" t="s">
        <v>1153</v>
      </c>
      <c r="E219" s="427"/>
      <c r="F219" s="79"/>
      <c r="G219" s="864"/>
      <c r="H219" s="864"/>
      <c r="I219" s="864"/>
      <c r="J219" s="864"/>
      <c r="K219" s="864"/>
      <c r="L219" s="864"/>
      <c r="M219" s="864"/>
      <c r="N219" s="864"/>
      <c r="O219" s="864"/>
      <c r="P219" s="864"/>
      <c r="Q219" s="864"/>
      <c r="R219" s="864"/>
      <c r="S219" s="864"/>
      <c r="T219" s="864"/>
      <c r="U219" s="864"/>
      <c r="V219" s="405"/>
      <c r="W219" s="69"/>
      <c r="X219" s="381"/>
      <c r="Y219" s="382"/>
      <c r="Z219" s="383"/>
      <c r="AA219" s="130"/>
    </row>
    <row r="220" spans="1:27" ht="13.8">
      <c r="A220" s="527"/>
      <c r="B220" s="604" t="s">
        <v>1135</v>
      </c>
      <c r="C220" s="610"/>
      <c r="D220" s="165" t="s">
        <v>1153</v>
      </c>
      <c r="E220" s="427"/>
      <c r="F220" s="79"/>
      <c r="G220" s="864"/>
      <c r="H220" s="864"/>
      <c r="I220" s="864"/>
      <c r="J220" s="864"/>
      <c r="K220" s="864"/>
      <c r="L220" s="864"/>
      <c r="M220" s="864"/>
      <c r="N220" s="864"/>
      <c r="O220" s="864"/>
      <c r="P220" s="864"/>
      <c r="Q220" s="864"/>
      <c r="R220" s="864"/>
      <c r="S220" s="864"/>
      <c r="T220" s="864"/>
      <c r="U220" s="864"/>
      <c r="V220" s="405"/>
      <c r="W220" s="69"/>
      <c r="X220" s="381"/>
      <c r="Y220" s="382"/>
      <c r="Z220" s="383"/>
      <c r="AA220" s="130"/>
    </row>
    <row r="221" spans="1:27" ht="13.8">
      <c r="A221" s="527"/>
      <c r="B221" s="46" t="s">
        <v>1151</v>
      </c>
      <c r="C221" s="533"/>
      <c r="D221" s="165" t="s">
        <v>1153</v>
      </c>
      <c r="E221" s="427"/>
      <c r="F221" s="79"/>
      <c r="G221" s="864"/>
      <c r="H221" s="864"/>
      <c r="I221" s="864"/>
      <c r="J221" s="864"/>
      <c r="K221" s="864"/>
      <c r="L221" s="864"/>
      <c r="M221" s="864"/>
      <c r="N221" s="864"/>
      <c r="O221" s="864"/>
      <c r="P221" s="864"/>
      <c r="Q221" s="864"/>
      <c r="R221" s="864"/>
      <c r="S221" s="864"/>
      <c r="T221" s="864"/>
      <c r="U221" s="864"/>
      <c r="V221" s="405"/>
      <c r="W221" s="69"/>
      <c r="X221" s="381"/>
      <c r="Y221" s="382"/>
      <c r="Z221" s="383"/>
      <c r="AA221" s="130"/>
    </row>
    <row r="222" spans="1:27" ht="13.8">
      <c r="A222" s="527"/>
      <c r="B222" s="46" t="s">
        <v>1152</v>
      </c>
      <c r="C222" s="533"/>
      <c r="D222" s="165" t="s">
        <v>1153</v>
      </c>
      <c r="E222" s="427"/>
      <c r="F222" s="79"/>
      <c r="G222" s="864"/>
      <c r="H222" s="864"/>
      <c r="I222" s="864"/>
      <c r="J222" s="864"/>
      <c r="K222" s="864"/>
      <c r="L222" s="864"/>
      <c r="M222" s="864"/>
      <c r="N222" s="864"/>
      <c r="O222" s="864"/>
      <c r="P222" s="864"/>
      <c r="Q222" s="864"/>
      <c r="R222" s="864"/>
      <c r="S222" s="864"/>
      <c r="T222" s="864"/>
      <c r="U222" s="864"/>
      <c r="V222" s="405"/>
      <c r="W222" s="69"/>
      <c r="X222" s="381"/>
      <c r="Y222" s="382"/>
      <c r="Z222" s="383"/>
      <c r="AA222" s="130"/>
    </row>
    <row r="223" spans="1:27" ht="13.8">
      <c r="A223" s="494"/>
      <c r="B223" s="604" t="s">
        <v>1148</v>
      </c>
      <c r="C223" s="610"/>
      <c r="D223" s="165" t="s">
        <v>35</v>
      </c>
      <c r="E223" s="427"/>
      <c r="F223" s="79"/>
      <c r="G223" s="864"/>
      <c r="H223" s="864"/>
      <c r="I223" s="864"/>
      <c r="J223" s="864"/>
      <c r="K223" s="864"/>
      <c r="L223" s="864"/>
      <c r="M223" s="864"/>
      <c r="N223" s="864"/>
      <c r="O223" s="864"/>
      <c r="P223" s="864"/>
      <c r="Q223" s="864"/>
      <c r="R223" s="864"/>
      <c r="S223" s="864"/>
      <c r="T223" s="864"/>
      <c r="U223" s="864"/>
      <c r="V223" s="405"/>
      <c r="W223" s="69"/>
      <c r="X223" s="381"/>
      <c r="Y223" s="382"/>
      <c r="Z223" s="383"/>
      <c r="AA223" s="130"/>
    </row>
    <row r="224" spans="1:27" ht="13.8">
      <c r="A224" s="494"/>
      <c r="B224" s="604" t="s">
        <v>1149</v>
      </c>
      <c r="C224" s="610"/>
      <c r="D224" s="165" t="s">
        <v>35</v>
      </c>
      <c r="E224" s="427"/>
      <c r="F224" s="79"/>
      <c r="G224" s="864"/>
      <c r="H224" s="864"/>
      <c r="I224" s="864"/>
      <c r="J224" s="864"/>
      <c r="K224" s="864"/>
      <c r="L224" s="864"/>
      <c r="M224" s="864"/>
      <c r="N224" s="864"/>
      <c r="O224" s="864"/>
      <c r="P224" s="864"/>
      <c r="Q224" s="864"/>
      <c r="R224" s="864"/>
      <c r="S224" s="864"/>
      <c r="T224" s="864"/>
      <c r="U224" s="864"/>
      <c r="V224" s="405"/>
      <c r="W224" s="69"/>
      <c r="X224" s="381"/>
      <c r="Y224" s="382"/>
      <c r="Z224" s="383"/>
      <c r="AA224" s="130"/>
    </row>
    <row r="225" spans="1:27" ht="14.4" thickBot="1">
      <c r="A225" s="40"/>
      <c r="B225" s="28"/>
      <c r="C225" s="24"/>
      <c r="D225" s="108"/>
      <c r="E225" s="108"/>
      <c r="F225" s="332"/>
      <c r="G225" s="332"/>
      <c r="H225" s="332"/>
      <c r="I225" s="332"/>
      <c r="J225" s="332"/>
      <c r="K225" s="332"/>
      <c r="L225" s="335"/>
      <c r="M225" s="335"/>
      <c r="N225" s="335"/>
      <c r="O225" s="335"/>
      <c r="P225" s="335"/>
      <c r="Q225" s="335"/>
      <c r="R225" s="335"/>
      <c r="S225" s="335"/>
      <c r="T225" s="335"/>
      <c r="U225" s="332"/>
      <c r="V225" s="390"/>
      <c r="W225" s="69"/>
      <c r="X225" s="391"/>
      <c r="Y225" s="382"/>
      <c r="Z225" s="383"/>
      <c r="AA225" s="130"/>
    </row>
    <row r="226" spans="1:27" ht="15.6" thickBot="1">
      <c r="A226" s="16"/>
      <c r="B226" s="24"/>
      <c r="C226" s="24"/>
      <c r="D226" s="108"/>
      <c r="E226" s="33" t="s">
        <v>478</v>
      </c>
      <c r="F226" s="436" t="s">
        <v>131</v>
      </c>
      <c r="G226" s="336" t="str">
        <f>$G$44</f>
        <v>L 2WD NAO 2ROW</v>
      </c>
      <c r="H226" s="336" t="str">
        <f>$H$44</f>
        <v>L 4WD NAO 2ROW US</v>
      </c>
      <c r="I226" s="336" t="str">
        <f>$I$44</f>
        <v>L 4WD NAO 2ROW</v>
      </c>
      <c r="J226" s="336" t="str">
        <f>$J$44</f>
        <v>L 4WD NAO 3ROW</v>
      </c>
      <c r="K226" s="336" t="str">
        <f>$K$44</f>
        <v>R 2WD NAO 2ROW</v>
      </c>
      <c r="L226" s="336" t="str">
        <f>$L$44</f>
        <v>R 4WD NAO 2ROW</v>
      </c>
      <c r="M226" s="336" t="str">
        <f>$M$44</f>
        <v>R 4WD NAO 3ROW</v>
      </c>
      <c r="N226" s="336" t="str">
        <f>$N$44</f>
        <v/>
      </c>
      <c r="O226" s="336" t="str">
        <f>$O$44</f>
        <v/>
      </c>
      <c r="P226" s="336" t="str">
        <f>$P$44</f>
        <v/>
      </c>
      <c r="Q226" s="336" t="str">
        <f>$Q$44</f>
        <v/>
      </c>
      <c r="R226" s="336" t="str">
        <f>$R$44</f>
        <v/>
      </c>
      <c r="S226" s="336" t="str">
        <f>$S$44</f>
        <v/>
      </c>
      <c r="T226" s="336" t="str">
        <f>$T$44</f>
        <v/>
      </c>
      <c r="U226" s="336" t="str">
        <f>$U$44</f>
        <v/>
      </c>
      <c r="V226" s="390"/>
      <c r="W226" s="69"/>
      <c r="X226" s="406"/>
      <c r="Y226" s="382"/>
      <c r="Z226" s="383"/>
      <c r="AA226" s="130"/>
    </row>
    <row r="227" spans="1:27" ht="13.8">
      <c r="A227" s="16"/>
      <c r="B227" s="62" t="s">
        <v>36</v>
      </c>
      <c r="C227" s="63"/>
      <c r="D227" s="111"/>
      <c r="E227" s="111"/>
      <c r="F227" s="345"/>
      <c r="G227" s="345"/>
      <c r="H227" s="345"/>
      <c r="I227" s="345"/>
      <c r="J227" s="345"/>
      <c r="K227" s="345"/>
      <c r="L227" s="345"/>
      <c r="M227" s="345"/>
      <c r="N227" s="345"/>
      <c r="O227" s="345"/>
      <c r="P227" s="345"/>
      <c r="Q227" s="345"/>
      <c r="R227" s="345"/>
      <c r="S227" s="345"/>
      <c r="T227" s="345"/>
      <c r="U227" s="345"/>
      <c r="V227" s="407"/>
      <c r="W227" s="69"/>
      <c r="X227" s="391"/>
      <c r="Y227" s="382"/>
      <c r="Z227" s="383"/>
      <c r="AA227" s="130"/>
    </row>
    <row r="228" spans="1:27" ht="13.8">
      <c r="A228" s="16"/>
      <c r="B228" s="604" t="s">
        <v>37</v>
      </c>
      <c r="C228" s="605"/>
      <c r="D228" s="165" t="s">
        <v>39</v>
      </c>
      <c r="E228" s="428" t="str">
        <f>IF(G228="","check",IF(MIN(G228:U228)&lt;Y228,"Attention," &amp;CHAR(10)&amp;"one of your parameters is below the usual range: "&amp;Y228&amp;D228,IF(MAX(G228:U228)&gt;Z228,"Attention," &amp;CHAR(10)&amp;" one of your parameters is above the usual range: "&amp;Z228&amp;D228,"check")))</f>
        <v>check</v>
      </c>
      <c r="F228" s="587" t="s">
        <v>1181</v>
      </c>
      <c r="G228" s="587">
        <v>38.700000000000003</v>
      </c>
      <c r="H228" s="587">
        <v>38.700000000000003</v>
      </c>
      <c r="I228" s="587">
        <v>38.700000000000003</v>
      </c>
      <c r="J228" s="587">
        <v>38.700000000000003</v>
      </c>
      <c r="K228" s="587">
        <v>38.700000000000003</v>
      </c>
      <c r="L228" s="587">
        <v>38.700000000000003</v>
      </c>
      <c r="M228" s="587">
        <v>38.700000000000003</v>
      </c>
      <c r="N228" s="79"/>
      <c r="O228" s="79"/>
      <c r="P228" s="79"/>
      <c r="Q228" s="79"/>
      <c r="R228" s="79"/>
      <c r="S228" s="79"/>
      <c r="T228" s="79"/>
      <c r="U228" s="79"/>
      <c r="V228" s="395" t="s">
        <v>39</v>
      </c>
      <c r="W228" s="69"/>
      <c r="X228" s="381"/>
      <c r="Y228" s="382">
        <v>7.5</v>
      </c>
      <c r="Z228" s="383">
        <v>60</v>
      </c>
      <c r="AA228" s="130"/>
    </row>
    <row r="229" spans="1:27" ht="13.8">
      <c r="A229" s="16"/>
      <c r="B229" s="604" t="s">
        <v>38</v>
      </c>
      <c r="C229" s="605"/>
      <c r="D229" s="165" t="s">
        <v>39</v>
      </c>
      <c r="E229" s="428" t="str">
        <f>IF(G229="","check",IF(MIN(G229:U229)&lt;Y229,"Attention," &amp;CHAR(10)&amp;"one of your parameters is below the usual range: "&amp;Y229&amp;D229,IF(MAX(G229:U229)&gt;Z229,"Attention," &amp;CHAR(10)&amp;" one of your parameters is above the usual range: "&amp;Z229&amp;D229,"check")))</f>
        <v>check</v>
      </c>
      <c r="F229" s="587" t="s">
        <v>1181</v>
      </c>
      <c r="G229" s="587">
        <v>13.4</v>
      </c>
      <c r="H229" s="587">
        <v>13.4</v>
      </c>
      <c r="I229" s="587">
        <v>13.4</v>
      </c>
      <c r="J229" s="587">
        <v>13.4</v>
      </c>
      <c r="K229" s="587">
        <v>13.4</v>
      </c>
      <c r="L229" s="587">
        <v>13.4</v>
      </c>
      <c r="M229" s="587">
        <v>13.4</v>
      </c>
      <c r="N229" s="79"/>
      <c r="O229" s="79"/>
      <c r="P229" s="79"/>
      <c r="Q229" s="79"/>
      <c r="R229" s="79"/>
      <c r="S229" s="79"/>
      <c r="T229" s="79"/>
      <c r="U229" s="79"/>
      <c r="V229" s="395" t="s">
        <v>39</v>
      </c>
      <c r="W229" s="69"/>
      <c r="X229" s="391"/>
      <c r="Y229" s="382">
        <v>0</v>
      </c>
      <c r="Z229" s="383">
        <v>35</v>
      </c>
      <c r="AA229" s="130"/>
    </row>
    <row r="230" spans="1:27" ht="14.4" thickBot="1">
      <c r="A230" s="16"/>
      <c r="B230" s="28"/>
      <c r="C230" s="24"/>
      <c r="D230" s="24"/>
      <c r="E230" s="24"/>
      <c r="F230" s="24"/>
      <c r="G230" s="332"/>
      <c r="H230" s="332"/>
      <c r="I230" s="332"/>
      <c r="J230" s="332"/>
      <c r="K230" s="332"/>
      <c r="L230" s="338"/>
      <c r="M230" s="338"/>
      <c r="N230" s="338"/>
      <c r="O230" s="338"/>
      <c r="P230" s="338"/>
      <c r="Q230" s="338"/>
      <c r="R230" s="338"/>
      <c r="S230" s="338"/>
      <c r="T230" s="338"/>
      <c r="U230" s="332"/>
      <c r="V230" s="390"/>
      <c r="W230" s="69"/>
      <c r="X230" s="391"/>
      <c r="Y230" s="398"/>
      <c r="Z230" s="383"/>
      <c r="AA230" s="130"/>
    </row>
    <row r="231" spans="1:27" ht="15.6" thickBot="1">
      <c r="A231" s="16"/>
      <c r="B231" s="24"/>
      <c r="C231" s="24"/>
      <c r="D231" s="108"/>
      <c r="E231" s="33" t="s">
        <v>478</v>
      </c>
      <c r="F231" s="29" t="s">
        <v>131</v>
      </c>
      <c r="G231" s="336" t="str">
        <f>$G$44</f>
        <v>L 2WD NAO 2ROW</v>
      </c>
      <c r="H231" s="336" t="str">
        <f>$H$44</f>
        <v>L 4WD NAO 2ROW US</v>
      </c>
      <c r="I231" s="336" t="str">
        <f>$I$44</f>
        <v>L 4WD NAO 2ROW</v>
      </c>
      <c r="J231" s="336" t="str">
        <f>$J$44</f>
        <v>L 4WD NAO 3ROW</v>
      </c>
      <c r="K231" s="336" t="str">
        <f>$K$44</f>
        <v>R 2WD NAO 2ROW</v>
      </c>
      <c r="L231" s="336" t="str">
        <f>$L$44</f>
        <v>R 4WD NAO 2ROW</v>
      </c>
      <c r="M231" s="336" t="str">
        <f>$M$44</f>
        <v>R 4WD NAO 3ROW</v>
      </c>
      <c r="N231" s="336" t="str">
        <f>$N$44</f>
        <v/>
      </c>
      <c r="O231" s="336" t="str">
        <f>$O$44</f>
        <v/>
      </c>
      <c r="P231" s="336" t="str">
        <f>$P$44</f>
        <v/>
      </c>
      <c r="Q231" s="336" t="str">
        <f>$Q$44</f>
        <v/>
      </c>
      <c r="R231" s="336" t="str">
        <f>$R$44</f>
        <v/>
      </c>
      <c r="S231" s="336" t="str">
        <f>$S$44</f>
        <v/>
      </c>
      <c r="T231" s="336" t="str">
        <f>$T$44</f>
        <v/>
      </c>
      <c r="U231" s="336" t="str">
        <f>$U$44</f>
        <v/>
      </c>
      <c r="V231" s="390"/>
      <c r="W231" s="69"/>
      <c r="X231" s="406"/>
      <c r="Y231" s="382"/>
      <c r="Z231" s="383"/>
      <c r="AA231" s="130"/>
    </row>
    <row r="232" spans="1:27" ht="13.8">
      <c r="A232" s="16"/>
      <c r="B232" s="62" t="s">
        <v>891</v>
      </c>
      <c r="C232" s="63"/>
      <c r="D232" s="111"/>
      <c r="E232" s="111"/>
      <c r="F232" s="63"/>
      <c r="G232" s="345"/>
      <c r="H232" s="345"/>
      <c r="I232" s="345"/>
      <c r="J232" s="345"/>
      <c r="K232" s="345"/>
      <c r="L232" s="345"/>
      <c r="M232" s="345"/>
      <c r="N232" s="345"/>
      <c r="O232" s="345"/>
      <c r="P232" s="345"/>
      <c r="Q232" s="345"/>
      <c r="R232" s="345"/>
      <c r="S232" s="345"/>
      <c r="T232" s="345"/>
      <c r="U232" s="345"/>
      <c r="V232" s="407"/>
      <c r="W232" s="69"/>
      <c r="X232" s="391"/>
      <c r="Y232" s="382"/>
      <c r="Z232" s="383"/>
      <c r="AA232" s="130"/>
    </row>
    <row r="233" spans="1:27" ht="13.8">
      <c r="A233" s="16"/>
      <c r="B233" s="64" t="s">
        <v>37</v>
      </c>
      <c r="C233" s="65"/>
      <c r="D233" s="110"/>
      <c r="E233" s="110"/>
      <c r="F233" s="65"/>
      <c r="G233" s="344"/>
      <c r="H233" s="344"/>
      <c r="I233" s="344"/>
      <c r="J233" s="344"/>
      <c r="K233" s="344"/>
      <c r="L233" s="344"/>
      <c r="M233" s="344"/>
      <c r="N233" s="344"/>
      <c r="O233" s="344"/>
      <c r="P233" s="344"/>
      <c r="Q233" s="344"/>
      <c r="R233" s="344"/>
      <c r="S233" s="344"/>
      <c r="T233" s="344"/>
      <c r="U233" s="344"/>
      <c r="V233" s="404"/>
      <c r="W233" s="69"/>
      <c r="X233" s="391"/>
      <c r="Y233" s="382"/>
      <c r="Z233" s="383"/>
      <c r="AA233" s="130"/>
    </row>
    <row r="234" spans="1:27" ht="13.8">
      <c r="A234" s="321"/>
      <c r="B234" s="322" t="s">
        <v>1154</v>
      </c>
      <c r="C234" s="316"/>
      <c r="D234" s="60"/>
      <c r="E234" s="60"/>
      <c r="F234" s="316"/>
      <c r="G234" s="346"/>
      <c r="H234" s="346"/>
      <c r="I234" s="346"/>
      <c r="J234" s="346"/>
      <c r="K234" s="346"/>
      <c r="L234" s="346"/>
      <c r="M234" s="346"/>
      <c r="N234" s="346"/>
      <c r="O234" s="346"/>
      <c r="P234" s="346"/>
      <c r="Q234" s="346"/>
      <c r="R234" s="346"/>
      <c r="S234" s="346"/>
      <c r="T234" s="346"/>
      <c r="U234" s="346"/>
      <c r="V234" s="408"/>
      <c r="W234" s="130"/>
      <c r="X234" s="409"/>
      <c r="Y234" s="382"/>
      <c r="Z234" s="383"/>
      <c r="AA234" s="130"/>
    </row>
    <row r="235" spans="1:27" ht="13.8">
      <c r="A235" s="16"/>
      <c r="B235" s="323"/>
      <c r="C235" s="316"/>
      <c r="D235" s="60"/>
      <c r="E235" s="60"/>
      <c r="F235" s="316"/>
      <c r="G235" s="550" t="s">
        <v>893</v>
      </c>
      <c r="H235" s="551"/>
      <c r="I235" s="551"/>
      <c r="J235" s="551"/>
      <c r="K235" s="551"/>
      <c r="L235" s="551"/>
      <c r="M235" s="551"/>
      <c r="N235" s="551"/>
      <c r="O235" s="551"/>
      <c r="P235" s="551"/>
      <c r="Q235" s="551"/>
      <c r="R235" s="551"/>
      <c r="S235" s="551"/>
      <c r="T235" s="551"/>
      <c r="U235" s="552"/>
      <c r="V235" s="408"/>
      <c r="W235" s="69"/>
      <c r="X235" s="391"/>
      <c r="Y235" s="382"/>
      <c r="Z235" s="383"/>
      <c r="AA235" s="130"/>
    </row>
    <row r="236" spans="1:27" ht="13.8">
      <c r="A236" s="16"/>
      <c r="B236" s="323"/>
      <c r="C236" s="316"/>
      <c r="D236" s="60"/>
      <c r="E236" s="60"/>
      <c r="F236" s="324" t="s">
        <v>395</v>
      </c>
      <c r="G236" s="79"/>
      <c r="H236" s="79"/>
      <c r="I236" s="79"/>
      <c r="J236" s="79"/>
      <c r="K236" s="79"/>
      <c r="L236" s="79"/>
      <c r="M236" s="79"/>
      <c r="N236" s="79"/>
      <c r="O236" s="79"/>
      <c r="P236" s="79"/>
      <c r="Q236" s="79"/>
      <c r="R236" s="79"/>
      <c r="S236" s="79"/>
      <c r="T236" s="79"/>
      <c r="U236" s="79"/>
      <c r="V236" s="395" t="s">
        <v>50</v>
      </c>
      <c r="W236" s="69"/>
      <c r="X236" s="391"/>
      <c r="Y236" s="382"/>
      <c r="Z236" s="383"/>
      <c r="AA236" s="130"/>
    </row>
    <row r="237" spans="1:27" ht="13.8">
      <c r="A237" s="16"/>
      <c r="B237" s="604"/>
      <c r="C237" s="605"/>
      <c r="D237" s="244"/>
      <c r="E237" s="244"/>
      <c r="F237" s="325" t="s">
        <v>396</v>
      </c>
      <c r="G237" s="79"/>
      <c r="H237" s="79"/>
      <c r="I237" s="79"/>
      <c r="J237" s="79"/>
      <c r="K237" s="79"/>
      <c r="L237" s="79"/>
      <c r="M237" s="79"/>
      <c r="N237" s="79"/>
      <c r="O237" s="79"/>
      <c r="P237" s="79"/>
      <c r="Q237" s="79"/>
      <c r="R237" s="79"/>
      <c r="S237" s="79"/>
      <c r="T237" s="79"/>
      <c r="U237" s="79"/>
      <c r="V237" s="395" t="s">
        <v>50</v>
      </c>
      <c r="W237" s="69"/>
      <c r="X237" s="381"/>
      <c r="Y237" s="382">
        <v>7.5</v>
      </c>
      <c r="Z237" s="383">
        <v>60</v>
      </c>
      <c r="AA237" s="130"/>
    </row>
    <row r="238" spans="1:27" ht="13.8">
      <c r="A238" s="16"/>
      <c r="B238" s="46"/>
      <c r="C238" s="47"/>
      <c r="D238" s="244"/>
      <c r="E238" s="244"/>
      <c r="F238" s="324" t="s">
        <v>397</v>
      </c>
      <c r="G238" s="79"/>
      <c r="H238" s="79"/>
      <c r="I238" s="79"/>
      <c r="J238" s="79"/>
      <c r="K238" s="79"/>
      <c r="L238" s="79"/>
      <c r="M238" s="79"/>
      <c r="N238" s="79"/>
      <c r="O238" s="79"/>
      <c r="P238" s="79"/>
      <c r="Q238" s="79"/>
      <c r="R238" s="79"/>
      <c r="S238" s="79"/>
      <c r="T238" s="79"/>
      <c r="U238" s="79"/>
      <c r="V238" s="395" t="s">
        <v>50</v>
      </c>
      <c r="W238" s="69"/>
      <c r="X238" s="381"/>
      <c r="Y238" s="382"/>
      <c r="Z238" s="383"/>
      <c r="AA238" s="130"/>
    </row>
    <row r="239" spans="1:27" ht="13.8">
      <c r="A239" s="16"/>
      <c r="B239" s="46"/>
      <c r="C239" s="47"/>
      <c r="D239" s="244"/>
      <c r="E239" s="244"/>
      <c r="F239" s="325" t="s">
        <v>398</v>
      </c>
      <c r="G239" s="79"/>
      <c r="H239" s="79"/>
      <c r="I239" s="79"/>
      <c r="J239" s="79"/>
      <c r="K239" s="79"/>
      <c r="L239" s="79"/>
      <c r="M239" s="79"/>
      <c r="N239" s="79"/>
      <c r="O239" s="79"/>
      <c r="P239" s="79"/>
      <c r="Q239" s="79"/>
      <c r="R239" s="79"/>
      <c r="S239" s="79"/>
      <c r="T239" s="79"/>
      <c r="U239" s="79"/>
      <c r="V239" s="395" t="s">
        <v>50</v>
      </c>
      <c r="W239" s="69"/>
      <c r="X239" s="381"/>
      <c r="Y239" s="382"/>
      <c r="Z239" s="383"/>
      <c r="AA239" s="130"/>
    </row>
    <row r="240" spans="1:27" ht="13.8">
      <c r="A240" s="16"/>
      <c r="B240" s="46"/>
      <c r="C240" s="47"/>
      <c r="D240" s="244"/>
      <c r="E240" s="244"/>
      <c r="F240" s="324" t="s">
        <v>399</v>
      </c>
      <c r="G240" s="79"/>
      <c r="H240" s="79"/>
      <c r="I240" s="79"/>
      <c r="J240" s="79"/>
      <c r="K240" s="79"/>
      <c r="L240" s="79"/>
      <c r="M240" s="79"/>
      <c r="N240" s="79"/>
      <c r="O240" s="79"/>
      <c r="P240" s="79"/>
      <c r="Q240" s="79"/>
      <c r="R240" s="79"/>
      <c r="S240" s="79"/>
      <c r="T240" s="79"/>
      <c r="U240" s="79"/>
      <c r="V240" s="395" t="s">
        <v>50</v>
      </c>
      <c r="W240" s="69"/>
      <c r="X240" s="381"/>
      <c r="Y240" s="382"/>
      <c r="Z240" s="383"/>
      <c r="AA240" s="130"/>
    </row>
    <row r="241" spans="1:27" ht="13.8">
      <c r="A241" s="16"/>
      <c r="B241" s="46"/>
      <c r="C241" s="47"/>
      <c r="D241" s="244"/>
      <c r="E241" s="244"/>
      <c r="F241" s="324" t="s">
        <v>400</v>
      </c>
      <c r="G241" s="79"/>
      <c r="H241" s="79"/>
      <c r="I241" s="79"/>
      <c r="J241" s="79"/>
      <c r="K241" s="79"/>
      <c r="L241" s="79"/>
      <c r="M241" s="79"/>
      <c r="N241" s="79"/>
      <c r="O241" s="79"/>
      <c r="P241" s="79"/>
      <c r="Q241" s="79"/>
      <c r="R241" s="79"/>
      <c r="S241" s="79"/>
      <c r="T241" s="79"/>
      <c r="U241" s="79"/>
      <c r="V241" s="395" t="s">
        <v>50</v>
      </c>
      <c r="W241" s="69"/>
      <c r="X241" s="381"/>
      <c r="Y241" s="382"/>
      <c r="Z241" s="383"/>
      <c r="AA241" s="130"/>
    </row>
    <row r="242" spans="1:27" ht="13.8">
      <c r="A242" s="16"/>
      <c r="B242" s="46"/>
      <c r="C242" s="47"/>
      <c r="D242" s="244"/>
      <c r="E242" s="244"/>
      <c r="F242" s="325" t="s">
        <v>401</v>
      </c>
      <c r="G242" s="79"/>
      <c r="H242" s="79"/>
      <c r="I242" s="79"/>
      <c r="J242" s="79"/>
      <c r="K242" s="79"/>
      <c r="L242" s="79"/>
      <c r="M242" s="79"/>
      <c r="N242" s="79"/>
      <c r="O242" s="79"/>
      <c r="P242" s="79"/>
      <c r="Q242" s="79"/>
      <c r="R242" s="79"/>
      <c r="S242" s="79"/>
      <c r="T242" s="79"/>
      <c r="U242" s="79"/>
      <c r="V242" s="395" t="s">
        <v>50</v>
      </c>
      <c r="W242" s="69"/>
      <c r="X242" s="381"/>
      <c r="Y242" s="382"/>
      <c r="Z242" s="383"/>
      <c r="AA242" s="130"/>
    </row>
    <row r="243" spans="1:27" ht="13.8">
      <c r="A243" s="16"/>
      <c r="B243" s="46"/>
      <c r="C243" s="47"/>
      <c r="D243" s="244"/>
      <c r="E243" s="244"/>
      <c r="F243" s="324" t="s">
        <v>402</v>
      </c>
      <c r="G243" s="79"/>
      <c r="H243" s="79"/>
      <c r="I243" s="79"/>
      <c r="J243" s="79"/>
      <c r="K243" s="79"/>
      <c r="L243" s="79"/>
      <c r="M243" s="79"/>
      <c r="N243" s="79"/>
      <c r="O243" s="79"/>
      <c r="P243" s="79"/>
      <c r="Q243" s="79"/>
      <c r="R243" s="79"/>
      <c r="S243" s="79"/>
      <c r="T243" s="79"/>
      <c r="U243" s="79"/>
      <c r="V243" s="395" t="s">
        <v>50</v>
      </c>
      <c r="W243" s="69"/>
      <c r="X243" s="381"/>
      <c r="Y243" s="382"/>
      <c r="Z243" s="383"/>
      <c r="AA243" s="130"/>
    </row>
    <row r="244" spans="1:27" ht="13.8">
      <c r="A244" s="16"/>
      <c r="B244" s="46"/>
      <c r="C244" s="47"/>
      <c r="D244" s="244"/>
      <c r="E244" s="244"/>
      <c r="F244" s="325" t="s">
        <v>403</v>
      </c>
      <c r="G244" s="79"/>
      <c r="H244" s="79"/>
      <c r="I244" s="79"/>
      <c r="J244" s="79"/>
      <c r="K244" s="79"/>
      <c r="L244" s="79"/>
      <c r="M244" s="79"/>
      <c r="N244" s="79"/>
      <c r="O244" s="79"/>
      <c r="P244" s="79"/>
      <c r="Q244" s="79"/>
      <c r="R244" s="79"/>
      <c r="S244" s="79"/>
      <c r="T244" s="79"/>
      <c r="U244" s="79"/>
      <c r="V244" s="395" t="s">
        <v>50</v>
      </c>
      <c r="W244" s="69"/>
      <c r="X244" s="381"/>
      <c r="Y244" s="382"/>
      <c r="Z244" s="383"/>
      <c r="AA244" s="130"/>
    </row>
    <row r="245" spans="1:27" ht="13.8">
      <c r="A245" s="16"/>
      <c r="B245" s="46"/>
      <c r="C245" s="47"/>
      <c r="D245" s="244"/>
      <c r="E245" s="244"/>
      <c r="F245" s="324" t="s">
        <v>404</v>
      </c>
      <c r="G245" s="79"/>
      <c r="H245" s="79"/>
      <c r="I245" s="79"/>
      <c r="J245" s="79"/>
      <c r="K245" s="79"/>
      <c r="L245" s="79"/>
      <c r="M245" s="79"/>
      <c r="N245" s="79"/>
      <c r="O245" s="79"/>
      <c r="P245" s="79"/>
      <c r="Q245" s="79"/>
      <c r="R245" s="79"/>
      <c r="S245" s="79"/>
      <c r="T245" s="79"/>
      <c r="U245" s="79"/>
      <c r="V245" s="395" t="s">
        <v>50</v>
      </c>
      <c r="W245" s="69"/>
      <c r="X245" s="381"/>
      <c r="Y245" s="382"/>
      <c r="Z245" s="383"/>
      <c r="AA245" s="130"/>
    </row>
    <row r="246" spans="1:27" ht="13.8">
      <c r="A246" s="16"/>
      <c r="B246" s="46"/>
      <c r="C246" s="47"/>
      <c r="D246" s="244"/>
      <c r="E246" s="244"/>
      <c r="F246" s="325" t="s">
        <v>405</v>
      </c>
      <c r="G246" s="79"/>
      <c r="H246" s="79"/>
      <c r="I246" s="79"/>
      <c r="J246" s="79"/>
      <c r="K246" s="79"/>
      <c r="L246" s="79"/>
      <c r="M246" s="79"/>
      <c r="N246" s="79"/>
      <c r="O246" s="79"/>
      <c r="P246" s="79"/>
      <c r="Q246" s="79"/>
      <c r="R246" s="79"/>
      <c r="S246" s="79"/>
      <c r="T246" s="79"/>
      <c r="U246" s="79"/>
      <c r="V246" s="395" t="s">
        <v>50</v>
      </c>
      <c r="W246" s="69"/>
      <c r="X246" s="381"/>
      <c r="Y246" s="382"/>
      <c r="Z246" s="383"/>
      <c r="AA246" s="130"/>
    </row>
    <row r="247" spans="1:27" ht="13.8">
      <c r="A247" s="16"/>
      <c r="B247" s="46"/>
      <c r="C247" s="47"/>
      <c r="D247" s="244"/>
      <c r="E247" s="244"/>
      <c r="F247" s="324" t="s">
        <v>406</v>
      </c>
      <c r="G247" s="79"/>
      <c r="H247" s="79"/>
      <c r="I247" s="79"/>
      <c r="J247" s="79"/>
      <c r="K247" s="79"/>
      <c r="L247" s="79"/>
      <c r="M247" s="79"/>
      <c r="N247" s="79"/>
      <c r="O247" s="79"/>
      <c r="P247" s="79"/>
      <c r="Q247" s="79"/>
      <c r="R247" s="79"/>
      <c r="S247" s="79"/>
      <c r="T247" s="79"/>
      <c r="U247" s="79"/>
      <c r="V247" s="395" t="s">
        <v>50</v>
      </c>
      <c r="W247" s="69"/>
      <c r="X247" s="381"/>
      <c r="Y247" s="382"/>
      <c r="Z247" s="383"/>
      <c r="AA247" s="130"/>
    </row>
    <row r="248" spans="1:27" ht="13.8">
      <c r="A248" s="16"/>
      <c r="B248" s="46"/>
      <c r="C248" s="47"/>
      <c r="D248" s="244"/>
      <c r="E248" s="244"/>
      <c r="F248" s="325" t="s">
        <v>407</v>
      </c>
      <c r="G248" s="79"/>
      <c r="H248" s="79"/>
      <c r="I248" s="79"/>
      <c r="J248" s="79"/>
      <c r="K248" s="79"/>
      <c r="L248" s="79"/>
      <c r="M248" s="79"/>
      <c r="N248" s="79"/>
      <c r="O248" s="79"/>
      <c r="P248" s="79"/>
      <c r="Q248" s="79"/>
      <c r="R248" s="79"/>
      <c r="S248" s="79"/>
      <c r="T248" s="79"/>
      <c r="U248" s="79"/>
      <c r="V248" s="395" t="s">
        <v>50</v>
      </c>
      <c r="W248" s="69"/>
      <c r="X248" s="381"/>
      <c r="Y248" s="382"/>
      <c r="Z248" s="383"/>
      <c r="AA248" s="130"/>
    </row>
    <row r="249" spans="1:27" ht="13.8">
      <c r="A249" s="16"/>
      <c r="B249" s="46"/>
      <c r="C249" s="47"/>
      <c r="D249" s="244"/>
      <c r="E249" s="244"/>
      <c r="F249" s="324" t="s">
        <v>408</v>
      </c>
      <c r="G249" s="79"/>
      <c r="H249" s="79"/>
      <c r="I249" s="79"/>
      <c r="J249" s="79"/>
      <c r="K249" s="79"/>
      <c r="L249" s="79"/>
      <c r="M249" s="79"/>
      <c r="N249" s="79"/>
      <c r="O249" s="79"/>
      <c r="P249" s="79"/>
      <c r="Q249" s="79"/>
      <c r="R249" s="79"/>
      <c r="S249" s="79"/>
      <c r="T249" s="79"/>
      <c r="U249" s="79"/>
      <c r="V249" s="395" t="s">
        <v>50</v>
      </c>
      <c r="W249" s="69"/>
      <c r="X249" s="381"/>
      <c r="Y249" s="382"/>
      <c r="Z249" s="383"/>
      <c r="AA249" s="130"/>
    </row>
    <row r="250" spans="1:27" ht="13.8">
      <c r="A250" s="16"/>
      <c r="B250" s="604"/>
      <c r="C250" s="605"/>
      <c r="D250" s="244"/>
      <c r="E250" s="244"/>
      <c r="F250" s="324" t="s">
        <v>409</v>
      </c>
      <c r="G250" s="79"/>
      <c r="H250" s="79"/>
      <c r="I250" s="79"/>
      <c r="J250" s="79"/>
      <c r="K250" s="79"/>
      <c r="L250" s="79"/>
      <c r="M250" s="79"/>
      <c r="N250" s="79"/>
      <c r="O250" s="79"/>
      <c r="P250" s="79"/>
      <c r="Q250" s="79"/>
      <c r="R250" s="79"/>
      <c r="S250" s="79"/>
      <c r="T250" s="79"/>
      <c r="U250" s="79"/>
      <c r="V250" s="395" t="s">
        <v>50</v>
      </c>
      <c r="W250" s="69"/>
      <c r="X250" s="391"/>
      <c r="Y250" s="382">
        <v>0</v>
      </c>
      <c r="Z250" s="383">
        <v>35</v>
      </c>
      <c r="AA250" s="130"/>
    </row>
    <row r="251" spans="1:27" ht="13.8">
      <c r="A251" s="321"/>
      <c r="B251" s="323"/>
      <c r="C251" s="316"/>
      <c r="D251" s="103"/>
      <c r="E251" s="103"/>
      <c r="F251" s="324"/>
      <c r="G251" s="326"/>
      <c r="H251" s="326"/>
      <c r="I251" s="326"/>
      <c r="J251" s="326"/>
      <c r="K251" s="326"/>
      <c r="L251" s="326"/>
      <c r="M251" s="326"/>
      <c r="N251" s="326"/>
      <c r="O251" s="326"/>
      <c r="P251" s="326"/>
      <c r="Q251" s="326"/>
      <c r="R251" s="326"/>
      <c r="S251" s="326"/>
      <c r="T251" s="326"/>
      <c r="U251" s="326"/>
      <c r="V251" s="410"/>
      <c r="W251" s="130"/>
      <c r="X251" s="409"/>
      <c r="Y251" s="382"/>
      <c r="Z251" s="383"/>
      <c r="AA251" s="130"/>
    </row>
    <row r="252" spans="1:27" ht="13.8">
      <c r="A252" s="16"/>
      <c r="B252" s="323"/>
      <c r="C252" s="316"/>
      <c r="D252" s="60"/>
      <c r="E252" s="60"/>
      <c r="F252" s="327"/>
      <c r="G252" s="550" t="s">
        <v>892</v>
      </c>
      <c r="H252" s="551"/>
      <c r="I252" s="551"/>
      <c r="J252" s="551"/>
      <c r="K252" s="551"/>
      <c r="L252" s="551"/>
      <c r="M252" s="551"/>
      <c r="N252" s="551"/>
      <c r="O252" s="551"/>
      <c r="P252" s="551"/>
      <c r="Q252" s="551"/>
      <c r="R252" s="551"/>
      <c r="S252" s="551"/>
      <c r="T252" s="551"/>
      <c r="U252" s="552"/>
      <c r="V252" s="408"/>
      <c r="W252" s="69"/>
      <c r="X252" s="391"/>
      <c r="Y252" s="382"/>
      <c r="Z252" s="383"/>
      <c r="AA252" s="130"/>
    </row>
    <row r="253" spans="1:27" ht="13.8">
      <c r="A253" s="16"/>
      <c r="B253" s="323"/>
      <c r="C253" s="316"/>
      <c r="D253" s="60"/>
      <c r="E253" s="60"/>
      <c r="F253" s="324" t="s">
        <v>395</v>
      </c>
      <c r="G253" s="79"/>
      <c r="H253" s="79"/>
      <c r="I253" s="79"/>
      <c r="J253" s="79"/>
      <c r="K253" s="79"/>
      <c r="L253" s="79"/>
      <c r="M253" s="79"/>
      <c r="N253" s="79"/>
      <c r="O253" s="79"/>
      <c r="P253" s="79"/>
      <c r="Q253" s="79"/>
      <c r="R253" s="79"/>
      <c r="S253" s="79"/>
      <c r="T253" s="79"/>
      <c r="U253" s="79"/>
      <c r="V253" s="395" t="s">
        <v>292</v>
      </c>
      <c r="W253" s="69"/>
      <c r="X253" s="391"/>
      <c r="Y253" s="382"/>
      <c r="Z253" s="383"/>
      <c r="AA253" s="130"/>
    </row>
    <row r="254" spans="1:27" ht="13.8">
      <c r="A254" s="16"/>
      <c r="B254" s="604"/>
      <c r="C254" s="605"/>
      <c r="D254" s="244"/>
      <c r="E254" s="244"/>
      <c r="F254" s="325" t="s">
        <v>396</v>
      </c>
      <c r="G254" s="79"/>
      <c r="H254" s="79"/>
      <c r="I254" s="79"/>
      <c r="J254" s="79"/>
      <c r="K254" s="79"/>
      <c r="L254" s="79"/>
      <c r="M254" s="79"/>
      <c r="N254" s="79"/>
      <c r="O254" s="79"/>
      <c r="P254" s="79"/>
      <c r="Q254" s="79"/>
      <c r="R254" s="79"/>
      <c r="S254" s="79"/>
      <c r="T254" s="79"/>
      <c r="U254" s="79"/>
      <c r="V254" s="395" t="s">
        <v>292</v>
      </c>
      <c r="W254" s="69"/>
      <c r="X254" s="381"/>
      <c r="Y254" s="382">
        <v>7.5</v>
      </c>
      <c r="Z254" s="383">
        <v>60</v>
      </c>
      <c r="AA254" s="130"/>
    </row>
    <row r="255" spans="1:27" ht="13.8">
      <c r="A255" s="16"/>
      <c r="B255" s="46"/>
      <c r="C255" s="47"/>
      <c r="D255" s="244"/>
      <c r="E255" s="244"/>
      <c r="F255" s="324" t="s">
        <v>397</v>
      </c>
      <c r="G255" s="79"/>
      <c r="H255" s="79"/>
      <c r="I255" s="79"/>
      <c r="J255" s="79"/>
      <c r="K255" s="79"/>
      <c r="L255" s="79"/>
      <c r="M255" s="79"/>
      <c r="N255" s="79"/>
      <c r="O255" s="79"/>
      <c r="P255" s="79"/>
      <c r="Q255" s="79"/>
      <c r="R255" s="79"/>
      <c r="S255" s="79"/>
      <c r="T255" s="79"/>
      <c r="U255" s="79"/>
      <c r="V255" s="395" t="s">
        <v>292</v>
      </c>
      <c r="W255" s="69"/>
      <c r="X255" s="381"/>
      <c r="Y255" s="382"/>
      <c r="Z255" s="383"/>
      <c r="AA255" s="130"/>
    </row>
    <row r="256" spans="1:27" ht="13.8">
      <c r="A256" s="16"/>
      <c r="B256" s="46"/>
      <c r="C256" s="47"/>
      <c r="D256" s="244"/>
      <c r="E256" s="316"/>
      <c r="F256" s="325" t="s">
        <v>398</v>
      </c>
      <c r="G256" s="79"/>
      <c r="H256" s="79"/>
      <c r="I256" s="79"/>
      <c r="J256" s="79"/>
      <c r="K256" s="79"/>
      <c r="L256" s="79"/>
      <c r="M256" s="79"/>
      <c r="N256" s="79"/>
      <c r="O256" s="79"/>
      <c r="P256" s="79"/>
      <c r="Q256" s="79"/>
      <c r="R256" s="79"/>
      <c r="S256" s="79"/>
      <c r="T256" s="79"/>
      <c r="U256" s="79"/>
      <c r="V256" s="395" t="s">
        <v>292</v>
      </c>
      <c r="W256" s="69"/>
      <c r="X256" s="381"/>
      <c r="Y256" s="382"/>
      <c r="Z256" s="383"/>
      <c r="AA256" s="130"/>
    </row>
    <row r="257" spans="1:27" ht="13.8">
      <c r="A257" s="16"/>
      <c r="B257" s="46"/>
      <c r="C257" s="47"/>
      <c r="D257" s="244"/>
      <c r="E257" s="244"/>
      <c r="F257" s="324" t="s">
        <v>399</v>
      </c>
      <c r="G257" s="79"/>
      <c r="H257" s="79"/>
      <c r="I257" s="79"/>
      <c r="J257" s="79"/>
      <c r="K257" s="79"/>
      <c r="L257" s="79"/>
      <c r="M257" s="79"/>
      <c r="N257" s="79"/>
      <c r="O257" s="79"/>
      <c r="P257" s="79"/>
      <c r="Q257" s="79"/>
      <c r="R257" s="79"/>
      <c r="S257" s="79"/>
      <c r="T257" s="79"/>
      <c r="U257" s="79"/>
      <c r="V257" s="395" t="s">
        <v>292</v>
      </c>
      <c r="W257" s="69"/>
      <c r="X257" s="381"/>
      <c r="Y257" s="382"/>
      <c r="Z257" s="383"/>
      <c r="AA257" s="130"/>
    </row>
    <row r="258" spans="1:27" ht="13.8">
      <c r="A258" s="16"/>
      <c r="B258" s="46"/>
      <c r="C258" s="47"/>
      <c r="D258" s="244"/>
      <c r="E258" s="244"/>
      <c r="F258" s="324" t="s">
        <v>400</v>
      </c>
      <c r="G258" s="79"/>
      <c r="H258" s="79"/>
      <c r="I258" s="79"/>
      <c r="J258" s="79"/>
      <c r="K258" s="79"/>
      <c r="L258" s="79"/>
      <c r="M258" s="79"/>
      <c r="N258" s="79"/>
      <c r="O258" s="79"/>
      <c r="P258" s="79"/>
      <c r="Q258" s="79"/>
      <c r="R258" s="79"/>
      <c r="S258" s="79"/>
      <c r="T258" s="79"/>
      <c r="U258" s="79"/>
      <c r="V258" s="395" t="s">
        <v>292</v>
      </c>
      <c r="W258" s="69"/>
      <c r="X258" s="381"/>
      <c r="Y258" s="382"/>
      <c r="Z258" s="383"/>
      <c r="AA258" s="130"/>
    </row>
    <row r="259" spans="1:27" ht="13.8">
      <c r="A259" s="16"/>
      <c r="B259" s="46"/>
      <c r="C259" s="47"/>
      <c r="D259" s="244"/>
      <c r="E259" s="244"/>
      <c r="F259" s="325" t="s">
        <v>401</v>
      </c>
      <c r="G259" s="79"/>
      <c r="H259" s="79"/>
      <c r="I259" s="79"/>
      <c r="J259" s="79"/>
      <c r="K259" s="79"/>
      <c r="L259" s="79"/>
      <c r="M259" s="79"/>
      <c r="N259" s="79"/>
      <c r="O259" s="79"/>
      <c r="P259" s="79"/>
      <c r="Q259" s="79"/>
      <c r="R259" s="79"/>
      <c r="S259" s="79"/>
      <c r="T259" s="79"/>
      <c r="U259" s="79"/>
      <c r="V259" s="395" t="s">
        <v>292</v>
      </c>
      <c r="W259" s="69"/>
      <c r="X259" s="381"/>
      <c r="Y259" s="382"/>
      <c r="Z259" s="383"/>
      <c r="AA259" s="130"/>
    </row>
    <row r="260" spans="1:27" ht="13.8">
      <c r="A260" s="16"/>
      <c r="B260" s="46"/>
      <c r="C260" s="47"/>
      <c r="D260" s="244"/>
      <c r="E260" s="244"/>
      <c r="F260" s="324" t="s">
        <v>402</v>
      </c>
      <c r="G260" s="79"/>
      <c r="H260" s="79"/>
      <c r="I260" s="79"/>
      <c r="J260" s="79"/>
      <c r="K260" s="79"/>
      <c r="L260" s="79"/>
      <c r="M260" s="79"/>
      <c r="N260" s="79"/>
      <c r="O260" s="79"/>
      <c r="P260" s="79"/>
      <c r="Q260" s="79"/>
      <c r="R260" s="79"/>
      <c r="S260" s="79"/>
      <c r="T260" s="79"/>
      <c r="U260" s="79"/>
      <c r="V260" s="395" t="s">
        <v>292</v>
      </c>
      <c r="W260" s="69"/>
      <c r="X260" s="381"/>
      <c r="Y260" s="382"/>
      <c r="Z260" s="383"/>
      <c r="AA260" s="130"/>
    </row>
    <row r="261" spans="1:27" ht="13.8">
      <c r="A261" s="16"/>
      <c r="B261" s="46"/>
      <c r="C261" s="47"/>
      <c r="D261" s="244"/>
      <c r="E261" s="244"/>
      <c r="F261" s="325" t="s">
        <v>403</v>
      </c>
      <c r="G261" s="79"/>
      <c r="H261" s="79"/>
      <c r="I261" s="79"/>
      <c r="J261" s="79"/>
      <c r="K261" s="79"/>
      <c r="L261" s="79"/>
      <c r="M261" s="79"/>
      <c r="N261" s="79"/>
      <c r="O261" s="79"/>
      <c r="P261" s="79"/>
      <c r="Q261" s="79"/>
      <c r="R261" s="79"/>
      <c r="S261" s="79"/>
      <c r="T261" s="79"/>
      <c r="U261" s="79"/>
      <c r="V261" s="395" t="s">
        <v>292</v>
      </c>
      <c r="W261" s="69"/>
      <c r="X261" s="381"/>
      <c r="Y261" s="382"/>
      <c r="Z261" s="383"/>
      <c r="AA261" s="130"/>
    </row>
    <row r="262" spans="1:27" ht="13.8">
      <c r="A262" s="16"/>
      <c r="B262" s="46"/>
      <c r="C262" s="47"/>
      <c r="D262" s="244"/>
      <c r="E262" s="244"/>
      <c r="F262" s="324" t="s">
        <v>404</v>
      </c>
      <c r="G262" s="79"/>
      <c r="H262" s="79"/>
      <c r="I262" s="79"/>
      <c r="J262" s="79"/>
      <c r="K262" s="79"/>
      <c r="L262" s="79"/>
      <c r="M262" s="79"/>
      <c r="N262" s="79"/>
      <c r="O262" s="79"/>
      <c r="P262" s="79"/>
      <c r="Q262" s="79"/>
      <c r="R262" s="79"/>
      <c r="S262" s="79"/>
      <c r="T262" s="79"/>
      <c r="U262" s="79"/>
      <c r="V262" s="395" t="s">
        <v>292</v>
      </c>
      <c r="W262" s="69"/>
      <c r="X262" s="381"/>
      <c r="Y262" s="382"/>
      <c r="Z262" s="383"/>
      <c r="AA262" s="130"/>
    </row>
    <row r="263" spans="1:27" ht="13.8">
      <c r="A263" s="16"/>
      <c r="B263" s="46"/>
      <c r="C263" s="47"/>
      <c r="D263" s="244"/>
      <c r="E263" s="244"/>
      <c r="F263" s="325" t="s">
        <v>405</v>
      </c>
      <c r="G263" s="79"/>
      <c r="H263" s="79"/>
      <c r="I263" s="79"/>
      <c r="J263" s="79"/>
      <c r="K263" s="79"/>
      <c r="L263" s="79"/>
      <c r="M263" s="79"/>
      <c r="N263" s="79"/>
      <c r="O263" s="79"/>
      <c r="P263" s="79"/>
      <c r="Q263" s="79"/>
      <c r="R263" s="79"/>
      <c r="S263" s="79"/>
      <c r="T263" s="79"/>
      <c r="U263" s="79"/>
      <c r="V263" s="395" t="s">
        <v>292</v>
      </c>
      <c r="W263" s="69"/>
      <c r="X263" s="381"/>
      <c r="Y263" s="382"/>
      <c r="Z263" s="383"/>
      <c r="AA263" s="130"/>
    </row>
    <row r="264" spans="1:27" ht="13.8">
      <c r="A264" s="16"/>
      <c r="B264" s="46"/>
      <c r="C264" s="47"/>
      <c r="D264" s="244"/>
      <c r="E264" s="244"/>
      <c r="F264" s="324" t="s">
        <v>406</v>
      </c>
      <c r="G264" s="79"/>
      <c r="H264" s="79"/>
      <c r="I264" s="79"/>
      <c r="J264" s="79"/>
      <c r="K264" s="79"/>
      <c r="L264" s="79"/>
      <c r="M264" s="79"/>
      <c r="N264" s="79"/>
      <c r="O264" s="79"/>
      <c r="P264" s="79"/>
      <c r="Q264" s="79"/>
      <c r="R264" s="79"/>
      <c r="S264" s="79"/>
      <c r="T264" s="79"/>
      <c r="U264" s="79"/>
      <c r="V264" s="395" t="s">
        <v>292</v>
      </c>
      <c r="W264" s="69"/>
      <c r="X264" s="381"/>
      <c r="Y264" s="382"/>
      <c r="Z264" s="383"/>
      <c r="AA264" s="130"/>
    </row>
    <row r="265" spans="1:27" ht="13.8">
      <c r="A265" s="16"/>
      <c r="B265" s="46"/>
      <c r="C265" s="47"/>
      <c r="D265" s="244"/>
      <c r="E265" s="244"/>
      <c r="F265" s="325" t="s">
        <v>407</v>
      </c>
      <c r="G265" s="79"/>
      <c r="H265" s="79"/>
      <c r="I265" s="79"/>
      <c r="J265" s="79"/>
      <c r="K265" s="79"/>
      <c r="L265" s="79"/>
      <c r="M265" s="79"/>
      <c r="N265" s="79"/>
      <c r="O265" s="79"/>
      <c r="P265" s="79"/>
      <c r="Q265" s="79"/>
      <c r="R265" s="79"/>
      <c r="S265" s="79"/>
      <c r="T265" s="79"/>
      <c r="U265" s="79"/>
      <c r="V265" s="395" t="s">
        <v>292</v>
      </c>
      <c r="W265" s="69"/>
      <c r="X265" s="381"/>
      <c r="Y265" s="382"/>
      <c r="Z265" s="383"/>
      <c r="AA265" s="130"/>
    </row>
    <row r="266" spans="1:27" ht="13.8">
      <c r="A266" s="16"/>
      <c r="B266" s="46"/>
      <c r="C266" s="47"/>
      <c r="D266" s="244"/>
      <c r="E266" s="244"/>
      <c r="F266" s="324" t="s">
        <v>408</v>
      </c>
      <c r="G266" s="79"/>
      <c r="H266" s="79"/>
      <c r="I266" s="79"/>
      <c r="J266" s="79"/>
      <c r="K266" s="79"/>
      <c r="L266" s="79"/>
      <c r="M266" s="79"/>
      <c r="N266" s="79"/>
      <c r="O266" s="79"/>
      <c r="P266" s="79"/>
      <c r="Q266" s="79"/>
      <c r="R266" s="79"/>
      <c r="S266" s="79"/>
      <c r="T266" s="79"/>
      <c r="U266" s="79"/>
      <c r="V266" s="395" t="s">
        <v>292</v>
      </c>
      <c r="W266" s="69"/>
      <c r="X266" s="381"/>
      <c r="Y266" s="382"/>
      <c r="Z266" s="383"/>
      <c r="AA266" s="130"/>
    </row>
    <row r="267" spans="1:27" ht="13.8">
      <c r="A267" s="16"/>
      <c r="B267" s="604"/>
      <c r="C267" s="605"/>
      <c r="D267" s="244"/>
      <c r="E267" s="244"/>
      <c r="F267" s="324" t="s">
        <v>409</v>
      </c>
      <c r="G267" s="79"/>
      <c r="H267" s="79"/>
      <c r="I267" s="79"/>
      <c r="J267" s="79"/>
      <c r="K267" s="79"/>
      <c r="L267" s="79"/>
      <c r="M267" s="79"/>
      <c r="N267" s="79"/>
      <c r="O267" s="79"/>
      <c r="P267" s="79"/>
      <c r="Q267" s="79"/>
      <c r="R267" s="79"/>
      <c r="S267" s="79"/>
      <c r="T267" s="79"/>
      <c r="U267" s="79"/>
      <c r="V267" s="395" t="s">
        <v>292</v>
      </c>
      <c r="W267" s="69"/>
      <c r="X267" s="391"/>
      <c r="Y267" s="382">
        <v>0</v>
      </c>
      <c r="Z267" s="383">
        <v>35</v>
      </c>
      <c r="AA267" s="130"/>
    </row>
    <row r="268" spans="1:27" ht="13.8">
      <c r="A268" s="321"/>
      <c r="B268" s="323"/>
      <c r="C268" s="316"/>
      <c r="D268" s="103"/>
      <c r="E268" s="103"/>
      <c r="F268" s="324"/>
      <c r="G268" s="326"/>
      <c r="H268" s="326"/>
      <c r="I268" s="326"/>
      <c r="J268" s="326"/>
      <c r="K268" s="326"/>
      <c r="L268" s="326"/>
      <c r="M268" s="326"/>
      <c r="N268" s="326"/>
      <c r="O268" s="326"/>
      <c r="P268" s="326"/>
      <c r="Q268" s="326"/>
      <c r="R268" s="326"/>
      <c r="S268" s="326"/>
      <c r="T268" s="326"/>
      <c r="U268" s="326"/>
      <c r="V268" s="410"/>
      <c r="W268" s="130"/>
      <c r="X268" s="409"/>
      <c r="Y268" s="382"/>
      <c r="Z268" s="383"/>
      <c r="AA268" s="130"/>
    </row>
    <row r="269" spans="1:27" ht="13.8">
      <c r="A269" s="16"/>
      <c r="B269" s="64" t="s">
        <v>38</v>
      </c>
      <c r="C269" s="65"/>
      <c r="D269" s="110"/>
      <c r="E269" s="110"/>
      <c r="F269" s="328"/>
      <c r="G269" s="344"/>
      <c r="H269" s="344"/>
      <c r="I269" s="344"/>
      <c r="J269" s="344"/>
      <c r="K269" s="344"/>
      <c r="L269" s="344"/>
      <c r="M269" s="344"/>
      <c r="N269" s="344"/>
      <c r="O269" s="344"/>
      <c r="P269" s="344"/>
      <c r="Q269" s="344"/>
      <c r="R269" s="344"/>
      <c r="S269" s="344"/>
      <c r="T269" s="344"/>
      <c r="U269" s="344"/>
      <c r="V269" s="404"/>
      <c r="W269" s="69"/>
      <c r="X269" s="391"/>
      <c r="Y269" s="382"/>
      <c r="Z269" s="383"/>
      <c r="AA269" s="130"/>
    </row>
    <row r="270" spans="1:27" ht="13.8">
      <c r="A270" s="321"/>
      <c r="B270" s="322" t="s">
        <v>1155</v>
      </c>
      <c r="C270" s="316"/>
      <c r="D270" s="60"/>
      <c r="E270" s="60"/>
      <c r="F270" s="327"/>
      <c r="G270" s="346"/>
      <c r="H270" s="346"/>
      <c r="I270" s="346"/>
      <c r="J270" s="346"/>
      <c r="K270" s="346"/>
      <c r="L270" s="346"/>
      <c r="M270" s="346"/>
      <c r="N270" s="346"/>
      <c r="O270" s="346"/>
      <c r="P270" s="346"/>
      <c r="Q270" s="346"/>
      <c r="R270" s="346"/>
      <c r="S270" s="346"/>
      <c r="T270" s="346"/>
      <c r="U270" s="346"/>
      <c r="V270" s="408"/>
      <c r="W270" s="130"/>
      <c r="X270" s="409"/>
      <c r="Y270" s="382"/>
      <c r="Z270" s="383"/>
      <c r="AA270" s="130"/>
    </row>
    <row r="271" spans="1:27" ht="13.8">
      <c r="A271" s="16"/>
      <c r="B271" s="323"/>
      <c r="C271" s="316"/>
      <c r="D271" s="60"/>
      <c r="E271" s="60"/>
      <c r="F271" s="327"/>
      <c r="G271" s="550" t="s">
        <v>893</v>
      </c>
      <c r="H271" s="551"/>
      <c r="I271" s="551"/>
      <c r="J271" s="551"/>
      <c r="K271" s="551"/>
      <c r="L271" s="551"/>
      <c r="M271" s="551"/>
      <c r="N271" s="551"/>
      <c r="O271" s="551"/>
      <c r="P271" s="551"/>
      <c r="Q271" s="551"/>
      <c r="R271" s="551"/>
      <c r="S271" s="551"/>
      <c r="T271" s="551"/>
      <c r="U271" s="552"/>
      <c r="V271" s="408"/>
      <c r="W271" s="69"/>
      <c r="X271" s="391"/>
      <c r="Y271" s="382"/>
      <c r="Z271" s="383"/>
      <c r="AA271" s="130"/>
    </row>
    <row r="272" spans="1:27" ht="13.8">
      <c r="A272" s="16"/>
      <c r="B272" s="323"/>
      <c r="C272" s="316"/>
      <c r="D272" s="60"/>
      <c r="E272" s="60"/>
      <c r="F272" s="324" t="s">
        <v>395</v>
      </c>
      <c r="G272" s="79"/>
      <c r="H272" s="79"/>
      <c r="I272" s="79"/>
      <c r="J272" s="79"/>
      <c r="K272" s="79"/>
      <c r="L272" s="79"/>
      <c r="M272" s="79"/>
      <c r="N272" s="79"/>
      <c r="O272" s="79"/>
      <c r="P272" s="79"/>
      <c r="Q272" s="79"/>
      <c r="R272" s="79"/>
      <c r="S272" s="79"/>
      <c r="T272" s="79"/>
      <c r="U272" s="79"/>
      <c r="V272" s="395" t="s">
        <v>50</v>
      </c>
      <c r="W272" s="69"/>
      <c r="X272" s="391"/>
      <c r="Y272" s="382"/>
      <c r="Z272" s="383"/>
      <c r="AA272" s="130"/>
    </row>
    <row r="273" spans="1:27" ht="13.8">
      <c r="A273" s="16"/>
      <c r="B273" s="604"/>
      <c r="C273" s="605"/>
      <c r="D273" s="244"/>
      <c r="E273" s="244"/>
      <c r="F273" s="325" t="s">
        <v>396</v>
      </c>
      <c r="G273" s="79"/>
      <c r="H273" s="79"/>
      <c r="I273" s="79"/>
      <c r="J273" s="79"/>
      <c r="K273" s="79"/>
      <c r="L273" s="79"/>
      <c r="M273" s="79"/>
      <c r="N273" s="79"/>
      <c r="O273" s="79"/>
      <c r="P273" s="79"/>
      <c r="Q273" s="79"/>
      <c r="R273" s="79"/>
      <c r="S273" s="79"/>
      <c r="T273" s="79"/>
      <c r="U273" s="79"/>
      <c r="V273" s="395" t="s">
        <v>50</v>
      </c>
      <c r="W273" s="69"/>
      <c r="X273" s="381"/>
      <c r="Y273" s="382">
        <v>7.5</v>
      </c>
      <c r="Z273" s="383">
        <v>60</v>
      </c>
      <c r="AA273" s="130"/>
    </row>
    <row r="274" spans="1:27" ht="13.8">
      <c r="A274" s="16"/>
      <c r="B274" s="46"/>
      <c r="C274" s="47"/>
      <c r="D274" s="244"/>
      <c r="E274" s="244"/>
      <c r="F274" s="324" t="s">
        <v>397</v>
      </c>
      <c r="G274" s="79"/>
      <c r="H274" s="79"/>
      <c r="I274" s="79"/>
      <c r="J274" s="79"/>
      <c r="K274" s="79"/>
      <c r="L274" s="79"/>
      <c r="M274" s="79"/>
      <c r="N274" s="79"/>
      <c r="O274" s="79"/>
      <c r="P274" s="79"/>
      <c r="Q274" s="79"/>
      <c r="R274" s="79"/>
      <c r="S274" s="79"/>
      <c r="T274" s="79"/>
      <c r="U274" s="79"/>
      <c r="V274" s="395" t="s">
        <v>50</v>
      </c>
      <c r="W274" s="69"/>
      <c r="X274" s="381"/>
      <c r="Y274" s="382"/>
      <c r="Z274" s="383"/>
      <c r="AA274" s="130"/>
    </row>
    <row r="275" spans="1:27" ht="13.8">
      <c r="A275" s="16"/>
      <c r="B275" s="46"/>
      <c r="C275" s="47"/>
      <c r="D275" s="244"/>
      <c r="E275" s="244"/>
      <c r="F275" s="325" t="s">
        <v>398</v>
      </c>
      <c r="G275" s="79"/>
      <c r="H275" s="79"/>
      <c r="I275" s="79"/>
      <c r="J275" s="79"/>
      <c r="K275" s="79"/>
      <c r="L275" s="79"/>
      <c r="M275" s="79"/>
      <c r="N275" s="79"/>
      <c r="O275" s="79"/>
      <c r="P275" s="79"/>
      <c r="Q275" s="79"/>
      <c r="R275" s="79"/>
      <c r="S275" s="79"/>
      <c r="T275" s="79"/>
      <c r="U275" s="79"/>
      <c r="V275" s="395" t="s">
        <v>50</v>
      </c>
      <c r="W275" s="69"/>
      <c r="X275" s="381"/>
      <c r="Y275" s="382"/>
      <c r="Z275" s="383"/>
      <c r="AA275" s="130"/>
    </row>
    <row r="276" spans="1:27" ht="13.8">
      <c r="A276" s="16"/>
      <c r="B276" s="46"/>
      <c r="C276" s="47"/>
      <c r="D276" s="244"/>
      <c r="E276" s="244"/>
      <c r="F276" s="324" t="s">
        <v>399</v>
      </c>
      <c r="G276" s="79"/>
      <c r="H276" s="79"/>
      <c r="I276" s="79"/>
      <c r="J276" s="79"/>
      <c r="K276" s="79"/>
      <c r="L276" s="79"/>
      <c r="M276" s="79"/>
      <c r="N276" s="79"/>
      <c r="O276" s="79"/>
      <c r="P276" s="79"/>
      <c r="Q276" s="79"/>
      <c r="R276" s="79"/>
      <c r="S276" s="79"/>
      <c r="T276" s="79"/>
      <c r="U276" s="79"/>
      <c r="V276" s="395" t="s">
        <v>50</v>
      </c>
      <c r="W276" s="69"/>
      <c r="X276" s="381"/>
      <c r="Y276" s="382"/>
      <c r="Z276" s="383"/>
      <c r="AA276" s="130"/>
    </row>
    <row r="277" spans="1:27" ht="13.8">
      <c r="A277" s="16"/>
      <c r="B277" s="46"/>
      <c r="C277" s="47"/>
      <c r="D277" s="244"/>
      <c r="E277" s="244"/>
      <c r="F277" s="324" t="s">
        <v>400</v>
      </c>
      <c r="G277" s="79"/>
      <c r="H277" s="79"/>
      <c r="I277" s="79"/>
      <c r="J277" s="79"/>
      <c r="K277" s="79"/>
      <c r="L277" s="79"/>
      <c r="M277" s="79"/>
      <c r="N277" s="79"/>
      <c r="O277" s="79"/>
      <c r="P277" s="79"/>
      <c r="Q277" s="79"/>
      <c r="R277" s="79"/>
      <c r="S277" s="79"/>
      <c r="T277" s="79"/>
      <c r="U277" s="79"/>
      <c r="V277" s="395" t="s">
        <v>50</v>
      </c>
      <c r="W277" s="69"/>
      <c r="X277" s="381"/>
      <c r="Y277" s="382"/>
      <c r="Z277" s="383"/>
      <c r="AA277" s="130"/>
    </row>
    <row r="278" spans="1:27" ht="13.8">
      <c r="A278" s="16"/>
      <c r="B278" s="46"/>
      <c r="C278" s="47"/>
      <c r="D278" s="244"/>
      <c r="E278" s="244"/>
      <c r="F278" s="325" t="s">
        <v>401</v>
      </c>
      <c r="G278" s="79"/>
      <c r="H278" s="79"/>
      <c r="I278" s="79"/>
      <c r="J278" s="79"/>
      <c r="K278" s="79"/>
      <c r="L278" s="79"/>
      <c r="M278" s="79"/>
      <c r="N278" s="79"/>
      <c r="O278" s="79"/>
      <c r="P278" s="79"/>
      <c r="Q278" s="79"/>
      <c r="R278" s="79"/>
      <c r="S278" s="79"/>
      <c r="T278" s="79"/>
      <c r="U278" s="79"/>
      <c r="V278" s="395" t="s">
        <v>50</v>
      </c>
      <c r="W278" s="69"/>
      <c r="X278" s="381"/>
      <c r="Y278" s="382"/>
      <c r="Z278" s="383"/>
      <c r="AA278" s="130"/>
    </row>
    <row r="279" spans="1:27" ht="13.8">
      <c r="A279" s="16"/>
      <c r="B279" s="46"/>
      <c r="C279" s="47"/>
      <c r="D279" s="244"/>
      <c r="E279" s="244"/>
      <c r="F279" s="324" t="s">
        <v>402</v>
      </c>
      <c r="G279" s="79"/>
      <c r="H279" s="79"/>
      <c r="I279" s="79"/>
      <c r="J279" s="79"/>
      <c r="K279" s="79"/>
      <c r="L279" s="79"/>
      <c r="M279" s="79"/>
      <c r="N279" s="79"/>
      <c r="O279" s="79"/>
      <c r="P279" s="79"/>
      <c r="Q279" s="79"/>
      <c r="R279" s="79"/>
      <c r="S279" s="79"/>
      <c r="T279" s="79"/>
      <c r="U279" s="79"/>
      <c r="V279" s="395" t="s">
        <v>50</v>
      </c>
      <c r="W279" s="69"/>
      <c r="X279" s="381"/>
      <c r="Y279" s="382"/>
      <c r="Z279" s="383"/>
      <c r="AA279" s="130"/>
    </row>
    <row r="280" spans="1:27" ht="13.8">
      <c r="A280" s="16"/>
      <c r="B280" s="46"/>
      <c r="C280" s="47"/>
      <c r="D280" s="244"/>
      <c r="E280" s="244"/>
      <c r="F280" s="325" t="s">
        <v>403</v>
      </c>
      <c r="G280" s="79"/>
      <c r="H280" s="79"/>
      <c r="I280" s="79"/>
      <c r="J280" s="79"/>
      <c r="K280" s="79"/>
      <c r="L280" s="79"/>
      <c r="M280" s="79"/>
      <c r="N280" s="79"/>
      <c r="O280" s="79"/>
      <c r="P280" s="79"/>
      <c r="Q280" s="79"/>
      <c r="R280" s="79"/>
      <c r="S280" s="79"/>
      <c r="T280" s="79"/>
      <c r="U280" s="79"/>
      <c r="V280" s="395" t="s">
        <v>50</v>
      </c>
      <c r="W280" s="69"/>
      <c r="X280" s="381"/>
      <c r="Y280" s="382"/>
      <c r="Z280" s="383"/>
      <c r="AA280" s="130"/>
    </row>
    <row r="281" spans="1:27" ht="13.8">
      <c r="A281" s="16"/>
      <c r="B281" s="46"/>
      <c r="C281" s="47"/>
      <c r="D281" s="244"/>
      <c r="E281" s="244"/>
      <c r="F281" s="324" t="s">
        <v>404</v>
      </c>
      <c r="G281" s="79"/>
      <c r="H281" s="79"/>
      <c r="I281" s="79"/>
      <c r="J281" s="79"/>
      <c r="K281" s="79"/>
      <c r="L281" s="79"/>
      <c r="M281" s="79"/>
      <c r="N281" s="79"/>
      <c r="O281" s="79"/>
      <c r="P281" s="79"/>
      <c r="Q281" s="79"/>
      <c r="R281" s="79"/>
      <c r="S281" s="79"/>
      <c r="T281" s="79"/>
      <c r="U281" s="79"/>
      <c r="V281" s="395" t="s">
        <v>50</v>
      </c>
      <c r="W281" s="69"/>
      <c r="X281" s="381"/>
      <c r="Y281" s="382"/>
      <c r="Z281" s="383"/>
      <c r="AA281" s="130"/>
    </row>
    <row r="282" spans="1:27" ht="13.8">
      <c r="A282" s="16"/>
      <c r="B282" s="46"/>
      <c r="C282" s="47"/>
      <c r="D282" s="244"/>
      <c r="E282" s="244"/>
      <c r="F282" s="325" t="s">
        <v>405</v>
      </c>
      <c r="G282" s="79"/>
      <c r="H282" s="79"/>
      <c r="I282" s="79"/>
      <c r="J282" s="79"/>
      <c r="K282" s="79"/>
      <c r="L282" s="79"/>
      <c r="M282" s="79"/>
      <c r="N282" s="79"/>
      <c r="O282" s="79"/>
      <c r="P282" s="79"/>
      <c r="Q282" s="79"/>
      <c r="R282" s="79"/>
      <c r="S282" s="79"/>
      <c r="T282" s="79"/>
      <c r="U282" s="79"/>
      <c r="V282" s="395" t="s">
        <v>50</v>
      </c>
      <c r="W282" s="69"/>
      <c r="X282" s="381"/>
      <c r="Y282" s="382"/>
      <c r="Z282" s="383"/>
      <c r="AA282" s="130"/>
    </row>
    <row r="283" spans="1:27" ht="13.8">
      <c r="A283" s="16"/>
      <c r="B283" s="46"/>
      <c r="C283" s="47"/>
      <c r="D283" s="244"/>
      <c r="E283" s="244"/>
      <c r="F283" s="324" t="s">
        <v>406</v>
      </c>
      <c r="G283" s="79"/>
      <c r="H283" s="79"/>
      <c r="I283" s="79"/>
      <c r="J283" s="79"/>
      <c r="K283" s="79"/>
      <c r="L283" s="79"/>
      <c r="M283" s="79"/>
      <c r="N283" s="79"/>
      <c r="O283" s="79"/>
      <c r="P283" s="79"/>
      <c r="Q283" s="79"/>
      <c r="R283" s="79"/>
      <c r="S283" s="79"/>
      <c r="T283" s="79"/>
      <c r="U283" s="79"/>
      <c r="V283" s="395" t="s">
        <v>50</v>
      </c>
      <c r="W283" s="69"/>
      <c r="X283" s="381"/>
      <c r="Y283" s="382"/>
      <c r="Z283" s="383"/>
      <c r="AA283" s="130"/>
    </row>
    <row r="284" spans="1:27" ht="13.8">
      <c r="A284" s="16"/>
      <c r="B284" s="46"/>
      <c r="C284" s="47"/>
      <c r="D284" s="244"/>
      <c r="E284" s="244"/>
      <c r="F284" s="325" t="s">
        <v>407</v>
      </c>
      <c r="G284" s="79"/>
      <c r="H284" s="79"/>
      <c r="I284" s="79"/>
      <c r="J284" s="79"/>
      <c r="K284" s="79"/>
      <c r="L284" s="79"/>
      <c r="M284" s="79"/>
      <c r="N284" s="79"/>
      <c r="O284" s="79"/>
      <c r="P284" s="79"/>
      <c r="Q284" s="79"/>
      <c r="R284" s="79"/>
      <c r="S284" s="79"/>
      <c r="T284" s="79"/>
      <c r="U284" s="79"/>
      <c r="V284" s="395" t="s">
        <v>50</v>
      </c>
      <c r="W284" s="69"/>
      <c r="X284" s="381"/>
      <c r="Y284" s="382"/>
      <c r="Z284" s="383"/>
      <c r="AA284" s="130"/>
    </row>
    <row r="285" spans="1:27" ht="13.8">
      <c r="A285" s="16"/>
      <c r="B285" s="46"/>
      <c r="C285" s="47"/>
      <c r="D285" s="244"/>
      <c r="E285" s="244"/>
      <c r="F285" s="324" t="s">
        <v>408</v>
      </c>
      <c r="G285" s="79"/>
      <c r="H285" s="79"/>
      <c r="I285" s="79"/>
      <c r="J285" s="79"/>
      <c r="K285" s="79"/>
      <c r="L285" s="79"/>
      <c r="M285" s="79"/>
      <c r="N285" s="79"/>
      <c r="O285" s="79"/>
      <c r="P285" s="79"/>
      <c r="Q285" s="79"/>
      <c r="R285" s="79"/>
      <c r="S285" s="79"/>
      <c r="T285" s="79"/>
      <c r="U285" s="79"/>
      <c r="V285" s="395" t="s">
        <v>50</v>
      </c>
      <c r="W285" s="69"/>
      <c r="X285" s="381"/>
      <c r="Y285" s="382"/>
      <c r="Z285" s="383"/>
      <c r="AA285" s="130"/>
    </row>
    <row r="286" spans="1:27" ht="13.8">
      <c r="A286" s="16"/>
      <c r="B286" s="604"/>
      <c r="C286" s="605"/>
      <c r="D286" s="244"/>
      <c r="E286" s="244"/>
      <c r="F286" s="324" t="s">
        <v>409</v>
      </c>
      <c r="G286" s="79"/>
      <c r="H286" s="79"/>
      <c r="I286" s="79"/>
      <c r="J286" s="79"/>
      <c r="K286" s="79"/>
      <c r="L286" s="79"/>
      <c r="M286" s="79"/>
      <c r="N286" s="79"/>
      <c r="O286" s="79"/>
      <c r="P286" s="79"/>
      <c r="Q286" s="79"/>
      <c r="R286" s="79"/>
      <c r="S286" s="79"/>
      <c r="T286" s="79"/>
      <c r="U286" s="79"/>
      <c r="V286" s="395" t="s">
        <v>50</v>
      </c>
      <c r="W286" s="69"/>
      <c r="X286" s="391"/>
      <c r="Y286" s="382">
        <v>0</v>
      </c>
      <c r="Z286" s="383">
        <v>35</v>
      </c>
      <c r="AA286" s="130"/>
    </row>
    <row r="287" spans="1:27" ht="13.8">
      <c r="A287" s="321"/>
      <c r="B287" s="323"/>
      <c r="C287" s="316"/>
      <c r="D287" s="103"/>
      <c r="E287" s="103"/>
      <c r="F287" s="324"/>
      <c r="G287" s="326"/>
      <c r="H287" s="326"/>
      <c r="I287" s="326"/>
      <c r="J287" s="326"/>
      <c r="K287" s="326"/>
      <c r="L287" s="326"/>
      <c r="M287" s="326"/>
      <c r="N287" s="326"/>
      <c r="O287" s="326"/>
      <c r="P287" s="326"/>
      <c r="Q287" s="326"/>
      <c r="R287" s="326"/>
      <c r="S287" s="326"/>
      <c r="T287" s="326"/>
      <c r="U287" s="326"/>
      <c r="V287" s="410"/>
      <c r="W287" s="130"/>
      <c r="X287" s="409"/>
      <c r="Y287" s="382"/>
      <c r="Z287" s="383"/>
      <c r="AA287" s="130"/>
    </row>
    <row r="288" spans="1:27" ht="13.8">
      <c r="A288" s="16"/>
      <c r="B288" s="323"/>
      <c r="C288" s="316"/>
      <c r="D288" s="60"/>
      <c r="E288" s="60"/>
      <c r="F288" s="327"/>
      <c r="G288" s="550" t="s">
        <v>892</v>
      </c>
      <c r="H288" s="551"/>
      <c r="I288" s="551"/>
      <c r="J288" s="551"/>
      <c r="K288" s="551"/>
      <c r="L288" s="551"/>
      <c r="M288" s="551"/>
      <c r="N288" s="551"/>
      <c r="O288" s="551"/>
      <c r="P288" s="551"/>
      <c r="Q288" s="551"/>
      <c r="R288" s="551"/>
      <c r="S288" s="551"/>
      <c r="T288" s="551"/>
      <c r="U288" s="552"/>
      <c r="V288" s="408"/>
      <c r="W288" s="69"/>
      <c r="X288" s="391"/>
      <c r="Y288" s="382"/>
      <c r="Z288" s="383"/>
      <c r="AA288" s="130"/>
    </row>
    <row r="289" spans="1:27" ht="13.8">
      <c r="A289" s="16"/>
      <c r="B289" s="323"/>
      <c r="C289" s="316"/>
      <c r="D289" s="60"/>
      <c r="E289" s="60"/>
      <c r="F289" s="324" t="s">
        <v>395</v>
      </c>
      <c r="G289" s="79"/>
      <c r="H289" s="79"/>
      <c r="I289" s="79"/>
      <c r="J289" s="79"/>
      <c r="K289" s="79"/>
      <c r="L289" s="79"/>
      <c r="M289" s="79"/>
      <c r="N289" s="79"/>
      <c r="O289" s="79"/>
      <c r="P289" s="79"/>
      <c r="Q289" s="79"/>
      <c r="R289" s="79"/>
      <c r="S289" s="79"/>
      <c r="T289" s="79"/>
      <c r="U289" s="79"/>
      <c r="V289" s="395" t="s">
        <v>292</v>
      </c>
      <c r="W289" s="69"/>
      <c r="X289" s="391"/>
      <c r="Y289" s="382"/>
      <c r="Z289" s="383"/>
      <c r="AA289" s="130"/>
    </row>
    <row r="290" spans="1:27" ht="13.8">
      <c r="A290" s="16"/>
      <c r="B290" s="604"/>
      <c r="C290" s="605"/>
      <c r="D290" s="244"/>
      <c r="E290" s="244"/>
      <c r="F290" s="325" t="s">
        <v>396</v>
      </c>
      <c r="G290" s="79"/>
      <c r="H290" s="79"/>
      <c r="I290" s="79"/>
      <c r="J290" s="79"/>
      <c r="K290" s="79"/>
      <c r="L290" s="79"/>
      <c r="M290" s="79"/>
      <c r="N290" s="79"/>
      <c r="O290" s="79"/>
      <c r="P290" s="79"/>
      <c r="Q290" s="79"/>
      <c r="R290" s="79"/>
      <c r="S290" s="79"/>
      <c r="T290" s="79"/>
      <c r="U290" s="79"/>
      <c r="V290" s="395" t="s">
        <v>292</v>
      </c>
      <c r="W290" s="69"/>
      <c r="X290" s="381"/>
      <c r="Y290" s="382">
        <v>7.5</v>
      </c>
      <c r="Z290" s="383">
        <v>60</v>
      </c>
      <c r="AA290" s="130"/>
    </row>
    <row r="291" spans="1:27" ht="13.8">
      <c r="A291" s="16"/>
      <c r="B291" s="46"/>
      <c r="C291" s="47"/>
      <c r="D291" s="244"/>
      <c r="E291" s="244"/>
      <c r="F291" s="324" t="s">
        <v>397</v>
      </c>
      <c r="G291" s="79"/>
      <c r="H291" s="79"/>
      <c r="I291" s="79"/>
      <c r="J291" s="79"/>
      <c r="K291" s="79"/>
      <c r="L291" s="79"/>
      <c r="M291" s="79"/>
      <c r="N291" s="79"/>
      <c r="O291" s="79"/>
      <c r="P291" s="79"/>
      <c r="Q291" s="79"/>
      <c r="R291" s="79"/>
      <c r="S291" s="79"/>
      <c r="T291" s="79"/>
      <c r="U291" s="79"/>
      <c r="V291" s="395" t="s">
        <v>292</v>
      </c>
      <c r="W291" s="69"/>
      <c r="X291" s="381"/>
      <c r="Y291" s="382"/>
      <c r="Z291" s="383"/>
      <c r="AA291" s="130"/>
    </row>
    <row r="292" spans="1:27" ht="13.8">
      <c r="A292" s="16"/>
      <c r="B292" s="46"/>
      <c r="C292" s="47"/>
      <c r="D292" s="244"/>
      <c r="E292" s="316"/>
      <c r="F292" s="325" t="s">
        <v>398</v>
      </c>
      <c r="G292" s="79"/>
      <c r="H292" s="79"/>
      <c r="I292" s="79"/>
      <c r="J292" s="79"/>
      <c r="K292" s="79"/>
      <c r="L292" s="79"/>
      <c r="M292" s="79"/>
      <c r="N292" s="79"/>
      <c r="O292" s="79"/>
      <c r="P292" s="79"/>
      <c r="Q292" s="79"/>
      <c r="R292" s="79"/>
      <c r="S292" s="79"/>
      <c r="T292" s="79"/>
      <c r="U292" s="79"/>
      <c r="V292" s="395" t="s">
        <v>292</v>
      </c>
      <c r="W292" s="69"/>
      <c r="X292" s="381"/>
      <c r="Y292" s="382"/>
      <c r="Z292" s="383"/>
      <c r="AA292" s="130"/>
    </row>
    <row r="293" spans="1:27" ht="13.8">
      <c r="A293" s="16"/>
      <c r="B293" s="46"/>
      <c r="C293" s="47"/>
      <c r="D293" s="244"/>
      <c r="E293" s="244"/>
      <c r="F293" s="324" t="s">
        <v>399</v>
      </c>
      <c r="G293" s="79"/>
      <c r="H293" s="79"/>
      <c r="I293" s="79"/>
      <c r="J293" s="79"/>
      <c r="K293" s="79"/>
      <c r="L293" s="79"/>
      <c r="M293" s="79"/>
      <c r="N293" s="79"/>
      <c r="O293" s="79"/>
      <c r="P293" s="79"/>
      <c r="Q293" s="79"/>
      <c r="R293" s="79"/>
      <c r="S293" s="79"/>
      <c r="T293" s="79"/>
      <c r="U293" s="79"/>
      <c r="V293" s="395" t="s">
        <v>292</v>
      </c>
      <c r="W293" s="69"/>
      <c r="X293" s="381"/>
      <c r="Y293" s="382"/>
      <c r="Z293" s="383"/>
      <c r="AA293" s="130"/>
    </row>
    <row r="294" spans="1:27" ht="13.8">
      <c r="A294" s="16"/>
      <c r="B294" s="46"/>
      <c r="C294" s="47"/>
      <c r="D294" s="244"/>
      <c r="E294" s="244"/>
      <c r="F294" s="324" t="s">
        <v>400</v>
      </c>
      <c r="G294" s="79"/>
      <c r="H294" s="79"/>
      <c r="I294" s="79"/>
      <c r="J294" s="79"/>
      <c r="K294" s="79"/>
      <c r="L294" s="79"/>
      <c r="M294" s="79"/>
      <c r="N294" s="79"/>
      <c r="O294" s="79"/>
      <c r="P294" s="79"/>
      <c r="Q294" s="79"/>
      <c r="R294" s="79"/>
      <c r="S294" s="79"/>
      <c r="T294" s="79"/>
      <c r="U294" s="79"/>
      <c r="V294" s="395" t="s">
        <v>292</v>
      </c>
      <c r="W294" s="69"/>
      <c r="X294" s="381"/>
      <c r="Y294" s="382"/>
      <c r="Z294" s="383"/>
      <c r="AA294" s="130"/>
    </row>
    <row r="295" spans="1:27" ht="13.8">
      <c r="A295" s="16"/>
      <c r="B295" s="46"/>
      <c r="C295" s="47"/>
      <c r="D295" s="244"/>
      <c r="E295" s="244"/>
      <c r="F295" s="325" t="s">
        <v>401</v>
      </c>
      <c r="G295" s="79"/>
      <c r="H295" s="79"/>
      <c r="I295" s="79"/>
      <c r="J295" s="79"/>
      <c r="K295" s="79"/>
      <c r="L295" s="79"/>
      <c r="M295" s="79"/>
      <c r="N295" s="79"/>
      <c r="O295" s="79"/>
      <c r="P295" s="79"/>
      <c r="Q295" s="79"/>
      <c r="R295" s="79"/>
      <c r="S295" s="79"/>
      <c r="T295" s="79"/>
      <c r="U295" s="79"/>
      <c r="V295" s="395" t="s">
        <v>292</v>
      </c>
      <c r="W295" s="69"/>
      <c r="X295" s="381"/>
      <c r="Y295" s="382"/>
      <c r="Z295" s="383"/>
      <c r="AA295" s="130"/>
    </row>
    <row r="296" spans="1:27" ht="13.8">
      <c r="A296" s="16"/>
      <c r="B296" s="46"/>
      <c r="C296" s="47"/>
      <c r="D296" s="244"/>
      <c r="E296" s="244"/>
      <c r="F296" s="324" t="s">
        <v>402</v>
      </c>
      <c r="G296" s="79"/>
      <c r="H296" s="79"/>
      <c r="I296" s="79"/>
      <c r="J296" s="79"/>
      <c r="K296" s="79"/>
      <c r="L296" s="79"/>
      <c r="M296" s="79"/>
      <c r="N296" s="79"/>
      <c r="O296" s="79"/>
      <c r="P296" s="79"/>
      <c r="Q296" s="79"/>
      <c r="R296" s="79"/>
      <c r="S296" s="79"/>
      <c r="T296" s="79"/>
      <c r="U296" s="79"/>
      <c r="V296" s="395" t="s">
        <v>292</v>
      </c>
      <c r="W296" s="69"/>
      <c r="X296" s="381"/>
      <c r="Y296" s="382"/>
      <c r="Z296" s="383"/>
      <c r="AA296" s="130"/>
    </row>
    <row r="297" spans="1:27" ht="13.8">
      <c r="A297" s="16"/>
      <c r="B297" s="46"/>
      <c r="C297" s="47"/>
      <c r="D297" s="244"/>
      <c r="E297" s="244"/>
      <c r="F297" s="325" t="s">
        <v>403</v>
      </c>
      <c r="G297" s="79"/>
      <c r="H297" s="79"/>
      <c r="I297" s="79"/>
      <c r="J297" s="79"/>
      <c r="K297" s="79"/>
      <c r="L297" s="79"/>
      <c r="M297" s="79"/>
      <c r="N297" s="79"/>
      <c r="O297" s="79"/>
      <c r="P297" s="79"/>
      <c r="Q297" s="79"/>
      <c r="R297" s="79"/>
      <c r="S297" s="79"/>
      <c r="T297" s="79"/>
      <c r="U297" s="79"/>
      <c r="V297" s="395" t="s">
        <v>292</v>
      </c>
      <c r="W297" s="69"/>
      <c r="X297" s="381"/>
      <c r="Y297" s="382"/>
      <c r="Z297" s="383"/>
      <c r="AA297" s="130"/>
    </row>
    <row r="298" spans="1:27" ht="13.8">
      <c r="A298" s="16"/>
      <c r="B298" s="46"/>
      <c r="C298" s="47"/>
      <c r="D298" s="244"/>
      <c r="E298" s="244"/>
      <c r="F298" s="324" t="s">
        <v>404</v>
      </c>
      <c r="G298" s="79"/>
      <c r="H298" s="79"/>
      <c r="I298" s="79"/>
      <c r="J298" s="79"/>
      <c r="K298" s="79"/>
      <c r="L298" s="79"/>
      <c r="M298" s="79"/>
      <c r="N298" s="79"/>
      <c r="O298" s="79"/>
      <c r="P298" s="79"/>
      <c r="Q298" s="79"/>
      <c r="R298" s="79"/>
      <c r="S298" s="79"/>
      <c r="T298" s="79"/>
      <c r="U298" s="79"/>
      <c r="V298" s="395" t="s">
        <v>292</v>
      </c>
      <c r="W298" s="69"/>
      <c r="X298" s="381"/>
      <c r="Y298" s="382"/>
      <c r="Z298" s="383"/>
      <c r="AA298" s="130"/>
    </row>
    <row r="299" spans="1:27" ht="13.8">
      <c r="A299" s="16"/>
      <c r="B299" s="46"/>
      <c r="C299" s="47"/>
      <c r="D299" s="244"/>
      <c r="E299" s="244"/>
      <c r="F299" s="325" t="s">
        <v>405</v>
      </c>
      <c r="G299" s="79"/>
      <c r="H299" s="79"/>
      <c r="I299" s="79"/>
      <c r="J299" s="79"/>
      <c r="K299" s="79"/>
      <c r="L299" s="79"/>
      <c r="M299" s="79"/>
      <c r="N299" s="79"/>
      <c r="O299" s="79"/>
      <c r="P299" s="79"/>
      <c r="Q299" s="79"/>
      <c r="R299" s="79"/>
      <c r="S299" s="79"/>
      <c r="T299" s="79"/>
      <c r="U299" s="79"/>
      <c r="V299" s="395" t="s">
        <v>292</v>
      </c>
      <c r="W299" s="69"/>
      <c r="X299" s="381"/>
      <c r="Y299" s="382"/>
      <c r="Z299" s="383"/>
      <c r="AA299" s="130"/>
    </row>
    <row r="300" spans="1:27" ht="13.8">
      <c r="A300" s="16"/>
      <c r="B300" s="46"/>
      <c r="C300" s="47"/>
      <c r="D300" s="244"/>
      <c r="E300" s="244"/>
      <c r="F300" s="324" t="s">
        <v>406</v>
      </c>
      <c r="G300" s="79"/>
      <c r="H300" s="79"/>
      <c r="I300" s="79"/>
      <c r="J300" s="79"/>
      <c r="K300" s="79"/>
      <c r="L300" s="79"/>
      <c r="M300" s="79"/>
      <c r="N300" s="79"/>
      <c r="O300" s="79"/>
      <c r="P300" s="79"/>
      <c r="Q300" s="79"/>
      <c r="R300" s="79"/>
      <c r="S300" s="79"/>
      <c r="T300" s="79"/>
      <c r="U300" s="79"/>
      <c r="V300" s="395" t="s">
        <v>292</v>
      </c>
      <c r="W300" s="69"/>
      <c r="X300" s="381"/>
      <c r="Y300" s="382"/>
      <c r="Z300" s="383"/>
      <c r="AA300" s="130"/>
    </row>
    <row r="301" spans="1:27" ht="13.8">
      <c r="A301" s="16"/>
      <c r="B301" s="46"/>
      <c r="C301" s="47"/>
      <c r="D301" s="244"/>
      <c r="E301" s="244"/>
      <c r="F301" s="325" t="s">
        <v>407</v>
      </c>
      <c r="G301" s="79"/>
      <c r="H301" s="79"/>
      <c r="I301" s="79"/>
      <c r="J301" s="79"/>
      <c r="K301" s="79"/>
      <c r="L301" s="79"/>
      <c r="M301" s="79"/>
      <c r="N301" s="79"/>
      <c r="O301" s="79"/>
      <c r="P301" s="79"/>
      <c r="Q301" s="79"/>
      <c r="R301" s="79"/>
      <c r="S301" s="79"/>
      <c r="T301" s="79"/>
      <c r="U301" s="79"/>
      <c r="V301" s="395" t="s">
        <v>292</v>
      </c>
      <c r="W301" s="69"/>
      <c r="X301" s="381"/>
      <c r="Y301" s="382"/>
      <c r="Z301" s="383"/>
      <c r="AA301" s="130"/>
    </row>
    <row r="302" spans="1:27" ht="13.8">
      <c r="A302" s="16"/>
      <c r="B302" s="46"/>
      <c r="C302" s="47"/>
      <c r="D302" s="244"/>
      <c r="E302" s="244"/>
      <c r="F302" s="324" t="s">
        <v>408</v>
      </c>
      <c r="G302" s="79"/>
      <c r="H302" s="79"/>
      <c r="I302" s="79"/>
      <c r="J302" s="79"/>
      <c r="K302" s="79"/>
      <c r="L302" s="79"/>
      <c r="M302" s="79"/>
      <c r="N302" s="79"/>
      <c r="O302" s="79"/>
      <c r="P302" s="79"/>
      <c r="Q302" s="79"/>
      <c r="R302" s="79"/>
      <c r="S302" s="79"/>
      <c r="T302" s="79"/>
      <c r="U302" s="79"/>
      <c r="V302" s="395" t="s">
        <v>292</v>
      </c>
      <c r="W302" s="69"/>
      <c r="X302" s="381"/>
      <c r="Y302" s="382"/>
      <c r="Z302" s="383"/>
      <c r="AA302" s="130"/>
    </row>
    <row r="303" spans="1:27" ht="13.8">
      <c r="A303" s="16"/>
      <c r="B303" s="604"/>
      <c r="C303" s="605"/>
      <c r="D303" s="244"/>
      <c r="E303" s="244"/>
      <c r="F303" s="324" t="s">
        <v>409</v>
      </c>
      <c r="G303" s="79"/>
      <c r="H303" s="79"/>
      <c r="I303" s="79"/>
      <c r="J303" s="79"/>
      <c r="K303" s="79"/>
      <c r="L303" s="79"/>
      <c r="M303" s="79"/>
      <c r="N303" s="79"/>
      <c r="O303" s="79"/>
      <c r="P303" s="79"/>
      <c r="Q303" s="79"/>
      <c r="R303" s="79"/>
      <c r="S303" s="79"/>
      <c r="T303" s="79"/>
      <c r="U303" s="79"/>
      <c r="V303" s="395" t="s">
        <v>292</v>
      </c>
      <c r="W303" s="69"/>
      <c r="X303" s="391"/>
      <c r="Y303" s="382">
        <v>0</v>
      </c>
      <c r="Z303" s="383">
        <v>35</v>
      </c>
      <c r="AA303" s="130"/>
    </row>
    <row r="304" spans="1:27" ht="14.4" thickBot="1">
      <c r="A304" s="16"/>
      <c r="B304" s="329"/>
      <c r="C304" s="320"/>
      <c r="D304" s="296"/>
      <c r="E304" s="296"/>
      <c r="F304" s="122"/>
      <c r="G304" s="347"/>
      <c r="H304" s="347"/>
      <c r="I304" s="347"/>
      <c r="J304" s="347"/>
      <c r="K304" s="347"/>
      <c r="L304" s="347"/>
      <c r="M304" s="347"/>
      <c r="N304" s="347"/>
      <c r="O304" s="347"/>
      <c r="P304" s="347"/>
      <c r="Q304" s="347"/>
      <c r="R304" s="347"/>
      <c r="S304" s="347"/>
      <c r="T304" s="347"/>
      <c r="U304" s="347"/>
      <c r="V304" s="411"/>
      <c r="W304" s="69"/>
      <c r="X304" s="391"/>
      <c r="Y304" s="382"/>
      <c r="Z304" s="383"/>
      <c r="AA304" s="130"/>
    </row>
    <row r="305" spans="1:27" ht="14.4" thickBot="1">
      <c r="A305" s="16"/>
      <c r="B305" s="320"/>
      <c r="C305" s="316"/>
      <c r="D305" s="60"/>
      <c r="E305" s="60"/>
      <c r="G305" s="346"/>
      <c r="H305" s="346"/>
      <c r="I305" s="346"/>
      <c r="J305" s="346"/>
      <c r="K305" s="346"/>
      <c r="L305" s="346"/>
      <c r="M305" s="346"/>
      <c r="N305" s="346"/>
      <c r="O305" s="346"/>
      <c r="P305" s="346"/>
      <c r="Q305" s="346"/>
      <c r="R305" s="346"/>
      <c r="S305" s="346"/>
      <c r="T305" s="346"/>
      <c r="U305" s="346"/>
      <c r="V305" s="412"/>
      <c r="W305" s="69"/>
      <c r="X305" s="391"/>
      <c r="Y305" s="382"/>
      <c r="Z305" s="383"/>
      <c r="AA305" s="130"/>
    </row>
    <row r="306" spans="1:27" ht="18" thickBot="1">
      <c r="A306" s="16"/>
      <c r="B306" s="101" t="s">
        <v>223</v>
      </c>
      <c r="C306" s="102"/>
      <c r="D306" s="102"/>
      <c r="E306" s="102"/>
      <c r="F306" s="102"/>
      <c r="G306" s="348" t="s">
        <v>225</v>
      </c>
      <c r="H306" s="343"/>
      <c r="I306" s="349"/>
      <c r="J306" s="343"/>
      <c r="K306" s="343"/>
      <c r="L306" s="343"/>
      <c r="M306" s="343"/>
      <c r="N306" s="343"/>
      <c r="O306" s="343"/>
      <c r="P306" s="343"/>
      <c r="Q306" s="343"/>
      <c r="R306" s="343"/>
      <c r="S306" s="343"/>
      <c r="T306" s="343"/>
      <c r="U306" s="343"/>
      <c r="V306" s="403"/>
      <c r="W306" s="69"/>
      <c r="X306" s="391"/>
      <c r="Y306" s="382"/>
      <c r="Z306" s="383"/>
      <c r="AA306" s="130"/>
    </row>
    <row r="307" spans="1:27" ht="13.8">
      <c r="A307" s="16"/>
      <c r="B307" s="317"/>
      <c r="C307" s="318"/>
      <c r="D307" s="318"/>
      <c r="E307" s="318"/>
      <c r="F307" s="319" t="s">
        <v>131</v>
      </c>
      <c r="G307" s="350" t="str">
        <f>$G$44</f>
        <v>L 2WD NAO 2ROW</v>
      </c>
      <c r="H307" s="350" t="str">
        <f>$H$44</f>
        <v>L 4WD NAO 2ROW US</v>
      </c>
      <c r="I307" s="350" t="str">
        <f>$I$44</f>
        <v>L 4WD NAO 2ROW</v>
      </c>
      <c r="J307" s="350" t="str">
        <f>$J$44</f>
        <v>L 4WD NAO 3ROW</v>
      </c>
      <c r="K307" s="350" t="str">
        <f>$K$44</f>
        <v>R 2WD NAO 2ROW</v>
      </c>
      <c r="L307" s="350" t="str">
        <f>$L$44</f>
        <v>R 4WD NAO 2ROW</v>
      </c>
      <c r="M307" s="350" t="str">
        <f>$M$44</f>
        <v>R 4WD NAO 3ROW</v>
      </c>
      <c r="N307" s="350" t="str">
        <f>$N$44</f>
        <v/>
      </c>
      <c r="O307" s="350" t="str">
        <f>$O$44</f>
        <v/>
      </c>
      <c r="P307" s="350" t="str">
        <f>$P$44</f>
        <v/>
      </c>
      <c r="Q307" s="350" t="str">
        <f>$Q$44</f>
        <v/>
      </c>
      <c r="R307" s="350" t="str">
        <f>$R$44</f>
        <v/>
      </c>
      <c r="S307" s="350" t="str">
        <f>$S$44</f>
        <v/>
      </c>
      <c r="T307" s="350" t="str">
        <f>$T$44</f>
        <v/>
      </c>
      <c r="U307" s="350" t="str">
        <f>$U$44</f>
        <v/>
      </c>
      <c r="V307" s="413"/>
      <c r="W307" s="69"/>
      <c r="X307" s="391"/>
      <c r="Y307" s="382"/>
      <c r="Z307" s="383"/>
      <c r="AA307" s="130"/>
    </row>
    <row r="308" spans="1:27" ht="13.8">
      <c r="A308" s="16"/>
      <c r="B308" s="606" t="s">
        <v>293</v>
      </c>
      <c r="C308" s="607"/>
      <c r="D308" s="168" t="s">
        <v>46</v>
      </c>
      <c r="E308" s="168"/>
      <c r="F308" s="588" t="s">
        <v>1180</v>
      </c>
      <c r="G308" s="257"/>
      <c r="H308" s="257"/>
      <c r="I308" s="257"/>
      <c r="J308" s="257"/>
      <c r="K308" s="257"/>
      <c r="L308" s="257"/>
      <c r="M308" s="257"/>
      <c r="N308" s="257"/>
      <c r="O308" s="257"/>
      <c r="P308" s="257"/>
      <c r="Q308" s="257"/>
      <c r="R308" s="257"/>
      <c r="S308" s="257"/>
      <c r="T308" s="257"/>
      <c r="U308" s="257"/>
      <c r="V308" s="145" t="s">
        <v>46</v>
      </c>
      <c r="W308" s="5"/>
      <c r="X308" s="13"/>
      <c r="Y308" s="7"/>
    </row>
    <row r="309" spans="1:27" ht="13.8">
      <c r="A309" s="16"/>
      <c r="B309" s="621" t="s">
        <v>337</v>
      </c>
      <c r="C309" s="622"/>
      <c r="D309" s="253"/>
      <c r="E309" s="253"/>
      <c r="F309" s="253"/>
      <c r="G309" s="351"/>
      <c r="H309" s="351"/>
      <c r="I309" s="351"/>
      <c r="J309" s="351"/>
      <c r="K309" s="351"/>
      <c r="L309" s="351"/>
      <c r="M309" s="351"/>
      <c r="N309" s="351"/>
      <c r="O309" s="351"/>
      <c r="P309" s="351"/>
      <c r="Q309" s="351"/>
      <c r="R309" s="351"/>
      <c r="S309" s="351"/>
      <c r="T309" s="351"/>
      <c r="U309" s="351"/>
      <c r="V309" s="414"/>
      <c r="W309" s="69"/>
      <c r="X309" s="391"/>
      <c r="Y309" s="382"/>
      <c r="Z309" s="383"/>
      <c r="AA309" s="130"/>
    </row>
    <row r="310" spans="1:27" ht="13.8">
      <c r="A310" s="16"/>
      <c r="B310" s="623"/>
      <c r="C310" s="624"/>
      <c r="D310" s="624"/>
      <c r="E310" s="163" t="s">
        <v>478</v>
      </c>
      <c r="F310" s="41" t="s">
        <v>40</v>
      </c>
      <c r="G310" s="352" t="s">
        <v>516</v>
      </c>
      <c r="H310" s="353"/>
      <c r="I310" s="353"/>
      <c r="J310" s="353"/>
      <c r="K310" s="353"/>
      <c r="L310" s="353"/>
      <c r="M310" s="353"/>
      <c r="N310" s="353"/>
      <c r="O310" s="353"/>
      <c r="P310" s="353"/>
      <c r="Q310" s="353"/>
      <c r="R310" s="353"/>
      <c r="S310" s="353"/>
      <c r="T310" s="353"/>
      <c r="U310" s="353"/>
      <c r="V310" s="388" t="s">
        <v>42</v>
      </c>
      <c r="W310" s="69"/>
      <c r="X310" s="391"/>
      <c r="Y310" s="382"/>
      <c r="Z310" s="383"/>
      <c r="AA310" s="130"/>
    </row>
    <row r="311" spans="1:27" ht="13.8">
      <c r="A311" s="16"/>
      <c r="B311" s="629"/>
      <c r="C311" s="630"/>
      <c r="D311" s="630"/>
      <c r="E311" s="431" t="str">
        <f t="shared" ref="E311:E323" si="8">IF(G311="","check",IF(MIN(G311:U311)&lt;Y311,"Attention," &amp;CHAR(10)&amp;"one of your parameters is below the usual range: "&amp;Y311&amp;D311,IF(MAX(G311:U311)&gt;Z311,"Attention," &amp;CHAR(10)&amp;" one of your parameters is above the usual range: "&amp;Z311&amp;D311,"check")))</f>
        <v>check</v>
      </c>
      <c r="F311" s="106">
        <v>0</v>
      </c>
      <c r="G311" s="519">
        <v>0</v>
      </c>
      <c r="H311" s="519">
        <v>0</v>
      </c>
      <c r="I311" s="519">
        <v>0</v>
      </c>
      <c r="J311" s="519">
        <v>0</v>
      </c>
      <c r="K311" s="519">
        <v>0</v>
      </c>
      <c r="L311" s="519">
        <v>0</v>
      </c>
      <c r="M311" s="519">
        <v>0</v>
      </c>
      <c r="N311" s="519">
        <v>0</v>
      </c>
      <c r="O311" s="519">
        <v>0</v>
      </c>
      <c r="P311" s="519">
        <v>0</v>
      </c>
      <c r="Q311" s="519">
        <v>0</v>
      </c>
      <c r="R311" s="519">
        <v>0</v>
      </c>
      <c r="S311" s="519">
        <v>0</v>
      </c>
      <c r="T311" s="519">
        <v>0</v>
      </c>
      <c r="U311" s="519">
        <v>0</v>
      </c>
      <c r="V311" s="405" t="s">
        <v>41</v>
      </c>
      <c r="W311" s="69"/>
      <c r="X311" s="391"/>
      <c r="Y311" s="382">
        <v>0</v>
      </c>
      <c r="Z311" s="383">
        <v>0</v>
      </c>
      <c r="AA311" s="130"/>
    </row>
    <row r="312" spans="1:27" ht="13.8">
      <c r="A312" s="16"/>
      <c r="B312" s="627"/>
      <c r="C312" s="628"/>
      <c r="D312" s="628"/>
      <c r="E312" s="431" t="str">
        <f t="shared" si="8"/>
        <v>check</v>
      </c>
      <c r="F312" s="106">
        <v>2</v>
      </c>
      <c r="G312" s="519">
        <v>0.34</v>
      </c>
      <c r="H312" s="519">
        <v>0.34</v>
      </c>
      <c r="I312" s="519">
        <v>0.34</v>
      </c>
      <c r="J312" s="519">
        <v>0.34</v>
      </c>
      <c r="K312" s="519">
        <v>0.34</v>
      </c>
      <c r="L312" s="519">
        <v>0.34</v>
      </c>
      <c r="M312" s="519">
        <v>0.34</v>
      </c>
      <c r="N312" s="519"/>
      <c r="O312" s="519"/>
      <c r="P312" s="519"/>
      <c r="Q312" s="519"/>
      <c r="R312" s="519"/>
      <c r="S312" s="519"/>
      <c r="T312" s="519"/>
      <c r="U312" s="519"/>
      <c r="V312" s="405" t="s">
        <v>41</v>
      </c>
      <c r="W312" s="69"/>
      <c r="X312" s="391"/>
      <c r="Y312" s="382">
        <v>1E-3</v>
      </c>
      <c r="Z312" s="383">
        <v>0.5</v>
      </c>
      <c r="AA312" s="130"/>
    </row>
    <row r="313" spans="1:27" ht="13.8">
      <c r="A313" s="16"/>
      <c r="B313" s="627"/>
      <c r="C313" s="628"/>
      <c r="D313" s="628"/>
      <c r="E313" s="431" t="str">
        <f t="shared" si="8"/>
        <v>check</v>
      </c>
      <c r="F313" s="106">
        <v>5</v>
      </c>
      <c r="G313" s="519">
        <v>0.56999999999999995</v>
      </c>
      <c r="H313" s="519">
        <v>0.56999999999999995</v>
      </c>
      <c r="I313" s="519">
        <v>0.56999999999999995</v>
      </c>
      <c r="J313" s="519">
        <v>0.56999999999999995</v>
      </c>
      <c r="K313" s="519">
        <v>0.56999999999999995</v>
      </c>
      <c r="L313" s="519">
        <v>0.56999999999999995</v>
      </c>
      <c r="M313" s="519">
        <v>0.56999999999999995</v>
      </c>
      <c r="N313" s="519"/>
      <c r="O313" s="519"/>
      <c r="P313" s="519"/>
      <c r="Q313" s="519"/>
      <c r="R313" s="519"/>
      <c r="S313" s="519"/>
      <c r="T313" s="519"/>
      <c r="U313" s="519"/>
      <c r="V313" s="405" t="s">
        <v>41</v>
      </c>
      <c r="W313" s="69"/>
      <c r="X313" s="391"/>
      <c r="Y313" s="382">
        <v>6.8000000000000005E-2</v>
      </c>
      <c r="Z313" s="383">
        <v>0.9</v>
      </c>
      <c r="AA313" s="130"/>
    </row>
    <row r="314" spans="1:27" ht="13.8">
      <c r="A314" s="16"/>
      <c r="B314" s="42"/>
      <c r="C314" s="5"/>
      <c r="D314" s="5"/>
      <c r="E314" s="431" t="str">
        <f t="shared" si="8"/>
        <v>check</v>
      </c>
      <c r="F314" s="106">
        <v>10</v>
      </c>
      <c r="G314" s="519">
        <v>0.84</v>
      </c>
      <c r="H314" s="519">
        <v>0.84</v>
      </c>
      <c r="I314" s="519">
        <v>0.84</v>
      </c>
      <c r="J314" s="519">
        <v>0.84</v>
      </c>
      <c r="K314" s="519">
        <v>0.84</v>
      </c>
      <c r="L314" s="519">
        <v>0.84</v>
      </c>
      <c r="M314" s="519">
        <v>0.84</v>
      </c>
      <c r="N314" s="519"/>
      <c r="O314" s="519"/>
      <c r="P314" s="519"/>
      <c r="Q314" s="519"/>
      <c r="R314" s="519"/>
      <c r="S314" s="519"/>
      <c r="T314" s="519"/>
      <c r="U314" s="519"/>
      <c r="V314" s="405" t="s">
        <v>41</v>
      </c>
      <c r="W314" s="69"/>
      <c r="X314" s="391"/>
      <c r="Y314" s="382">
        <v>0.13</v>
      </c>
      <c r="Z314" s="383">
        <v>1.35</v>
      </c>
      <c r="AA314" s="130"/>
    </row>
    <row r="315" spans="1:27" ht="13.8">
      <c r="A315" s="16"/>
      <c r="B315" s="42"/>
      <c r="C315" s="5"/>
      <c r="D315" s="5"/>
      <c r="E315" s="431" t="str">
        <f t="shared" si="8"/>
        <v>check</v>
      </c>
      <c r="F315" s="106">
        <v>15</v>
      </c>
      <c r="G315" s="519">
        <v>1.05</v>
      </c>
      <c r="H315" s="519">
        <v>1.05</v>
      </c>
      <c r="I315" s="519">
        <v>1.05</v>
      </c>
      <c r="J315" s="519">
        <v>1.05</v>
      </c>
      <c r="K315" s="519">
        <v>1.05</v>
      </c>
      <c r="L315" s="519">
        <v>1.05</v>
      </c>
      <c r="M315" s="519">
        <v>1.05</v>
      </c>
      <c r="N315" s="519"/>
      <c r="O315" s="519"/>
      <c r="P315" s="519"/>
      <c r="Q315" s="519"/>
      <c r="R315" s="519"/>
      <c r="S315" s="519"/>
      <c r="T315" s="519"/>
      <c r="U315" s="519"/>
      <c r="V315" s="405" t="s">
        <v>41</v>
      </c>
      <c r="W315" s="69"/>
      <c r="X315" s="391"/>
      <c r="Y315" s="382">
        <v>0.19</v>
      </c>
      <c r="Z315" s="383">
        <v>1.7</v>
      </c>
      <c r="AA315" s="130"/>
    </row>
    <row r="316" spans="1:27" ht="13.8">
      <c r="A316" s="16"/>
      <c r="B316" s="42"/>
      <c r="C316" s="5"/>
      <c r="D316" s="5"/>
      <c r="E316" s="431" t="str">
        <f t="shared" si="8"/>
        <v>check</v>
      </c>
      <c r="F316" s="106">
        <v>20</v>
      </c>
      <c r="G316" s="519">
        <v>1.22</v>
      </c>
      <c r="H316" s="519">
        <v>1.22</v>
      </c>
      <c r="I316" s="519">
        <v>1.22</v>
      </c>
      <c r="J316" s="519">
        <v>1.22</v>
      </c>
      <c r="K316" s="519">
        <v>1.22</v>
      </c>
      <c r="L316" s="519">
        <v>1.22</v>
      </c>
      <c r="M316" s="519">
        <v>1.22</v>
      </c>
      <c r="N316" s="519"/>
      <c r="O316" s="519"/>
      <c r="P316" s="519"/>
      <c r="Q316" s="519"/>
      <c r="R316" s="519"/>
      <c r="S316" s="519"/>
      <c r="T316" s="519"/>
      <c r="U316" s="519"/>
      <c r="V316" s="405" t="s">
        <v>41</v>
      </c>
      <c r="W316" s="69"/>
      <c r="X316" s="391"/>
      <c r="Y316" s="382">
        <v>0.25</v>
      </c>
      <c r="Z316" s="383">
        <v>2</v>
      </c>
      <c r="AA316" s="130"/>
    </row>
    <row r="317" spans="1:27" ht="13.8">
      <c r="A317" s="16"/>
      <c r="B317" s="42"/>
      <c r="C317" s="5"/>
      <c r="D317" s="5"/>
      <c r="E317" s="431" t="str">
        <f t="shared" si="8"/>
        <v>check</v>
      </c>
      <c r="F317" s="106">
        <v>30</v>
      </c>
      <c r="G317" s="519">
        <v>1.53</v>
      </c>
      <c r="H317" s="519">
        <v>1.53</v>
      </c>
      <c r="I317" s="519">
        <v>1.53</v>
      </c>
      <c r="J317" s="519">
        <v>1.53</v>
      </c>
      <c r="K317" s="519">
        <v>1.53</v>
      </c>
      <c r="L317" s="519">
        <v>1.53</v>
      </c>
      <c r="M317" s="519">
        <v>1.53</v>
      </c>
      <c r="N317" s="519"/>
      <c r="O317" s="519"/>
      <c r="P317" s="519"/>
      <c r="Q317" s="519"/>
      <c r="R317" s="519"/>
      <c r="S317" s="519"/>
      <c r="T317" s="519"/>
      <c r="U317" s="519"/>
      <c r="V317" s="405" t="s">
        <v>41</v>
      </c>
      <c r="W317" s="69"/>
      <c r="X317" s="391"/>
      <c r="Y317" s="382">
        <v>0.37</v>
      </c>
      <c r="Z317" s="383">
        <v>2.6</v>
      </c>
      <c r="AA317" s="130"/>
    </row>
    <row r="318" spans="1:27" ht="13.8">
      <c r="A318" s="16"/>
      <c r="B318" s="42"/>
      <c r="C318" s="5"/>
      <c r="D318" s="5"/>
      <c r="E318" s="431" t="str">
        <f t="shared" si="8"/>
        <v>check</v>
      </c>
      <c r="F318" s="106">
        <v>60</v>
      </c>
      <c r="G318" s="519">
        <v>2.25</v>
      </c>
      <c r="H318" s="519">
        <v>2.25</v>
      </c>
      <c r="I318" s="519">
        <v>2.25</v>
      </c>
      <c r="J318" s="519">
        <v>2.25</v>
      </c>
      <c r="K318" s="519">
        <v>2.25</v>
      </c>
      <c r="L318" s="519">
        <v>2.25</v>
      </c>
      <c r="M318" s="519">
        <v>2.25</v>
      </c>
      <c r="N318" s="519"/>
      <c r="O318" s="519"/>
      <c r="P318" s="519"/>
      <c r="Q318" s="519"/>
      <c r="R318" s="519"/>
      <c r="S318" s="519"/>
      <c r="T318" s="519"/>
      <c r="U318" s="519"/>
      <c r="V318" s="405" t="s">
        <v>41</v>
      </c>
      <c r="W318" s="69"/>
      <c r="X318" s="391"/>
      <c r="Y318" s="382">
        <v>0.7</v>
      </c>
      <c r="Z318" s="383">
        <v>4</v>
      </c>
      <c r="AA318" s="130"/>
    </row>
    <row r="319" spans="1:27" ht="13.8">
      <c r="A319" s="16"/>
      <c r="B319" s="42"/>
      <c r="C319" s="5"/>
      <c r="D319" s="5"/>
      <c r="E319" s="431" t="str">
        <f t="shared" si="8"/>
        <v>check</v>
      </c>
      <c r="F319" s="106">
        <v>80</v>
      </c>
      <c r="G319" s="519">
        <v>2.66</v>
      </c>
      <c r="H319" s="519">
        <v>2.66</v>
      </c>
      <c r="I319" s="519">
        <v>2.66</v>
      </c>
      <c r="J319" s="519">
        <v>2.66</v>
      </c>
      <c r="K319" s="519">
        <v>2.66</v>
      </c>
      <c r="L319" s="519">
        <v>2.66</v>
      </c>
      <c r="M319" s="519">
        <v>2.66</v>
      </c>
      <c r="N319" s="519"/>
      <c r="O319" s="519"/>
      <c r="P319" s="519"/>
      <c r="Q319" s="519"/>
      <c r="R319" s="519"/>
      <c r="S319" s="519"/>
      <c r="T319" s="519"/>
      <c r="U319" s="519"/>
      <c r="V319" s="405" t="s">
        <v>41</v>
      </c>
      <c r="W319" s="69"/>
      <c r="X319" s="391"/>
      <c r="Y319" s="382">
        <v>0.93</v>
      </c>
      <c r="Z319" s="383">
        <v>4.7</v>
      </c>
      <c r="AA319" s="130"/>
    </row>
    <row r="320" spans="1:27" ht="13.8">
      <c r="A320" s="16"/>
      <c r="B320" s="42"/>
      <c r="C320" s="5"/>
      <c r="D320" s="5"/>
      <c r="E320" s="431" t="str">
        <f t="shared" si="8"/>
        <v>check</v>
      </c>
      <c r="F320" s="106">
        <v>100</v>
      </c>
      <c r="G320" s="519">
        <v>3.07</v>
      </c>
      <c r="H320" s="519">
        <v>3.07</v>
      </c>
      <c r="I320" s="519">
        <v>3.07</v>
      </c>
      <c r="J320" s="519">
        <v>3.07</v>
      </c>
      <c r="K320" s="519">
        <v>3.07</v>
      </c>
      <c r="L320" s="519">
        <v>3.07</v>
      </c>
      <c r="M320" s="519">
        <v>3.07</v>
      </c>
      <c r="N320" s="519"/>
      <c r="O320" s="519"/>
      <c r="P320" s="519"/>
      <c r="Q320" s="519"/>
      <c r="R320" s="519"/>
      <c r="S320" s="519"/>
      <c r="T320" s="519"/>
      <c r="U320" s="519"/>
      <c r="V320" s="405" t="s">
        <v>41</v>
      </c>
      <c r="W320" s="69"/>
      <c r="X320" s="391"/>
      <c r="Y320" s="382">
        <v>1.1000000000000001</v>
      </c>
      <c r="Z320" s="383">
        <v>5.4</v>
      </c>
      <c r="AA320" s="130"/>
    </row>
    <row r="321" spans="1:27" ht="13.8">
      <c r="A321" s="16"/>
      <c r="B321" s="42"/>
      <c r="C321" s="5"/>
      <c r="D321" s="5"/>
      <c r="E321" s="431" t="str">
        <f t="shared" si="8"/>
        <v>check</v>
      </c>
      <c r="F321" s="106">
        <v>150</v>
      </c>
      <c r="G321" s="519"/>
      <c r="H321" s="519"/>
      <c r="I321" s="519"/>
      <c r="J321" s="519"/>
      <c r="K321" s="519"/>
      <c r="L321" s="519"/>
      <c r="M321" s="519"/>
      <c r="N321" s="519"/>
      <c r="O321" s="519"/>
      <c r="P321" s="519"/>
      <c r="Q321" s="519"/>
      <c r="R321" s="519"/>
      <c r="S321" s="519"/>
      <c r="T321" s="519"/>
      <c r="U321" s="519"/>
      <c r="V321" s="405" t="s">
        <v>41</v>
      </c>
      <c r="W321" s="69"/>
      <c r="X321" s="391"/>
      <c r="Y321" s="382">
        <v>1.65</v>
      </c>
      <c r="Z321" s="383">
        <v>6.9</v>
      </c>
      <c r="AA321" s="130"/>
    </row>
    <row r="322" spans="1:27" ht="13.8">
      <c r="A322" s="16"/>
      <c r="B322" s="42"/>
      <c r="C322" s="5"/>
      <c r="D322" s="5"/>
      <c r="E322" s="431" t="str">
        <f t="shared" si="8"/>
        <v>check</v>
      </c>
      <c r="F322" s="106">
        <v>200</v>
      </c>
      <c r="G322" s="519"/>
      <c r="H322" s="519"/>
      <c r="I322" s="519"/>
      <c r="J322" s="519"/>
      <c r="K322" s="519"/>
      <c r="L322" s="519"/>
      <c r="M322" s="519"/>
      <c r="N322" s="519"/>
      <c r="O322" s="519"/>
      <c r="P322" s="519"/>
      <c r="Q322" s="519"/>
      <c r="R322" s="519"/>
      <c r="S322" s="519"/>
      <c r="T322" s="519"/>
      <c r="U322" s="519"/>
      <c r="V322" s="405"/>
      <c r="W322" s="69"/>
      <c r="X322" s="391"/>
      <c r="Y322" s="382">
        <v>2</v>
      </c>
      <c r="Z322" s="383">
        <v>7.5</v>
      </c>
      <c r="AA322" s="130"/>
    </row>
    <row r="323" spans="1:27" ht="13.8">
      <c r="A323" s="16"/>
      <c r="B323" s="42"/>
      <c r="C323" s="5"/>
      <c r="D323" s="5"/>
      <c r="E323" s="431" t="str">
        <f t="shared" si="8"/>
        <v>check</v>
      </c>
      <c r="F323" s="106">
        <v>230</v>
      </c>
      <c r="G323" s="519"/>
      <c r="H323" s="519"/>
      <c r="I323" s="519"/>
      <c r="J323" s="519"/>
      <c r="K323" s="519"/>
      <c r="L323" s="519"/>
      <c r="M323" s="519"/>
      <c r="N323" s="519"/>
      <c r="O323" s="519"/>
      <c r="P323" s="519"/>
      <c r="Q323" s="519"/>
      <c r="R323" s="519"/>
      <c r="S323" s="519"/>
      <c r="T323" s="519"/>
      <c r="U323" s="519"/>
      <c r="V323" s="405" t="s">
        <v>41</v>
      </c>
      <c r="W323" s="69"/>
      <c r="X323" s="391"/>
      <c r="Y323" s="382">
        <v>2.2000000000000002</v>
      </c>
      <c r="Z323" s="383">
        <v>8.1999999999999993</v>
      </c>
      <c r="AA323" s="130"/>
    </row>
    <row r="324" spans="1:27" ht="14.4" thickBot="1">
      <c r="A324" s="16"/>
      <c r="B324" s="28"/>
      <c r="C324" s="24"/>
      <c r="D324" s="24"/>
      <c r="E324" s="24"/>
      <c r="F324" s="24" t="s">
        <v>814</v>
      </c>
      <c r="G324" s="546" cm="1">
        <f t="array" ref="G324">(LinearInterp($F$311:$F$323,G311:G323,150)-LinearInterp($F$311:$F$323,G311:G323,50))/(150-50)*1000</f>
        <v>10.6</v>
      </c>
      <c r="H324" s="546" cm="1">
        <f t="array" ref="H324">(LinearInterp($F$311:$F$323,H311:H323,150)-LinearInterp($F$311:$F$323,H311:H323,50))/(150-50)*1000</f>
        <v>10.6</v>
      </c>
      <c r="I324" s="546" cm="1">
        <f t="array" ref="I324">(LinearInterp($F$311:$F$323,I311:I323,150)-LinearInterp($F$311:$F$323,I311:I323,50))/(150-50)*1000</f>
        <v>10.6</v>
      </c>
      <c r="J324" s="546" cm="1">
        <f t="array" ref="J324">(LinearInterp($F$311:$F$323,J311:J323,150)-LinearInterp($F$311:$F$323,J311:J323,50))/(150-50)*1000</f>
        <v>10.6</v>
      </c>
      <c r="K324" s="546" cm="1">
        <f t="array" ref="K324">(LinearInterp($F$311:$F$323,K311:K323,150)-LinearInterp($F$311:$F$323,K311:K323,50))/(150-50)*1000</f>
        <v>10.6</v>
      </c>
      <c r="L324" s="546" cm="1">
        <f t="array" ref="L324">(LinearInterp($F$311:$F$323,L311:L323,150)-LinearInterp($F$311:$F$323,L311:L323,50))/(150-50)*1000</f>
        <v>10.6</v>
      </c>
      <c r="M324" s="546" cm="1">
        <f t="array" ref="M324">(LinearInterp($F$311:$F$323,M311:M323,150)-LinearInterp($F$311:$F$323,M311:M323,50))/(150-50)*1000</f>
        <v>10.6</v>
      </c>
      <c r="N324" s="546" cm="1">
        <f t="array" ref="N324">(LinearInterp($F$311:$F$323,N311:N323,150)-LinearInterp($F$311:$F$323,N311:N323,50))/(150-50)*1000</f>
        <v>0</v>
      </c>
      <c r="O324" s="546" cm="1">
        <f t="array" ref="O324">(LinearInterp($F$311:$F$323,O311:O323,150)-LinearInterp($F$311:$F$323,O311:O323,50))/(150-50)*1000</f>
        <v>0</v>
      </c>
      <c r="P324" s="546" cm="1">
        <f t="array" ref="P324">(LinearInterp($F$311:$F$323,P311:P323,150)-LinearInterp($F$311:$F$323,P311:P323,50))/(150-50)*1000</f>
        <v>0</v>
      </c>
      <c r="Q324" s="546" cm="1">
        <f t="array" ref="Q324">(LinearInterp($F$311:$F$323,Q311:Q323,150)-LinearInterp($F$311:$F$323,Q311:Q323,50))/(150-50)*1000</f>
        <v>0</v>
      </c>
      <c r="R324" s="546" cm="1">
        <f t="array" ref="R324">(LinearInterp($F$311:$F$323,R311:R323,150)-LinearInterp($F$311:$F$323,R311:R323,50))/(150-50)*1000</f>
        <v>0</v>
      </c>
      <c r="S324" s="546" cm="1">
        <f t="array" ref="S324">(LinearInterp($F$311:$F$323,S311:S323,150)-LinearInterp($F$311:$F$323,S311:S323,50))/(150-50)*1000</f>
        <v>0</v>
      </c>
      <c r="T324" s="546" cm="1">
        <f t="array" ref="T324">(LinearInterp($F$311:$F$323,T311:T323,150)-LinearInterp($F$311:$F$323,T311:T323,50))/(150-50)*1000</f>
        <v>0</v>
      </c>
      <c r="U324" s="546" cm="1">
        <f t="array" ref="U324">(LinearInterp($F$311:$F$323,U311:U323,150)-LinearInterp($F$311:$F$323,U311:U323,50))/(150-50)*1000</f>
        <v>0</v>
      </c>
      <c r="V324" s="399"/>
      <c r="W324" s="69"/>
      <c r="X324" s="391"/>
      <c r="Y324" s="382"/>
      <c r="Z324" s="383"/>
      <c r="AA324" s="130"/>
    </row>
    <row r="325" spans="1:27" ht="14.4" thickBot="1">
      <c r="A325" s="16"/>
      <c r="B325" s="28"/>
      <c r="C325" s="24"/>
      <c r="D325" s="24"/>
      <c r="E325" s="24"/>
      <c r="F325" s="24"/>
      <c r="G325" s="336" t="str">
        <f>$G$44</f>
        <v>L 2WD NAO 2ROW</v>
      </c>
      <c r="H325" s="336" t="str">
        <f>$H$44</f>
        <v>L 4WD NAO 2ROW US</v>
      </c>
      <c r="I325" s="336" t="str">
        <f>$I$44</f>
        <v>L 4WD NAO 2ROW</v>
      </c>
      <c r="J325" s="336" t="str">
        <f>$J$44</f>
        <v>L 4WD NAO 3ROW</v>
      </c>
      <c r="K325" s="336" t="str">
        <f>$K$44</f>
        <v>R 2WD NAO 2ROW</v>
      </c>
      <c r="L325" s="336" t="str">
        <f>$L$44</f>
        <v>R 4WD NAO 2ROW</v>
      </c>
      <c r="M325" s="336" t="str">
        <f>$M$44</f>
        <v>R 4WD NAO 3ROW</v>
      </c>
      <c r="N325" s="336" t="str">
        <f>$N$44</f>
        <v/>
      </c>
      <c r="O325" s="336" t="str">
        <f>$O$44</f>
        <v/>
      </c>
      <c r="P325" s="336" t="str">
        <f>$P$44</f>
        <v/>
      </c>
      <c r="Q325" s="336" t="str">
        <f>$Q$44</f>
        <v/>
      </c>
      <c r="R325" s="336" t="str">
        <f>$R$44</f>
        <v/>
      </c>
      <c r="S325" s="336" t="str">
        <f>$S$44</f>
        <v/>
      </c>
      <c r="T325" s="336" t="str">
        <f>$T$44</f>
        <v/>
      </c>
      <c r="U325" s="336" t="str">
        <f>$U$44</f>
        <v/>
      </c>
      <c r="V325" s="399"/>
      <c r="W325" s="69"/>
      <c r="X325" s="391"/>
      <c r="Y325" s="382"/>
      <c r="Z325" s="383"/>
      <c r="AA325" s="130"/>
    </row>
    <row r="326" spans="1:27" ht="13.8">
      <c r="A326" s="16"/>
      <c r="B326" s="631" t="s">
        <v>148</v>
      </c>
      <c r="C326" s="632"/>
      <c r="D326" s="66"/>
      <c r="E326" s="66"/>
      <c r="F326" s="66"/>
      <c r="G326" s="354"/>
      <c r="H326" s="354"/>
      <c r="I326" s="354"/>
      <c r="J326" s="354"/>
      <c r="K326" s="354"/>
      <c r="L326" s="354"/>
      <c r="M326" s="354"/>
      <c r="N326" s="354"/>
      <c r="O326" s="354"/>
      <c r="P326" s="354"/>
      <c r="Q326" s="354"/>
      <c r="R326" s="354"/>
      <c r="S326" s="354"/>
      <c r="T326" s="354"/>
      <c r="U326" s="354"/>
      <c r="V326" s="415"/>
      <c r="W326" s="69"/>
      <c r="X326" s="391"/>
      <c r="Y326" s="382"/>
      <c r="Z326" s="383"/>
      <c r="AA326" s="130"/>
    </row>
    <row r="327" spans="1:27" ht="13.8">
      <c r="A327" s="16"/>
      <c r="B327" s="637"/>
      <c r="C327" s="638"/>
      <c r="D327" s="638"/>
      <c r="E327" s="163" t="s">
        <v>478</v>
      </c>
      <c r="F327" s="41" t="s">
        <v>40</v>
      </c>
      <c r="G327" s="352" t="s">
        <v>516</v>
      </c>
      <c r="H327" s="353"/>
      <c r="I327" s="353"/>
      <c r="J327" s="353"/>
      <c r="K327" s="353"/>
      <c r="L327" s="353"/>
      <c r="M327" s="353"/>
      <c r="N327" s="353"/>
      <c r="O327" s="353"/>
      <c r="P327" s="353"/>
      <c r="Q327" s="353"/>
      <c r="R327" s="353"/>
      <c r="S327" s="353"/>
      <c r="T327" s="353"/>
      <c r="U327" s="353"/>
      <c r="V327" s="388" t="s">
        <v>42</v>
      </c>
      <c r="W327" s="69"/>
      <c r="X327" s="391"/>
      <c r="Y327" s="382"/>
      <c r="Z327" s="383"/>
      <c r="AA327" s="130"/>
    </row>
    <row r="328" spans="1:27" ht="13.8">
      <c r="A328" s="16"/>
      <c r="B328" s="42"/>
      <c r="C328" s="5"/>
      <c r="D328" s="5"/>
      <c r="E328" s="431" t="str">
        <f t="shared" ref="E328:E340" si="9">IF(G328="","check",IF(MIN(G328:U328)&lt;Y328,"Attention," &amp;CHAR(10)&amp;"one of your parameters is below the usual range: "&amp;Y328&amp;D328,IF(MAX(G328:U328)&gt;Z328,"Attention," &amp;CHAR(10)&amp;" one of your parameters is above the usual range: "&amp;Z328&amp;D328,"check")))</f>
        <v>check</v>
      </c>
      <c r="F328" s="106">
        <v>0</v>
      </c>
      <c r="G328" s="519">
        <v>0</v>
      </c>
      <c r="H328" s="519">
        <v>0</v>
      </c>
      <c r="I328" s="519">
        <v>0</v>
      </c>
      <c r="J328" s="519">
        <v>0</v>
      </c>
      <c r="K328" s="519">
        <v>0</v>
      </c>
      <c r="L328" s="519">
        <v>0</v>
      </c>
      <c r="M328" s="519">
        <v>0</v>
      </c>
      <c r="N328" s="519">
        <v>0</v>
      </c>
      <c r="O328" s="519">
        <v>0</v>
      </c>
      <c r="P328" s="519">
        <v>0</v>
      </c>
      <c r="Q328" s="519">
        <v>0</v>
      </c>
      <c r="R328" s="519">
        <v>0</v>
      </c>
      <c r="S328" s="519">
        <v>0</v>
      </c>
      <c r="T328" s="519">
        <v>0</v>
      </c>
      <c r="U328" s="519">
        <v>0</v>
      </c>
      <c r="V328" s="405" t="s">
        <v>41</v>
      </c>
      <c r="W328" s="69"/>
      <c r="X328" s="391"/>
      <c r="Y328" s="382">
        <v>0</v>
      </c>
      <c r="Z328" s="383">
        <v>0</v>
      </c>
      <c r="AA328" s="130"/>
    </row>
    <row r="329" spans="1:27" ht="13.8">
      <c r="A329" s="16"/>
      <c r="B329" s="42"/>
      <c r="C329" s="5"/>
      <c r="D329" s="5"/>
      <c r="E329" s="33" t="str">
        <f t="shared" si="9"/>
        <v>check</v>
      </c>
      <c r="F329" s="106">
        <v>2</v>
      </c>
      <c r="G329" s="519">
        <v>0.24</v>
      </c>
      <c r="H329" s="519">
        <v>0.24</v>
      </c>
      <c r="I329" s="519">
        <v>0.24</v>
      </c>
      <c r="J329" s="519">
        <v>0.24</v>
      </c>
      <c r="K329" s="519">
        <v>0.24</v>
      </c>
      <c r="L329" s="519">
        <v>0.24</v>
      </c>
      <c r="M329" s="519">
        <v>0.24</v>
      </c>
      <c r="N329" s="519"/>
      <c r="O329" s="519"/>
      <c r="P329" s="519"/>
      <c r="Q329" s="519"/>
      <c r="R329" s="519"/>
      <c r="S329" s="519"/>
      <c r="T329" s="519"/>
      <c r="U329" s="519"/>
      <c r="V329" s="405" t="s">
        <v>41</v>
      </c>
      <c r="W329" s="69"/>
      <c r="X329" s="391"/>
      <c r="Y329" s="382">
        <v>1E-3</v>
      </c>
      <c r="Z329" s="383">
        <v>0.4</v>
      </c>
      <c r="AA329" s="130"/>
    </row>
    <row r="330" spans="1:27" ht="13.8">
      <c r="A330" s="16"/>
      <c r="B330" s="42"/>
      <c r="C330" s="5"/>
      <c r="D330" s="5"/>
      <c r="E330" s="33" t="str">
        <f t="shared" si="9"/>
        <v>check</v>
      </c>
      <c r="F330" s="106">
        <v>5</v>
      </c>
      <c r="G330" s="519">
        <v>0.37</v>
      </c>
      <c r="H330" s="519">
        <v>0.37</v>
      </c>
      <c r="I330" s="519">
        <v>0.37</v>
      </c>
      <c r="J330" s="519">
        <v>0.37</v>
      </c>
      <c r="K330" s="519">
        <v>0.37</v>
      </c>
      <c r="L330" s="519">
        <v>0.37</v>
      </c>
      <c r="M330" s="519">
        <v>0.37</v>
      </c>
      <c r="N330" s="519"/>
      <c r="O330" s="519"/>
      <c r="P330" s="519"/>
      <c r="Q330" s="519"/>
      <c r="R330" s="519"/>
      <c r="S330" s="519"/>
      <c r="T330" s="519"/>
      <c r="U330" s="519"/>
      <c r="V330" s="405" t="s">
        <v>41</v>
      </c>
      <c r="W330" s="69"/>
      <c r="X330" s="391"/>
      <c r="Y330" s="382">
        <v>3.2000000000000002E-3</v>
      </c>
      <c r="Z330" s="383">
        <v>0.68</v>
      </c>
      <c r="AA330" s="130"/>
    </row>
    <row r="331" spans="1:27" ht="13.8">
      <c r="A331" s="16"/>
      <c r="B331" s="42"/>
      <c r="C331" s="5"/>
      <c r="D331" s="5"/>
      <c r="E331" s="33" t="str">
        <f t="shared" si="9"/>
        <v>check</v>
      </c>
      <c r="F331" s="106">
        <v>10</v>
      </c>
      <c r="G331" s="519">
        <v>0.5</v>
      </c>
      <c r="H331" s="519">
        <v>0.5</v>
      </c>
      <c r="I331" s="519">
        <v>0.5</v>
      </c>
      <c r="J331" s="519">
        <v>0.5</v>
      </c>
      <c r="K331" s="519">
        <v>0.5</v>
      </c>
      <c r="L331" s="519">
        <v>0.5</v>
      </c>
      <c r="M331" s="519">
        <v>0.5</v>
      </c>
      <c r="N331" s="519"/>
      <c r="O331" s="519"/>
      <c r="P331" s="519"/>
      <c r="Q331" s="519"/>
      <c r="R331" s="519"/>
      <c r="S331" s="519"/>
      <c r="T331" s="519"/>
      <c r="U331" s="519"/>
      <c r="V331" s="405" t="s">
        <v>41</v>
      </c>
      <c r="W331" s="69"/>
      <c r="X331" s="391"/>
      <c r="Y331" s="382">
        <v>8.9999999999999993E-3</v>
      </c>
      <c r="Z331" s="383">
        <v>1.1000000000000001</v>
      </c>
      <c r="AA331" s="130"/>
    </row>
    <row r="332" spans="1:27" ht="13.8">
      <c r="A332" s="16"/>
      <c r="B332" s="42"/>
      <c r="C332" s="5"/>
      <c r="D332" s="5"/>
      <c r="E332" s="33" t="str">
        <f t="shared" si="9"/>
        <v>check</v>
      </c>
      <c r="F332" s="106">
        <v>15</v>
      </c>
      <c r="G332" s="519">
        <v>0.61</v>
      </c>
      <c r="H332" s="519">
        <v>0.61</v>
      </c>
      <c r="I332" s="519">
        <v>0.61</v>
      </c>
      <c r="J332" s="519">
        <v>0.61</v>
      </c>
      <c r="K332" s="519">
        <v>0.61</v>
      </c>
      <c r="L332" s="519">
        <v>0.61</v>
      </c>
      <c r="M332" s="519">
        <v>0.61</v>
      </c>
      <c r="N332" s="519"/>
      <c r="O332" s="519"/>
      <c r="P332" s="519"/>
      <c r="Q332" s="519"/>
      <c r="R332" s="519"/>
      <c r="S332" s="519"/>
      <c r="T332" s="519"/>
      <c r="U332" s="519"/>
      <c r="V332" s="405" t="s">
        <v>41</v>
      </c>
      <c r="W332" s="69"/>
      <c r="X332" s="391"/>
      <c r="Y332" s="382">
        <v>1.4999999999999999E-2</v>
      </c>
      <c r="Z332" s="383">
        <v>1.3</v>
      </c>
      <c r="AA332" s="130"/>
    </row>
    <row r="333" spans="1:27" ht="13.8">
      <c r="A333" s="16"/>
      <c r="B333" s="42"/>
      <c r="C333" s="5"/>
      <c r="D333" s="5"/>
      <c r="E333" s="33" t="str">
        <f t="shared" si="9"/>
        <v>check</v>
      </c>
      <c r="F333" s="106">
        <v>20</v>
      </c>
      <c r="G333" s="519">
        <v>0.68</v>
      </c>
      <c r="H333" s="519">
        <v>0.68</v>
      </c>
      <c r="I333" s="519">
        <v>0.68</v>
      </c>
      <c r="J333" s="519">
        <v>0.68</v>
      </c>
      <c r="K333" s="519">
        <v>0.68</v>
      </c>
      <c r="L333" s="519">
        <v>0.68</v>
      </c>
      <c r="M333" s="519">
        <v>0.68</v>
      </c>
      <c r="N333" s="519"/>
      <c r="O333" s="519"/>
      <c r="P333" s="519"/>
      <c r="Q333" s="519"/>
      <c r="R333" s="519"/>
      <c r="S333" s="519"/>
      <c r="T333" s="519"/>
      <c r="U333" s="519"/>
      <c r="V333" s="405" t="s">
        <v>41</v>
      </c>
      <c r="W333" s="69"/>
      <c r="X333" s="391"/>
      <c r="Y333" s="382">
        <v>2.5000000000000001E-2</v>
      </c>
      <c r="Z333" s="383">
        <v>1.55</v>
      </c>
      <c r="AA333" s="130"/>
    </row>
    <row r="334" spans="1:27" ht="13.8">
      <c r="A334" s="16"/>
      <c r="B334" s="42"/>
      <c r="C334" s="5"/>
      <c r="D334" s="5"/>
      <c r="E334" s="33" t="str">
        <f t="shared" si="9"/>
        <v>check</v>
      </c>
      <c r="F334" s="106">
        <v>30</v>
      </c>
      <c r="G334" s="519">
        <v>0.86</v>
      </c>
      <c r="H334" s="519">
        <v>0.86</v>
      </c>
      <c r="I334" s="519">
        <v>0.86</v>
      </c>
      <c r="J334" s="519">
        <v>0.86</v>
      </c>
      <c r="K334" s="519">
        <v>0.86</v>
      </c>
      <c r="L334" s="519">
        <v>0.86</v>
      </c>
      <c r="M334" s="519">
        <v>0.86</v>
      </c>
      <c r="N334" s="519"/>
      <c r="O334" s="519"/>
      <c r="P334" s="519"/>
      <c r="Q334" s="519"/>
      <c r="R334" s="519"/>
      <c r="S334" s="519"/>
      <c r="T334" s="519"/>
      <c r="U334" s="519"/>
      <c r="V334" s="405" t="s">
        <v>41</v>
      </c>
      <c r="W334" s="69"/>
      <c r="X334" s="391"/>
      <c r="Y334" s="382">
        <v>4.4999999999999998E-2</v>
      </c>
      <c r="Z334" s="383">
        <v>1.95</v>
      </c>
      <c r="AA334" s="130"/>
    </row>
    <row r="335" spans="1:27" ht="13.8">
      <c r="A335" s="16"/>
      <c r="B335" s="42"/>
      <c r="C335" s="5"/>
      <c r="D335" s="5"/>
      <c r="E335" s="33" t="str">
        <f t="shared" si="9"/>
        <v>check</v>
      </c>
      <c r="F335" s="106">
        <v>60</v>
      </c>
      <c r="G335" s="519">
        <v>1.1499999999999999</v>
      </c>
      <c r="H335" s="519">
        <v>1.1499999999999999</v>
      </c>
      <c r="I335" s="519">
        <v>1.1499999999999999</v>
      </c>
      <c r="J335" s="519">
        <v>1.1499999999999999</v>
      </c>
      <c r="K335" s="519">
        <v>1.1499999999999999</v>
      </c>
      <c r="L335" s="519">
        <v>1.1499999999999999</v>
      </c>
      <c r="M335" s="519">
        <v>1.1499999999999999</v>
      </c>
      <c r="N335" s="519"/>
      <c r="O335" s="519"/>
      <c r="P335" s="519"/>
      <c r="Q335" s="519"/>
      <c r="R335" s="519"/>
      <c r="S335" s="519"/>
      <c r="T335" s="519"/>
      <c r="U335" s="519"/>
      <c r="V335" s="405" t="s">
        <v>41</v>
      </c>
      <c r="W335" s="69"/>
      <c r="X335" s="391"/>
      <c r="Y335" s="382">
        <v>0.12</v>
      </c>
      <c r="Z335" s="383">
        <v>2.95</v>
      </c>
      <c r="AA335" s="130"/>
    </row>
    <row r="336" spans="1:27" ht="13.8">
      <c r="A336" s="16"/>
      <c r="B336" s="42"/>
      <c r="C336" s="5"/>
      <c r="D336" s="5"/>
      <c r="E336" s="33" t="str">
        <f t="shared" si="9"/>
        <v>check</v>
      </c>
      <c r="F336" s="106">
        <v>80</v>
      </c>
      <c r="G336" s="519">
        <v>1.33</v>
      </c>
      <c r="H336" s="519">
        <v>1.33</v>
      </c>
      <c r="I336" s="519">
        <v>1.33</v>
      </c>
      <c r="J336" s="519">
        <v>1.33</v>
      </c>
      <c r="K336" s="519">
        <v>1.33</v>
      </c>
      <c r="L336" s="519">
        <v>1.33</v>
      </c>
      <c r="M336" s="519">
        <v>1.33</v>
      </c>
      <c r="N336" s="519"/>
      <c r="O336" s="519"/>
      <c r="P336" s="519"/>
      <c r="Q336" s="519"/>
      <c r="R336" s="519"/>
      <c r="S336" s="519"/>
      <c r="T336" s="519"/>
      <c r="U336" s="519"/>
      <c r="V336" s="405" t="s">
        <v>41</v>
      </c>
      <c r="W336" s="69"/>
      <c r="X336" s="391"/>
      <c r="Y336" s="382">
        <v>0.2</v>
      </c>
      <c r="Z336" s="383">
        <v>3.5</v>
      </c>
      <c r="AA336" s="130"/>
    </row>
    <row r="337" spans="1:27" ht="13.8">
      <c r="A337" s="16"/>
      <c r="B337" s="42"/>
      <c r="C337" s="5"/>
      <c r="D337" s="5"/>
      <c r="E337" s="33" t="str">
        <f t="shared" si="9"/>
        <v>check</v>
      </c>
      <c r="F337" s="106">
        <v>100</v>
      </c>
      <c r="G337" s="519">
        <v>1.52</v>
      </c>
      <c r="H337" s="519">
        <v>1.52</v>
      </c>
      <c r="I337" s="519">
        <v>1.52</v>
      </c>
      <c r="J337" s="519">
        <v>1.52</v>
      </c>
      <c r="K337" s="519">
        <v>1.52</v>
      </c>
      <c r="L337" s="519">
        <v>1.52</v>
      </c>
      <c r="M337" s="519">
        <v>1.52</v>
      </c>
      <c r="N337" s="519"/>
      <c r="O337" s="519"/>
      <c r="P337" s="519"/>
      <c r="Q337" s="519"/>
      <c r="R337" s="519"/>
      <c r="S337" s="519"/>
      <c r="T337" s="519"/>
      <c r="U337" s="519"/>
      <c r="V337" s="405" t="s">
        <v>41</v>
      </c>
      <c r="W337" s="69"/>
      <c r="X337" s="391"/>
      <c r="Y337" s="382">
        <v>0.28999999999999998</v>
      </c>
      <c r="Z337" s="383">
        <v>4</v>
      </c>
      <c r="AA337" s="130"/>
    </row>
    <row r="338" spans="1:27" ht="13.8">
      <c r="A338" s="16"/>
      <c r="B338" s="42"/>
      <c r="C338" s="5"/>
      <c r="D338" s="5"/>
      <c r="E338" s="33" t="str">
        <f t="shared" si="9"/>
        <v>check</v>
      </c>
      <c r="F338" s="106">
        <v>150</v>
      </c>
      <c r="G338" s="519"/>
      <c r="H338" s="519"/>
      <c r="I338" s="519"/>
      <c r="J338" s="519"/>
      <c r="K338" s="519"/>
      <c r="L338" s="519"/>
      <c r="M338" s="519"/>
      <c r="N338" s="519"/>
      <c r="O338" s="519"/>
      <c r="P338" s="519"/>
      <c r="Q338" s="519"/>
      <c r="R338" s="519"/>
      <c r="S338" s="519"/>
      <c r="T338" s="519"/>
      <c r="U338" s="519"/>
      <c r="V338" s="405" t="s">
        <v>41</v>
      </c>
      <c r="W338" s="69"/>
      <c r="X338" s="391"/>
      <c r="Y338" s="382">
        <v>0.55000000000000004</v>
      </c>
      <c r="Z338" s="383">
        <v>5</v>
      </c>
      <c r="AA338" s="130"/>
    </row>
    <row r="339" spans="1:27" ht="13.8">
      <c r="A339" s="16"/>
      <c r="B339" s="42"/>
      <c r="C339" s="5"/>
      <c r="D339" s="5"/>
      <c r="E339" s="33" t="str">
        <f t="shared" si="9"/>
        <v>check</v>
      </c>
      <c r="F339" s="106">
        <v>200</v>
      </c>
      <c r="G339" s="519"/>
      <c r="H339" s="519"/>
      <c r="I339" s="519"/>
      <c r="J339" s="519"/>
      <c r="K339" s="519"/>
      <c r="L339" s="519"/>
      <c r="M339" s="519"/>
      <c r="N339" s="519"/>
      <c r="O339" s="519"/>
      <c r="P339" s="519"/>
      <c r="Q339" s="519"/>
      <c r="R339" s="519"/>
      <c r="S339" s="519"/>
      <c r="T339" s="519"/>
      <c r="U339" s="519"/>
      <c r="V339" s="405" t="s">
        <v>41</v>
      </c>
      <c r="W339" s="69"/>
      <c r="X339" s="391"/>
      <c r="Y339" s="382">
        <v>0.85</v>
      </c>
      <c r="Z339" s="383">
        <v>6</v>
      </c>
      <c r="AA339" s="130"/>
    </row>
    <row r="340" spans="1:27" ht="13.8">
      <c r="A340" s="16"/>
      <c r="B340" s="42"/>
      <c r="C340" s="5"/>
      <c r="D340" s="5"/>
      <c r="E340" s="33" t="str">
        <f t="shared" si="9"/>
        <v>check</v>
      </c>
      <c r="F340" s="106">
        <v>230</v>
      </c>
      <c r="G340" s="519"/>
      <c r="H340" s="519"/>
      <c r="I340" s="519"/>
      <c r="J340" s="519"/>
      <c r="K340" s="519"/>
      <c r="L340" s="519"/>
      <c r="M340" s="519"/>
      <c r="N340" s="519"/>
      <c r="O340" s="519"/>
      <c r="P340" s="519"/>
      <c r="Q340" s="519"/>
      <c r="R340" s="519"/>
      <c r="S340" s="519"/>
      <c r="T340" s="519"/>
      <c r="U340" s="519"/>
      <c r="V340" s="405"/>
      <c r="W340" s="69"/>
      <c r="X340" s="391"/>
      <c r="Y340" s="382">
        <v>0.9</v>
      </c>
      <c r="Z340" s="383">
        <v>7</v>
      </c>
      <c r="AA340" s="130"/>
    </row>
    <row r="341" spans="1:27" ht="14.4" thickBot="1">
      <c r="A341" s="16"/>
      <c r="B341" s="28"/>
      <c r="C341" s="24"/>
      <c r="D341" s="24"/>
      <c r="E341" s="24"/>
      <c r="F341" s="24" t="s">
        <v>814</v>
      </c>
      <c r="G341" s="332">
        <f>IF(LARGE(G328:G340,1)=0,"",(LARGE(G328:G340,1)-LARGE(G328:G340,2))/(INDEX($F$328:$F$340,MATCH(LARGE(G328:G340,1),G328:G340,0))-INDEX($F$328:$F$340,MATCH(LARGE(G328:G340,2),G328:G340,0)))*1000)</f>
        <v>9.4999999999999982</v>
      </c>
      <c r="H341" s="332">
        <f t="shared" ref="H341:U341" si="10">IF(LARGE(H328:H340,1)=0,"",(LARGE(H328:H340,1)-LARGE(H328:H340,2))/(INDEX($F$328:$F$340,MATCH(LARGE(H328:H340,1),H328:H340,0))-INDEX($F$328:$F$340,MATCH(LARGE(H328:H340,2),H328:H340,0)))*1000)</f>
        <v>9.4999999999999982</v>
      </c>
      <c r="I341" s="332">
        <f t="shared" si="10"/>
        <v>9.4999999999999982</v>
      </c>
      <c r="J341" s="332">
        <f t="shared" si="10"/>
        <v>9.4999999999999982</v>
      </c>
      <c r="K341" s="332">
        <f t="shared" si="10"/>
        <v>9.4999999999999982</v>
      </c>
      <c r="L341" s="332">
        <f t="shared" si="10"/>
        <v>9.4999999999999982</v>
      </c>
      <c r="M341" s="332">
        <f t="shared" si="10"/>
        <v>9.4999999999999982</v>
      </c>
      <c r="N341" s="332" t="str">
        <f t="shared" si="10"/>
        <v/>
      </c>
      <c r="O341" s="332" t="str">
        <f t="shared" si="10"/>
        <v/>
      </c>
      <c r="P341" s="332" t="str">
        <f t="shared" si="10"/>
        <v/>
      </c>
      <c r="Q341" s="332" t="str">
        <f t="shared" si="10"/>
        <v/>
      </c>
      <c r="R341" s="332" t="str">
        <f t="shared" si="10"/>
        <v/>
      </c>
      <c r="S341" s="332" t="str">
        <f t="shared" si="10"/>
        <v/>
      </c>
      <c r="T341" s="332" t="str">
        <f t="shared" si="10"/>
        <v/>
      </c>
      <c r="U341" s="332" t="str">
        <f t="shared" si="10"/>
        <v/>
      </c>
      <c r="V341" s="399"/>
      <c r="W341" s="69"/>
      <c r="X341" s="391"/>
      <c r="Y341" s="382"/>
      <c r="Z341" s="383"/>
      <c r="AA341" s="130"/>
    </row>
    <row r="342" spans="1:27" ht="14.4" thickBot="1">
      <c r="A342" s="43"/>
      <c r="B342" s="5"/>
      <c r="C342" s="5"/>
      <c r="D342" s="5"/>
      <c r="E342" s="5"/>
      <c r="F342" s="5"/>
      <c r="G342" s="336" t="str">
        <f>$G$44</f>
        <v>L 2WD NAO 2ROW</v>
      </c>
      <c r="H342" s="336" t="str">
        <f>$H$44</f>
        <v>L 4WD NAO 2ROW US</v>
      </c>
      <c r="I342" s="336" t="str">
        <f>$I$44</f>
        <v>L 4WD NAO 2ROW</v>
      </c>
      <c r="J342" s="336" t="str">
        <f>$J$44</f>
        <v>L 4WD NAO 3ROW</v>
      </c>
      <c r="K342" s="336" t="str">
        <f>$K$44</f>
        <v>R 2WD NAO 2ROW</v>
      </c>
      <c r="L342" s="336" t="str">
        <f>$L$44</f>
        <v>R 4WD NAO 2ROW</v>
      </c>
      <c r="M342" s="336" t="str">
        <f>$M$44</f>
        <v>R 4WD NAO 3ROW</v>
      </c>
      <c r="N342" s="336" t="str">
        <f>$N$44</f>
        <v/>
      </c>
      <c r="O342" s="336" t="str">
        <f>$O$44</f>
        <v/>
      </c>
      <c r="P342" s="336" t="str">
        <f>$P$44</f>
        <v/>
      </c>
      <c r="Q342" s="336" t="str">
        <f>$Q$44</f>
        <v/>
      </c>
      <c r="R342" s="336" t="str">
        <f>$R$44</f>
        <v/>
      </c>
      <c r="S342" s="336" t="str">
        <f>$S$44</f>
        <v/>
      </c>
      <c r="T342" s="336" t="str">
        <f>$T$44</f>
        <v/>
      </c>
      <c r="U342" s="336" t="str">
        <f>$U$44</f>
        <v/>
      </c>
      <c r="V342" s="69"/>
      <c r="W342" s="69"/>
      <c r="X342" s="391"/>
      <c r="Y342" s="382"/>
      <c r="Z342" s="383"/>
      <c r="AA342" s="130"/>
    </row>
    <row r="343" spans="1:27" ht="13.8">
      <c r="A343" s="43"/>
      <c r="B343" s="67" t="str">
        <f>IF(OR($G$14="IPB 1.0 Size Se",$G$14="IPB 1.1 Size Sd",$G$14="IPB 1.1 Size Se",$G$14="IPB 2.0 Size S",$G$14="IPB 2.0 Size M",$G$14="IPB 2.0 Size L"),"pV Curve of peripherals (RBU tubes only)",IF(OR($G$15="DPB Size M",$G$15="DPB Size L"),"PV Curve of peripherals: DPB&lt;-&gt;ESP connection line only","pV Curve of peripherals (including TMC, hydraulic unit and brake intake tubes to ESP-hydraulic)"))</f>
        <v>PV Curve of peripherals: DPB&lt;-&gt;ESP connection line only</v>
      </c>
      <c r="C343" s="66"/>
      <c r="D343" s="66"/>
      <c r="E343" s="66"/>
      <c r="F343" s="66"/>
      <c r="G343" s="354"/>
      <c r="H343" s="354"/>
      <c r="I343" s="354"/>
      <c r="J343" s="354"/>
      <c r="K343" s="354"/>
      <c r="L343" s="354"/>
      <c r="M343" s="354"/>
      <c r="N343" s="354"/>
      <c r="O343" s="354"/>
      <c r="P343" s="354"/>
      <c r="Q343" s="354"/>
      <c r="R343" s="354"/>
      <c r="S343" s="354"/>
      <c r="T343" s="354"/>
      <c r="U343" s="354"/>
      <c r="V343" s="415"/>
      <c r="W343" s="416"/>
      <c r="X343" s="391"/>
      <c r="Y343" s="382"/>
      <c r="Z343" s="383"/>
      <c r="AA343" s="130"/>
    </row>
    <row r="344" spans="1:27" ht="13.8">
      <c r="A344" s="43"/>
      <c r="B344" s="637"/>
      <c r="C344" s="638"/>
      <c r="D344" s="638"/>
      <c r="E344" s="163" t="s">
        <v>478</v>
      </c>
      <c r="F344" s="41" t="s">
        <v>40</v>
      </c>
      <c r="G344" s="352" t="s">
        <v>516</v>
      </c>
      <c r="H344" s="353"/>
      <c r="I344" s="353"/>
      <c r="J344" s="353"/>
      <c r="K344" s="353"/>
      <c r="L344" s="353"/>
      <c r="M344" s="353"/>
      <c r="N344" s="353"/>
      <c r="O344" s="353"/>
      <c r="P344" s="353"/>
      <c r="Q344" s="353"/>
      <c r="R344" s="353"/>
      <c r="S344" s="353"/>
      <c r="T344" s="353"/>
      <c r="U344" s="353"/>
      <c r="V344" s="388" t="s">
        <v>42</v>
      </c>
      <c r="W344" s="416"/>
      <c r="X344" s="391"/>
      <c r="Y344" s="382"/>
      <c r="Z344" s="383"/>
      <c r="AA344" s="130"/>
    </row>
    <row r="345" spans="1:27" ht="13.8">
      <c r="A345" s="43"/>
      <c r="B345" s="42"/>
      <c r="C345" s="5"/>
      <c r="D345" s="5"/>
      <c r="E345" s="263" t="str">
        <f>IF(G345="","check",IF(MIN(G345:U345)&lt;Y345,"Attention," &amp;CHAR(10)&amp;"one of your parameters is below the usual range: "&amp;Y345&amp;D345,IF(MAX(G345:U345)&gt;Z345,"Attention," &amp;CHAR(10)&amp;" one of your parameters is above the usual range: "&amp;Z345&amp;D345&amp; CHAR(10)&amp;"please contact BSPA_Coordination","check")))</f>
        <v>check</v>
      </c>
      <c r="F345" s="106">
        <v>0</v>
      </c>
      <c r="G345" s="519">
        <v>0</v>
      </c>
      <c r="H345" s="519">
        <v>0</v>
      </c>
      <c r="I345" s="519">
        <v>0</v>
      </c>
      <c r="J345" s="519">
        <v>0</v>
      </c>
      <c r="K345" s="519">
        <v>0</v>
      </c>
      <c r="L345" s="519">
        <v>0</v>
      </c>
      <c r="M345" s="519">
        <v>0</v>
      </c>
      <c r="N345" s="519">
        <v>0</v>
      </c>
      <c r="O345" s="519">
        <v>0</v>
      </c>
      <c r="P345" s="519">
        <v>0</v>
      </c>
      <c r="Q345" s="519">
        <v>0</v>
      </c>
      <c r="R345" s="519">
        <v>0</v>
      </c>
      <c r="S345" s="519">
        <v>0</v>
      </c>
      <c r="T345" s="519">
        <v>0</v>
      </c>
      <c r="U345" s="519">
        <v>0</v>
      </c>
      <c r="V345" s="405" t="s">
        <v>41</v>
      </c>
      <c r="W345" s="416"/>
      <c r="X345" s="391"/>
      <c r="Y345" s="382">
        <v>0</v>
      </c>
      <c r="Z345" s="383">
        <v>0</v>
      </c>
      <c r="AA345" s="130"/>
    </row>
    <row r="346" spans="1:27" ht="13.8">
      <c r="A346" s="43"/>
      <c r="B346" s="42"/>
      <c r="C346" s="5"/>
      <c r="D346" s="5"/>
      <c r="E346" s="263" t="str">
        <f t="shared" ref="E346:E357" si="11">IF(G346="","check",IF(MIN(G346:U346)&lt;Y346,"Attention," &amp;CHAR(10)&amp;"one of your parameters is below the usual range: "&amp;Y346&amp;D346,IF(MAX(G346:U346)&gt;Z346,"Attention," &amp;CHAR(10)&amp;" one of your parameters is above the usual range: "&amp;Z346&amp;D346&amp; CHAR(10)&amp;"please contact BSPA_Coordination","check")))</f>
        <v>check</v>
      </c>
      <c r="F346" s="106">
        <v>2</v>
      </c>
      <c r="G346" s="519">
        <v>2E-3</v>
      </c>
      <c r="H346" s="519">
        <v>2E-3</v>
      </c>
      <c r="I346" s="519">
        <v>2E-3</v>
      </c>
      <c r="J346" s="519">
        <v>2E-3</v>
      </c>
      <c r="K346" s="519">
        <v>2E-3</v>
      </c>
      <c r="L346" s="519">
        <v>2E-3</v>
      </c>
      <c r="M346" s="519">
        <v>2E-3</v>
      </c>
      <c r="N346" s="519"/>
      <c r="O346" s="519"/>
      <c r="P346" s="519"/>
      <c r="Q346" s="519"/>
      <c r="R346" s="519"/>
      <c r="S346" s="519"/>
      <c r="T346" s="519"/>
      <c r="U346" s="519"/>
      <c r="V346" s="405" t="s">
        <v>41</v>
      </c>
      <c r="W346" s="416"/>
      <c r="X346" s="391"/>
      <c r="Y346" s="382">
        <v>0</v>
      </c>
      <c r="Z346" s="383">
        <v>0.1</v>
      </c>
      <c r="AA346" s="130"/>
    </row>
    <row r="347" spans="1:27" ht="13.8">
      <c r="A347" s="43"/>
      <c r="B347" s="42"/>
      <c r="C347" s="5"/>
      <c r="D347" s="5"/>
      <c r="E347" s="263" t="str">
        <f t="shared" si="11"/>
        <v>check</v>
      </c>
      <c r="F347" s="106">
        <v>5</v>
      </c>
      <c r="G347" s="519">
        <v>4.0000000000000001E-3</v>
      </c>
      <c r="H347" s="519">
        <v>4.0000000000000001E-3</v>
      </c>
      <c r="I347" s="519">
        <v>4.0000000000000001E-3</v>
      </c>
      <c r="J347" s="519">
        <v>4.0000000000000001E-3</v>
      </c>
      <c r="K347" s="519">
        <v>4.0000000000000001E-3</v>
      </c>
      <c r="L347" s="519">
        <v>4.0000000000000001E-3</v>
      </c>
      <c r="M347" s="519">
        <v>4.0000000000000001E-3</v>
      </c>
      <c r="N347" s="519"/>
      <c r="O347" s="519"/>
      <c r="P347" s="519"/>
      <c r="Q347" s="519"/>
      <c r="R347" s="519"/>
      <c r="S347" s="519"/>
      <c r="T347" s="519"/>
      <c r="U347" s="519"/>
      <c r="V347" s="405" t="s">
        <v>41</v>
      </c>
      <c r="W347" s="416"/>
      <c r="X347" s="391"/>
      <c r="Y347" s="382">
        <v>0</v>
      </c>
      <c r="Z347" s="383">
        <v>0.25</v>
      </c>
      <c r="AA347" s="130"/>
    </row>
    <row r="348" spans="1:27" ht="13.8">
      <c r="A348" s="43"/>
      <c r="B348" s="42"/>
      <c r="C348" s="5"/>
      <c r="D348" s="5"/>
      <c r="E348" s="263" t="str">
        <f t="shared" si="11"/>
        <v>check</v>
      </c>
      <c r="F348" s="106">
        <v>10</v>
      </c>
      <c r="G348" s="519">
        <v>8.0000000000000002E-3</v>
      </c>
      <c r="H348" s="519">
        <v>8.0000000000000002E-3</v>
      </c>
      <c r="I348" s="519">
        <v>8.0000000000000002E-3</v>
      </c>
      <c r="J348" s="519">
        <v>8.0000000000000002E-3</v>
      </c>
      <c r="K348" s="519">
        <v>8.0000000000000002E-3</v>
      </c>
      <c r="L348" s="519">
        <v>8.0000000000000002E-3</v>
      </c>
      <c r="M348" s="519">
        <v>8.0000000000000002E-3</v>
      </c>
      <c r="N348" s="519"/>
      <c r="O348" s="519"/>
      <c r="P348" s="519"/>
      <c r="Q348" s="519"/>
      <c r="R348" s="519"/>
      <c r="S348" s="519"/>
      <c r="T348" s="519"/>
      <c r="U348" s="519"/>
      <c r="V348" s="405" t="s">
        <v>41</v>
      </c>
      <c r="W348" s="416"/>
      <c r="X348" s="391"/>
      <c r="Y348" s="382">
        <v>0</v>
      </c>
      <c r="Z348" s="383">
        <v>0.5</v>
      </c>
      <c r="AA348" s="130"/>
    </row>
    <row r="349" spans="1:27" ht="13.8">
      <c r="A349" s="43"/>
      <c r="B349" s="42"/>
      <c r="C349" s="5"/>
      <c r="D349" s="5"/>
      <c r="E349" s="263" t="str">
        <f t="shared" si="11"/>
        <v>check</v>
      </c>
      <c r="F349" s="106">
        <v>15</v>
      </c>
      <c r="G349" s="519">
        <v>1.2E-2</v>
      </c>
      <c r="H349" s="519">
        <v>1.2E-2</v>
      </c>
      <c r="I349" s="519">
        <v>1.2E-2</v>
      </c>
      <c r="J349" s="519">
        <v>1.2E-2</v>
      </c>
      <c r="K349" s="519">
        <v>1.2E-2</v>
      </c>
      <c r="L349" s="519">
        <v>1.2E-2</v>
      </c>
      <c r="M349" s="519">
        <v>1.2E-2</v>
      </c>
      <c r="N349" s="519"/>
      <c r="O349" s="519"/>
      <c r="P349" s="519"/>
      <c r="Q349" s="519"/>
      <c r="R349" s="519"/>
      <c r="S349" s="519"/>
      <c r="T349" s="519"/>
      <c r="U349" s="519"/>
      <c r="V349" s="405" t="s">
        <v>41</v>
      </c>
      <c r="W349" s="416"/>
      <c r="X349" s="391"/>
      <c r="Y349" s="382">
        <v>0</v>
      </c>
      <c r="Z349" s="383">
        <v>0.75</v>
      </c>
      <c r="AA349" s="130"/>
    </row>
    <row r="350" spans="1:27" ht="13.8">
      <c r="A350" s="43"/>
      <c r="B350" s="42"/>
      <c r="C350" s="5"/>
      <c r="D350" s="5"/>
      <c r="E350" s="263" t="str">
        <f t="shared" si="11"/>
        <v>check</v>
      </c>
      <c r="F350" s="106">
        <v>20</v>
      </c>
      <c r="G350" s="519">
        <v>1.7000000000000001E-2</v>
      </c>
      <c r="H350" s="519">
        <v>1.7000000000000001E-2</v>
      </c>
      <c r="I350" s="519">
        <v>1.7000000000000001E-2</v>
      </c>
      <c r="J350" s="519">
        <v>1.7000000000000001E-2</v>
      </c>
      <c r="K350" s="519">
        <v>1.7000000000000001E-2</v>
      </c>
      <c r="L350" s="519">
        <v>1.7000000000000001E-2</v>
      </c>
      <c r="M350" s="519">
        <v>1.7000000000000001E-2</v>
      </c>
      <c r="N350" s="519"/>
      <c r="O350" s="519"/>
      <c r="P350" s="519"/>
      <c r="Q350" s="519"/>
      <c r="R350" s="519"/>
      <c r="S350" s="519"/>
      <c r="T350" s="519"/>
      <c r="U350" s="519"/>
      <c r="V350" s="405" t="s">
        <v>41</v>
      </c>
      <c r="W350" s="416"/>
      <c r="X350" s="391"/>
      <c r="Y350" s="382">
        <v>0</v>
      </c>
      <c r="Z350" s="383">
        <v>1</v>
      </c>
      <c r="AA350" s="130"/>
    </row>
    <row r="351" spans="1:27" ht="13.8">
      <c r="A351" s="43"/>
      <c r="B351" s="42"/>
      <c r="C351" s="5"/>
      <c r="D351" s="5"/>
      <c r="E351" s="263" t="str">
        <f t="shared" si="11"/>
        <v>check</v>
      </c>
      <c r="F351" s="106">
        <v>30</v>
      </c>
      <c r="G351" s="519">
        <v>2.5000000000000001E-2</v>
      </c>
      <c r="H351" s="519">
        <v>2.5000000000000001E-2</v>
      </c>
      <c r="I351" s="519">
        <v>2.5000000000000001E-2</v>
      </c>
      <c r="J351" s="519">
        <v>2.5000000000000001E-2</v>
      </c>
      <c r="K351" s="519">
        <v>2.5000000000000001E-2</v>
      </c>
      <c r="L351" s="519">
        <v>2.5000000000000001E-2</v>
      </c>
      <c r="M351" s="519">
        <v>2.5000000000000001E-2</v>
      </c>
      <c r="N351" s="519"/>
      <c r="O351" s="519"/>
      <c r="P351" s="519"/>
      <c r="Q351" s="519"/>
      <c r="R351" s="519"/>
      <c r="S351" s="519"/>
      <c r="T351" s="519"/>
      <c r="U351" s="519"/>
      <c r="V351" s="405" t="s">
        <v>41</v>
      </c>
      <c r="W351" s="416"/>
      <c r="X351" s="391"/>
      <c r="Y351" s="382">
        <v>0</v>
      </c>
      <c r="Z351" s="383">
        <v>1.5</v>
      </c>
      <c r="AA351" s="130"/>
    </row>
    <row r="352" spans="1:27" ht="13.8">
      <c r="A352" s="43"/>
      <c r="B352" s="42"/>
      <c r="C352" s="5"/>
      <c r="D352" s="5"/>
      <c r="E352" s="263" t="str">
        <f t="shared" si="11"/>
        <v>check</v>
      </c>
      <c r="F352" s="106">
        <v>60</v>
      </c>
      <c r="G352" s="519">
        <v>0.05</v>
      </c>
      <c r="H352" s="519">
        <v>0.05</v>
      </c>
      <c r="I352" s="519">
        <v>0.05</v>
      </c>
      <c r="J352" s="519">
        <v>0.05</v>
      </c>
      <c r="K352" s="519">
        <v>0.05</v>
      </c>
      <c r="L352" s="519">
        <v>0.05</v>
      </c>
      <c r="M352" s="519">
        <v>0.05</v>
      </c>
      <c r="N352" s="519"/>
      <c r="O352" s="519"/>
      <c r="P352" s="519"/>
      <c r="Q352" s="519"/>
      <c r="R352" s="519"/>
      <c r="S352" s="519"/>
      <c r="T352" s="519"/>
      <c r="U352" s="519"/>
      <c r="V352" s="405" t="s">
        <v>41</v>
      </c>
      <c r="W352" s="416"/>
      <c r="X352" s="391"/>
      <c r="Y352" s="382">
        <v>0</v>
      </c>
      <c r="Z352" s="383">
        <v>3</v>
      </c>
      <c r="AA352" s="130"/>
    </row>
    <row r="353" spans="1:27" ht="13.8">
      <c r="A353" s="43"/>
      <c r="B353" s="42"/>
      <c r="C353" s="5"/>
      <c r="D353" s="5"/>
      <c r="E353" s="263" t="str">
        <f t="shared" si="11"/>
        <v>check</v>
      </c>
      <c r="F353" s="106">
        <v>80</v>
      </c>
      <c r="G353" s="519">
        <v>6.7000000000000004E-2</v>
      </c>
      <c r="H353" s="519">
        <v>6.7000000000000004E-2</v>
      </c>
      <c r="I353" s="519">
        <v>6.7000000000000004E-2</v>
      </c>
      <c r="J353" s="519">
        <v>6.7000000000000004E-2</v>
      </c>
      <c r="K353" s="519">
        <v>6.7000000000000004E-2</v>
      </c>
      <c r="L353" s="519">
        <v>6.7000000000000004E-2</v>
      </c>
      <c r="M353" s="519">
        <v>6.7000000000000004E-2</v>
      </c>
      <c r="N353" s="519"/>
      <c r="O353" s="519"/>
      <c r="P353" s="519"/>
      <c r="Q353" s="519"/>
      <c r="R353" s="519"/>
      <c r="S353" s="519"/>
      <c r="T353" s="519"/>
      <c r="U353" s="519"/>
      <c r="V353" s="405" t="s">
        <v>41</v>
      </c>
      <c r="W353" s="416"/>
      <c r="X353" s="391"/>
      <c r="Y353" s="382">
        <v>0</v>
      </c>
      <c r="Z353" s="383">
        <v>4</v>
      </c>
      <c r="AA353" s="130"/>
    </row>
    <row r="354" spans="1:27" ht="13.8">
      <c r="A354" s="43"/>
      <c r="B354" s="42"/>
      <c r="C354" s="5"/>
      <c r="D354" s="5"/>
      <c r="E354" s="263" t="str">
        <f t="shared" si="11"/>
        <v>check</v>
      </c>
      <c r="F354" s="106">
        <v>100</v>
      </c>
      <c r="G354" s="519">
        <v>8.4000000000000005E-2</v>
      </c>
      <c r="H354" s="519">
        <v>8.4000000000000005E-2</v>
      </c>
      <c r="I354" s="519">
        <v>8.4000000000000005E-2</v>
      </c>
      <c r="J354" s="519">
        <v>8.4000000000000005E-2</v>
      </c>
      <c r="K354" s="519">
        <v>8.4000000000000005E-2</v>
      </c>
      <c r="L354" s="519">
        <v>8.4000000000000005E-2</v>
      </c>
      <c r="M354" s="519">
        <v>8.4000000000000005E-2</v>
      </c>
      <c r="N354" s="519"/>
      <c r="O354" s="519"/>
      <c r="P354" s="519"/>
      <c r="Q354" s="519"/>
      <c r="R354" s="519"/>
      <c r="S354" s="519"/>
      <c r="T354" s="519"/>
      <c r="U354" s="519"/>
      <c r="V354" s="405" t="s">
        <v>41</v>
      </c>
      <c r="W354" s="416"/>
      <c r="X354" s="391"/>
      <c r="Y354" s="382">
        <v>0</v>
      </c>
      <c r="Z354" s="383">
        <v>5</v>
      </c>
      <c r="AA354" s="130"/>
    </row>
    <row r="355" spans="1:27" ht="13.8">
      <c r="A355" s="43"/>
      <c r="B355" s="42"/>
      <c r="C355" s="5"/>
      <c r="D355" s="5"/>
      <c r="E355" s="263" t="str">
        <f t="shared" si="11"/>
        <v>check</v>
      </c>
      <c r="F355" s="106">
        <v>150</v>
      </c>
      <c r="G355" s="519"/>
      <c r="H355" s="519"/>
      <c r="I355" s="519"/>
      <c r="J355" s="519"/>
      <c r="K355" s="519"/>
      <c r="L355" s="519"/>
      <c r="M355" s="519"/>
      <c r="N355" s="519"/>
      <c r="O355" s="519"/>
      <c r="P355" s="519"/>
      <c r="Q355" s="519"/>
      <c r="R355" s="519"/>
      <c r="S355" s="519"/>
      <c r="T355" s="519"/>
      <c r="U355" s="519"/>
      <c r="V355" s="405" t="s">
        <v>41</v>
      </c>
      <c r="W355" s="416"/>
      <c r="X355" s="391"/>
      <c r="Y355" s="382">
        <v>0</v>
      </c>
      <c r="Z355" s="383">
        <v>7.5</v>
      </c>
      <c r="AA355" s="130"/>
    </row>
    <row r="356" spans="1:27" ht="13.8">
      <c r="A356" s="43"/>
      <c r="B356" s="42"/>
      <c r="C356" s="5"/>
      <c r="D356" s="5"/>
      <c r="E356" s="263" t="str">
        <f t="shared" si="11"/>
        <v>check</v>
      </c>
      <c r="F356" s="106">
        <v>200</v>
      </c>
      <c r="G356" s="519"/>
      <c r="H356" s="519"/>
      <c r="I356" s="519"/>
      <c r="J356" s="519"/>
      <c r="K356" s="519"/>
      <c r="L356" s="519"/>
      <c r="M356" s="519"/>
      <c r="N356" s="519"/>
      <c r="O356" s="519"/>
      <c r="P356" s="519"/>
      <c r="Q356" s="519"/>
      <c r="R356" s="519"/>
      <c r="S356" s="519"/>
      <c r="T356" s="519"/>
      <c r="U356" s="519"/>
      <c r="V356" s="405" t="s">
        <v>41</v>
      </c>
      <c r="W356" s="416"/>
      <c r="X356" s="391"/>
      <c r="Y356" s="382">
        <v>0</v>
      </c>
      <c r="Z356" s="383">
        <v>10</v>
      </c>
      <c r="AA356" s="130"/>
    </row>
    <row r="357" spans="1:27" ht="13.8">
      <c r="A357" s="43"/>
      <c r="B357" s="42"/>
      <c r="C357" s="5"/>
      <c r="D357" s="5"/>
      <c r="E357" s="263" t="str">
        <f t="shared" si="11"/>
        <v>check</v>
      </c>
      <c r="F357" s="106">
        <v>230</v>
      </c>
      <c r="G357" s="519"/>
      <c r="H357" s="519"/>
      <c r="I357" s="519"/>
      <c r="J357" s="519"/>
      <c r="K357" s="519"/>
      <c r="L357" s="519"/>
      <c r="M357" s="519"/>
      <c r="N357" s="519"/>
      <c r="O357" s="519"/>
      <c r="P357" s="519"/>
      <c r="Q357" s="519"/>
      <c r="R357" s="519"/>
      <c r="S357" s="519"/>
      <c r="T357" s="519"/>
      <c r="U357" s="519"/>
      <c r="V357" s="405"/>
      <c r="W357" s="69"/>
      <c r="X357" s="391"/>
      <c r="Y357" s="382"/>
      <c r="Z357" s="383"/>
      <c r="AA357" s="130"/>
    </row>
    <row r="358" spans="1:27" ht="14.4" thickBot="1">
      <c r="A358" s="43"/>
      <c r="B358" s="28"/>
      <c r="C358" s="24"/>
      <c r="D358" s="24"/>
      <c r="E358" s="24"/>
      <c r="F358" s="24" t="s">
        <v>814</v>
      </c>
      <c r="G358" s="332">
        <f>IF(LARGE(G345:G357,1)=0,"",(LARGE(G345:G357,1)-LARGE(G345:G357,2))/(INDEX($F$345:$F$357,MATCH(LARGE(G345:G357,1),G345:G357,0))-INDEX($F$345:$F$357,MATCH(LARGE(G345:G357,2),G345:G357,0)))*1000)</f>
        <v>0.85000000000000009</v>
      </c>
      <c r="H358" s="332">
        <f t="shared" ref="H358:U358" si="12">IF(LARGE(H345:H357,1)=0,"",(LARGE(H345:H357,1)-LARGE(H345:H357,2))/(INDEX($F$345:$F$357,MATCH(LARGE(H345:H357,1),H345:H357,0))-INDEX($F$345:$F$357,MATCH(LARGE(H345:H357,2),H345:H357,0)))*1000)</f>
        <v>0.85000000000000009</v>
      </c>
      <c r="I358" s="332">
        <f t="shared" si="12"/>
        <v>0.85000000000000009</v>
      </c>
      <c r="J358" s="332">
        <f t="shared" si="12"/>
        <v>0.85000000000000009</v>
      </c>
      <c r="K358" s="332">
        <f t="shared" si="12"/>
        <v>0.85000000000000009</v>
      </c>
      <c r="L358" s="332">
        <f t="shared" si="12"/>
        <v>0.85000000000000009</v>
      </c>
      <c r="M358" s="332">
        <f t="shared" si="12"/>
        <v>0.85000000000000009</v>
      </c>
      <c r="N358" s="332" t="str">
        <f t="shared" si="12"/>
        <v/>
      </c>
      <c r="O358" s="332" t="str">
        <f t="shared" si="12"/>
        <v/>
      </c>
      <c r="P358" s="332" t="str">
        <f t="shared" si="12"/>
        <v/>
      </c>
      <c r="Q358" s="332" t="str">
        <f t="shared" si="12"/>
        <v/>
      </c>
      <c r="R358" s="332" t="str">
        <f t="shared" si="12"/>
        <v/>
      </c>
      <c r="S358" s="332" t="str">
        <f t="shared" si="12"/>
        <v/>
      </c>
      <c r="T358" s="332" t="str">
        <f t="shared" si="12"/>
        <v/>
      </c>
      <c r="U358" s="332" t="str">
        <f t="shared" si="12"/>
        <v/>
      </c>
      <c r="V358" s="399"/>
      <c r="W358" s="69"/>
      <c r="X358" s="391"/>
      <c r="Y358" s="382"/>
      <c r="Z358" s="383"/>
      <c r="AA358" s="130"/>
    </row>
    <row r="359" spans="1:27" ht="14.4" thickBot="1">
      <c r="A359" s="16"/>
      <c r="B359" s="5"/>
      <c r="C359" s="5"/>
      <c r="D359" s="5"/>
      <c r="E359" s="163" t="s">
        <v>478</v>
      </c>
      <c r="F359" s="29" t="s">
        <v>131</v>
      </c>
      <c r="G359" s="336" t="str">
        <f>$G$44</f>
        <v>L 2WD NAO 2ROW</v>
      </c>
      <c r="H359" s="336" t="str">
        <f>$H$44</f>
        <v>L 4WD NAO 2ROW US</v>
      </c>
      <c r="I359" s="336" t="str">
        <f>$I$44</f>
        <v>L 4WD NAO 2ROW</v>
      </c>
      <c r="J359" s="336" t="str">
        <f>$J$44</f>
        <v>L 4WD NAO 3ROW</v>
      </c>
      <c r="K359" s="336" t="str">
        <f>$K$44</f>
        <v>R 2WD NAO 2ROW</v>
      </c>
      <c r="L359" s="336" t="str">
        <f>$L$44</f>
        <v>R 4WD NAO 2ROW</v>
      </c>
      <c r="M359" s="336" t="str">
        <f>$M$44</f>
        <v>R 4WD NAO 3ROW</v>
      </c>
      <c r="N359" s="336" t="str">
        <f>$N$44</f>
        <v/>
      </c>
      <c r="O359" s="336" t="str">
        <f>$O$44</f>
        <v/>
      </c>
      <c r="P359" s="336" t="str">
        <f>$P$44</f>
        <v/>
      </c>
      <c r="Q359" s="336" t="str">
        <f>$Q$44</f>
        <v/>
      </c>
      <c r="R359" s="336" t="str">
        <f>$R$44</f>
        <v/>
      </c>
      <c r="S359" s="336" t="str">
        <f>$S$44</f>
        <v/>
      </c>
      <c r="T359" s="336" t="str">
        <f>$T$44</f>
        <v/>
      </c>
      <c r="U359" s="336" t="str">
        <f>$U$44</f>
        <v/>
      </c>
      <c r="V359" s="69"/>
      <c r="W359" s="69"/>
      <c r="X359" s="391"/>
      <c r="Y359" s="382"/>
      <c r="Z359" s="383"/>
      <c r="AA359" s="130"/>
    </row>
    <row r="360" spans="1:27" ht="15">
      <c r="A360" s="16"/>
      <c r="B360" s="101" t="s">
        <v>68</v>
      </c>
      <c r="C360" s="102"/>
      <c r="D360" s="102"/>
      <c r="E360" s="102"/>
      <c r="F360" s="102"/>
      <c r="G360" s="343"/>
      <c r="H360" s="343"/>
      <c r="I360" s="343"/>
      <c r="J360" s="343"/>
      <c r="K360" s="343"/>
      <c r="L360" s="343"/>
      <c r="M360" s="343"/>
      <c r="N360" s="343"/>
      <c r="O360" s="343"/>
      <c r="P360" s="343"/>
      <c r="Q360" s="343"/>
      <c r="R360" s="343"/>
      <c r="S360" s="343"/>
      <c r="T360" s="343"/>
      <c r="U360" s="343"/>
      <c r="V360" s="403"/>
      <c r="W360" s="69"/>
      <c r="X360" s="391"/>
      <c r="Y360" s="382"/>
      <c r="Z360" s="383"/>
      <c r="AA360" s="130"/>
    </row>
    <row r="361" spans="1:27" ht="13.8">
      <c r="A361" s="16"/>
      <c r="B361" s="64" t="s">
        <v>68</v>
      </c>
      <c r="C361" s="65"/>
      <c r="D361" s="65"/>
      <c r="E361" s="65"/>
      <c r="F361" s="65"/>
      <c r="G361" s="344"/>
      <c r="H361" s="344"/>
      <c r="I361" s="344"/>
      <c r="J361" s="344"/>
      <c r="K361" s="344"/>
      <c r="L361" s="344"/>
      <c r="M361" s="344"/>
      <c r="N361" s="344"/>
      <c r="O361" s="344"/>
      <c r="P361" s="344"/>
      <c r="Q361" s="344"/>
      <c r="R361" s="344"/>
      <c r="S361" s="344"/>
      <c r="T361" s="344"/>
      <c r="U361" s="344"/>
      <c r="V361" s="404"/>
      <c r="W361" s="69"/>
      <c r="X361" s="391"/>
      <c r="Y361" s="382"/>
      <c r="Z361" s="383"/>
      <c r="AA361" s="130"/>
    </row>
    <row r="362" spans="1:27" ht="13.8">
      <c r="A362" s="528"/>
      <c r="B362" s="618" t="s">
        <v>144</v>
      </c>
      <c r="C362" s="618"/>
      <c r="D362" s="165" t="s">
        <v>627</v>
      </c>
      <c r="E362" s="506"/>
      <c r="F362" s="79"/>
      <c r="G362" s="519" t="str">
        <f>IF(OR($G$14="IPB 1.0 Size Se",$G$14="IPB 1.1 Size Sd",$G$14="IPB 1.1 Size Se",$G$14="IPB 2.0 Size S",$G$14="IPB 2.0 Size M",$G$14="IPB 2.0 Size L"),5,"")</f>
        <v/>
      </c>
      <c r="H362" s="519" t="str">
        <f t="shared" ref="H362:U362" si="13">IF(OR($G$14="IPB 1.0 Size Se",$G$14="IPB 1.1 Size Sd",$G$14="IPB 1.1 Size Se",$G$14="IPB 2.0 Size S",$G$14="IPB 2.0 Size M",$G$14="IPB 2.0 Size L"),5,"")</f>
        <v/>
      </c>
      <c r="I362" s="519" t="str">
        <f t="shared" si="13"/>
        <v/>
      </c>
      <c r="J362" s="519" t="str">
        <f t="shared" si="13"/>
        <v/>
      </c>
      <c r="K362" s="519" t="str">
        <f t="shared" si="13"/>
        <v/>
      </c>
      <c r="L362" s="519" t="str">
        <f t="shared" si="13"/>
        <v/>
      </c>
      <c r="M362" s="519" t="str">
        <f t="shared" si="13"/>
        <v/>
      </c>
      <c r="N362" s="519" t="str">
        <f t="shared" si="13"/>
        <v/>
      </c>
      <c r="O362" s="519" t="str">
        <f t="shared" si="13"/>
        <v/>
      </c>
      <c r="P362" s="519" t="str">
        <f t="shared" si="13"/>
        <v/>
      </c>
      <c r="Q362" s="519" t="str">
        <f t="shared" si="13"/>
        <v/>
      </c>
      <c r="R362" s="519" t="str">
        <f t="shared" si="13"/>
        <v/>
      </c>
      <c r="S362" s="519" t="str">
        <f t="shared" si="13"/>
        <v/>
      </c>
      <c r="T362" s="519" t="str">
        <f t="shared" si="13"/>
        <v/>
      </c>
      <c r="U362" s="519" t="str">
        <f t="shared" si="13"/>
        <v/>
      </c>
      <c r="V362" s="34" t="s">
        <v>119</v>
      </c>
      <c r="W362" s="5"/>
      <c r="X362" s="10"/>
      <c r="Y362" s="7">
        <v>0</v>
      </c>
      <c r="Z362" s="61">
        <v>100</v>
      </c>
    </row>
    <row r="363" spans="1:27" s="61" customFormat="1" ht="82.8">
      <c r="A363" s="528"/>
      <c r="B363" s="639" t="s">
        <v>1061</v>
      </c>
      <c r="C363" s="639"/>
      <c r="D363" s="503" t="s">
        <v>50</v>
      </c>
      <c r="E363" s="504" t="str">
        <f>IF(G363="","check",IF(MIN(G363:U363)&lt;Y363,"Attention," &amp;CHAR(10)&amp;"one of your parameters is below the usual range: "&amp;Y363&amp;D363,IF(MAX(G363:U363)&gt;Z363,"Attention," &amp;CHAR(10)&amp;" one of your parameters is above the usual range: "&amp;Z363&amp;D363,"check")))</f>
        <v>Attention,
 one of your parameters is above the usual range: 140[bar]</v>
      </c>
      <c r="F363" s="505" t="s">
        <v>1185</v>
      </c>
      <c r="G363" s="561">
        <v>142.0565</v>
      </c>
      <c r="H363" s="561">
        <v>142.0565</v>
      </c>
      <c r="I363" s="561">
        <v>142.0565</v>
      </c>
      <c r="J363" s="561">
        <v>142.0565</v>
      </c>
      <c r="K363" s="561">
        <v>142.0565</v>
      </c>
      <c r="L363" s="561">
        <v>142.0565</v>
      </c>
      <c r="M363" s="561">
        <v>142.0565</v>
      </c>
      <c r="N363" s="561"/>
      <c r="O363" s="561"/>
      <c r="P363" s="561"/>
      <c r="Q363" s="561"/>
      <c r="R363" s="561"/>
      <c r="S363" s="561"/>
      <c r="T363" s="561"/>
      <c r="U363" s="561"/>
      <c r="V363" s="495" t="s">
        <v>50</v>
      </c>
      <c r="W363" s="496"/>
      <c r="X363" s="497"/>
      <c r="Y363" s="462">
        <v>40</v>
      </c>
      <c r="Z363" s="61">
        <v>140</v>
      </c>
    </row>
    <row r="364" spans="1:27" ht="13.8">
      <c r="A364" s="8"/>
      <c r="B364" s="617" t="s">
        <v>125</v>
      </c>
      <c r="C364" s="618"/>
      <c r="D364" s="165" t="s">
        <v>118</v>
      </c>
      <c r="E364" s="428" t="str">
        <f>IF(G364="","check",IF(MIN(G364:U364)&lt;Y364,"Attention," &amp;CHAR(10)&amp;"one of your parameters is below the usual range: "&amp;Y364&amp;D364,IF(MAX(G364:U364)&gt;Z364,"Attention," &amp;CHAR(10)&amp;" one of your parameters is above the usual range: "&amp;Z364&amp;D364,"check")))</f>
        <v>check</v>
      </c>
      <c r="F364" s="587" t="s">
        <v>1182</v>
      </c>
      <c r="G364" s="519">
        <v>3</v>
      </c>
      <c r="H364" s="519">
        <v>3</v>
      </c>
      <c r="I364" s="519">
        <v>3</v>
      </c>
      <c r="J364" s="519">
        <v>3</v>
      </c>
      <c r="K364" s="519">
        <v>3</v>
      </c>
      <c r="L364" s="519">
        <v>3</v>
      </c>
      <c r="M364" s="519">
        <v>3</v>
      </c>
      <c r="N364" s="519"/>
      <c r="O364" s="519"/>
      <c r="P364" s="519"/>
      <c r="Q364" s="519"/>
      <c r="R364" s="519"/>
      <c r="S364" s="519"/>
      <c r="T364" s="519"/>
      <c r="U364" s="519"/>
      <c r="V364" s="395" t="s">
        <v>118</v>
      </c>
      <c r="W364" s="69"/>
      <c r="X364" s="381"/>
      <c r="Y364" s="382">
        <v>2.99</v>
      </c>
      <c r="Z364" s="383">
        <v>10.51</v>
      </c>
      <c r="AA364" s="130"/>
    </row>
    <row r="365" spans="1:27" ht="13.8">
      <c r="A365" s="16"/>
      <c r="B365" s="617" t="s">
        <v>126</v>
      </c>
      <c r="C365" s="618"/>
      <c r="D365" s="165" t="s">
        <v>118</v>
      </c>
      <c r="E365" s="428" t="str">
        <f>IF(G365="","check",IF(MIN(G365:U365)&lt;Y365,"Attention," &amp;CHAR(10)&amp;"one of your parameters is below the usual range: "&amp;Y365&amp;D365,IF(MAX(G365:U365)&gt;Z365,"Attention," &amp;CHAR(10)&amp;" one of your parameters is above the usual range: "&amp;Z365&amp;D365,"check")))</f>
        <v>check</v>
      </c>
      <c r="F365" s="587" t="s">
        <v>1182</v>
      </c>
      <c r="G365" s="519">
        <v>3</v>
      </c>
      <c r="H365" s="519">
        <v>3</v>
      </c>
      <c r="I365" s="519">
        <v>3</v>
      </c>
      <c r="J365" s="519">
        <v>3</v>
      </c>
      <c r="K365" s="519">
        <v>3</v>
      </c>
      <c r="L365" s="519">
        <v>3</v>
      </c>
      <c r="M365" s="519">
        <v>3</v>
      </c>
      <c r="N365" s="519"/>
      <c r="O365" s="519"/>
      <c r="P365" s="519"/>
      <c r="Q365" s="519"/>
      <c r="R365" s="519"/>
      <c r="S365" s="519"/>
      <c r="T365" s="519"/>
      <c r="U365" s="519"/>
      <c r="V365" s="395" t="s">
        <v>118</v>
      </c>
      <c r="W365" s="69"/>
      <c r="X365" s="391"/>
      <c r="Y365" s="382">
        <v>2.99</v>
      </c>
      <c r="Z365" s="383">
        <v>10.51</v>
      </c>
      <c r="AA365" s="130"/>
    </row>
    <row r="366" spans="1:27" ht="14.4" thickBot="1">
      <c r="A366" s="40"/>
      <c r="B366" s="28"/>
      <c r="C366" s="24"/>
      <c r="D366" s="108"/>
      <c r="E366" s="108"/>
      <c r="F366" s="332"/>
      <c r="G366" s="332"/>
      <c r="H366" s="332"/>
      <c r="I366" s="332"/>
      <c r="J366" s="332"/>
      <c r="K366" s="332"/>
      <c r="L366" s="332"/>
      <c r="M366" s="338"/>
      <c r="N366" s="338"/>
      <c r="O366" s="338"/>
      <c r="P366" s="338"/>
      <c r="Q366" s="338"/>
      <c r="R366" s="338"/>
      <c r="S366" s="338"/>
      <c r="T366" s="338"/>
      <c r="U366" s="332"/>
      <c r="V366" s="399"/>
      <c r="W366" s="69"/>
      <c r="X366" s="391"/>
      <c r="Y366" s="382"/>
      <c r="Z366" s="383"/>
      <c r="AA366" s="130"/>
    </row>
    <row r="367" spans="1:27" ht="14.4" thickBot="1">
      <c r="A367" s="16"/>
      <c r="B367" s="5"/>
      <c r="C367" s="5"/>
      <c r="D367" s="33"/>
      <c r="E367" s="163" t="s">
        <v>478</v>
      </c>
      <c r="F367" s="436" t="s">
        <v>131</v>
      </c>
      <c r="G367" s="336" t="str">
        <f>$G$44</f>
        <v>L 2WD NAO 2ROW</v>
      </c>
      <c r="H367" s="336" t="str">
        <f>$H$44</f>
        <v>L 4WD NAO 2ROW US</v>
      </c>
      <c r="I367" s="336" t="str">
        <f>$I$44</f>
        <v>L 4WD NAO 2ROW</v>
      </c>
      <c r="J367" s="336" t="str">
        <f>$J$44</f>
        <v>L 4WD NAO 3ROW</v>
      </c>
      <c r="K367" s="336" t="str">
        <f>$K$44</f>
        <v>R 2WD NAO 2ROW</v>
      </c>
      <c r="L367" s="336" t="str">
        <f>$L$44</f>
        <v>R 4WD NAO 2ROW</v>
      </c>
      <c r="M367" s="336" t="str">
        <f>$M$44</f>
        <v>R 4WD NAO 3ROW</v>
      </c>
      <c r="N367" s="336" t="str">
        <f>$N$44</f>
        <v/>
      </c>
      <c r="O367" s="336" t="str">
        <f>$O$44</f>
        <v/>
      </c>
      <c r="P367" s="336" t="str">
        <f>$P$44</f>
        <v/>
      </c>
      <c r="Q367" s="336" t="str">
        <f>$Q$44</f>
        <v/>
      </c>
      <c r="R367" s="336" t="str">
        <f>$R$44</f>
        <v/>
      </c>
      <c r="S367" s="336" t="str">
        <f>$S$44</f>
        <v/>
      </c>
      <c r="T367" s="336" t="str">
        <f>$T$44</f>
        <v/>
      </c>
      <c r="U367" s="336" t="str">
        <f>$U$44</f>
        <v/>
      </c>
      <c r="V367" s="69"/>
      <c r="W367" s="69"/>
      <c r="X367" s="391"/>
      <c r="Y367" s="382"/>
      <c r="Z367" s="383"/>
      <c r="AA367" s="130"/>
    </row>
    <row r="368" spans="1:27" ht="15">
      <c r="A368" s="16"/>
      <c r="B368" s="100" t="s">
        <v>61</v>
      </c>
      <c r="C368" s="99"/>
      <c r="D368" s="109"/>
      <c r="E368" s="109"/>
      <c r="F368" s="339"/>
      <c r="G368" s="339"/>
      <c r="H368" s="339"/>
      <c r="I368" s="339"/>
      <c r="J368" s="339"/>
      <c r="K368" s="339"/>
      <c r="L368" s="339"/>
      <c r="M368" s="339"/>
      <c r="N368" s="339"/>
      <c r="O368" s="339"/>
      <c r="P368" s="339"/>
      <c r="Q368" s="339"/>
      <c r="R368" s="339"/>
      <c r="S368" s="339"/>
      <c r="T368" s="339"/>
      <c r="U368" s="339"/>
      <c r="V368" s="394"/>
      <c r="W368" s="69"/>
      <c r="X368" s="391"/>
      <c r="Y368" s="382"/>
      <c r="Z368" s="383"/>
      <c r="AA368" s="130"/>
    </row>
    <row r="369" spans="1:27" ht="13.8">
      <c r="A369" s="40"/>
      <c r="B369" s="64" t="s">
        <v>886</v>
      </c>
      <c r="C369" s="65"/>
      <c r="D369" s="110"/>
      <c r="E369" s="110"/>
      <c r="F369" s="344"/>
      <c r="G369" s="344"/>
      <c r="H369" s="344"/>
      <c r="I369" s="344"/>
      <c r="J369" s="344"/>
      <c r="K369" s="344"/>
      <c r="L369" s="344"/>
      <c r="M369" s="344"/>
      <c r="N369" s="344"/>
      <c r="O369" s="344"/>
      <c r="P369" s="344"/>
      <c r="Q369" s="344"/>
      <c r="R369" s="344"/>
      <c r="S369" s="344"/>
      <c r="T369" s="344"/>
      <c r="U369" s="344"/>
      <c r="V369" s="404"/>
      <c r="W369" s="69"/>
      <c r="X369" s="391"/>
      <c r="Y369" s="382"/>
      <c r="Z369" s="383"/>
      <c r="AA369" s="130"/>
    </row>
    <row r="370" spans="1:27" ht="13.8">
      <c r="A370" s="40"/>
      <c r="B370" s="604" t="s">
        <v>54</v>
      </c>
      <c r="C370" s="605"/>
      <c r="D370" s="169" t="s">
        <v>45</v>
      </c>
      <c r="E370" s="432" t="str">
        <f>IF(G370="","check",IF(MIN(G370:U370)&lt;Y370,"Attention," &amp;CHAR(10)&amp;"one of your parameters is below the usual range: "&amp;Y370&amp;D370,IF(MAX(G370:U370)&gt;Z370,"Attention," &amp;CHAR(10)&amp;" one of your parameters is above the usual range: "&amp;Z370&amp;D370,"check")))</f>
        <v>check</v>
      </c>
      <c r="F370" s="80"/>
      <c r="G370" s="869"/>
      <c r="H370" s="869"/>
      <c r="I370" s="869"/>
      <c r="J370" s="869"/>
      <c r="K370" s="869"/>
      <c r="L370" s="869"/>
      <c r="M370" s="869"/>
      <c r="N370" s="869"/>
      <c r="O370" s="869"/>
      <c r="P370" s="869"/>
      <c r="Q370" s="869"/>
      <c r="R370" s="869"/>
      <c r="S370" s="869"/>
      <c r="T370" s="869"/>
      <c r="U370" s="869"/>
      <c r="V370" s="405" t="s">
        <v>45</v>
      </c>
      <c r="W370" s="69"/>
      <c r="X370" s="391"/>
      <c r="Y370" s="382">
        <v>45</v>
      </c>
      <c r="Z370" s="383">
        <v>105</v>
      </c>
      <c r="AA370" s="130"/>
    </row>
    <row r="371" spans="1:27" ht="13.8">
      <c r="A371" s="309"/>
      <c r="B371" s="604" t="s">
        <v>53</v>
      </c>
      <c r="C371" s="605"/>
      <c r="D371" s="312" t="s">
        <v>50</v>
      </c>
      <c r="E371" s="433" t="str">
        <f>IF(G371="","check",IF(MIN(G371:U371)&lt;Y371,"Attention," &amp;CHAR(10)&amp;"one of your parameters is below the usual range: "&amp;Y371&amp;D371,IF(MAX(G371:U371)&gt;Z371,"Attention," &amp;CHAR(10)&amp;" one of your parameters is above the usual range: "&amp;Z371&amp;D371,"check")))</f>
        <v>check</v>
      </c>
      <c r="F371" s="313"/>
      <c r="G371" s="870"/>
      <c r="H371" s="870"/>
      <c r="I371" s="870"/>
      <c r="J371" s="870"/>
      <c r="K371" s="870"/>
      <c r="L371" s="870"/>
      <c r="M371" s="870"/>
      <c r="N371" s="870"/>
      <c r="O371" s="870"/>
      <c r="P371" s="870"/>
      <c r="Q371" s="870"/>
      <c r="R371" s="870"/>
      <c r="S371" s="870"/>
      <c r="T371" s="870"/>
      <c r="U371" s="870"/>
      <c r="V371" s="405" t="s">
        <v>50</v>
      </c>
      <c r="W371" s="69"/>
      <c r="X371" s="391"/>
      <c r="Y371" s="382">
        <v>5</v>
      </c>
      <c r="Z371" s="383">
        <v>20</v>
      </c>
      <c r="AA371" s="130"/>
    </row>
    <row r="372" spans="1:27" ht="13.8">
      <c r="A372" s="309"/>
      <c r="B372" s="633" t="s">
        <v>879</v>
      </c>
      <c r="C372" s="634"/>
      <c r="D372" s="169" t="s">
        <v>45</v>
      </c>
      <c r="E372" s="169"/>
      <c r="F372" s="80"/>
      <c r="G372" s="869"/>
      <c r="H372" s="869"/>
      <c r="I372" s="869"/>
      <c r="J372" s="869"/>
      <c r="K372" s="869"/>
      <c r="L372" s="869"/>
      <c r="M372" s="869"/>
      <c r="N372" s="869"/>
      <c r="O372" s="869"/>
      <c r="P372" s="869"/>
      <c r="Q372" s="869"/>
      <c r="R372" s="869"/>
      <c r="S372" s="869"/>
      <c r="T372" s="869"/>
      <c r="U372" s="869"/>
      <c r="V372" s="405" t="s">
        <v>46</v>
      </c>
      <c r="W372" s="69"/>
      <c r="X372" s="391"/>
      <c r="Y372" s="382"/>
      <c r="Z372" s="383"/>
      <c r="AA372" s="130"/>
    </row>
    <row r="373" spans="1:27" ht="13.8">
      <c r="A373" s="309"/>
      <c r="B373" s="633" t="s">
        <v>889</v>
      </c>
      <c r="C373" s="634"/>
      <c r="D373" s="169" t="s">
        <v>46</v>
      </c>
      <c r="E373" s="169"/>
      <c r="F373" s="80"/>
      <c r="G373" s="869"/>
      <c r="H373" s="869"/>
      <c r="I373" s="869"/>
      <c r="J373" s="869"/>
      <c r="K373" s="869"/>
      <c r="L373" s="869"/>
      <c r="M373" s="869"/>
      <c r="N373" s="869"/>
      <c r="O373" s="869"/>
      <c r="P373" s="869"/>
      <c r="Q373" s="869"/>
      <c r="R373" s="869"/>
      <c r="S373" s="869"/>
      <c r="T373" s="869"/>
      <c r="U373" s="869"/>
      <c r="V373" s="405" t="s">
        <v>46</v>
      </c>
      <c r="W373" s="69"/>
      <c r="X373" s="391"/>
      <c r="Y373" s="382"/>
      <c r="Z373" s="383"/>
      <c r="AA373" s="130"/>
    </row>
    <row r="374" spans="1:27" ht="13.8">
      <c r="A374" s="309"/>
      <c r="B374" s="633" t="s">
        <v>880</v>
      </c>
      <c r="C374" s="634"/>
      <c r="D374" s="169" t="s">
        <v>46</v>
      </c>
      <c r="E374" s="432" t="str">
        <f>IF(G374="","check",IF(MIN(G374:U374)&lt;Y374,"Attention," &amp;CHAR(10)&amp;"one of your parameters is below the usual range: "&amp;Y374&amp;D374,IF(MAX(G374:U374)&gt;Z374,"Attention," &amp;CHAR(10)&amp;" one of your parameters is above the usual range: "&amp;Z374&amp;D374,"check")))</f>
        <v>check</v>
      </c>
      <c r="F374" s="80"/>
      <c r="G374" s="869"/>
      <c r="H374" s="869"/>
      <c r="I374" s="869"/>
      <c r="J374" s="869"/>
      <c r="K374" s="869"/>
      <c r="L374" s="869"/>
      <c r="M374" s="869"/>
      <c r="N374" s="869"/>
      <c r="O374" s="869"/>
      <c r="P374" s="869"/>
      <c r="Q374" s="869"/>
      <c r="R374" s="869"/>
      <c r="S374" s="869"/>
      <c r="T374" s="869"/>
      <c r="U374" s="869"/>
      <c r="V374" s="405" t="s">
        <v>46</v>
      </c>
      <c r="W374" s="69"/>
      <c r="X374" s="391"/>
      <c r="Y374" s="382">
        <v>4</v>
      </c>
      <c r="Z374" s="383">
        <v>12</v>
      </c>
      <c r="AA374" s="130"/>
    </row>
    <row r="375" spans="1:27" ht="13.8">
      <c r="A375" s="40"/>
      <c r="B375" s="604" t="s">
        <v>55</v>
      </c>
      <c r="C375" s="610"/>
      <c r="D375" s="314" t="s">
        <v>50</v>
      </c>
      <c r="E375" s="434" t="str">
        <f>IF(G375="","check",IF(MIN(G375:U375)&lt;Y375,"Attention," &amp;CHAR(10)&amp;"one of your parameters is below the usual range: "&amp;Y375&amp;D375,IF(MAX(G375:U375)&gt;Z375,"Attention," &amp;CHAR(10)&amp;" one of your parameters is above the usual range: "&amp;Z375&amp;D375,"check")))</f>
        <v>check</v>
      </c>
      <c r="F375" s="315"/>
      <c r="G375" s="871"/>
      <c r="H375" s="871"/>
      <c r="I375" s="871"/>
      <c r="J375" s="871"/>
      <c r="K375" s="871"/>
      <c r="L375" s="871"/>
      <c r="M375" s="871"/>
      <c r="N375" s="871"/>
      <c r="O375" s="871"/>
      <c r="P375" s="871"/>
      <c r="Q375" s="871"/>
      <c r="R375" s="871"/>
      <c r="S375" s="871"/>
      <c r="T375" s="871"/>
      <c r="U375" s="871"/>
      <c r="V375" s="405" t="s">
        <v>50</v>
      </c>
      <c r="W375" s="69"/>
      <c r="X375" s="391"/>
      <c r="Y375" s="382">
        <v>23</v>
      </c>
      <c r="Z375" s="383">
        <v>200</v>
      </c>
      <c r="AA375" s="130"/>
    </row>
    <row r="376" spans="1:27" ht="13.8">
      <c r="A376" s="40"/>
      <c r="B376" s="604" t="s">
        <v>776</v>
      </c>
      <c r="C376" s="610"/>
      <c r="D376" s="169" t="s">
        <v>46</v>
      </c>
      <c r="E376" s="169"/>
      <c r="F376" s="80"/>
      <c r="G376" s="869"/>
      <c r="H376" s="869"/>
      <c r="I376" s="869"/>
      <c r="J376" s="869"/>
      <c r="K376" s="869"/>
      <c r="L376" s="869"/>
      <c r="M376" s="869"/>
      <c r="N376" s="869"/>
      <c r="O376" s="869"/>
      <c r="P376" s="869"/>
      <c r="Q376" s="869"/>
      <c r="R376" s="869"/>
      <c r="S376" s="869"/>
      <c r="T376" s="869"/>
      <c r="U376" s="869"/>
      <c r="V376" s="405" t="s">
        <v>46</v>
      </c>
      <c r="W376" s="69"/>
      <c r="X376" s="391"/>
      <c r="Y376" s="382"/>
      <c r="Z376" s="383"/>
      <c r="AA376" s="130"/>
    </row>
    <row r="377" spans="1:27" ht="13.8">
      <c r="A377" s="40"/>
      <c r="B377" s="46"/>
      <c r="C377" s="47"/>
      <c r="D377" s="47"/>
      <c r="E377" s="47"/>
      <c r="F377" s="29"/>
      <c r="G377" s="355"/>
      <c r="H377" s="355"/>
      <c r="I377" s="355"/>
      <c r="J377" s="355"/>
      <c r="K377" s="355"/>
      <c r="L377" s="355"/>
      <c r="M377" s="355"/>
      <c r="N377" s="355"/>
      <c r="O377" s="355"/>
      <c r="P377" s="355"/>
      <c r="Q377" s="355"/>
      <c r="R377" s="355"/>
      <c r="S377" s="355"/>
      <c r="T377" s="355"/>
      <c r="U377" s="355"/>
      <c r="V377" s="381"/>
      <c r="W377" s="69"/>
      <c r="X377" s="391"/>
      <c r="Y377" s="382"/>
      <c r="Z377" s="383"/>
      <c r="AA377" s="130"/>
    </row>
    <row r="378" spans="1:27" ht="13.8">
      <c r="A378" s="40"/>
      <c r="B378" s="44"/>
      <c r="C378" s="5"/>
      <c r="D378" s="5"/>
      <c r="E378" s="5"/>
      <c r="F378" s="29"/>
      <c r="G378" s="355"/>
      <c r="H378" s="355"/>
      <c r="I378" s="355"/>
      <c r="J378" s="355"/>
      <c r="K378" s="355"/>
      <c r="L378" s="355"/>
      <c r="M378" s="355"/>
      <c r="N378" s="355"/>
      <c r="O378" s="355"/>
      <c r="P378" s="355"/>
      <c r="Q378" s="355"/>
      <c r="R378" s="355"/>
      <c r="S378" s="355"/>
      <c r="T378" s="355"/>
      <c r="U378" s="355"/>
      <c r="V378" s="381"/>
      <c r="W378" s="69"/>
      <c r="X378" s="391"/>
      <c r="Y378" s="382"/>
      <c r="Z378" s="383"/>
      <c r="AA378" s="130"/>
    </row>
    <row r="379" spans="1:27" ht="13.8">
      <c r="A379" s="40"/>
      <c r="B379" s="44"/>
      <c r="C379" s="5"/>
      <c r="D379" s="5"/>
      <c r="E379" s="5"/>
      <c r="F379" s="29"/>
      <c r="G379" s="355"/>
      <c r="H379" s="355"/>
      <c r="I379" s="355"/>
      <c r="J379" s="355"/>
      <c r="K379" s="355"/>
      <c r="L379" s="355"/>
      <c r="M379" s="355"/>
      <c r="N379" s="355"/>
      <c r="O379" s="355"/>
      <c r="P379" s="355"/>
      <c r="Q379" s="355"/>
      <c r="R379" s="355"/>
      <c r="S379" s="355"/>
      <c r="T379" s="355"/>
      <c r="U379" s="355"/>
      <c r="V379" s="381"/>
      <c r="W379" s="69"/>
      <c r="X379" s="391"/>
      <c r="Y379" s="382"/>
      <c r="Z379" s="383"/>
      <c r="AA379" s="130"/>
    </row>
    <row r="380" spans="1:27" ht="13.8">
      <c r="A380" s="40"/>
      <c r="B380" s="44"/>
      <c r="C380" s="5"/>
      <c r="D380" s="5"/>
      <c r="E380" s="5"/>
      <c r="F380" s="29"/>
      <c r="G380" s="355"/>
      <c r="H380" s="355"/>
      <c r="I380" s="355"/>
      <c r="J380" s="355"/>
      <c r="K380" s="355"/>
      <c r="L380" s="355"/>
      <c r="M380" s="355"/>
      <c r="N380" s="355"/>
      <c r="O380" s="355"/>
      <c r="P380" s="355"/>
      <c r="Q380" s="355"/>
      <c r="R380" s="355"/>
      <c r="S380" s="355"/>
      <c r="T380" s="355"/>
      <c r="U380" s="355"/>
      <c r="V380" s="381"/>
      <c r="W380" s="69"/>
      <c r="X380" s="391"/>
      <c r="Y380" s="382"/>
      <c r="Z380" s="383"/>
      <c r="AA380" s="130"/>
    </row>
    <row r="381" spans="1:27" ht="13.8">
      <c r="A381" s="40"/>
      <c r="B381" s="44"/>
      <c r="C381" s="5"/>
      <c r="D381" s="5"/>
      <c r="E381" s="5"/>
      <c r="F381" s="29"/>
      <c r="G381" s="355"/>
      <c r="H381" s="355"/>
      <c r="I381" s="355"/>
      <c r="J381" s="355"/>
      <c r="K381" s="355"/>
      <c r="L381" s="355"/>
      <c r="M381" s="355"/>
      <c r="N381" s="355"/>
      <c r="O381" s="355"/>
      <c r="P381" s="355"/>
      <c r="Q381" s="355"/>
      <c r="R381" s="355"/>
      <c r="S381" s="355"/>
      <c r="T381" s="355"/>
      <c r="U381" s="355"/>
      <c r="V381" s="381"/>
      <c r="W381" s="69"/>
      <c r="X381" s="391"/>
      <c r="Y381" s="382"/>
      <c r="Z381" s="383"/>
      <c r="AA381" s="130"/>
    </row>
    <row r="382" spans="1:27" ht="13.8">
      <c r="A382" s="40"/>
      <c r="B382" s="44"/>
      <c r="C382" s="5"/>
      <c r="D382" s="5"/>
      <c r="E382" s="5"/>
      <c r="F382" s="29"/>
      <c r="G382" s="355"/>
      <c r="H382" s="355"/>
      <c r="I382" s="355"/>
      <c r="J382" s="355"/>
      <c r="K382" s="355"/>
      <c r="L382" s="355"/>
      <c r="M382" s="355"/>
      <c r="N382" s="355"/>
      <c r="O382" s="355"/>
      <c r="P382" s="355"/>
      <c r="Q382" s="355"/>
      <c r="R382" s="355"/>
      <c r="S382" s="355"/>
      <c r="T382" s="355"/>
      <c r="U382" s="355"/>
      <c r="V382" s="381"/>
      <c r="W382" s="69"/>
      <c r="X382" s="391"/>
      <c r="Y382" s="382"/>
      <c r="Z382" s="383"/>
      <c r="AA382" s="130"/>
    </row>
    <row r="383" spans="1:27" ht="13.8">
      <c r="A383" s="40"/>
      <c r="B383" s="44"/>
      <c r="C383" s="5"/>
      <c r="D383" s="5"/>
      <c r="E383" s="5"/>
      <c r="F383" s="29"/>
      <c r="G383" s="355"/>
      <c r="H383" s="355"/>
      <c r="I383" s="355"/>
      <c r="J383" s="355"/>
      <c r="K383" s="355"/>
      <c r="L383" s="355"/>
      <c r="M383" s="355"/>
      <c r="N383" s="355"/>
      <c r="O383" s="355"/>
      <c r="P383" s="355"/>
      <c r="Q383" s="355"/>
      <c r="R383" s="355"/>
      <c r="S383" s="355"/>
      <c r="T383" s="355"/>
      <c r="U383" s="355"/>
      <c r="V383" s="381"/>
      <c r="W383" s="69"/>
      <c r="X383" s="391"/>
      <c r="Y383" s="382"/>
      <c r="Z383" s="383"/>
      <c r="AA383" s="130"/>
    </row>
    <row r="384" spans="1:27" ht="13.8">
      <c r="A384" s="40"/>
      <c r="B384" s="44"/>
      <c r="C384" s="5"/>
      <c r="D384" s="5"/>
      <c r="E384" s="5"/>
      <c r="F384" s="29"/>
      <c r="G384" s="355"/>
      <c r="H384" s="355"/>
      <c r="I384" s="355"/>
      <c r="J384" s="355"/>
      <c r="K384" s="355"/>
      <c r="L384" s="355"/>
      <c r="M384" s="355"/>
      <c r="N384" s="355"/>
      <c r="O384" s="355"/>
      <c r="P384" s="355"/>
      <c r="Q384" s="355"/>
      <c r="R384" s="355"/>
      <c r="S384" s="355"/>
      <c r="T384" s="355"/>
      <c r="U384" s="355"/>
      <c r="V384" s="381"/>
      <c r="W384" s="69"/>
      <c r="X384" s="391"/>
      <c r="Y384" s="382"/>
      <c r="Z384" s="383"/>
      <c r="AA384" s="130"/>
    </row>
    <row r="385" spans="1:30" ht="13.8">
      <c r="A385" s="40"/>
      <c r="B385" s="44"/>
      <c r="C385" s="5"/>
      <c r="D385" s="5"/>
      <c r="E385" s="5"/>
      <c r="F385" s="29"/>
      <c r="G385" s="355"/>
      <c r="H385" s="355"/>
      <c r="I385" s="355"/>
      <c r="J385" s="355"/>
      <c r="K385" s="355"/>
      <c r="L385" s="355"/>
      <c r="M385" s="355"/>
      <c r="N385" s="355"/>
      <c r="O385" s="355"/>
      <c r="P385" s="355"/>
      <c r="Q385" s="355"/>
      <c r="R385" s="355"/>
      <c r="S385" s="355"/>
      <c r="T385" s="355"/>
      <c r="U385" s="355"/>
      <c r="V385" s="381"/>
      <c r="W385" s="69"/>
      <c r="X385" s="391"/>
      <c r="Y385" s="382"/>
      <c r="Z385" s="383"/>
      <c r="AA385" s="130"/>
    </row>
    <row r="386" spans="1:30" ht="13.8">
      <c r="A386" s="40"/>
      <c r="B386" s="44"/>
      <c r="C386" s="5"/>
      <c r="D386" s="5"/>
      <c r="E386" s="5"/>
      <c r="F386" s="29"/>
      <c r="G386" s="355"/>
      <c r="H386" s="355"/>
      <c r="I386" s="355"/>
      <c r="J386" s="355"/>
      <c r="K386" s="355"/>
      <c r="L386" s="355"/>
      <c r="M386" s="355"/>
      <c r="N386" s="355"/>
      <c r="O386" s="355"/>
      <c r="P386" s="355"/>
      <c r="Q386" s="355"/>
      <c r="R386" s="355"/>
      <c r="S386" s="355"/>
      <c r="T386" s="355"/>
      <c r="U386" s="355"/>
      <c r="V386" s="381"/>
      <c r="W386" s="69"/>
      <c r="X386" s="391"/>
      <c r="Y386" s="382"/>
      <c r="Z386" s="383"/>
      <c r="AA386" s="130"/>
    </row>
    <row r="387" spans="1:30" ht="13.8">
      <c r="A387" s="40"/>
      <c r="B387" s="44"/>
      <c r="C387" s="5"/>
      <c r="D387" s="5"/>
      <c r="E387" s="5"/>
      <c r="F387" s="29"/>
      <c r="G387" s="355"/>
      <c r="H387" s="355"/>
      <c r="I387" s="355"/>
      <c r="J387" s="355"/>
      <c r="K387" s="355"/>
      <c r="L387" s="355"/>
      <c r="M387" s="355"/>
      <c r="N387" s="355"/>
      <c r="O387" s="355"/>
      <c r="P387" s="355"/>
      <c r="Q387" s="355"/>
      <c r="R387" s="355"/>
      <c r="S387" s="355"/>
      <c r="T387" s="355"/>
      <c r="U387" s="355"/>
      <c r="V387" s="381"/>
      <c r="W387" s="69"/>
      <c r="X387" s="391"/>
      <c r="Y387" s="382"/>
      <c r="Z387" s="383"/>
      <c r="AA387" s="130"/>
    </row>
    <row r="388" spans="1:30" ht="13.8">
      <c r="A388" s="40"/>
      <c r="B388" s="141" t="s">
        <v>448</v>
      </c>
      <c r="C388" s="142"/>
      <c r="D388" s="142"/>
      <c r="E388" s="142"/>
      <c r="F388" s="143"/>
      <c r="G388" s="356"/>
      <c r="H388" s="356"/>
      <c r="I388" s="356"/>
      <c r="J388" s="356"/>
      <c r="K388" s="356"/>
      <c r="L388" s="356"/>
      <c r="M388" s="356"/>
      <c r="N388" s="356"/>
      <c r="O388" s="356"/>
      <c r="P388" s="356"/>
      <c r="Q388" s="356"/>
      <c r="R388" s="356"/>
      <c r="S388" s="356"/>
      <c r="T388" s="356"/>
      <c r="U388" s="356"/>
      <c r="V388" s="417"/>
      <c r="W388" s="69"/>
      <c r="X388" s="391"/>
      <c r="Y388" s="382"/>
      <c r="Z388" s="383"/>
      <c r="AA388" s="130"/>
    </row>
    <row r="389" spans="1:30" ht="13.8">
      <c r="A389" s="40"/>
      <c r="B389" s="604" t="s">
        <v>443</v>
      </c>
      <c r="C389" s="605"/>
      <c r="D389" s="168" t="s">
        <v>35</v>
      </c>
      <c r="E389" s="168" t="str">
        <f>IF(G389="","check",IF(MIN(G389:U389)&lt;Y389,"Attention," &amp;CHAR(10)&amp;"one of your parameters is below the usual range: "&amp;Y389&amp;D389,IF(MAX(G389:U389)&gt;Z389,"Attention," &amp;CHAR(10)&amp;" one of your parameters is above the usual range: "&amp;Z389&amp;D389,"check")))</f>
        <v>check</v>
      </c>
      <c r="F389" s="205"/>
      <c r="G389" s="872"/>
      <c r="H389" s="872"/>
      <c r="I389" s="872"/>
      <c r="J389" s="872"/>
      <c r="K389" s="872"/>
      <c r="L389" s="872"/>
      <c r="M389" s="872"/>
      <c r="N389" s="872"/>
      <c r="O389" s="872"/>
      <c r="P389" s="872"/>
      <c r="Q389" s="872"/>
      <c r="R389" s="872"/>
      <c r="S389" s="872"/>
      <c r="T389" s="872"/>
      <c r="U389" s="872"/>
      <c r="V389" s="144" t="s">
        <v>35</v>
      </c>
      <c r="W389" s="5"/>
      <c r="X389" s="13"/>
      <c r="Y389" s="7">
        <v>10</v>
      </c>
      <c r="Z389" s="61">
        <v>50</v>
      </c>
    </row>
    <row r="390" spans="1:30" ht="13.8">
      <c r="A390" s="40"/>
      <c r="B390" s="604" t="s">
        <v>444</v>
      </c>
      <c r="C390" s="605"/>
      <c r="D390" s="168" t="s">
        <v>35</v>
      </c>
      <c r="E390" s="168" t="str">
        <f>IF(G390="","check",IF(MIN(G390:U390)&lt;Y390,"Attention," &amp;CHAR(10)&amp;"one of your parameters is below the usual range: "&amp;Y390&amp;D390,IF(MAX(G390:U390)&gt;Z390,"Attention," &amp;CHAR(10)&amp;" one of your parameters is above the usual range: "&amp;Z390&amp;D390,"check")))</f>
        <v>check</v>
      </c>
      <c r="F390" s="205"/>
      <c r="G390" s="872"/>
      <c r="H390" s="872"/>
      <c r="I390" s="872"/>
      <c r="J390" s="872"/>
      <c r="K390" s="872"/>
      <c r="L390" s="872"/>
      <c r="M390" s="872"/>
      <c r="N390" s="872"/>
      <c r="O390" s="872"/>
      <c r="P390" s="872"/>
      <c r="Q390" s="872"/>
      <c r="R390" s="872"/>
      <c r="S390" s="872"/>
      <c r="T390" s="872"/>
      <c r="U390" s="872"/>
      <c r="V390" s="144" t="s">
        <v>35</v>
      </c>
      <c r="W390" s="5"/>
      <c r="X390" s="13"/>
      <c r="Y390" s="7">
        <v>10</v>
      </c>
      <c r="Z390" s="61">
        <v>50</v>
      </c>
    </row>
    <row r="391" spans="1:30" ht="13.8">
      <c r="A391" s="40"/>
      <c r="B391" s="604" t="s">
        <v>445</v>
      </c>
      <c r="C391" s="605"/>
      <c r="D391" s="168" t="s">
        <v>292</v>
      </c>
      <c r="E391" s="168"/>
      <c r="F391" s="205"/>
      <c r="G391" s="873">
        <v>0.6</v>
      </c>
      <c r="H391" s="873">
        <v>0.6</v>
      </c>
      <c r="I391" s="873">
        <v>0.6</v>
      </c>
      <c r="J391" s="873">
        <v>0.6</v>
      </c>
      <c r="K391" s="873">
        <v>0.6</v>
      </c>
      <c r="L391" s="873">
        <v>0.6</v>
      </c>
      <c r="M391" s="873">
        <v>0.6</v>
      </c>
      <c r="N391" s="873">
        <v>0.6</v>
      </c>
      <c r="O391" s="873">
        <v>0.6</v>
      </c>
      <c r="P391" s="873">
        <v>0.6</v>
      </c>
      <c r="Q391" s="873">
        <v>0.6</v>
      </c>
      <c r="R391" s="873">
        <v>0.6</v>
      </c>
      <c r="S391" s="873">
        <v>0.6</v>
      </c>
      <c r="T391" s="873">
        <v>0.6</v>
      </c>
      <c r="U391" s="873">
        <v>0.6</v>
      </c>
      <c r="V391" s="144" t="s">
        <v>292</v>
      </c>
      <c r="W391" s="5"/>
      <c r="X391" s="13"/>
      <c r="Y391" s="7"/>
    </row>
    <row r="392" spans="1:30" ht="13.8">
      <c r="A392" s="16"/>
      <c r="B392" s="604" t="s">
        <v>446</v>
      </c>
      <c r="C392" s="605"/>
      <c r="D392" s="168" t="s">
        <v>447</v>
      </c>
      <c r="E392" s="168"/>
      <c r="F392" s="205"/>
      <c r="G392" s="872">
        <v>400</v>
      </c>
      <c r="H392" s="872">
        <v>400</v>
      </c>
      <c r="I392" s="872">
        <v>400</v>
      </c>
      <c r="J392" s="872">
        <v>400</v>
      </c>
      <c r="K392" s="872">
        <v>400</v>
      </c>
      <c r="L392" s="872">
        <v>400</v>
      </c>
      <c r="M392" s="872">
        <v>400</v>
      </c>
      <c r="N392" s="872">
        <v>400</v>
      </c>
      <c r="O392" s="872">
        <v>400</v>
      </c>
      <c r="P392" s="872">
        <v>400</v>
      </c>
      <c r="Q392" s="872">
        <v>400</v>
      </c>
      <c r="R392" s="872">
        <v>400</v>
      </c>
      <c r="S392" s="872">
        <v>400</v>
      </c>
      <c r="T392" s="872">
        <v>400</v>
      </c>
      <c r="U392" s="872">
        <v>400</v>
      </c>
      <c r="V392" s="144" t="s">
        <v>447</v>
      </c>
      <c r="W392" s="5"/>
      <c r="X392" s="13"/>
      <c r="Y392" s="7"/>
    </row>
    <row r="393" spans="1:30" ht="13.8">
      <c r="A393" s="40"/>
      <c r="B393" s="64" t="s">
        <v>357</v>
      </c>
      <c r="C393" s="65"/>
      <c r="D393" s="65"/>
      <c r="E393" s="65"/>
      <c r="F393" s="344"/>
      <c r="G393" s="344"/>
      <c r="H393" s="344"/>
      <c r="I393" s="344"/>
      <c r="J393" s="344"/>
      <c r="K393" s="344"/>
      <c r="L393" s="344"/>
      <c r="M393" s="344"/>
      <c r="N393" s="344"/>
      <c r="O393" s="344"/>
      <c r="P393" s="344"/>
      <c r="Q393" s="344"/>
      <c r="R393" s="344"/>
      <c r="S393" s="344"/>
      <c r="T393" s="344"/>
      <c r="U393" s="344"/>
      <c r="V393" s="404"/>
      <c r="W393" s="69"/>
      <c r="X393" s="391"/>
      <c r="Y393" s="382"/>
      <c r="Z393" s="383"/>
      <c r="AA393" s="130"/>
    </row>
    <row r="394" spans="1:30" ht="13.8">
      <c r="A394" s="40"/>
      <c r="B394" s="635" t="s">
        <v>358</v>
      </c>
      <c r="C394" s="636"/>
      <c r="D394" s="165" t="s">
        <v>45</v>
      </c>
      <c r="E394" s="428" t="str">
        <f>IF(G394="","check",IF(MIN(G394:U394)&lt;Y394,"Attention," &amp;CHAR(10)&amp;"one of your parameters is below the usual range: "&amp;Y394&amp;D394,IF(MAX(G394:U394)&gt;Z394,"Attention," &amp;CHAR(10)&amp;" one of your parameters is above the usual range: "&amp;Z394&amp;D394,"check")))</f>
        <v>check</v>
      </c>
      <c r="F394" s="79"/>
      <c r="G394" s="874"/>
      <c r="H394" s="874"/>
      <c r="I394" s="874"/>
      <c r="J394" s="874"/>
      <c r="K394" s="874"/>
      <c r="L394" s="874"/>
      <c r="M394" s="874"/>
      <c r="N394" s="874"/>
      <c r="O394" s="874"/>
      <c r="P394" s="874"/>
      <c r="Q394" s="874"/>
      <c r="R394" s="874"/>
      <c r="S394" s="874"/>
      <c r="T394" s="874"/>
      <c r="U394" s="874"/>
      <c r="V394" s="131" t="s">
        <v>45</v>
      </c>
      <c r="W394" s="44"/>
      <c r="X394" s="13"/>
      <c r="Y394" s="7">
        <v>2500</v>
      </c>
      <c r="Z394" s="61">
        <v>15000</v>
      </c>
    </row>
    <row r="395" spans="1:30" ht="13.8">
      <c r="A395" s="40"/>
      <c r="B395" s="604" t="s">
        <v>330</v>
      </c>
      <c r="C395" s="610"/>
      <c r="D395" s="165" t="s">
        <v>45</v>
      </c>
      <c r="E395" s="428" t="str">
        <f>IF(G395="","check",IF(MIN(G395:U395)&lt;Y395,"Attention," &amp;CHAR(10)&amp;"one of your parameters is below the usual range: "&amp;Y395&amp;D395,IF(MAX(G395:U395)&gt;Z395,"Attention," &amp;CHAR(10)&amp;" one of your parameters is above the usual range: "&amp;Z395&amp;D395,"check")))</f>
        <v>check</v>
      </c>
      <c r="F395" s="79"/>
      <c r="G395" s="874"/>
      <c r="H395" s="874"/>
      <c r="I395" s="874"/>
      <c r="J395" s="874"/>
      <c r="K395" s="874"/>
      <c r="L395" s="874"/>
      <c r="M395" s="874"/>
      <c r="N395" s="874"/>
      <c r="O395" s="874"/>
      <c r="P395" s="874"/>
      <c r="Q395" s="874"/>
      <c r="R395" s="874"/>
      <c r="S395" s="874"/>
      <c r="T395" s="874"/>
      <c r="U395" s="874"/>
      <c r="V395" s="131" t="s">
        <v>45</v>
      </c>
      <c r="W395" s="44"/>
      <c r="X395" s="13"/>
      <c r="Y395" s="7">
        <v>10</v>
      </c>
      <c r="Z395" s="61">
        <v>500</v>
      </c>
    </row>
    <row r="396" spans="1:30" ht="13.8">
      <c r="A396" s="309"/>
      <c r="B396" s="604" t="s">
        <v>218</v>
      </c>
      <c r="C396" s="605"/>
      <c r="D396" s="165" t="s">
        <v>50</v>
      </c>
      <c r="E396" s="428" t="str">
        <f>IF(G396="","check",IF(MIN(G396:U396)&lt;Y396,"Attention," &amp;CHAR(10)&amp;"one of your parameters is below the usual range: "&amp;Y396&amp;D396,IF(MAX(G396:U396)&gt;Z396,"Attention," &amp;CHAR(10)&amp;" one of your parameters is above the usual range: "&amp;Z396&amp;D396,"check")))</f>
        <v>check</v>
      </c>
      <c r="F396" s="79"/>
      <c r="G396" s="874"/>
      <c r="H396" s="874"/>
      <c r="I396" s="874"/>
      <c r="J396" s="874"/>
      <c r="K396" s="874"/>
      <c r="L396" s="874"/>
      <c r="M396" s="874"/>
      <c r="N396" s="874"/>
      <c r="O396" s="874"/>
      <c r="P396" s="874"/>
      <c r="Q396" s="874"/>
      <c r="R396" s="874"/>
      <c r="S396" s="874"/>
      <c r="T396" s="874"/>
      <c r="U396" s="874"/>
      <c r="V396" s="131" t="s">
        <v>50</v>
      </c>
      <c r="W396" s="5"/>
      <c r="X396" s="13"/>
      <c r="Y396" s="7">
        <v>0</v>
      </c>
      <c r="Z396" s="61">
        <v>10000</v>
      </c>
    </row>
    <row r="397" spans="1:30" ht="14.4" thickBot="1">
      <c r="A397" s="40"/>
      <c r="B397" s="28"/>
      <c r="C397" s="24"/>
      <c r="D397" s="108"/>
      <c r="E397" s="108"/>
      <c r="F397" s="24"/>
      <c r="G397" s="332"/>
      <c r="H397" s="332"/>
      <c r="I397" s="332"/>
      <c r="J397" s="332"/>
      <c r="K397" s="332"/>
      <c r="L397" s="332"/>
      <c r="M397" s="338"/>
      <c r="N397" s="338"/>
      <c r="O397" s="338"/>
      <c r="P397" s="338"/>
      <c r="Q397" s="338"/>
      <c r="R397" s="338"/>
      <c r="S397" s="338"/>
      <c r="T397" s="338"/>
      <c r="U397" s="332"/>
      <c r="V397" s="390"/>
      <c r="W397" s="69"/>
      <c r="X397" s="391"/>
      <c r="Y397" s="382"/>
      <c r="Z397" s="383"/>
      <c r="AA397" s="130"/>
    </row>
    <row r="398" spans="1:30" ht="14.4" thickBot="1">
      <c r="A398" s="40"/>
      <c r="B398" s="5"/>
      <c r="C398" s="5"/>
      <c r="D398" s="33"/>
      <c r="E398" s="163" t="s">
        <v>478</v>
      </c>
      <c r="F398" s="29" t="s">
        <v>131</v>
      </c>
      <c r="G398" s="336" t="str">
        <f>$G$44</f>
        <v>L 2WD NAO 2ROW</v>
      </c>
      <c r="H398" s="336" t="str">
        <f>$H$44</f>
        <v>L 4WD NAO 2ROW US</v>
      </c>
      <c r="I398" s="336" t="str">
        <f>$I$44</f>
        <v>L 4WD NAO 2ROW</v>
      </c>
      <c r="J398" s="336" t="str">
        <f>$J$44</f>
        <v>L 4WD NAO 3ROW</v>
      </c>
      <c r="K398" s="336" t="str">
        <f>$K$44</f>
        <v>R 2WD NAO 2ROW</v>
      </c>
      <c r="L398" s="336" t="str">
        <f>$L$44</f>
        <v>R 4WD NAO 2ROW</v>
      </c>
      <c r="M398" s="336" t="str">
        <f>$M$44</f>
        <v>R 4WD NAO 3ROW</v>
      </c>
      <c r="N398" s="336" t="str">
        <f>$N$44</f>
        <v/>
      </c>
      <c r="O398" s="336" t="str">
        <f>$O$44</f>
        <v/>
      </c>
      <c r="P398" s="336" t="str">
        <f>$P$44</f>
        <v/>
      </c>
      <c r="Q398" s="336" t="str">
        <f>$Q$44</f>
        <v/>
      </c>
      <c r="R398" s="336" t="str">
        <f>$R$44</f>
        <v/>
      </c>
      <c r="S398" s="336" t="str">
        <f>$S$44</f>
        <v/>
      </c>
      <c r="T398" s="336" t="str">
        <f>$T$44</f>
        <v/>
      </c>
      <c r="U398" s="336" t="str">
        <f>$U$44</f>
        <v/>
      </c>
      <c r="V398" s="69"/>
      <c r="W398" s="416"/>
      <c r="X398" s="391"/>
      <c r="Y398" s="418"/>
      <c r="Z398" s="383"/>
      <c r="AA398" s="130"/>
      <c r="AD398" s="58"/>
    </row>
    <row r="399" spans="1:30" ht="15.6" thickBot="1">
      <c r="A399" s="40"/>
      <c r="B399" s="100" t="s">
        <v>777</v>
      </c>
      <c r="C399" s="146"/>
      <c r="D399" s="237"/>
      <c r="E399" s="238"/>
      <c r="F399" s="146"/>
      <c r="G399" s="358"/>
      <c r="H399" s="358"/>
      <c r="I399" s="358"/>
      <c r="J399" s="358"/>
      <c r="K399" s="358"/>
      <c r="L399" s="358"/>
      <c r="M399" s="358"/>
      <c r="N399" s="358"/>
      <c r="O399" s="358"/>
      <c r="P399" s="358"/>
      <c r="Q399" s="358"/>
      <c r="R399" s="358"/>
      <c r="S399" s="358"/>
      <c r="T399" s="358"/>
      <c r="U399" s="358"/>
      <c r="V399" s="419"/>
      <c r="W399" s="416"/>
      <c r="X399" s="391"/>
      <c r="Y399" s="418"/>
      <c r="Z399" s="383"/>
      <c r="AA399" s="130"/>
      <c r="AD399" s="58"/>
    </row>
    <row r="400" spans="1:30" ht="13.8">
      <c r="A400" s="40"/>
      <c r="B400" s="62" t="s">
        <v>777</v>
      </c>
      <c r="C400" s="63"/>
      <c r="D400" s="111"/>
      <c r="E400" s="111"/>
      <c r="F400" s="345"/>
      <c r="G400" s="345"/>
      <c r="H400" s="345"/>
      <c r="I400" s="345"/>
      <c r="J400" s="345"/>
      <c r="K400" s="345"/>
      <c r="L400" s="345"/>
      <c r="M400" s="345"/>
      <c r="N400" s="345"/>
      <c r="O400" s="345"/>
      <c r="P400" s="345"/>
      <c r="Q400" s="345"/>
      <c r="R400" s="345"/>
      <c r="S400" s="345"/>
      <c r="T400" s="345"/>
      <c r="U400" s="345"/>
      <c r="V400" s="407"/>
      <c r="W400" s="420"/>
      <c r="X400" s="421"/>
      <c r="Y400" s="418"/>
      <c r="Z400" s="383"/>
      <c r="AA400" s="130"/>
      <c r="AD400" s="58"/>
    </row>
    <row r="401" spans="1:30" ht="13.8">
      <c r="A401" s="40"/>
      <c r="B401" s="604" t="s">
        <v>216</v>
      </c>
      <c r="C401" s="605"/>
      <c r="D401" s="165" t="s">
        <v>45</v>
      </c>
      <c r="E401" s="428" t="str">
        <f t="shared" ref="E401:E411" si="14">IF(G401="","check",IF(MIN(G401:U401)&lt;Y401,"Attention," &amp;CHAR(10)&amp;"one of your parameters is below the usual range: "&amp;Y401&amp;D401,IF(MAX(G401:U401)&gt;Z401,"Attention," &amp;CHAR(10)&amp;" one of your parameters is above the usual range: "&amp;Z401&amp;D401,"check")))</f>
        <v>check</v>
      </c>
      <c r="F401" s="587" t="s">
        <v>1181</v>
      </c>
      <c r="G401" s="589">
        <v>44.799039999999998</v>
      </c>
      <c r="H401" s="589">
        <v>44.799039999999998</v>
      </c>
      <c r="I401" s="589">
        <v>44.799039999999998</v>
      </c>
      <c r="J401" s="589">
        <v>44.799039999999998</v>
      </c>
      <c r="K401" s="589">
        <v>44.799039999999998</v>
      </c>
      <c r="L401" s="589">
        <v>44.799039999999998</v>
      </c>
      <c r="M401" s="589">
        <v>44.799039999999998</v>
      </c>
      <c r="N401" s="570"/>
      <c r="O401" s="570"/>
      <c r="P401" s="570"/>
      <c r="Q401" s="570"/>
      <c r="R401" s="570"/>
      <c r="S401" s="570"/>
      <c r="T401" s="570"/>
      <c r="U401" s="570"/>
      <c r="V401" s="131" t="s">
        <v>45</v>
      </c>
      <c r="W401" s="59"/>
      <c r="X401" s="17"/>
      <c r="Y401" s="57">
        <v>0</v>
      </c>
      <c r="Z401" s="61">
        <v>1000</v>
      </c>
      <c r="AD401" s="58"/>
    </row>
    <row r="402" spans="1:30" ht="13.8">
      <c r="A402" s="40"/>
      <c r="B402" s="604" t="s">
        <v>386</v>
      </c>
      <c r="C402" s="605"/>
      <c r="D402" s="165" t="s">
        <v>35</v>
      </c>
      <c r="E402" s="428" t="str">
        <f t="shared" si="14"/>
        <v>check</v>
      </c>
      <c r="F402" s="587" t="s">
        <v>1181</v>
      </c>
      <c r="G402" s="589">
        <v>4.0999999999999996</v>
      </c>
      <c r="H402" s="589">
        <v>4.0999999999999996</v>
      </c>
      <c r="I402" s="589">
        <v>4.0999999999999996</v>
      </c>
      <c r="J402" s="589">
        <v>4.0999999999999996</v>
      </c>
      <c r="K402" s="589">
        <v>4.0999999999999996</v>
      </c>
      <c r="L402" s="589">
        <v>4.0999999999999996</v>
      </c>
      <c r="M402" s="589">
        <v>4.0999999999999996</v>
      </c>
      <c r="N402" s="570"/>
      <c r="O402" s="570"/>
      <c r="P402" s="570"/>
      <c r="Q402" s="570"/>
      <c r="R402" s="570"/>
      <c r="S402" s="570"/>
      <c r="T402" s="570"/>
      <c r="U402" s="570"/>
      <c r="V402" s="131" t="s">
        <v>35</v>
      </c>
      <c r="W402" s="59"/>
      <c r="X402" s="17"/>
      <c r="Y402" s="57">
        <v>0</v>
      </c>
      <c r="Z402" s="61">
        <v>1000</v>
      </c>
      <c r="AD402" s="58"/>
    </row>
    <row r="403" spans="1:30" ht="13.8">
      <c r="A403" s="40"/>
      <c r="B403" s="604" t="s">
        <v>387</v>
      </c>
      <c r="C403" s="605"/>
      <c r="D403" s="165" t="s">
        <v>45</v>
      </c>
      <c r="E403" s="428" t="str">
        <f t="shared" si="14"/>
        <v>check</v>
      </c>
      <c r="F403" s="587" t="s">
        <v>1181</v>
      </c>
      <c r="G403" s="589">
        <v>95.202119999999994</v>
      </c>
      <c r="H403" s="589">
        <v>95.202119999999994</v>
      </c>
      <c r="I403" s="589">
        <v>95.202119999999994</v>
      </c>
      <c r="J403" s="589">
        <v>95.202119999999994</v>
      </c>
      <c r="K403" s="589">
        <v>95.202119999999994</v>
      </c>
      <c r="L403" s="589">
        <v>95.202119999999994</v>
      </c>
      <c r="M403" s="589">
        <v>95.202119999999994</v>
      </c>
      <c r="N403" s="570"/>
      <c r="O403" s="570"/>
      <c r="P403" s="570"/>
      <c r="Q403" s="570"/>
      <c r="R403" s="570"/>
      <c r="S403" s="570"/>
      <c r="T403" s="570"/>
      <c r="U403" s="570"/>
      <c r="V403" s="131" t="s">
        <v>45</v>
      </c>
      <c r="W403" s="59"/>
      <c r="X403" s="17"/>
      <c r="Y403" s="57">
        <v>0</v>
      </c>
      <c r="Z403" s="61">
        <v>10000</v>
      </c>
      <c r="AD403" s="58"/>
    </row>
    <row r="404" spans="1:30" ht="13.8">
      <c r="A404" s="40"/>
      <c r="B404" s="604" t="s">
        <v>389</v>
      </c>
      <c r="C404" s="605"/>
      <c r="D404" s="165" t="s">
        <v>214</v>
      </c>
      <c r="E404" s="428" t="str">
        <f t="shared" si="14"/>
        <v>check</v>
      </c>
      <c r="F404" s="587" t="s">
        <v>1181</v>
      </c>
      <c r="G404" s="589">
        <v>0.86857142857142844</v>
      </c>
      <c r="H404" s="589">
        <v>0.86857142857142844</v>
      </c>
      <c r="I404" s="589">
        <v>0.86857142857142844</v>
      </c>
      <c r="J404" s="589">
        <v>0.86857142857142844</v>
      </c>
      <c r="K404" s="589">
        <v>0.86857142857142844</v>
      </c>
      <c r="L404" s="589">
        <v>0.86857142857142844</v>
      </c>
      <c r="M404" s="589">
        <v>0.86857142857142844</v>
      </c>
      <c r="N404" s="570"/>
      <c r="O404" s="570"/>
      <c r="P404" s="570"/>
      <c r="Q404" s="570"/>
      <c r="R404" s="570"/>
      <c r="S404" s="570"/>
      <c r="T404" s="570"/>
      <c r="U404" s="570"/>
      <c r="V404" s="131" t="s">
        <v>214</v>
      </c>
      <c r="W404" s="59"/>
      <c r="X404" s="17"/>
      <c r="Y404" s="57">
        <v>0</v>
      </c>
      <c r="Z404" s="61">
        <v>15</v>
      </c>
      <c r="AD404" s="58"/>
    </row>
    <row r="405" spans="1:30" ht="13.8">
      <c r="A405" s="40"/>
      <c r="B405" s="604" t="s">
        <v>388</v>
      </c>
      <c r="C405" s="605"/>
      <c r="D405" s="165" t="s">
        <v>35</v>
      </c>
      <c r="E405" s="428" t="str">
        <f t="shared" si="14"/>
        <v>check</v>
      </c>
      <c r="F405" s="587" t="s">
        <v>1181</v>
      </c>
      <c r="G405" s="589">
        <v>11.85</v>
      </c>
      <c r="H405" s="589">
        <v>11.85</v>
      </c>
      <c r="I405" s="589">
        <v>11.85</v>
      </c>
      <c r="J405" s="589">
        <v>11.85</v>
      </c>
      <c r="K405" s="589">
        <v>11.85</v>
      </c>
      <c r="L405" s="589">
        <v>11.85</v>
      </c>
      <c r="M405" s="589">
        <v>11.85</v>
      </c>
      <c r="N405" s="570"/>
      <c r="O405" s="570"/>
      <c r="P405" s="570"/>
      <c r="Q405" s="570"/>
      <c r="R405" s="570"/>
      <c r="S405" s="570"/>
      <c r="T405" s="570"/>
      <c r="U405" s="570"/>
      <c r="V405" s="131" t="s">
        <v>35</v>
      </c>
      <c r="W405" s="27"/>
      <c r="X405" s="17"/>
      <c r="Y405" s="57">
        <v>0</v>
      </c>
      <c r="Z405" s="61">
        <v>1000</v>
      </c>
      <c r="AD405" s="58"/>
    </row>
    <row r="406" spans="1:30" ht="13.8">
      <c r="A406" s="40"/>
      <c r="B406" s="604" t="s">
        <v>390</v>
      </c>
      <c r="C406" s="605"/>
      <c r="D406" s="165" t="s">
        <v>45</v>
      </c>
      <c r="E406" s="428" t="str">
        <f t="shared" si="14"/>
        <v>check</v>
      </c>
      <c r="F406" s="587" t="s">
        <v>1181</v>
      </c>
      <c r="G406" s="589">
        <v>414.99509999999998</v>
      </c>
      <c r="H406" s="589">
        <v>414.99509999999998</v>
      </c>
      <c r="I406" s="589">
        <v>414.99509999999998</v>
      </c>
      <c r="J406" s="589">
        <v>414.99509999999998</v>
      </c>
      <c r="K406" s="589">
        <v>414.99509999999998</v>
      </c>
      <c r="L406" s="589">
        <v>414.99509999999998</v>
      </c>
      <c r="M406" s="589">
        <v>414.99509999999998</v>
      </c>
      <c r="N406" s="570"/>
      <c r="O406" s="570"/>
      <c r="P406" s="570"/>
      <c r="Q406" s="570"/>
      <c r="R406" s="570"/>
      <c r="S406" s="570"/>
      <c r="T406" s="570"/>
      <c r="U406" s="570"/>
      <c r="V406" s="131" t="s">
        <v>45</v>
      </c>
      <c r="W406" s="59"/>
      <c r="X406" s="17"/>
      <c r="Y406" s="57">
        <v>0</v>
      </c>
      <c r="Z406" s="61">
        <v>10000</v>
      </c>
      <c r="AD406" s="58"/>
    </row>
    <row r="407" spans="1:30" ht="13.8">
      <c r="A407" s="40"/>
      <c r="B407" s="604" t="s">
        <v>391</v>
      </c>
      <c r="C407" s="605"/>
      <c r="D407" s="165" t="s">
        <v>35</v>
      </c>
      <c r="E407" s="428" t="str">
        <f t="shared" si="14"/>
        <v>check</v>
      </c>
      <c r="F407" s="587" t="s">
        <v>1181</v>
      </c>
      <c r="G407" s="589">
        <v>13.15</v>
      </c>
      <c r="H407" s="589">
        <v>13.15</v>
      </c>
      <c r="I407" s="589">
        <v>13.15</v>
      </c>
      <c r="J407" s="589">
        <v>13.15</v>
      </c>
      <c r="K407" s="589">
        <v>13.15</v>
      </c>
      <c r="L407" s="589">
        <v>13.15</v>
      </c>
      <c r="M407" s="589">
        <v>13.15</v>
      </c>
      <c r="N407" s="570"/>
      <c r="O407" s="570"/>
      <c r="P407" s="570"/>
      <c r="Q407" s="570"/>
      <c r="R407" s="570"/>
      <c r="S407" s="570"/>
      <c r="T407" s="570"/>
      <c r="U407" s="570"/>
      <c r="V407" s="131" t="s">
        <v>35</v>
      </c>
      <c r="W407" s="27"/>
      <c r="X407" s="17"/>
      <c r="Y407" s="57">
        <v>0</v>
      </c>
      <c r="Z407" s="61">
        <v>1000</v>
      </c>
      <c r="AD407" s="58"/>
    </row>
    <row r="408" spans="1:30" ht="13.8">
      <c r="A408" s="40"/>
      <c r="B408" s="604" t="s">
        <v>392</v>
      </c>
      <c r="C408" s="605"/>
      <c r="D408" s="165" t="s">
        <v>45</v>
      </c>
      <c r="E408" s="428" t="str">
        <f t="shared" si="14"/>
        <v>check</v>
      </c>
      <c r="F408" s="587" t="s">
        <v>1181</v>
      </c>
      <c r="G408" s="589">
        <v>626.38029999999992</v>
      </c>
      <c r="H408" s="589">
        <v>626.38029999999992</v>
      </c>
      <c r="I408" s="589">
        <v>626.38029999999992</v>
      </c>
      <c r="J408" s="589">
        <v>626.38029999999992</v>
      </c>
      <c r="K408" s="589">
        <v>626.38029999999992</v>
      </c>
      <c r="L408" s="589">
        <v>626.38029999999992</v>
      </c>
      <c r="M408" s="589">
        <v>626.38029999999992</v>
      </c>
      <c r="N408" s="570"/>
      <c r="O408" s="570"/>
      <c r="P408" s="570"/>
      <c r="Q408" s="570"/>
      <c r="R408" s="570"/>
      <c r="S408" s="570"/>
      <c r="T408" s="570"/>
      <c r="U408" s="570"/>
      <c r="V408" s="131" t="s">
        <v>45</v>
      </c>
      <c r="W408" s="59"/>
      <c r="X408" s="17"/>
      <c r="Y408" s="57">
        <v>0</v>
      </c>
      <c r="Z408" s="61">
        <v>10000</v>
      </c>
    </row>
    <row r="409" spans="1:30" ht="13.8">
      <c r="A409" s="40"/>
      <c r="B409" s="604" t="s">
        <v>393</v>
      </c>
      <c r="C409" s="605"/>
      <c r="D409" s="165" t="s">
        <v>214</v>
      </c>
      <c r="E409" s="428" t="str">
        <f t="shared" si="14"/>
        <v>check</v>
      </c>
      <c r="F409" s="587" t="s">
        <v>1181</v>
      </c>
      <c r="G409" s="589">
        <v>14.337500000000004</v>
      </c>
      <c r="H409" s="589">
        <v>14.337500000000004</v>
      </c>
      <c r="I409" s="589">
        <v>14.337500000000004</v>
      </c>
      <c r="J409" s="589">
        <v>14.337500000000004</v>
      </c>
      <c r="K409" s="589">
        <v>14.337500000000004</v>
      </c>
      <c r="L409" s="589">
        <v>14.337500000000004</v>
      </c>
      <c r="M409" s="589">
        <v>14.337500000000004</v>
      </c>
      <c r="N409" s="570"/>
      <c r="O409" s="570"/>
      <c r="P409" s="570"/>
      <c r="Q409" s="570"/>
      <c r="R409" s="570"/>
      <c r="S409" s="570"/>
      <c r="T409" s="570"/>
      <c r="U409" s="570"/>
      <c r="V409" s="131" t="s">
        <v>214</v>
      </c>
      <c r="W409" s="5"/>
      <c r="X409" s="13"/>
      <c r="Y409" s="7">
        <v>0</v>
      </c>
      <c r="Z409" s="61">
        <v>15</v>
      </c>
    </row>
    <row r="410" spans="1:30" ht="13.8">
      <c r="A410" s="40"/>
      <c r="B410" s="604" t="s">
        <v>411</v>
      </c>
      <c r="C410" s="605"/>
      <c r="D410" s="165" t="s">
        <v>45</v>
      </c>
      <c r="E410" s="428" t="str">
        <f t="shared" si="14"/>
        <v>check</v>
      </c>
      <c r="F410" s="587" t="s">
        <v>1181</v>
      </c>
      <c r="G410" s="589">
        <v>0</v>
      </c>
      <c r="H410" s="589">
        <v>0</v>
      </c>
      <c r="I410" s="589">
        <v>0</v>
      </c>
      <c r="J410" s="589">
        <v>0</v>
      </c>
      <c r="K410" s="589">
        <v>0</v>
      </c>
      <c r="L410" s="589">
        <v>0</v>
      </c>
      <c r="M410" s="589">
        <v>0</v>
      </c>
      <c r="N410" s="570"/>
      <c r="O410" s="570"/>
      <c r="P410" s="570"/>
      <c r="Q410" s="570"/>
      <c r="R410" s="570"/>
      <c r="S410" s="570"/>
      <c r="T410" s="570"/>
      <c r="U410" s="570"/>
      <c r="V410" s="131" t="s">
        <v>45</v>
      </c>
      <c r="W410" s="5"/>
      <c r="X410" s="13"/>
      <c r="Y410" s="7">
        <v>0</v>
      </c>
      <c r="Z410" s="61">
        <v>15</v>
      </c>
    </row>
    <row r="411" spans="1:30" ht="13.8">
      <c r="A411" s="40"/>
      <c r="B411" s="604" t="s">
        <v>412</v>
      </c>
      <c r="C411" s="605"/>
      <c r="D411" s="165" t="s">
        <v>413</v>
      </c>
      <c r="E411" s="428" t="str">
        <f t="shared" si="14"/>
        <v>check</v>
      </c>
      <c r="F411" s="587" t="s">
        <v>1181</v>
      </c>
      <c r="G411" s="589">
        <v>0</v>
      </c>
      <c r="H411" s="589">
        <v>0</v>
      </c>
      <c r="I411" s="589">
        <v>0</v>
      </c>
      <c r="J411" s="589">
        <v>0</v>
      </c>
      <c r="K411" s="589">
        <v>0</v>
      </c>
      <c r="L411" s="589">
        <v>0</v>
      </c>
      <c r="M411" s="589">
        <v>0</v>
      </c>
      <c r="N411" s="570"/>
      <c r="O411" s="570"/>
      <c r="P411" s="570"/>
      <c r="Q411" s="570"/>
      <c r="R411" s="570"/>
      <c r="S411" s="570"/>
      <c r="T411" s="570"/>
      <c r="U411" s="570"/>
      <c r="V411" s="131" t="s">
        <v>413</v>
      </c>
      <c r="W411" s="5"/>
      <c r="X411" s="13"/>
      <c r="Y411" s="7">
        <v>0</v>
      </c>
      <c r="Z411" s="61">
        <v>15</v>
      </c>
    </row>
    <row r="412" spans="1:30" ht="13.8">
      <c r="A412" s="40"/>
      <c r="B412" s="46"/>
      <c r="C412" s="47"/>
      <c r="D412" s="47"/>
      <c r="E412" s="47"/>
      <c r="F412" s="74"/>
      <c r="G412" s="75"/>
      <c r="H412" s="75"/>
      <c r="I412" s="75"/>
      <c r="J412" s="75"/>
      <c r="K412" s="75"/>
      <c r="L412" s="75"/>
      <c r="M412" s="75"/>
      <c r="N412" s="75"/>
      <c r="O412" s="75"/>
      <c r="P412" s="75"/>
      <c r="Q412" s="75"/>
      <c r="R412" s="75"/>
      <c r="S412" s="75"/>
      <c r="T412" s="75"/>
      <c r="U412" s="75"/>
      <c r="V412" s="405"/>
      <c r="W412" s="69"/>
      <c r="X412" s="391"/>
      <c r="Y412" s="382"/>
      <c r="Z412" s="383"/>
      <c r="AA412" s="130"/>
    </row>
    <row r="413" spans="1:30" ht="13.8">
      <c r="A413" s="40"/>
      <c r="B413" s="46"/>
      <c r="C413" s="47"/>
      <c r="D413" s="47"/>
      <c r="E413" s="47"/>
      <c r="F413" s="74"/>
      <c r="G413" s="75"/>
      <c r="H413" s="75"/>
      <c r="I413" s="75"/>
      <c r="J413" s="75"/>
      <c r="K413" s="75"/>
      <c r="L413" s="75"/>
      <c r="M413" s="75"/>
      <c r="N413" s="75"/>
      <c r="O413" s="75"/>
      <c r="P413" s="75"/>
      <c r="Q413" s="75"/>
      <c r="R413" s="75"/>
      <c r="S413" s="75"/>
      <c r="T413" s="75"/>
      <c r="U413" s="75"/>
      <c r="V413" s="405"/>
      <c r="W413" s="69"/>
      <c r="X413" s="391"/>
      <c r="Y413" s="382"/>
      <c r="Z413" s="383"/>
      <c r="AA413" s="130"/>
    </row>
    <row r="414" spans="1:30" ht="13.8">
      <c r="A414" s="40"/>
      <c r="B414" s="46"/>
      <c r="C414" s="47"/>
      <c r="D414" s="47"/>
      <c r="E414" s="47"/>
      <c r="F414" s="74"/>
      <c r="G414" s="75"/>
      <c r="H414" s="75"/>
      <c r="I414" s="75"/>
      <c r="J414" s="75"/>
      <c r="K414" s="75"/>
      <c r="L414" s="75"/>
      <c r="M414" s="75"/>
      <c r="N414" s="75"/>
      <c r="O414" s="75"/>
      <c r="P414" s="75"/>
      <c r="Q414" s="75"/>
      <c r="R414" s="75"/>
      <c r="S414" s="75"/>
      <c r="T414" s="75"/>
      <c r="U414" s="75"/>
      <c r="V414" s="405"/>
      <c r="W414" s="69"/>
      <c r="X414" s="391"/>
      <c r="Y414" s="382"/>
      <c r="Z414" s="383"/>
      <c r="AA414" s="130"/>
    </row>
    <row r="415" spans="1:30" ht="13.8">
      <c r="A415" s="40"/>
      <c r="B415" s="46"/>
      <c r="C415" s="47"/>
      <c r="D415" s="47"/>
      <c r="E415" s="47"/>
      <c r="F415" s="74"/>
      <c r="G415" s="75"/>
      <c r="H415" s="75"/>
      <c r="I415" s="75"/>
      <c r="J415" s="75"/>
      <c r="K415" s="75"/>
      <c r="L415" s="75"/>
      <c r="M415" s="75"/>
      <c r="N415" s="75"/>
      <c r="O415" s="75"/>
      <c r="P415" s="75"/>
      <c r="Q415" s="75"/>
      <c r="R415" s="75"/>
      <c r="S415" s="75"/>
      <c r="T415" s="75"/>
      <c r="U415" s="75"/>
      <c r="V415" s="405"/>
      <c r="W415" s="69"/>
      <c r="X415" s="391"/>
      <c r="Y415" s="382"/>
      <c r="Z415" s="383"/>
      <c r="AA415" s="130"/>
    </row>
    <row r="416" spans="1:30" ht="13.8">
      <c r="A416" s="40"/>
      <c r="B416" s="46"/>
      <c r="C416" s="47"/>
      <c r="D416" s="47"/>
      <c r="E416" s="47"/>
      <c r="F416" s="74"/>
      <c r="G416" s="75"/>
      <c r="H416" s="75"/>
      <c r="I416" s="75"/>
      <c r="J416" s="75"/>
      <c r="K416" s="75"/>
      <c r="L416" s="75"/>
      <c r="M416" s="75"/>
      <c r="N416" s="75"/>
      <c r="O416" s="75"/>
      <c r="P416" s="75"/>
      <c r="Q416" s="75"/>
      <c r="R416" s="75"/>
      <c r="S416" s="75"/>
      <c r="T416" s="75"/>
      <c r="U416" s="75"/>
      <c r="V416" s="405"/>
      <c r="W416" s="69"/>
      <c r="X416" s="391"/>
      <c r="Y416" s="382"/>
      <c r="Z416" s="383"/>
      <c r="AA416" s="130"/>
    </row>
    <row r="417" spans="1:27" ht="13.8">
      <c r="A417" s="40"/>
      <c r="B417" s="46"/>
      <c r="C417" s="47"/>
      <c r="D417" s="47"/>
      <c r="E417" s="47"/>
      <c r="F417" s="74"/>
      <c r="G417" s="75"/>
      <c r="H417" s="75"/>
      <c r="I417" s="75"/>
      <c r="J417" s="75"/>
      <c r="K417" s="75"/>
      <c r="L417" s="75"/>
      <c r="M417" s="75"/>
      <c r="N417" s="75"/>
      <c r="O417" s="75"/>
      <c r="P417" s="75"/>
      <c r="Q417" s="75"/>
      <c r="R417" s="75"/>
      <c r="S417" s="75"/>
      <c r="T417" s="75"/>
      <c r="U417" s="75"/>
      <c r="V417" s="405"/>
      <c r="W417" s="69"/>
      <c r="X417" s="391"/>
      <c r="Y417" s="382"/>
      <c r="Z417" s="383"/>
      <c r="AA417" s="130"/>
    </row>
    <row r="418" spans="1:27" ht="13.8">
      <c r="A418" s="40"/>
      <c r="B418" s="46"/>
      <c r="C418" s="47"/>
      <c r="D418" s="47"/>
      <c r="E418" s="47"/>
      <c r="F418" s="74"/>
      <c r="G418" s="75"/>
      <c r="H418" s="75"/>
      <c r="I418" s="75"/>
      <c r="J418" s="75"/>
      <c r="K418" s="75"/>
      <c r="L418" s="75"/>
      <c r="M418" s="75"/>
      <c r="N418" s="75"/>
      <c r="O418" s="75"/>
      <c r="P418" s="75"/>
      <c r="Q418" s="75"/>
      <c r="R418" s="75"/>
      <c r="S418" s="75"/>
      <c r="T418" s="75"/>
      <c r="U418" s="75"/>
      <c r="V418" s="405"/>
      <c r="W418" s="69"/>
      <c r="X418" s="391"/>
      <c r="Y418" s="382"/>
      <c r="Z418" s="383"/>
      <c r="AA418" s="130"/>
    </row>
    <row r="419" spans="1:27" ht="13.8">
      <c r="A419" s="40"/>
      <c r="B419" s="46"/>
      <c r="C419" s="47"/>
      <c r="D419" s="47"/>
      <c r="E419" s="47"/>
      <c r="F419" s="74"/>
      <c r="G419" s="75"/>
      <c r="H419" s="75"/>
      <c r="I419" s="75"/>
      <c r="J419" s="75"/>
      <c r="K419" s="75"/>
      <c r="L419" s="75"/>
      <c r="M419" s="75"/>
      <c r="N419" s="75"/>
      <c r="O419" s="75"/>
      <c r="P419" s="75"/>
      <c r="Q419" s="75"/>
      <c r="R419" s="75"/>
      <c r="S419" s="75"/>
      <c r="T419" s="75"/>
      <c r="U419" s="75"/>
      <c r="V419" s="405"/>
      <c r="W419" s="69"/>
      <c r="X419" s="391"/>
      <c r="Y419" s="382"/>
      <c r="Z419" s="383"/>
      <c r="AA419" s="130"/>
    </row>
    <row r="420" spans="1:27" ht="13.8">
      <c r="A420" s="40"/>
      <c r="B420" s="46"/>
      <c r="C420" s="47"/>
      <c r="D420" s="47"/>
      <c r="E420" s="47"/>
      <c r="F420" s="74"/>
      <c r="G420" s="75"/>
      <c r="H420" s="75"/>
      <c r="I420" s="75"/>
      <c r="J420" s="75"/>
      <c r="K420" s="75"/>
      <c r="L420" s="75"/>
      <c r="M420" s="75"/>
      <c r="N420" s="75"/>
      <c r="O420" s="75"/>
      <c r="P420" s="75"/>
      <c r="Q420" s="75"/>
      <c r="R420" s="75"/>
      <c r="S420" s="75"/>
      <c r="T420" s="75"/>
      <c r="U420" s="75"/>
      <c r="V420" s="405"/>
      <c r="W420" s="69"/>
      <c r="X420" s="391"/>
      <c r="Y420" s="382"/>
      <c r="Z420" s="383"/>
      <c r="AA420" s="130"/>
    </row>
    <row r="421" spans="1:27" ht="13.8">
      <c r="A421" s="40"/>
      <c r="B421" s="46"/>
      <c r="C421" s="47"/>
      <c r="D421" s="47"/>
      <c r="E421" s="47"/>
      <c r="F421" s="74"/>
      <c r="G421" s="75"/>
      <c r="H421" s="75"/>
      <c r="I421" s="75"/>
      <c r="J421" s="75"/>
      <c r="K421" s="75"/>
      <c r="L421" s="75"/>
      <c r="M421" s="75"/>
      <c r="N421" s="75"/>
      <c r="O421" s="75"/>
      <c r="P421" s="75"/>
      <c r="Q421" s="75"/>
      <c r="R421" s="75"/>
      <c r="S421" s="75"/>
      <c r="T421" s="75"/>
      <c r="U421" s="75"/>
      <c r="V421" s="405"/>
      <c r="W421" s="69"/>
      <c r="X421" s="391"/>
      <c r="Y421" s="382"/>
      <c r="Z421" s="383"/>
      <c r="AA421" s="130"/>
    </row>
    <row r="422" spans="1:27" ht="13.8">
      <c r="A422" s="40"/>
      <c r="B422" s="46"/>
      <c r="C422" s="47"/>
      <c r="D422" s="47"/>
      <c r="E422" s="47"/>
      <c r="F422" s="74"/>
      <c r="G422" s="75"/>
      <c r="H422" s="75"/>
      <c r="I422" s="75"/>
      <c r="J422" s="75"/>
      <c r="K422" s="75"/>
      <c r="L422" s="75"/>
      <c r="M422" s="75"/>
      <c r="N422" s="75"/>
      <c r="O422" s="75"/>
      <c r="P422" s="75"/>
      <c r="Q422" s="75"/>
      <c r="R422" s="75"/>
      <c r="S422" s="75"/>
      <c r="T422" s="75"/>
      <c r="U422" s="75"/>
      <c r="V422" s="405"/>
      <c r="W422" s="69"/>
      <c r="X422" s="391"/>
      <c r="Y422" s="382"/>
      <c r="Z422" s="383"/>
      <c r="AA422" s="130"/>
    </row>
    <row r="423" spans="1:27" ht="13.8">
      <c r="A423" s="40"/>
      <c r="B423" s="46"/>
      <c r="C423" s="47"/>
      <c r="D423" s="47"/>
      <c r="E423" s="47"/>
      <c r="F423" s="74"/>
      <c r="G423" s="75"/>
      <c r="H423" s="75"/>
      <c r="I423" s="75"/>
      <c r="J423" s="75"/>
      <c r="K423" s="75"/>
      <c r="L423" s="75"/>
      <c r="M423" s="75"/>
      <c r="N423" s="75"/>
      <c r="O423" s="75"/>
      <c r="P423" s="75"/>
      <c r="Q423" s="75"/>
      <c r="R423" s="75"/>
      <c r="S423" s="75"/>
      <c r="T423" s="75"/>
      <c r="U423" s="75"/>
      <c r="V423" s="405"/>
      <c r="W423" s="69"/>
      <c r="X423" s="391"/>
      <c r="Y423" s="382"/>
      <c r="Z423" s="383"/>
      <c r="AA423" s="130"/>
    </row>
    <row r="424" spans="1:27" ht="13.8">
      <c r="A424" s="40"/>
      <c r="B424" s="46"/>
      <c r="C424" s="47"/>
      <c r="D424" s="47"/>
      <c r="E424" s="47"/>
      <c r="F424" s="74"/>
      <c r="G424" s="75"/>
      <c r="H424" s="75"/>
      <c r="I424" s="75"/>
      <c r="J424" s="75"/>
      <c r="K424" s="75"/>
      <c r="L424" s="75"/>
      <c r="M424" s="75"/>
      <c r="N424" s="75"/>
      <c r="O424" s="75"/>
      <c r="P424" s="75"/>
      <c r="Q424" s="75"/>
      <c r="R424" s="75"/>
      <c r="S424" s="75"/>
      <c r="T424" s="75"/>
      <c r="U424" s="75"/>
      <c r="V424" s="405"/>
      <c r="W424" s="69"/>
      <c r="X424" s="391"/>
      <c r="Y424" s="382"/>
      <c r="Z424" s="383"/>
      <c r="AA424" s="130"/>
    </row>
    <row r="425" spans="1:27" ht="13.8">
      <c r="A425" s="40"/>
      <c r="B425" s="46"/>
      <c r="C425" s="47"/>
      <c r="D425" s="47"/>
      <c r="E425" s="47"/>
      <c r="F425" s="74"/>
      <c r="G425" s="75"/>
      <c r="H425" s="75"/>
      <c r="I425" s="75"/>
      <c r="J425" s="75"/>
      <c r="K425" s="75"/>
      <c r="L425" s="75"/>
      <c r="M425" s="75"/>
      <c r="N425" s="75"/>
      <c r="O425" s="75"/>
      <c r="P425" s="75"/>
      <c r="Q425" s="75"/>
      <c r="R425" s="75"/>
      <c r="S425" s="75"/>
      <c r="T425" s="75"/>
      <c r="U425" s="75"/>
      <c r="V425" s="405"/>
      <c r="W425" s="69"/>
      <c r="X425" s="391"/>
      <c r="Y425" s="382"/>
      <c r="Z425" s="383"/>
      <c r="AA425" s="130"/>
    </row>
    <row r="426" spans="1:27" ht="14.4" thickBot="1">
      <c r="A426" s="40"/>
      <c r="B426" s="46"/>
      <c r="C426" s="47"/>
      <c r="D426" s="47"/>
      <c r="E426" s="47"/>
      <c r="F426" s="74"/>
      <c r="G426" s="336"/>
      <c r="H426" s="336"/>
      <c r="I426" s="336"/>
      <c r="J426" s="336"/>
      <c r="K426" s="336"/>
      <c r="L426" s="336"/>
      <c r="M426" s="336"/>
      <c r="N426" s="336"/>
      <c r="O426" s="336"/>
      <c r="P426" s="336"/>
      <c r="Q426" s="336"/>
      <c r="R426" s="336"/>
      <c r="S426" s="336"/>
      <c r="T426" s="336"/>
      <c r="U426" s="336"/>
      <c r="V426" s="405"/>
      <c r="W426" s="69"/>
      <c r="X426" s="391"/>
      <c r="Y426" s="382"/>
      <c r="Z426" s="383"/>
      <c r="AA426" s="130"/>
    </row>
    <row r="427" spans="1:27" ht="15">
      <c r="A427" s="40"/>
      <c r="B427" s="100" t="s">
        <v>778</v>
      </c>
      <c r="C427" s="240"/>
      <c r="D427" s="240"/>
      <c r="E427" s="240"/>
      <c r="F427" s="240"/>
      <c r="G427" s="359"/>
      <c r="H427" s="359"/>
      <c r="I427" s="359"/>
      <c r="J427" s="359"/>
      <c r="K427" s="359"/>
      <c r="L427" s="359"/>
      <c r="M427" s="359"/>
      <c r="N427" s="359"/>
      <c r="O427" s="359"/>
      <c r="P427" s="359"/>
      <c r="Q427" s="359"/>
      <c r="R427" s="359"/>
      <c r="S427" s="359"/>
      <c r="T427" s="359"/>
      <c r="U427" s="359"/>
      <c r="V427" s="422"/>
      <c r="W427" s="69"/>
      <c r="X427" s="391"/>
      <c r="Y427" s="382"/>
      <c r="Z427" s="383"/>
      <c r="AA427" s="130"/>
    </row>
    <row r="428" spans="1:27" ht="13.8">
      <c r="A428" s="40"/>
      <c r="B428" s="64" t="s">
        <v>713</v>
      </c>
      <c r="C428" s="65"/>
      <c r="D428" s="65"/>
      <c r="E428" s="65"/>
      <c r="F428" s="65"/>
      <c r="G428" s="344"/>
      <c r="H428" s="344"/>
      <c r="I428" s="344"/>
      <c r="J428" s="344"/>
      <c r="K428" s="344"/>
      <c r="L428" s="344"/>
      <c r="M428" s="344"/>
      <c r="N428" s="344"/>
      <c r="O428" s="344"/>
      <c r="P428" s="344"/>
      <c r="Q428" s="344"/>
      <c r="R428" s="344"/>
      <c r="S428" s="344"/>
      <c r="T428" s="344"/>
      <c r="U428" s="344"/>
      <c r="V428" s="404"/>
      <c r="W428" s="69"/>
      <c r="X428" s="391"/>
      <c r="Y428" s="382"/>
      <c r="Z428" s="383"/>
      <c r="AA428" s="130"/>
    </row>
    <row r="429" spans="1:27" ht="13.8">
      <c r="A429" s="40"/>
      <c r="B429" s="155" t="str">
        <f>IF(OR(G14="IPB 1.0 Size S",$G$14="IPB 1.0 Size Se",$G$14="IPB 1.1 Size Sd",$G$14="IPB 1.1 Size Se",$G$14="IPB 2.0 Size S",$G$14="IPB 2.0 Size M",$G$14="IPB 2.0 Size L",$G$15="DPB Size M",$G$15="DPB Size L"),"Highly recommended for all projects considering recuperative braking.","")</f>
        <v>Highly recommended for all projects considering recuperative braking.</v>
      </c>
      <c r="C429" s="47"/>
      <c r="D429" s="47"/>
      <c r="E429" s="47"/>
      <c r="F429" s="47"/>
      <c r="G429" s="336" t="str">
        <f>$G$44</f>
        <v>L 2WD NAO 2ROW</v>
      </c>
      <c r="H429" s="336" t="str">
        <f>$H$44</f>
        <v>L 4WD NAO 2ROW US</v>
      </c>
      <c r="I429" s="336" t="str">
        <f>$I$44</f>
        <v>L 4WD NAO 2ROW</v>
      </c>
      <c r="J429" s="336" t="str">
        <f>$J$44</f>
        <v>L 4WD NAO 3ROW</v>
      </c>
      <c r="K429" s="336" t="str">
        <f>$K$44</f>
        <v>R 2WD NAO 2ROW</v>
      </c>
      <c r="L429" s="336" t="str">
        <f>$L$44</f>
        <v>R 4WD NAO 2ROW</v>
      </c>
      <c r="M429" s="336" t="str">
        <f>$M$44</f>
        <v>R 4WD NAO 3ROW</v>
      </c>
      <c r="N429" s="336" t="str">
        <f>$N$44</f>
        <v/>
      </c>
      <c r="O429" s="336" t="str">
        <f>$O$44</f>
        <v/>
      </c>
      <c r="P429" s="336" t="str">
        <f>$P$44</f>
        <v/>
      </c>
      <c r="Q429" s="336" t="str">
        <f>$Q$44</f>
        <v/>
      </c>
      <c r="R429" s="336" t="str">
        <f>$R$44</f>
        <v/>
      </c>
      <c r="S429" s="336" t="str">
        <f>$S$44</f>
        <v/>
      </c>
      <c r="T429" s="336" t="str">
        <f>$T$44</f>
        <v/>
      </c>
      <c r="U429" s="336" t="str">
        <f>$U$44</f>
        <v/>
      </c>
      <c r="V429" s="423"/>
      <c r="W429" s="69"/>
      <c r="X429" s="391"/>
      <c r="Y429" s="382"/>
      <c r="Z429" s="383"/>
      <c r="AA429" s="130"/>
    </row>
    <row r="430" spans="1:27" ht="13.8">
      <c r="A430" s="40"/>
      <c r="B430" s="155"/>
      <c r="C430" s="47"/>
      <c r="D430" s="47"/>
      <c r="E430" s="47"/>
      <c r="F430" s="47"/>
      <c r="G430" s="562" t="s">
        <v>394</v>
      </c>
      <c r="H430" s="563"/>
      <c r="I430" s="563"/>
      <c r="J430" s="563"/>
      <c r="K430" s="563"/>
      <c r="L430" s="563"/>
      <c r="M430" s="563"/>
      <c r="N430" s="563"/>
      <c r="O430" s="563"/>
      <c r="P430" s="563"/>
      <c r="Q430" s="563"/>
      <c r="R430" s="563"/>
      <c r="S430" s="563"/>
      <c r="T430" s="563"/>
      <c r="U430" s="564"/>
      <c r="V430" s="132"/>
      <c r="W430" s="5"/>
      <c r="X430" s="13"/>
      <c r="Y430" s="7"/>
    </row>
    <row r="431" spans="1:27" ht="13.8">
      <c r="A431" s="40"/>
      <c r="B431" s="154"/>
      <c r="C431" s="47"/>
      <c r="D431" s="47"/>
      <c r="E431" s="47"/>
      <c r="F431" s="133" t="s">
        <v>395</v>
      </c>
      <c r="G431" s="590">
        <v>0</v>
      </c>
      <c r="H431" s="590">
        <v>0</v>
      </c>
      <c r="I431" s="590">
        <v>0</v>
      </c>
      <c r="J431" s="590">
        <v>0</v>
      </c>
      <c r="K431" s="590">
        <v>0</v>
      </c>
      <c r="L431" s="590">
        <v>0</v>
      </c>
      <c r="M431" s="590">
        <v>0</v>
      </c>
      <c r="N431" s="565"/>
      <c r="O431" s="565"/>
      <c r="P431" s="565"/>
      <c r="Q431" s="565"/>
      <c r="R431" s="565"/>
      <c r="S431" s="565"/>
      <c r="T431" s="565"/>
      <c r="U431" s="565"/>
      <c r="V431" s="131" t="s">
        <v>35</v>
      </c>
      <c r="W431" s="5"/>
      <c r="X431" s="13"/>
      <c r="Y431" s="7"/>
    </row>
    <row r="432" spans="1:27" ht="13.8">
      <c r="A432" s="40"/>
      <c r="B432" s="46"/>
      <c r="C432" s="47"/>
      <c r="D432" s="47"/>
      <c r="E432" s="47"/>
      <c r="F432" s="133" t="s">
        <v>396</v>
      </c>
      <c r="G432" s="591">
        <v>0.8</v>
      </c>
      <c r="H432" s="591">
        <v>0.8</v>
      </c>
      <c r="I432" s="591">
        <v>0.8</v>
      </c>
      <c r="J432" s="591">
        <v>0.8</v>
      </c>
      <c r="K432" s="591">
        <v>0.8</v>
      </c>
      <c r="L432" s="591">
        <v>0.8</v>
      </c>
      <c r="M432" s="591">
        <v>0.8</v>
      </c>
      <c r="N432" s="257"/>
      <c r="O432" s="257"/>
      <c r="P432" s="257"/>
      <c r="Q432" s="257"/>
      <c r="R432" s="257"/>
      <c r="S432" s="257"/>
      <c r="T432" s="257"/>
      <c r="U432" s="257"/>
      <c r="V432" s="131" t="s">
        <v>35</v>
      </c>
      <c r="W432" s="5"/>
      <c r="X432" s="13"/>
      <c r="Y432" s="7"/>
    </row>
    <row r="433" spans="1:25" ht="13.8">
      <c r="A433" s="40"/>
      <c r="B433" s="46"/>
      <c r="C433" s="47"/>
      <c r="D433" s="47"/>
      <c r="E433" s="47"/>
      <c r="F433" s="133" t="s">
        <v>397</v>
      </c>
      <c r="G433" s="591">
        <v>1.8</v>
      </c>
      <c r="H433" s="591">
        <v>1.8</v>
      </c>
      <c r="I433" s="591">
        <v>1.8</v>
      </c>
      <c r="J433" s="591">
        <v>1.8</v>
      </c>
      <c r="K433" s="591">
        <v>1.8</v>
      </c>
      <c r="L433" s="591">
        <v>1.8</v>
      </c>
      <c r="M433" s="591">
        <v>1.8</v>
      </c>
      <c r="N433" s="257"/>
      <c r="O433" s="257"/>
      <c r="P433" s="257"/>
      <c r="Q433" s="257"/>
      <c r="R433" s="257"/>
      <c r="S433" s="257"/>
      <c r="T433" s="257"/>
      <c r="U433" s="257"/>
      <c r="V433" s="131" t="s">
        <v>35</v>
      </c>
      <c r="W433" s="5"/>
      <c r="X433" s="13"/>
      <c r="Y433" s="7"/>
    </row>
    <row r="434" spans="1:25" ht="13.8">
      <c r="A434" s="40"/>
      <c r="B434" s="46"/>
      <c r="C434" s="47"/>
      <c r="D434" s="47"/>
      <c r="E434" s="47"/>
      <c r="F434" s="133" t="s">
        <v>398</v>
      </c>
      <c r="G434" s="591">
        <v>3.5</v>
      </c>
      <c r="H434" s="591">
        <v>3.5</v>
      </c>
      <c r="I434" s="591">
        <v>3.5</v>
      </c>
      <c r="J434" s="591">
        <v>3.5</v>
      </c>
      <c r="K434" s="591">
        <v>3.5</v>
      </c>
      <c r="L434" s="591">
        <v>3.5</v>
      </c>
      <c r="M434" s="591">
        <v>3.5</v>
      </c>
      <c r="N434" s="257"/>
      <c r="O434" s="257"/>
      <c r="P434" s="257"/>
      <c r="Q434" s="257"/>
      <c r="R434" s="257"/>
      <c r="S434" s="257"/>
      <c r="T434" s="257"/>
      <c r="U434" s="257"/>
      <c r="V434" s="131" t="s">
        <v>35</v>
      </c>
      <c r="W434" s="5"/>
      <c r="X434" s="13"/>
      <c r="Y434" s="7"/>
    </row>
    <row r="435" spans="1:25" ht="13.8">
      <c r="A435" s="40"/>
      <c r="B435" s="46"/>
      <c r="C435" s="47"/>
      <c r="D435" s="47"/>
      <c r="E435" s="47"/>
      <c r="F435" s="133" t="s">
        <v>399</v>
      </c>
      <c r="G435" s="591">
        <v>4.2</v>
      </c>
      <c r="H435" s="591">
        <v>4.2</v>
      </c>
      <c r="I435" s="591">
        <v>4.2</v>
      </c>
      <c r="J435" s="591">
        <v>4.2</v>
      </c>
      <c r="K435" s="591">
        <v>4.2</v>
      </c>
      <c r="L435" s="591">
        <v>4.2</v>
      </c>
      <c r="M435" s="591">
        <v>4.2</v>
      </c>
      <c r="N435" s="257"/>
      <c r="O435" s="257"/>
      <c r="P435" s="257"/>
      <c r="Q435" s="257"/>
      <c r="R435" s="257"/>
      <c r="S435" s="257"/>
      <c r="T435" s="257"/>
      <c r="U435" s="257"/>
      <c r="V435" s="131" t="s">
        <v>35</v>
      </c>
      <c r="W435" s="5"/>
      <c r="X435" s="13"/>
      <c r="Y435" s="7"/>
    </row>
    <row r="436" spans="1:25" ht="13.8">
      <c r="A436" s="40"/>
      <c r="B436" s="46"/>
      <c r="C436" s="47"/>
      <c r="D436" s="47"/>
      <c r="E436" s="47"/>
      <c r="F436" s="133" t="s">
        <v>400</v>
      </c>
      <c r="G436" s="591">
        <v>4.8</v>
      </c>
      <c r="H436" s="591">
        <v>4.8</v>
      </c>
      <c r="I436" s="591">
        <v>4.8</v>
      </c>
      <c r="J436" s="591">
        <v>4.8</v>
      </c>
      <c r="K436" s="591">
        <v>4.8</v>
      </c>
      <c r="L436" s="591">
        <v>4.8</v>
      </c>
      <c r="M436" s="591">
        <v>4.8</v>
      </c>
      <c r="N436" s="257"/>
      <c r="O436" s="257"/>
      <c r="P436" s="257"/>
      <c r="Q436" s="257"/>
      <c r="R436" s="257"/>
      <c r="S436" s="257"/>
      <c r="T436" s="257"/>
      <c r="U436" s="257"/>
      <c r="V436" s="131" t="s">
        <v>35</v>
      </c>
      <c r="W436" s="5"/>
      <c r="X436" s="13"/>
      <c r="Y436" s="7"/>
    </row>
    <row r="437" spans="1:25" ht="13.8">
      <c r="A437" s="40"/>
      <c r="B437" s="46"/>
      <c r="C437" s="47"/>
      <c r="D437" s="47"/>
      <c r="E437" s="47"/>
      <c r="F437" s="133" t="s">
        <v>401</v>
      </c>
      <c r="G437" s="591">
        <v>5.4</v>
      </c>
      <c r="H437" s="591">
        <v>5.4</v>
      </c>
      <c r="I437" s="591">
        <v>5.4</v>
      </c>
      <c r="J437" s="591">
        <v>5.4</v>
      </c>
      <c r="K437" s="591">
        <v>5.4</v>
      </c>
      <c r="L437" s="591">
        <v>5.4</v>
      </c>
      <c r="M437" s="591">
        <v>5.4</v>
      </c>
      <c r="N437" s="257"/>
      <c r="O437" s="257"/>
      <c r="P437" s="257"/>
      <c r="Q437" s="257"/>
      <c r="R437" s="257"/>
      <c r="S437" s="257"/>
      <c r="T437" s="257"/>
      <c r="U437" s="257"/>
      <c r="V437" s="131" t="s">
        <v>35</v>
      </c>
      <c r="W437" s="5"/>
      <c r="X437" s="13"/>
      <c r="Y437" s="7"/>
    </row>
    <row r="438" spans="1:25" ht="13.8">
      <c r="A438" s="40"/>
      <c r="B438" s="46"/>
      <c r="C438" s="47"/>
      <c r="D438" s="47"/>
      <c r="E438" s="47"/>
      <c r="F438" s="133" t="s">
        <v>402</v>
      </c>
      <c r="G438" s="591">
        <v>6</v>
      </c>
      <c r="H438" s="591">
        <v>6</v>
      </c>
      <c r="I438" s="591">
        <v>6</v>
      </c>
      <c r="J438" s="591">
        <v>6</v>
      </c>
      <c r="K438" s="591">
        <v>6</v>
      </c>
      <c r="L438" s="591">
        <v>6</v>
      </c>
      <c r="M438" s="591">
        <v>6</v>
      </c>
      <c r="N438" s="257"/>
      <c r="O438" s="257"/>
      <c r="P438" s="257"/>
      <c r="Q438" s="257"/>
      <c r="R438" s="257"/>
      <c r="S438" s="257"/>
      <c r="T438" s="257"/>
      <c r="U438" s="257"/>
      <c r="V438" s="131" t="s">
        <v>35</v>
      </c>
      <c r="W438" s="5"/>
      <c r="X438" s="13"/>
      <c r="Y438" s="7"/>
    </row>
    <row r="439" spans="1:25" ht="13.8">
      <c r="A439" s="40"/>
      <c r="B439" s="46"/>
      <c r="C439" s="47"/>
      <c r="D439" s="47"/>
      <c r="E439" s="47"/>
      <c r="F439" s="133" t="s">
        <v>403</v>
      </c>
      <c r="G439" s="591">
        <v>7.5</v>
      </c>
      <c r="H439" s="591">
        <v>7.5</v>
      </c>
      <c r="I439" s="591">
        <v>7.5</v>
      </c>
      <c r="J439" s="591">
        <v>7.5</v>
      </c>
      <c r="K439" s="591">
        <v>7.5</v>
      </c>
      <c r="L439" s="591">
        <v>7.5</v>
      </c>
      <c r="M439" s="591">
        <v>7.5</v>
      </c>
      <c r="N439" s="257"/>
      <c r="O439" s="257"/>
      <c r="P439" s="257"/>
      <c r="Q439" s="257"/>
      <c r="R439" s="257"/>
      <c r="S439" s="257"/>
      <c r="T439" s="257"/>
      <c r="U439" s="257"/>
      <c r="V439" s="131" t="s">
        <v>35</v>
      </c>
      <c r="W439" s="5"/>
      <c r="X439" s="13"/>
      <c r="Y439" s="7"/>
    </row>
    <row r="440" spans="1:25" ht="13.8">
      <c r="A440" s="40"/>
      <c r="B440" s="46"/>
      <c r="C440" s="47"/>
      <c r="D440" s="47"/>
      <c r="E440" s="47"/>
      <c r="F440" s="133" t="s">
        <v>404</v>
      </c>
      <c r="G440" s="591">
        <v>8.1999999999999993</v>
      </c>
      <c r="H440" s="591">
        <v>8.1999999999999993</v>
      </c>
      <c r="I440" s="591">
        <v>8.1999999999999993</v>
      </c>
      <c r="J440" s="591">
        <v>8.1999999999999993</v>
      </c>
      <c r="K440" s="591">
        <v>8.1999999999999993</v>
      </c>
      <c r="L440" s="591">
        <v>8.1999999999999993</v>
      </c>
      <c r="M440" s="591">
        <v>8.1999999999999993</v>
      </c>
      <c r="N440" s="257"/>
      <c r="O440" s="257"/>
      <c r="P440" s="257"/>
      <c r="Q440" s="257"/>
      <c r="R440" s="257"/>
      <c r="S440" s="257"/>
      <c r="T440" s="257"/>
      <c r="U440" s="257"/>
      <c r="V440" s="131" t="s">
        <v>35</v>
      </c>
      <c r="W440" s="5"/>
      <c r="X440" s="13"/>
      <c r="Y440" s="7"/>
    </row>
    <row r="441" spans="1:25" ht="13.8">
      <c r="A441" s="40"/>
      <c r="B441" s="46"/>
      <c r="C441" s="47"/>
      <c r="D441" s="47"/>
      <c r="E441" s="47"/>
      <c r="F441" s="133" t="s">
        <v>405</v>
      </c>
      <c r="G441" s="591">
        <v>11</v>
      </c>
      <c r="H441" s="591">
        <v>11</v>
      </c>
      <c r="I441" s="591">
        <v>11</v>
      </c>
      <c r="J441" s="591">
        <v>11</v>
      </c>
      <c r="K441" s="591">
        <v>11</v>
      </c>
      <c r="L441" s="591">
        <v>11</v>
      </c>
      <c r="M441" s="591">
        <v>11</v>
      </c>
      <c r="N441" s="257"/>
      <c r="O441" s="257"/>
      <c r="P441" s="257"/>
      <c r="Q441" s="257"/>
      <c r="R441" s="257"/>
      <c r="S441" s="257"/>
      <c r="T441" s="257"/>
      <c r="U441" s="257"/>
      <c r="V441" s="131" t="s">
        <v>35</v>
      </c>
      <c r="W441" s="5"/>
      <c r="X441" s="13"/>
      <c r="Y441" s="7"/>
    </row>
    <row r="442" spans="1:25" ht="13.8">
      <c r="A442" s="40"/>
      <c r="B442" s="46"/>
      <c r="C442" s="47"/>
      <c r="D442" s="47"/>
      <c r="E442" s="47"/>
      <c r="F442" s="133" t="s">
        <v>406</v>
      </c>
      <c r="G442" s="591">
        <v>12.8</v>
      </c>
      <c r="H442" s="591">
        <v>12.8</v>
      </c>
      <c r="I442" s="591">
        <v>12.8</v>
      </c>
      <c r="J442" s="591">
        <v>12.8</v>
      </c>
      <c r="K442" s="591">
        <v>12.8</v>
      </c>
      <c r="L442" s="591">
        <v>12.8</v>
      </c>
      <c r="M442" s="591">
        <v>12.8</v>
      </c>
      <c r="N442" s="257"/>
      <c r="O442" s="257"/>
      <c r="P442" s="257"/>
      <c r="Q442" s="257"/>
      <c r="R442" s="257"/>
      <c r="S442" s="257"/>
      <c r="T442" s="257"/>
      <c r="U442" s="257"/>
      <c r="V442" s="131" t="s">
        <v>35</v>
      </c>
      <c r="W442" s="5"/>
      <c r="X442" s="13"/>
      <c r="Y442" s="7"/>
    </row>
    <row r="443" spans="1:25" ht="13.8">
      <c r="A443" s="40"/>
      <c r="B443" s="46"/>
      <c r="C443" s="47"/>
      <c r="D443" s="47"/>
      <c r="E443" s="47"/>
      <c r="F443" s="133" t="s">
        <v>407</v>
      </c>
      <c r="G443" s="591">
        <v>13.2</v>
      </c>
      <c r="H443" s="591">
        <v>13.2</v>
      </c>
      <c r="I443" s="591">
        <v>13.2</v>
      </c>
      <c r="J443" s="591">
        <v>13.2</v>
      </c>
      <c r="K443" s="591">
        <v>13.2</v>
      </c>
      <c r="L443" s="591">
        <v>13.2</v>
      </c>
      <c r="M443" s="591">
        <v>13.2</v>
      </c>
      <c r="N443" s="257"/>
      <c r="O443" s="257"/>
      <c r="P443" s="257"/>
      <c r="Q443" s="257"/>
      <c r="R443" s="257"/>
      <c r="S443" s="257"/>
      <c r="T443" s="257"/>
      <c r="U443" s="257"/>
      <c r="V443" s="131" t="s">
        <v>35</v>
      </c>
      <c r="W443" s="5"/>
      <c r="X443" s="13"/>
      <c r="Y443" s="7"/>
    </row>
    <row r="444" spans="1:25" ht="13.8">
      <c r="A444" s="40"/>
      <c r="B444" s="46"/>
      <c r="C444" s="47"/>
      <c r="D444" s="47"/>
      <c r="E444" s="47"/>
      <c r="F444" s="133" t="s">
        <v>408</v>
      </c>
      <c r="G444" s="591">
        <v>15.8</v>
      </c>
      <c r="H444" s="591">
        <v>15.8</v>
      </c>
      <c r="I444" s="591">
        <v>15.8</v>
      </c>
      <c r="J444" s="591">
        <v>15.8</v>
      </c>
      <c r="K444" s="591">
        <v>15.8</v>
      </c>
      <c r="L444" s="591">
        <v>15.8</v>
      </c>
      <c r="M444" s="591">
        <v>15.8</v>
      </c>
      <c r="N444" s="257"/>
      <c r="O444" s="257"/>
      <c r="P444" s="257"/>
      <c r="Q444" s="257"/>
      <c r="R444" s="257"/>
      <c r="S444" s="257"/>
      <c r="T444" s="257"/>
      <c r="U444" s="257"/>
      <c r="V444" s="131" t="s">
        <v>35</v>
      </c>
      <c r="W444" s="5"/>
      <c r="X444" s="13"/>
      <c r="Y444" s="7"/>
    </row>
    <row r="445" spans="1:25" ht="13.8">
      <c r="A445" s="40"/>
      <c r="B445" s="46"/>
      <c r="C445" s="47"/>
      <c r="D445" s="47"/>
      <c r="E445" s="47"/>
      <c r="F445" s="133" t="s">
        <v>409</v>
      </c>
      <c r="G445" s="591">
        <v>21</v>
      </c>
      <c r="H445" s="591">
        <v>21</v>
      </c>
      <c r="I445" s="591">
        <v>21</v>
      </c>
      <c r="J445" s="591">
        <v>21</v>
      </c>
      <c r="K445" s="591">
        <v>21</v>
      </c>
      <c r="L445" s="591">
        <v>21</v>
      </c>
      <c r="M445" s="591">
        <v>21</v>
      </c>
      <c r="N445" s="257"/>
      <c r="O445" s="257"/>
      <c r="P445" s="257"/>
      <c r="Q445" s="257"/>
      <c r="R445" s="257"/>
      <c r="S445" s="257"/>
      <c r="T445" s="257"/>
      <c r="U445" s="257"/>
      <c r="V445" s="131" t="s">
        <v>35</v>
      </c>
      <c r="W445" s="5"/>
      <c r="X445" s="13"/>
      <c r="Y445" s="7"/>
    </row>
    <row r="446" spans="1:25" ht="13.8">
      <c r="A446" s="40"/>
      <c r="B446" s="46"/>
      <c r="C446" s="47"/>
      <c r="D446" s="47"/>
      <c r="E446" s="47"/>
      <c r="F446" s="47"/>
      <c r="G446" s="566"/>
      <c r="H446" s="566"/>
      <c r="I446" s="566"/>
      <c r="J446" s="566"/>
      <c r="K446" s="566"/>
      <c r="L446" s="566"/>
      <c r="M446" s="566"/>
      <c r="N446" s="566"/>
      <c r="O446" s="566"/>
      <c r="P446" s="566"/>
      <c r="Q446" s="566"/>
      <c r="R446" s="566"/>
      <c r="S446" s="566"/>
      <c r="T446" s="566"/>
      <c r="U446" s="566"/>
      <c r="V446" s="132"/>
      <c r="W446" s="5"/>
      <c r="X446" s="13"/>
      <c r="Y446" s="7"/>
    </row>
    <row r="447" spans="1:25" ht="13.8">
      <c r="A447" s="40"/>
      <c r="B447" s="156"/>
      <c r="C447" s="203"/>
      <c r="D447" s="203"/>
      <c r="E447" s="47"/>
      <c r="F447" s="103"/>
      <c r="G447" s="567" t="s">
        <v>465</v>
      </c>
      <c r="H447" s="568"/>
      <c r="I447" s="568"/>
      <c r="J447" s="568"/>
      <c r="K447" s="568"/>
      <c r="L447" s="568"/>
      <c r="M447" s="568"/>
      <c r="N447" s="568"/>
      <c r="O447" s="568"/>
      <c r="P447" s="568"/>
      <c r="Q447" s="568"/>
      <c r="R447" s="568"/>
      <c r="S447" s="568"/>
      <c r="T447" s="568"/>
      <c r="U447" s="569"/>
      <c r="V447" s="131"/>
      <c r="W447" s="5"/>
      <c r="X447" s="13"/>
      <c r="Y447" s="7"/>
    </row>
    <row r="448" spans="1:25" ht="13.8">
      <c r="A448" s="40"/>
      <c r="B448" s="629"/>
      <c r="C448" s="630"/>
      <c r="D448" s="630"/>
      <c r="E448" s="162"/>
      <c r="F448" s="133" t="s">
        <v>395</v>
      </c>
      <c r="G448" s="592">
        <v>44.799039999999998</v>
      </c>
      <c r="H448" s="592">
        <v>44.799039999999998</v>
      </c>
      <c r="I448" s="592">
        <v>44.799039999999998</v>
      </c>
      <c r="J448" s="592">
        <v>44.799039999999998</v>
      </c>
      <c r="K448" s="592">
        <v>44.799039999999998</v>
      </c>
      <c r="L448" s="592">
        <v>44.799039999999998</v>
      </c>
      <c r="M448" s="592">
        <v>44.799039999999998</v>
      </c>
      <c r="N448" s="597"/>
      <c r="O448" s="597"/>
      <c r="P448" s="597"/>
      <c r="Q448" s="597"/>
      <c r="R448" s="597"/>
      <c r="S448" s="597"/>
      <c r="T448" s="597"/>
      <c r="U448" s="597"/>
      <c r="V448" s="131" t="s">
        <v>45</v>
      </c>
      <c r="W448" s="5"/>
      <c r="X448" s="13"/>
      <c r="Y448" s="7"/>
    </row>
    <row r="449" spans="1:27" ht="13.8">
      <c r="A449" s="40"/>
      <c r="B449" s="604"/>
      <c r="C449" s="605"/>
      <c r="D449" s="605"/>
      <c r="E449" s="47"/>
      <c r="F449" s="133" t="s">
        <v>396</v>
      </c>
      <c r="G449" s="589">
        <v>50.918659999999996</v>
      </c>
      <c r="H449" s="589">
        <v>50.918659999999996</v>
      </c>
      <c r="I449" s="589">
        <v>50.918659999999996</v>
      </c>
      <c r="J449" s="589">
        <v>50.918659999999996</v>
      </c>
      <c r="K449" s="589">
        <v>50.918659999999996</v>
      </c>
      <c r="L449" s="589">
        <v>50.918659999999996</v>
      </c>
      <c r="M449" s="589">
        <v>50.918659999999996</v>
      </c>
      <c r="N449" s="570"/>
      <c r="O449" s="570"/>
      <c r="P449" s="570"/>
      <c r="Q449" s="570"/>
      <c r="R449" s="570"/>
      <c r="S449" s="570"/>
      <c r="T449" s="570"/>
      <c r="U449" s="570"/>
      <c r="V449" s="131" t="s">
        <v>45</v>
      </c>
      <c r="W449" s="5"/>
      <c r="X449" s="13"/>
      <c r="Y449" s="7"/>
    </row>
    <row r="450" spans="1:27" ht="13.8">
      <c r="A450" s="40"/>
      <c r="B450" s="604"/>
      <c r="C450" s="605"/>
      <c r="D450" s="605"/>
      <c r="E450" s="47"/>
      <c r="F450" s="133" t="s">
        <v>397</v>
      </c>
      <c r="G450" s="589">
        <v>74.388339999999999</v>
      </c>
      <c r="H450" s="589">
        <v>74.388339999999999</v>
      </c>
      <c r="I450" s="589">
        <v>74.388339999999999</v>
      </c>
      <c r="J450" s="589">
        <v>74.388339999999999</v>
      </c>
      <c r="K450" s="589">
        <v>74.388339999999999</v>
      </c>
      <c r="L450" s="589">
        <v>74.388339999999999</v>
      </c>
      <c r="M450" s="589">
        <v>74.388339999999999</v>
      </c>
      <c r="N450" s="570"/>
      <c r="O450" s="570"/>
      <c r="P450" s="570"/>
      <c r="Q450" s="570"/>
      <c r="R450" s="570"/>
      <c r="S450" s="570"/>
      <c r="T450" s="570"/>
      <c r="U450" s="570"/>
      <c r="V450" s="131" t="s">
        <v>45</v>
      </c>
      <c r="W450" s="5"/>
      <c r="X450" s="13"/>
      <c r="Y450" s="7"/>
    </row>
    <row r="451" spans="1:27" ht="13.8">
      <c r="A451" s="40"/>
      <c r="B451" s="604"/>
      <c r="C451" s="605"/>
      <c r="D451" s="605"/>
      <c r="E451" s="47"/>
      <c r="F451" s="133" t="s">
        <v>398</v>
      </c>
      <c r="G451" s="589">
        <v>86.250839999999997</v>
      </c>
      <c r="H451" s="589">
        <v>86.250839999999997</v>
      </c>
      <c r="I451" s="589">
        <v>86.250839999999997</v>
      </c>
      <c r="J451" s="589">
        <v>86.250839999999997</v>
      </c>
      <c r="K451" s="589">
        <v>86.250839999999997</v>
      </c>
      <c r="L451" s="589">
        <v>86.250839999999997</v>
      </c>
      <c r="M451" s="589">
        <v>86.250839999999997</v>
      </c>
      <c r="N451" s="570"/>
      <c r="O451" s="570"/>
      <c r="P451" s="570"/>
      <c r="Q451" s="570"/>
      <c r="R451" s="570"/>
      <c r="S451" s="570"/>
      <c r="T451" s="570"/>
      <c r="U451" s="570"/>
      <c r="V451" s="131" t="s">
        <v>45</v>
      </c>
      <c r="W451" s="5"/>
      <c r="X451" s="13"/>
      <c r="Y451" s="7"/>
    </row>
    <row r="452" spans="1:27" ht="13.8">
      <c r="A452" s="40"/>
      <c r="B452" s="604"/>
      <c r="C452" s="605"/>
      <c r="D452" s="605"/>
      <c r="E452" s="47"/>
      <c r="F452" s="133" t="s">
        <v>399</v>
      </c>
      <c r="G452" s="589">
        <v>98.173139999999989</v>
      </c>
      <c r="H452" s="589">
        <v>98.173139999999989</v>
      </c>
      <c r="I452" s="589">
        <v>98.173139999999989</v>
      </c>
      <c r="J452" s="589">
        <v>98.173139999999989</v>
      </c>
      <c r="K452" s="589">
        <v>98.173139999999989</v>
      </c>
      <c r="L452" s="589">
        <v>98.173139999999989</v>
      </c>
      <c r="M452" s="589">
        <v>98.173139999999989</v>
      </c>
      <c r="N452" s="570"/>
      <c r="O452" s="570"/>
      <c r="P452" s="570"/>
      <c r="Q452" s="570"/>
      <c r="R452" s="570"/>
      <c r="S452" s="570"/>
      <c r="T452" s="570"/>
      <c r="U452" s="570"/>
      <c r="V452" s="131" t="s">
        <v>45</v>
      </c>
      <c r="W452" s="5"/>
      <c r="X452" s="13"/>
      <c r="Y452" s="7"/>
    </row>
    <row r="453" spans="1:27" ht="13.8">
      <c r="A453" s="40"/>
      <c r="B453" s="604"/>
      <c r="C453" s="605"/>
      <c r="D453" s="605"/>
      <c r="E453" s="47"/>
      <c r="F453" s="133" t="s">
        <v>400</v>
      </c>
      <c r="G453" s="589">
        <v>112.32325</v>
      </c>
      <c r="H453" s="589">
        <v>112.32325</v>
      </c>
      <c r="I453" s="589">
        <v>112.32325</v>
      </c>
      <c r="J453" s="589">
        <v>112.32325</v>
      </c>
      <c r="K453" s="589">
        <v>112.32325</v>
      </c>
      <c r="L453" s="589">
        <v>112.32325</v>
      </c>
      <c r="M453" s="589">
        <v>112.32325</v>
      </c>
      <c r="N453" s="570"/>
      <c r="O453" s="570"/>
      <c r="P453" s="570"/>
      <c r="Q453" s="570"/>
      <c r="R453" s="570"/>
      <c r="S453" s="570"/>
      <c r="T453" s="570"/>
      <c r="U453" s="570"/>
      <c r="V453" s="131" t="s">
        <v>45</v>
      </c>
      <c r="W453" s="5"/>
      <c r="X453" s="13"/>
      <c r="Y453" s="7"/>
    </row>
    <row r="454" spans="1:27" ht="13.8">
      <c r="A454" s="40"/>
      <c r="B454" s="604"/>
      <c r="C454" s="605"/>
      <c r="D454" s="605"/>
      <c r="E454" s="47"/>
      <c r="F454" s="133" t="s">
        <v>401</v>
      </c>
      <c r="G454" s="589">
        <v>132.66408999999996</v>
      </c>
      <c r="H454" s="589">
        <v>132.66408999999996</v>
      </c>
      <c r="I454" s="589">
        <v>132.66408999999996</v>
      </c>
      <c r="J454" s="589">
        <v>132.66408999999996</v>
      </c>
      <c r="K454" s="589">
        <v>132.66408999999996</v>
      </c>
      <c r="L454" s="589">
        <v>132.66408999999996</v>
      </c>
      <c r="M454" s="589">
        <v>132.66408999999996</v>
      </c>
      <c r="N454" s="570"/>
      <c r="O454" s="570"/>
      <c r="P454" s="570"/>
      <c r="Q454" s="570"/>
      <c r="R454" s="570"/>
      <c r="S454" s="570"/>
      <c r="T454" s="570"/>
      <c r="U454" s="570"/>
      <c r="V454" s="131" t="s">
        <v>45</v>
      </c>
      <c r="W454" s="5"/>
      <c r="X454" s="13"/>
      <c r="Y454" s="7"/>
    </row>
    <row r="455" spans="1:27" ht="13.8">
      <c r="A455" s="40"/>
      <c r="B455" s="604"/>
      <c r="C455" s="605"/>
      <c r="D455" s="605"/>
      <c r="E455" s="47"/>
      <c r="F455" s="133" t="s">
        <v>402</v>
      </c>
      <c r="G455" s="589">
        <v>146.24817999999996</v>
      </c>
      <c r="H455" s="589">
        <v>146.24817999999996</v>
      </c>
      <c r="I455" s="589">
        <v>146.24817999999996</v>
      </c>
      <c r="J455" s="589">
        <v>146.24817999999996</v>
      </c>
      <c r="K455" s="589">
        <v>146.24817999999996</v>
      </c>
      <c r="L455" s="589">
        <v>146.24817999999996</v>
      </c>
      <c r="M455" s="589">
        <v>146.24817999999996</v>
      </c>
      <c r="N455" s="570"/>
      <c r="O455" s="570"/>
      <c r="P455" s="570"/>
      <c r="Q455" s="570"/>
      <c r="R455" s="570"/>
      <c r="S455" s="570"/>
      <c r="T455" s="570"/>
      <c r="U455" s="570"/>
      <c r="V455" s="131" t="s">
        <v>45</v>
      </c>
      <c r="W455" s="5"/>
      <c r="X455" s="13"/>
      <c r="Y455" s="7"/>
    </row>
    <row r="456" spans="1:27" ht="13.8">
      <c r="A456" s="40"/>
      <c r="B456" s="604"/>
      <c r="C456" s="605"/>
      <c r="D456" s="605"/>
      <c r="E456" s="47"/>
      <c r="F456" s="133" t="s">
        <v>403</v>
      </c>
      <c r="G456" s="589">
        <v>176.71472</v>
      </c>
      <c r="H456" s="589">
        <v>176.71472</v>
      </c>
      <c r="I456" s="589">
        <v>176.71472</v>
      </c>
      <c r="J456" s="589">
        <v>176.71472</v>
      </c>
      <c r="K456" s="589">
        <v>176.71472</v>
      </c>
      <c r="L456" s="589">
        <v>176.71472</v>
      </c>
      <c r="M456" s="589">
        <v>176.71472</v>
      </c>
      <c r="N456" s="570"/>
      <c r="O456" s="570"/>
      <c r="P456" s="570"/>
      <c r="Q456" s="570"/>
      <c r="R456" s="570"/>
      <c r="S456" s="570"/>
      <c r="T456" s="570"/>
      <c r="U456" s="570"/>
      <c r="V456" s="131" t="s">
        <v>45</v>
      </c>
      <c r="W456" s="5"/>
      <c r="X456" s="13"/>
      <c r="Y456" s="7"/>
    </row>
    <row r="457" spans="1:27" ht="13.8">
      <c r="A457" s="40"/>
      <c r="B457" s="604"/>
      <c r="C457" s="605"/>
      <c r="D457" s="605"/>
      <c r="E457" s="47"/>
      <c r="F457" s="133" t="s">
        <v>404</v>
      </c>
      <c r="G457" s="589">
        <v>203.82193000000001</v>
      </c>
      <c r="H457" s="589">
        <v>203.82193000000001</v>
      </c>
      <c r="I457" s="589">
        <v>203.82193000000001</v>
      </c>
      <c r="J457" s="589">
        <v>203.82193000000001</v>
      </c>
      <c r="K457" s="589">
        <v>203.82193000000001</v>
      </c>
      <c r="L457" s="589">
        <v>203.82193000000001</v>
      </c>
      <c r="M457" s="589">
        <v>203.82193000000001</v>
      </c>
      <c r="N457" s="570"/>
      <c r="O457" s="570"/>
      <c r="P457" s="570"/>
      <c r="Q457" s="570"/>
      <c r="R457" s="570"/>
      <c r="S457" s="570"/>
      <c r="T457" s="570"/>
      <c r="U457" s="570"/>
      <c r="V457" s="131" t="s">
        <v>45</v>
      </c>
      <c r="W457" s="5"/>
      <c r="X457" s="13"/>
      <c r="Y457" s="7"/>
    </row>
    <row r="458" spans="1:27" ht="13.8">
      <c r="A458" s="40"/>
      <c r="B458" s="604"/>
      <c r="C458" s="605"/>
      <c r="D458" s="605"/>
      <c r="E458" s="47"/>
      <c r="F458" s="133" t="s">
        <v>405</v>
      </c>
      <c r="G458" s="589">
        <v>335.94184000000001</v>
      </c>
      <c r="H458" s="589">
        <v>335.94184000000001</v>
      </c>
      <c r="I458" s="589">
        <v>335.94184000000001</v>
      </c>
      <c r="J458" s="589">
        <v>335.94184000000001</v>
      </c>
      <c r="K458" s="589">
        <v>335.94184000000001</v>
      </c>
      <c r="L458" s="589">
        <v>335.94184000000001</v>
      </c>
      <c r="M458" s="589">
        <v>335.94184000000001</v>
      </c>
      <c r="N458" s="570"/>
      <c r="O458" s="570"/>
      <c r="P458" s="570"/>
      <c r="Q458" s="570"/>
      <c r="R458" s="570"/>
      <c r="S458" s="570"/>
      <c r="T458" s="570"/>
      <c r="U458" s="570"/>
      <c r="V458" s="131" t="s">
        <v>45</v>
      </c>
      <c r="W458" s="5"/>
      <c r="X458" s="13"/>
      <c r="Y458" s="7"/>
    </row>
    <row r="459" spans="1:27" ht="13.8">
      <c r="A459" s="40"/>
      <c r="B459" s="46"/>
      <c r="C459" s="47"/>
      <c r="D459" s="47"/>
      <c r="E459" s="47"/>
      <c r="F459" s="133" t="s">
        <v>406</v>
      </c>
      <c r="G459" s="589">
        <v>521.56909999999948</v>
      </c>
      <c r="H459" s="589">
        <v>521.56909999999948</v>
      </c>
      <c r="I459" s="589">
        <v>521.56909999999948</v>
      </c>
      <c r="J459" s="589">
        <v>521.56909999999948</v>
      </c>
      <c r="K459" s="589">
        <v>521.56909999999948</v>
      </c>
      <c r="L459" s="589">
        <v>521.56909999999948</v>
      </c>
      <c r="M459" s="589">
        <v>521.56909999999948</v>
      </c>
      <c r="N459" s="570"/>
      <c r="O459" s="570"/>
      <c r="P459" s="570"/>
      <c r="Q459" s="570"/>
      <c r="R459" s="570"/>
      <c r="S459" s="570"/>
      <c r="T459" s="570"/>
      <c r="U459" s="570"/>
      <c r="V459" s="131" t="s">
        <v>45</v>
      </c>
      <c r="W459" s="5"/>
      <c r="X459" s="13"/>
      <c r="Y459" s="7"/>
    </row>
    <row r="460" spans="1:27" ht="13.8">
      <c r="A460" s="40"/>
      <c r="B460" s="46"/>
      <c r="C460" s="47"/>
      <c r="D460" s="47"/>
      <c r="E460" s="47"/>
      <c r="F460" s="133" t="s">
        <v>407</v>
      </c>
      <c r="G460" s="589">
        <v>644.77790000000084</v>
      </c>
      <c r="H460" s="589">
        <v>644.77790000000084</v>
      </c>
      <c r="I460" s="589">
        <v>644.77790000000084</v>
      </c>
      <c r="J460" s="589">
        <v>644.77790000000084</v>
      </c>
      <c r="K460" s="589">
        <v>644.77790000000084</v>
      </c>
      <c r="L460" s="589">
        <v>644.77790000000084</v>
      </c>
      <c r="M460" s="589">
        <v>644.77790000000084</v>
      </c>
      <c r="N460" s="570"/>
      <c r="O460" s="570"/>
      <c r="P460" s="570"/>
      <c r="Q460" s="570"/>
      <c r="R460" s="570"/>
      <c r="S460" s="570"/>
      <c r="T460" s="570"/>
      <c r="U460" s="570"/>
      <c r="V460" s="131" t="s">
        <v>45</v>
      </c>
      <c r="W460" s="5"/>
      <c r="X460" s="13"/>
      <c r="Y460" s="7"/>
    </row>
    <row r="461" spans="1:27" ht="13.8">
      <c r="A461" s="40"/>
      <c r="B461" s="46"/>
      <c r="C461" s="47"/>
      <c r="D461" s="47"/>
      <c r="E461" s="47"/>
      <c r="F461" s="133" t="s">
        <v>408</v>
      </c>
      <c r="G461" s="589">
        <v>1545.3151999999998</v>
      </c>
      <c r="H461" s="589">
        <v>1545.3151999999998</v>
      </c>
      <c r="I461" s="589">
        <v>1545.3151999999998</v>
      </c>
      <c r="J461" s="589">
        <v>1545.3151999999998</v>
      </c>
      <c r="K461" s="589">
        <v>1545.3151999999998</v>
      </c>
      <c r="L461" s="589">
        <v>1545.3151999999998</v>
      </c>
      <c r="M461" s="589">
        <v>1545.3151999999998</v>
      </c>
      <c r="N461" s="570"/>
      <c r="O461" s="570"/>
      <c r="P461" s="570"/>
      <c r="Q461" s="570"/>
      <c r="R461" s="570"/>
      <c r="S461" s="570"/>
      <c r="T461" s="570"/>
      <c r="U461" s="570"/>
      <c r="V461" s="131" t="s">
        <v>45</v>
      </c>
      <c r="W461" s="5"/>
      <c r="X461" s="13"/>
      <c r="Y461" s="7"/>
    </row>
    <row r="462" spans="1:27" ht="13.8">
      <c r="A462" s="40"/>
      <c r="B462" s="604"/>
      <c r="C462" s="605"/>
      <c r="D462" s="605"/>
      <c r="E462" s="47"/>
      <c r="F462" s="133" t="s">
        <v>409</v>
      </c>
      <c r="G462" s="589">
        <v>3990.8960000000002</v>
      </c>
      <c r="H462" s="589">
        <v>3990.8960000000002</v>
      </c>
      <c r="I462" s="589">
        <v>3990.8960000000002</v>
      </c>
      <c r="J462" s="589">
        <v>3990.8960000000002</v>
      </c>
      <c r="K462" s="589">
        <v>3990.8960000000002</v>
      </c>
      <c r="L462" s="589">
        <v>3990.8960000000002</v>
      </c>
      <c r="M462" s="589">
        <v>3990.8960000000002</v>
      </c>
      <c r="N462" s="570"/>
      <c r="O462" s="570"/>
      <c r="P462" s="570"/>
      <c r="Q462" s="570"/>
      <c r="R462" s="570"/>
      <c r="S462" s="570"/>
      <c r="T462" s="570"/>
      <c r="U462" s="570"/>
      <c r="V462" s="131" t="s">
        <v>45</v>
      </c>
      <c r="W462" s="5"/>
      <c r="X462" s="13"/>
      <c r="Y462" s="7"/>
    </row>
    <row r="463" spans="1:27" ht="13.8">
      <c r="A463" s="40"/>
      <c r="B463" s="46"/>
      <c r="C463" s="47"/>
      <c r="D463" s="47"/>
      <c r="E463" s="47"/>
      <c r="F463" s="133"/>
      <c r="G463" s="75"/>
      <c r="H463" s="75"/>
      <c r="I463" s="75"/>
      <c r="J463" s="75"/>
      <c r="K463" s="75"/>
      <c r="L463" s="75"/>
      <c r="M463" s="75"/>
      <c r="N463" s="75"/>
      <c r="O463" s="75"/>
      <c r="P463" s="75"/>
      <c r="Q463" s="75"/>
      <c r="R463" s="75"/>
      <c r="S463" s="75"/>
      <c r="T463" s="75"/>
      <c r="U463" s="75"/>
      <c r="V463" s="131"/>
      <c r="W463" s="5"/>
      <c r="X463" s="13"/>
      <c r="Y463" s="7"/>
    </row>
    <row r="464" spans="1:27" ht="13.8">
      <c r="A464" s="40"/>
      <c r="B464" s="235" t="s">
        <v>714</v>
      </c>
      <c r="C464" s="236"/>
      <c r="D464" s="236"/>
      <c r="E464" s="236"/>
      <c r="F464" s="239"/>
      <c r="G464" s="243"/>
      <c r="H464" s="243"/>
      <c r="I464" s="243"/>
      <c r="J464" s="243"/>
      <c r="K464" s="243"/>
      <c r="L464" s="243"/>
      <c r="M464" s="243"/>
      <c r="N464" s="243"/>
      <c r="O464" s="243"/>
      <c r="P464" s="243"/>
      <c r="Q464" s="243"/>
      <c r="R464" s="243"/>
      <c r="S464" s="243"/>
      <c r="T464" s="243"/>
      <c r="U464" s="243"/>
      <c r="V464" s="424"/>
      <c r="W464" s="69"/>
      <c r="X464" s="391"/>
      <c r="Y464" s="382"/>
      <c r="Z464" s="383"/>
      <c r="AA464" s="130"/>
    </row>
    <row r="465" spans="1:27" ht="13.8">
      <c r="A465" s="40"/>
      <c r="B465" s="155" t="str">
        <f>IF(OR(G14="IPB 1.0 Size S",$G$14="IPB 1.0 Size Se",$G$14="IPB 1.1 Size Sd",$G$14="IPB 1.1 Size Se",$G$14="IPB 2.0 Size S",$G$14="IPB 2.0 Size M",$G$14="IPB 2.0 Size L",$G$15="DPB Size M",$G$15="DPB Size L"),"Highly recommended for all projects considering the DPB system.","")</f>
        <v>Highly recommended for all projects considering the DPB system.</v>
      </c>
      <c r="C465" s="47"/>
      <c r="D465" s="47"/>
      <c r="E465" s="47"/>
      <c r="F465" s="133"/>
      <c r="G465" s="336" t="str">
        <f>$G$44</f>
        <v>L 2WD NAO 2ROW</v>
      </c>
      <c r="H465" s="336" t="str">
        <f>$H$44</f>
        <v>L 4WD NAO 2ROW US</v>
      </c>
      <c r="I465" s="336" t="str">
        <f>$I$44</f>
        <v>L 4WD NAO 2ROW</v>
      </c>
      <c r="J465" s="336" t="str">
        <f>$J$44</f>
        <v>L 4WD NAO 3ROW</v>
      </c>
      <c r="K465" s="336" t="str">
        <f>$K$44</f>
        <v>R 2WD NAO 2ROW</v>
      </c>
      <c r="L465" s="336" t="str">
        <f>$L$44</f>
        <v>R 4WD NAO 2ROW</v>
      </c>
      <c r="M465" s="336" t="str">
        <f>$M$44</f>
        <v>R 4WD NAO 3ROW</v>
      </c>
      <c r="N465" s="336" t="str">
        <f>$N$44</f>
        <v/>
      </c>
      <c r="O465" s="336" t="str">
        <f>$O$44</f>
        <v/>
      </c>
      <c r="P465" s="336" t="str">
        <f>$P$44</f>
        <v/>
      </c>
      <c r="Q465" s="336" t="str">
        <f>$Q$44</f>
        <v/>
      </c>
      <c r="R465" s="336" t="str">
        <f>$R$44</f>
        <v/>
      </c>
      <c r="S465" s="336" t="str">
        <f>$S$44</f>
        <v/>
      </c>
      <c r="T465" s="336" t="str">
        <f>$T$44</f>
        <v/>
      </c>
      <c r="U465" s="336" t="str">
        <f>$U$44</f>
        <v/>
      </c>
      <c r="V465" s="405"/>
      <c r="W465" s="69"/>
      <c r="X465" s="391"/>
      <c r="Y465" s="382"/>
      <c r="Z465" s="383"/>
      <c r="AA465" s="130"/>
    </row>
    <row r="466" spans="1:27" ht="13.8">
      <c r="A466" s="40"/>
      <c r="B466" s="155"/>
      <c r="C466" s="47"/>
      <c r="D466" s="47"/>
      <c r="E466" s="47"/>
      <c r="F466" s="133"/>
      <c r="G466" s="571" t="s">
        <v>394</v>
      </c>
      <c r="H466" s="572"/>
      <c r="I466" s="572"/>
      <c r="J466" s="572"/>
      <c r="K466" s="572"/>
      <c r="L466" s="572"/>
      <c r="M466" s="572"/>
      <c r="N466" s="572"/>
      <c r="O466" s="572"/>
      <c r="P466" s="572"/>
      <c r="Q466" s="572"/>
      <c r="R466" s="572"/>
      <c r="S466" s="572"/>
      <c r="T466" s="572"/>
      <c r="U466" s="573"/>
      <c r="V466" s="131"/>
      <c r="W466" s="5"/>
      <c r="X466" s="13"/>
      <c r="Y466" s="7"/>
    </row>
    <row r="467" spans="1:27" ht="13.8">
      <c r="A467" s="40"/>
      <c r="B467" s="46"/>
      <c r="C467" s="47"/>
      <c r="D467" s="47"/>
      <c r="E467" s="47"/>
      <c r="F467" s="133" t="s">
        <v>395</v>
      </c>
      <c r="G467" s="593">
        <v>0.8</v>
      </c>
      <c r="H467" s="593">
        <v>0.8</v>
      </c>
      <c r="I467" s="593">
        <v>0.8</v>
      </c>
      <c r="J467" s="593">
        <v>0.8</v>
      </c>
      <c r="K467" s="593">
        <v>0.8</v>
      </c>
      <c r="L467" s="593">
        <v>0.8</v>
      </c>
      <c r="M467" s="593">
        <v>0.8</v>
      </c>
      <c r="N467" s="597"/>
      <c r="O467" s="597"/>
      <c r="P467" s="597"/>
      <c r="Q467" s="597"/>
      <c r="R467" s="597"/>
      <c r="S467" s="597"/>
      <c r="T467" s="597"/>
      <c r="U467" s="597"/>
      <c r="V467" s="131" t="s">
        <v>35</v>
      </c>
      <c r="W467" s="5"/>
      <c r="X467" s="13"/>
      <c r="Y467" s="7"/>
    </row>
    <row r="468" spans="1:27" ht="13.8">
      <c r="A468" s="40"/>
      <c r="B468" s="46"/>
      <c r="C468" s="47"/>
      <c r="D468" s="47"/>
      <c r="E468" s="47"/>
      <c r="F468" s="133" t="s">
        <v>396</v>
      </c>
      <c r="G468" s="594">
        <v>1.8</v>
      </c>
      <c r="H468" s="594">
        <v>1.8</v>
      </c>
      <c r="I468" s="594">
        <v>1.8</v>
      </c>
      <c r="J468" s="594">
        <v>1.8</v>
      </c>
      <c r="K468" s="594">
        <v>1.8</v>
      </c>
      <c r="L468" s="594">
        <v>1.8</v>
      </c>
      <c r="M468" s="594">
        <v>1.8</v>
      </c>
      <c r="N468" s="570"/>
      <c r="O468" s="570"/>
      <c r="P468" s="570"/>
      <c r="Q468" s="570"/>
      <c r="R468" s="570"/>
      <c r="S468" s="570"/>
      <c r="T468" s="570"/>
      <c r="U468" s="570"/>
      <c r="V468" s="131" t="s">
        <v>35</v>
      </c>
      <c r="W468" s="5"/>
      <c r="X468" s="13"/>
      <c r="Y468" s="7"/>
    </row>
    <row r="469" spans="1:27" ht="13.8">
      <c r="A469" s="40"/>
      <c r="B469" s="46"/>
      <c r="C469" s="47"/>
      <c r="D469" s="47"/>
      <c r="E469" s="47"/>
      <c r="F469" s="133" t="s">
        <v>397</v>
      </c>
      <c r="G469" s="594">
        <v>3.5</v>
      </c>
      <c r="H469" s="594">
        <v>3.5</v>
      </c>
      <c r="I469" s="594">
        <v>3.5</v>
      </c>
      <c r="J469" s="594">
        <v>3.5</v>
      </c>
      <c r="K469" s="594">
        <v>3.5</v>
      </c>
      <c r="L469" s="594">
        <v>3.5</v>
      </c>
      <c r="M469" s="594">
        <v>3.5</v>
      </c>
      <c r="N469" s="570"/>
      <c r="O469" s="570"/>
      <c r="P469" s="570"/>
      <c r="Q469" s="570"/>
      <c r="R469" s="570"/>
      <c r="S469" s="570"/>
      <c r="T469" s="570"/>
      <c r="U469" s="570"/>
      <c r="V469" s="131" t="s">
        <v>35</v>
      </c>
      <c r="W469" s="5"/>
      <c r="X469" s="13"/>
      <c r="Y469" s="7"/>
    </row>
    <row r="470" spans="1:27" ht="13.8">
      <c r="A470" s="40"/>
      <c r="B470" s="46"/>
      <c r="C470" s="47"/>
      <c r="D470" s="47"/>
      <c r="E470" s="47"/>
      <c r="F470" s="133" t="s">
        <v>398</v>
      </c>
      <c r="G470" s="594">
        <v>4.2</v>
      </c>
      <c r="H470" s="594">
        <v>4.2</v>
      </c>
      <c r="I470" s="594">
        <v>4.2</v>
      </c>
      <c r="J470" s="594">
        <v>4.2</v>
      </c>
      <c r="K470" s="594">
        <v>4.2</v>
      </c>
      <c r="L470" s="594">
        <v>4.2</v>
      </c>
      <c r="M470" s="594">
        <v>4.2</v>
      </c>
      <c r="N470" s="570"/>
      <c r="O470" s="570"/>
      <c r="P470" s="570"/>
      <c r="Q470" s="570"/>
      <c r="R470" s="570"/>
      <c r="S470" s="570"/>
      <c r="T470" s="570"/>
      <c r="U470" s="570"/>
      <c r="V470" s="131" t="s">
        <v>35</v>
      </c>
      <c r="W470" s="5"/>
      <c r="X470" s="13"/>
      <c r="Y470" s="7"/>
    </row>
    <row r="471" spans="1:27" ht="13.8">
      <c r="A471" s="40"/>
      <c r="B471" s="46"/>
      <c r="C471" s="47"/>
      <c r="D471" s="47"/>
      <c r="E471" s="47"/>
      <c r="F471" s="133" t="s">
        <v>399</v>
      </c>
      <c r="G471" s="594">
        <v>4.8</v>
      </c>
      <c r="H471" s="594">
        <v>4.8</v>
      </c>
      <c r="I471" s="594">
        <v>4.8</v>
      </c>
      <c r="J471" s="594">
        <v>4.8</v>
      </c>
      <c r="K471" s="594">
        <v>4.8</v>
      </c>
      <c r="L471" s="594">
        <v>4.8</v>
      </c>
      <c r="M471" s="594">
        <v>4.8</v>
      </c>
      <c r="N471" s="570"/>
      <c r="O471" s="570"/>
      <c r="P471" s="570"/>
      <c r="Q471" s="570"/>
      <c r="R471" s="570"/>
      <c r="S471" s="570"/>
      <c r="T471" s="570"/>
      <c r="U471" s="570"/>
      <c r="V471" s="131" t="s">
        <v>35</v>
      </c>
      <c r="W471" s="5"/>
      <c r="X471" s="13"/>
      <c r="Y471" s="7"/>
    </row>
    <row r="472" spans="1:27" ht="13.8">
      <c r="A472" s="40"/>
      <c r="B472" s="46"/>
      <c r="C472" s="47"/>
      <c r="D472" s="47"/>
      <c r="E472" s="47"/>
      <c r="F472" s="133" t="s">
        <v>400</v>
      </c>
      <c r="G472" s="594">
        <v>5.4</v>
      </c>
      <c r="H472" s="594">
        <v>5.4</v>
      </c>
      <c r="I472" s="594">
        <v>5.4</v>
      </c>
      <c r="J472" s="594">
        <v>5.4</v>
      </c>
      <c r="K472" s="594">
        <v>5.4</v>
      </c>
      <c r="L472" s="594">
        <v>5.4</v>
      </c>
      <c r="M472" s="594">
        <v>5.4</v>
      </c>
      <c r="N472" s="570"/>
      <c r="O472" s="570"/>
      <c r="P472" s="570"/>
      <c r="Q472" s="570"/>
      <c r="R472" s="570"/>
      <c r="S472" s="570"/>
      <c r="T472" s="570"/>
      <c r="U472" s="570"/>
      <c r="V472" s="131" t="s">
        <v>35</v>
      </c>
      <c r="W472" s="5"/>
      <c r="X472" s="13"/>
      <c r="Y472" s="7"/>
    </row>
    <row r="473" spans="1:27" ht="13.8">
      <c r="A473" s="40"/>
      <c r="B473" s="46"/>
      <c r="C473" s="47"/>
      <c r="D473" s="47"/>
      <c r="E473" s="47"/>
      <c r="F473" s="133" t="s">
        <v>401</v>
      </c>
      <c r="G473" s="594">
        <v>6</v>
      </c>
      <c r="H473" s="594">
        <v>6</v>
      </c>
      <c r="I473" s="594">
        <v>6</v>
      </c>
      <c r="J473" s="594">
        <v>6</v>
      </c>
      <c r="K473" s="594">
        <v>6</v>
      </c>
      <c r="L473" s="594">
        <v>6</v>
      </c>
      <c r="M473" s="594">
        <v>6</v>
      </c>
      <c r="N473" s="570"/>
      <c r="O473" s="570"/>
      <c r="P473" s="570"/>
      <c r="Q473" s="570"/>
      <c r="R473" s="570"/>
      <c r="S473" s="570"/>
      <c r="T473" s="570"/>
      <c r="U473" s="570"/>
      <c r="V473" s="131" t="s">
        <v>35</v>
      </c>
      <c r="W473" s="5"/>
      <c r="X473" s="13"/>
      <c r="Y473" s="7"/>
    </row>
    <row r="474" spans="1:27" ht="13.8">
      <c r="A474" s="40"/>
      <c r="B474" s="46"/>
      <c r="C474" s="47"/>
      <c r="D474" s="47"/>
      <c r="E474" s="47"/>
      <c r="F474" s="133" t="s">
        <v>402</v>
      </c>
      <c r="G474" s="594">
        <v>7.5</v>
      </c>
      <c r="H474" s="594">
        <v>7.5</v>
      </c>
      <c r="I474" s="594">
        <v>7.5</v>
      </c>
      <c r="J474" s="594">
        <v>7.5</v>
      </c>
      <c r="K474" s="594">
        <v>7.5</v>
      </c>
      <c r="L474" s="594">
        <v>7.5</v>
      </c>
      <c r="M474" s="594">
        <v>7.5</v>
      </c>
      <c r="N474" s="570"/>
      <c r="O474" s="570"/>
      <c r="P474" s="570"/>
      <c r="Q474" s="570"/>
      <c r="R474" s="570"/>
      <c r="S474" s="570"/>
      <c r="T474" s="570"/>
      <c r="U474" s="570"/>
      <c r="V474" s="131" t="s">
        <v>35</v>
      </c>
      <c r="W474" s="5"/>
      <c r="X474" s="13"/>
      <c r="Y474" s="7"/>
    </row>
    <row r="475" spans="1:27" ht="13.8">
      <c r="A475" s="40"/>
      <c r="B475" s="46"/>
      <c r="C475" s="47"/>
      <c r="D475" s="47"/>
      <c r="E475" s="47"/>
      <c r="F475" s="133" t="s">
        <v>403</v>
      </c>
      <c r="G475" s="594">
        <v>8.1999999999999993</v>
      </c>
      <c r="H475" s="594">
        <v>8.1999999999999993</v>
      </c>
      <c r="I475" s="594">
        <v>8.1999999999999993</v>
      </c>
      <c r="J475" s="594">
        <v>8.1999999999999993</v>
      </c>
      <c r="K475" s="594">
        <v>8.1999999999999993</v>
      </c>
      <c r="L475" s="594">
        <v>8.1999999999999993</v>
      </c>
      <c r="M475" s="594">
        <v>8.1999999999999993</v>
      </c>
      <c r="N475" s="570"/>
      <c r="O475" s="570"/>
      <c r="P475" s="570"/>
      <c r="Q475" s="570"/>
      <c r="R475" s="570"/>
      <c r="S475" s="570"/>
      <c r="T475" s="570"/>
      <c r="U475" s="570"/>
      <c r="V475" s="131" t="s">
        <v>35</v>
      </c>
      <c r="W475" s="5"/>
      <c r="X475" s="13"/>
      <c r="Y475" s="7"/>
    </row>
    <row r="476" spans="1:27" ht="13.8">
      <c r="A476" s="40"/>
      <c r="B476" s="46"/>
      <c r="C476" s="47"/>
      <c r="D476" s="47"/>
      <c r="E476" s="47"/>
      <c r="F476" s="133" t="s">
        <v>404</v>
      </c>
      <c r="G476" s="594">
        <v>11</v>
      </c>
      <c r="H476" s="594">
        <v>11</v>
      </c>
      <c r="I476" s="594">
        <v>11</v>
      </c>
      <c r="J476" s="594">
        <v>11</v>
      </c>
      <c r="K476" s="594">
        <v>11</v>
      </c>
      <c r="L476" s="594">
        <v>11</v>
      </c>
      <c r="M476" s="594">
        <v>11</v>
      </c>
      <c r="N476" s="570"/>
      <c r="O476" s="570"/>
      <c r="P476" s="570"/>
      <c r="Q476" s="570"/>
      <c r="R476" s="570"/>
      <c r="S476" s="570"/>
      <c r="T476" s="570"/>
      <c r="U476" s="570"/>
      <c r="V476" s="131" t="s">
        <v>35</v>
      </c>
      <c r="W476" s="5"/>
      <c r="X476" s="13"/>
      <c r="Y476" s="7"/>
    </row>
    <row r="477" spans="1:27" ht="13.8">
      <c r="A477" s="40"/>
      <c r="B477" s="46"/>
      <c r="C477" s="47"/>
      <c r="D477" s="47"/>
      <c r="E477" s="47"/>
      <c r="F477" s="133" t="s">
        <v>405</v>
      </c>
      <c r="G477" s="594">
        <v>12.8</v>
      </c>
      <c r="H477" s="594">
        <v>12.8</v>
      </c>
      <c r="I477" s="594">
        <v>12.8</v>
      </c>
      <c r="J477" s="594">
        <v>12.8</v>
      </c>
      <c r="K477" s="594">
        <v>12.8</v>
      </c>
      <c r="L477" s="594">
        <v>12.8</v>
      </c>
      <c r="M477" s="594">
        <v>12.8</v>
      </c>
      <c r="N477" s="570"/>
      <c r="O477" s="570"/>
      <c r="P477" s="570"/>
      <c r="Q477" s="570"/>
      <c r="R477" s="570"/>
      <c r="S477" s="570"/>
      <c r="T477" s="570"/>
      <c r="U477" s="570"/>
      <c r="V477" s="131" t="s">
        <v>35</v>
      </c>
      <c r="W477" s="5"/>
      <c r="X477" s="13"/>
      <c r="Y477" s="7"/>
    </row>
    <row r="478" spans="1:27" ht="13.8">
      <c r="A478" s="40"/>
      <c r="B478" s="46"/>
      <c r="C478" s="47"/>
      <c r="D478" s="47"/>
      <c r="E478" s="47"/>
      <c r="F478" s="133" t="s">
        <v>406</v>
      </c>
      <c r="G478" s="594">
        <v>13.2</v>
      </c>
      <c r="H478" s="594">
        <v>13.2</v>
      </c>
      <c r="I478" s="594">
        <v>13.2</v>
      </c>
      <c r="J478" s="594">
        <v>13.2</v>
      </c>
      <c r="K478" s="594">
        <v>13.2</v>
      </c>
      <c r="L478" s="594">
        <v>13.2</v>
      </c>
      <c r="M478" s="594">
        <v>13.2</v>
      </c>
      <c r="N478" s="570"/>
      <c r="O478" s="570"/>
      <c r="P478" s="570"/>
      <c r="Q478" s="570"/>
      <c r="R478" s="570"/>
      <c r="S478" s="570"/>
      <c r="T478" s="570"/>
      <c r="U478" s="570"/>
      <c r="V478" s="131" t="s">
        <v>35</v>
      </c>
      <c r="W478" s="5"/>
      <c r="X478" s="13"/>
      <c r="Y478" s="7"/>
    </row>
    <row r="479" spans="1:27" ht="13.8">
      <c r="A479" s="40"/>
      <c r="B479" s="46"/>
      <c r="C479" s="47"/>
      <c r="D479" s="47"/>
      <c r="E479" s="47"/>
      <c r="F479" s="133" t="s">
        <v>407</v>
      </c>
      <c r="G479" s="594">
        <v>15.8</v>
      </c>
      <c r="H479" s="594">
        <v>15.8</v>
      </c>
      <c r="I479" s="594">
        <v>15.8</v>
      </c>
      <c r="J479" s="594">
        <v>15.8</v>
      </c>
      <c r="K479" s="594">
        <v>15.8</v>
      </c>
      <c r="L479" s="594">
        <v>15.8</v>
      </c>
      <c r="M479" s="594">
        <v>15.8</v>
      </c>
      <c r="N479" s="570"/>
      <c r="O479" s="570"/>
      <c r="P479" s="570"/>
      <c r="Q479" s="570"/>
      <c r="R479" s="570"/>
      <c r="S479" s="570"/>
      <c r="T479" s="570"/>
      <c r="U479" s="570"/>
      <c r="V479" s="131" t="s">
        <v>35</v>
      </c>
      <c r="W479" s="5"/>
      <c r="X479" s="13"/>
      <c r="Y479" s="7"/>
    </row>
    <row r="480" spans="1:27" ht="13.8">
      <c r="A480" s="40"/>
      <c r="B480" s="46"/>
      <c r="C480" s="47"/>
      <c r="D480" s="47"/>
      <c r="E480" s="47"/>
      <c r="F480" s="133" t="s">
        <v>408</v>
      </c>
      <c r="G480" s="594">
        <v>16.7</v>
      </c>
      <c r="H480" s="594">
        <v>16.7</v>
      </c>
      <c r="I480" s="594">
        <v>16.7</v>
      </c>
      <c r="J480" s="594">
        <v>16.7</v>
      </c>
      <c r="K480" s="594">
        <v>16.7</v>
      </c>
      <c r="L480" s="594">
        <v>16.7</v>
      </c>
      <c r="M480" s="594">
        <v>16.7</v>
      </c>
      <c r="N480" s="570"/>
      <c r="O480" s="570"/>
      <c r="P480" s="570"/>
      <c r="Q480" s="570"/>
      <c r="R480" s="570"/>
      <c r="S480" s="570"/>
      <c r="T480" s="570"/>
      <c r="U480" s="570"/>
      <c r="V480" s="131" t="s">
        <v>35</v>
      </c>
      <c r="W480" s="5"/>
      <c r="X480" s="13"/>
      <c r="Y480" s="7"/>
    </row>
    <row r="481" spans="1:25" ht="13.8">
      <c r="A481" s="40"/>
      <c r="B481" s="46"/>
      <c r="C481" s="47"/>
      <c r="D481" s="47"/>
      <c r="E481" s="47"/>
      <c r="F481" s="133" t="s">
        <v>409</v>
      </c>
      <c r="G481" s="595">
        <v>21</v>
      </c>
      <c r="H481" s="595">
        <v>21</v>
      </c>
      <c r="I481" s="595">
        <v>21</v>
      </c>
      <c r="J481" s="595">
        <v>21</v>
      </c>
      <c r="K481" s="595">
        <v>21</v>
      </c>
      <c r="L481" s="595">
        <v>21</v>
      </c>
      <c r="M481" s="595">
        <v>21</v>
      </c>
      <c r="N481" s="598"/>
      <c r="O481" s="598"/>
      <c r="P481" s="598"/>
      <c r="Q481" s="598"/>
      <c r="R481" s="598"/>
      <c r="S481" s="598"/>
      <c r="T481" s="598"/>
      <c r="U481" s="598"/>
      <c r="V481" s="131" t="s">
        <v>35</v>
      </c>
      <c r="W481" s="5"/>
      <c r="X481" s="13"/>
      <c r="Y481" s="7"/>
    </row>
    <row r="482" spans="1:25" ht="13.8">
      <c r="A482" s="40"/>
      <c r="B482" s="46"/>
      <c r="C482" s="47"/>
      <c r="D482" s="47"/>
      <c r="E482" s="47"/>
      <c r="F482" s="133"/>
      <c r="G482" s="75"/>
      <c r="H482" s="75"/>
      <c r="I482" s="75"/>
      <c r="J482" s="75"/>
      <c r="K482" s="75"/>
      <c r="L482" s="75"/>
      <c r="M482" s="75"/>
      <c r="N482" s="75"/>
      <c r="O482" s="75"/>
      <c r="P482" s="75"/>
      <c r="Q482" s="75"/>
      <c r="R482" s="75"/>
      <c r="S482" s="75"/>
      <c r="T482" s="75"/>
      <c r="U482" s="75"/>
      <c r="V482" s="131"/>
      <c r="W482" s="5"/>
      <c r="X482" s="13"/>
      <c r="Y482" s="7"/>
    </row>
    <row r="483" spans="1:25" ht="13.8">
      <c r="A483" s="40"/>
      <c r="B483" s="46"/>
      <c r="C483" s="47"/>
      <c r="D483" s="47"/>
      <c r="E483" s="47"/>
      <c r="F483" s="133"/>
      <c r="G483" s="571" t="s">
        <v>462</v>
      </c>
      <c r="H483" s="572"/>
      <c r="I483" s="572"/>
      <c r="J483" s="572"/>
      <c r="K483" s="572"/>
      <c r="L483" s="572"/>
      <c r="M483" s="572"/>
      <c r="N483" s="572"/>
      <c r="O483" s="572"/>
      <c r="P483" s="572"/>
      <c r="Q483" s="572"/>
      <c r="R483" s="572"/>
      <c r="S483" s="572"/>
      <c r="T483" s="572"/>
      <c r="U483" s="573"/>
      <c r="V483" s="131"/>
      <c r="W483" s="5"/>
      <c r="X483" s="13"/>
      <c r="Y483" s="7"/>
    </row>
    <row r="484" spans="1:25" ht="13.8">
      <c r="A484" s="40"/>
      <c r="B484" s="46"/>
      <c r="C484" s="47"/>
      <c r="D484" s="47"/>
      <c r="E484" s="47"/>
      <c r="F484" s="133" t="s">
        <v>395</v>
      </c>
      <c r="G484" s="589">
        <v>0</v>
      </c>
      <c r="H484" s="589">
        <v>0</v>
      </c>
      <c r="I484" s="589">
        <v>0</v>
      </c>
      <c r="J484" s="589">
        <v>0</v>
      </c>
      <c r="K484" s="589">
        <v>0</v>
      </c>
      <c r="L484" s="589">
        <v>0</v>
      </c>
      <c r="M484" s="589">
        <v>0</v>
      </c>
      <c r="N484" s="570"/>
      <c r="O484" s="570"/>
      <c r="P484" s="570"/>
      <c r="Q484" s="570"/>
      <c r="R484" s="570"/>
      <c r="S484" s="570"/>
      <c r="T484" s="570"/>
      <c r="U484" s="570"/>
      <c r="V484" s="131" t="s">
        <v>50</v>
      </c>
      <c r="W484" s="5"/>
      <c r="X484" s="13"/>
      <c r="Y484" s="7"/>
    </row>
    <row r="485" spans="1:25" ht="13.8">
      <c r="A485" s="40"/>
      <c r="B485" s="46"/>
      <c r="C485" s="47"/>
      <c r="D485" s="47"/>
      <c r="E485" s="47"/>
      <c r="F485" s="133" t="s">
        <v>396</v>
      </c>
      <c r="G485" s="589">
        <v>1.3764082464</v>
      </c>
      <c r="H485" s="589">
        <v>1.3764082464</v>
      </c>
      <c r="I485" s="589">
        <v>1.3764082464</v>
      </c>
      <c r="J485" s="589">
        <v>1.3764082464</v>
      </c>
      <c r="K485" s="589">
        <v>1.3764082464</v>
      </c>
      <c r="L485" s="589">
        <v>1.3764082464</v>
      </c>
      <c r="M485" s="589">
        <v>1.3764082464</v>
      </c>
      <c r="N485" s="570"/>
      <c r="O485" s="570"/>
      <c r="P485" s="570"/>
      <c r="Q485" s="570"/>
      <c r="R485" s="570"/>
      <c r="S485" s="570"/>
      <c r="T485" s="570"/>
      <c r="U485" s="570"/>
      <c r="V485" s="131" t="s">
        <v>50</v>
      </c>
      <c r="W485" s="5"/>
      <c r="X485" s="13"/>
      <c r="Y485" s="7"/>
    </row>
    <row r="486" spans="1:25" ht="13.8">
      <c r="A486" s="40"/>
      <c r="B486" s="46"/>
      <c r="C486" s="47"/>
      <c r="D486" s="47"/>
      <c r="E486" s="47"/>
      <c r="F486" s="133" t="s">
        <v>397</v>
      </c>
      <c r="G486" s="589">
        <v>4.6725527831094054</v>
      </c>
      <c r="H486" s="589">
        <v>4.6725527831094054</v>
      </c>
      <c r="I486" s="589">
        <v>4.6725527831094054</v>
      </c>
      <c r="J486" s="589">
        <v>4.6725527831094054</v>
      </c>
      <c r="K486" s="589">
        <v>4.6725527831094054</v>
      </c>
      <c r="L486" s="589">
        <v>4.6725527831094054</v>
      </c>
      <c r="M486" s="589">
        <v>4.6725527831094054</v>
      </c>
      <c r="N486" s="570"/>
      <c r="O486" s="570"/>
      <c r="P486" s="570"/>
      <c r="Q486" s="570"/>
      <c r="R486" s="570"/>
      <c r="S486" s="570"/>
      <c r="T486" s="570"/>
      <c r="U486" s="570"/>
      <c r="V486" s="131" t="s">
        <v>50</v>
      </c>
      <c r="W486" s="5"/>
      <c r="X486" s="13"/>
      <c r="Y486" s="7"/>
    </row>
    <row r="487" spans="1:25" ht="13.8">
      <c r="A487" s="40"/>
      <c r="B487" s="46"/>
      <c r="C487" s="47"/>
      <c r="D487" s="47"/>
      <c r="E487" s="47"/>
      <c r="F487" s="133" t="s">
        <v>398</v>
      </c>
      <c r="G487" s="589">
        <v>6.1842610364683299</v>
      </c>
      <c r="H487" s="589">
        <v>6.1842610364683299</v>
      </c>
      <c r="I487" s="589">
        <v>6.1842610364683299</v>
      </c>
      <c r="J487" s="589">
        <v>6.1842610364683299</v>
      </c>
      <c r="K487" s="589">
        <v>6.1842610364683299</v>
      </c>
      <c r="L487" s="589">
        <v>6.1842610364683299</v>
      </c>
      <c r="M487" s="589">
        <v>6.1842610364683299</v>
      </c>
      <c r="N487" s="570"/>
      <c r="O487" s="570"/>
      <c r="P487" s="570"/>
      <c r="Q487" s="570"/>
      <c r="R487" s="570"/>
      <c r="S487" s="570"/>
      <c r="T487" s="570"/>
      <c r="U487" s="570"/>
      <c r="V487" s="131" t="s">
        <v>50</v>
      </c>
      <c r="W487" s="5"/>
      <c r="X487" s="13"/>
      <c r="Y487" s="7"/>
    </row>
    <row r="488" spans="1:25" ht="13.8">
      <c r="A488" s="40"/>
      <c r="B488" s="46"/>
      <c r="C488" s="47"/>
      <c r="D488" s="47"/>
      <c r="E488" s="47"/>
      <c r="F488" s="133" t="s">
        <v>399</v>
      </c>
      <c r="G488" s="589">
        <v>7.5585412667946263</v>
      </c>
      <c r="H488" s="589">
        <v>7.5585412667946263</v>
      </c>
      <c r="I488" s="589">
        <v>7.5585412667946263</v>
      </c>
      <c r="J488" s="589">
        <v>7.5585412667946263</v>
      </c>
      <c r="K488" s="589">
        <v>7.5585412667946263</v>
      </c>
      <c r="L488" s="589">
        <v>7.5585412667946263</v>
      </c>
      <c r="M488" s="589">
        <v>7.5585412667946263</v>
      </c>
      <c r="N488" s="570"/>
      <c r="O488" s="570"/>
      <c r="P488" s="570"/>
      <c r="Q488" s="570"/>
      <c r="R488" s="570"/>
      <c r="S488" s="570"/>
      <c r="T488" s="570"/>
      <c r="U488" s="570"/>
      <c r="V488" s="131" t="s">
        <v>50</v>
      </c>
      <c r="W488" s="5"/>
      <c r="X488" s="13"/>
      <c r="Y488" s="7"/>
    </row>
    <row r="489" spans="1:25" ht="13.8">
      <c r="A489" s="40"/>
      <c r="B489" s="46"/>
      <c r="C489" s="47"/>
      <c r="D489" s="47"/>
      <c r="E489" s="47"/>
      <c r="F489" s="133" t="s">
        <v>400</v>
      </c>
      <c r="G489" s="589">
        <v>9.6199616122840688</v>
      </c>
      <c r="H489" s="589">
        <v>9.6199616122840688</v>
      </c>
      <c r="I489" s="589">
        <v>9.6199616122840688</v>
      </c>
      <c r="J489" s="589">
        <v>9.6199616122840688</v>
      </c>
      <c r="K489" s="589">
        <v>9.6199616122840688</v>
      </c>
      <c r="L489" s="589">
        <v>9.6199616122840688</v>
      </c>
      <c r="M489" s="589">
        <v>9.6199616122840688</v>
      </c>
      <c r="N489" s="570"/>
      <c r="O489" s="570"/>
      <c r="P489" s="570"/>
      <c r="Q489" s="570"/>
      <c r="R489" s="570"/>
      <c r="S489" s="570"/>
      <c r="T489" s="570"/>
      <c r="U489" s="570"/>
      <c r="V489" s="131" t="s">
        <v>50</v>
      </c>
      <c r="W489" s="5"/>
      <c r="X489" s="13"/>
      <c r="Y489" s="7"/>
    </row>
    <row r="490" spans="1:25" ht="13.8">
      <c r="A490" s="40"/>
      <c r="B490" s="46"/>
      <c r="C490" s="47"/>
      <c r="D490" s="47"/>
      <c r="E490" s="47"/>
      <c r="F490" s="133" t="s">
        <v>401</v>
      </c>
      <c r="G490" s="589">
        <v>12.36852207293666</v>
      </c>
      <c r="H490" s="589">
        <v>12.36852207293666</v>
      </c>
      <c r="I490" s="589">
        <v>12.36852207293666</v>
      </c>
      <c r="J490" s="589">
        <v>12.36852207293666</v>
      </c>
      <c r="K490" s="589">
        <v>12.36852207293666</v>
      </c>
      <c r="L490" s="589">
        <v>12.36852207293666</v>
      </c>
      <c r="M490" s="589">
        <v>12.36852207293666</v>
      </c>
      <c r="N490" s="570"/>
      <c r="O490" s="570"/>
      <c r="P490" s="570"/>
      <c r="Q490" s="570"/>
      <c r="R490" s="570"/>
      <c r="S490" s="570"/>
      <c r="T490" s="570"/>
      <c r="U490" s="570"/>
      <c r="V490" s="131" t="s">
        <v>50</v>
      </c>
      <c r="W490" s="5"/>
      <c r="X490" s="13"/>
      <c r="Y490" s="7"/>
    </row>
    <row r="491" spans="1:25" ht="13.8">
      <c r="A491" s="40"/>
      <c r="B491" s="46"/>
      <c r="C491" s="47"/>
      <c r="D491" s="47"/>
      <c r="E491" s="47"/>
      <c r="F491" s="133" t="s">
        <v>402</v>
      </c>
      <c r="G491" s="589">
        <v>22.213514845620004</v>
      </c>
      <c r="H491" s="589">
        <v>22.213514845620004</v>
      </c>
      <c r="I491" s="589">
        <v>22.213514845620004</v>
      </c>
      <c r="J491" s="589">
        <v>22.213514845620004</v>
      </c>
      <c r="K491" s="589">
        <v>22.213514845620004</v>
      </c>
      <c r="L491" s="589">
        <v>22.213514845620004</v>
      </c>
      <c r="M491" s="589">
        <v>22.213514845620004</v>
      </c>
      <c r="N491" s="570"/>
      <c r="O491" s="570"/>
      <c r="P491" s="570"/>
      <c r="Q491" s="570"/>
      <c r="R491" s="570"/>
      <c r="S491" s="570"/>
      <c r="T491" s="570"/>
      <c r="U491" s="570"/>
      <c r="V491" s="131" t="s">
        <v>50</v>
      </c>
      <c r="W491" s="5"/>
      <c r="X491" s="13"/>
      <c r="Y491" s="7"/>
    </row>
    <row r="492" spans="1:25" ht="13.8">
      <c r="A492" s="40"/>
      <c r="B492" s="46"/>
      <c r="C492" s="47"/>
      <c r="D492" s="47"/>
      <c r="E492" s="47"/>
      <c r="F492" s="133" t="s">
        <v>403</v>
      </c>
      <c r="G492" s="589">
        <v>26.972980681500005</v>
      </c>
      <c r="H492" s="589">
        <v>26.972980681500005</v>
      </c>
      <c r="I492" s="589">
        <v>26.972980681500005</v>
      </c>
      <c r="J492" s="589">
        <v>26.972980681500005</v>
      </c>
      <c r="K492" s="589">
        <v>26.972980681500005</v>
      </c>
      <c r="L492" s="589">
        <v>26.972980681500005</v>
      </c>
      <c r="M492" s="589">
        <v>26.972980681500005</v>
      </c>
      <c r="N492" s="570"/>
      <c r="O492" s="570"/>
      <c r="P492" s="570"/>
      <c r="Q492" s="570"/>
      <c r="R492" s="570"/>
      <c r="S492" s="570"/>
      <c r="T492" s="570"/>
      <c r="U492" s="570"/>
      <c r="V492" s="131" t="s">
        <v>50</v>
      </c>
      <c r="W492" s="5"/>
      <c r="X492" s="13"/>
      <c r="Y492" s="7"/>
    </row>
    <row r="493" spans="1:25" ht="13.8">
      <c r="A493" s="40"/>
      <c r="B493" s="46"/>
      <c r="C493" s="47"/>
      <c r="D493" s="47"/>
      <c r="E493" s="47"/>
      <c r="F493" s="133" t="s">
        <v>404</v>
      </c>
      <c r="G493" s="589">
        <v>51.207057951192006</v>
      </c>
      <c r="H493" s="589">
        <v>51.207057951192006</v>
      </c>
      <c r="I493" s="589">
        <v>51.207057951192006</v>
      </c>
      <c r="J493" s="589">
        <v>51.207057951192006</v>
      </c>
      <c r="K493" s="589">
        <v>51.207057951192006</v>
      </c>
      <c r="L493" s="589">
        <v>51.207057951192006</v>
      </c>
      <c r="M493" s="589">
        <v>51.207057951192006</v>
      </c>
      <c r="N493" s="570"/>
      <c r="O493" s="570"/>
      <c r="P493" s="570"/>
      <c r="Q493" s="570"/>
      <c r="R493" s="570"/>
      <c r="S493" s="570"/>
      <c r="T493" s="570"/>
      <c r="U493" s="570"/>
      <c r="V493" s="131" t="s">
        <v>50</v>
      </c>
      <c r="W493" s="5"/>
      <c r="X493" s="13"/>
      <c r="Y493" s="7"/>
    </row>
    <row r="494" spans="1:25" ht="13.8">
      <c r="A494" s="40"/>
      <c r="B494" s="46"/>
      <c r="C494" s="47"/>
      <c r="D494" s="47"/>
      <c r="E494" s="47"/>
      <c r="F494" s="133" t="s">
        <v>405</v>
      </c>
      <c r="G494" s="589">
        <v>85.892514395393476</v>
      </c>
      <c r="H494" s="589">
        <v>85.892514395393476</v>
      </c>
      <c r="I494" s="589">
        <v>85.892514395393476</v>
      </c>
      <c r="J494" s="589">
        <v>85.892514395393476</v>
      </c>
      <c r="K494" s="589">
        <v>85.892514395393476</v>
      </c>
      <c r="L494" s="589">
        <v>85.892514395393476</v>
      </c>
      <c r="M494" s="589">
        <v>85.892514395393476</v>
      </c>
      <c r="N494" s="570"/>
      <c r="O494" s="570"/>
      <c r="P494" s="570"/>
      <c r="Q494" s="570"/>
      <c r="R494" s="570"/>
      <c r="S494" s="570"/>
      <c r="T494" s="570"/>
      <c r="U494" s="570"/>
      <c r="V494" s="131" t="s">
        <v>50</v>
      </c>
      <c r="W494" s="5"/>
      <c r="X494" s="13"/>
      <c r="Y494" s="7"/>
    </row>
    <row r="495" spans="1:25" ht="13.8">
      <c r="A495" s="40"/>
      <c r="B495" s="46"/>
      <c r="C495" s="47"/>
      <c r="D495" s="47"/>
      <c r="E495" s="47"/>
      <c r="F495" s="133" t="s">
        <v>406</v>
      </c>
      <c r="G495" s="589">
        <v>100.32245681381957</v>
      </c>
      <c r="H495" s="589">
        <v>100.32245681381957</v>
      </c>
      <c r="I495" s="589">
        <v>100.32245681381957</v>
      </c>
      <c r="J495" s="589">
        <v>100.32245681381957</v>
      </c>
      <c r="K495" s="589">
        <v>100.32245681381957</v>
      </c>
      <c r="L495" s="589">
        <v>100.32245681381957</v>
      </c>
      <c r="M495" s="589">
        <v>100.32245681381957</v>
      </c>
      <c r="N495" s="570"/>
      <c r="O495" s="570"/>
      <c r="P495" s="570"/>
      <c r="Q495" s="570"/>
      <c r="R495" s="570"/>
      <c r="S495" s="570"/>
      <c r="T495" s="570"/>
      <c r="U495" s="570"/>
      <c r="V495" s="131" t="s">
        <v>50</v>
      </c>
      <c r="W495" s="5"/>
      <c r="X495" s="13"/>
      <c r="Y495" s="7"/>
    </row>
    <row r="496" spans="1:25" ht="13.8">
      <c r="A496" s="40"/>
      <c r="B496" s="46"/>
      <c r="C496" s="47"/>
      <c r="D496" s="47"/>
      <c r="E496" s="47"/>
      <c r="F496" s="133" t="s">
        <v>407</v>
      </c>
      <c r="G496" s="589">
        <v>139.48944337811901</v>
      </c>
      <c r="H496" s="589">
        <v>139.48944337811901</v>
      </c>
      <c r="I496" s="589">
        <v>139.48944337811901</v>
      </c>
      <c r="J496" s="589">
        <v>139.48944337811901</v>
      </c>
      <c r="K496" s="589">
        <v>139.48944337811901</v>
      </c>
      <c r="L496" s="589">
        <v>139.48944337811901</v>
      </c>
      <c r="M496" s="589">
        <v>139.48944337811901</v>
      </c>
      <c r="N496" s="570"/>
      <c r="O496" s="570"/>
      <c r="P496" s="570"/>
      <c r="Q496" s="570"/>
      <c r="R496" s="570"/>
      <c r="S496" s="570"/>
      <c r="T496" s="570"/>
      <c r="U496" s="570"/>
      <c r="V496" s="131" t="s">
        <v>50</v>
      </c>
      <c r="W496" s="5"/>
      <c r="X496" s="13"/>
      <c r="Y496" s="7"/>
    </row>
    <row r="497" spans="1:27" ht="13.8">
      <c r="A497" s="40"/>
      <c r="B497" s="46"/>
      <c r="C497" s="47"/>
      <c r="D497" s="47"/>
      <c r="E497" s="47"/>
      <c r="F497" s="133" t="s">
        <v>408</v>
      </c>
      <c r="G497" s="589">
        <v>151.85796545105566</v>
      </c>
      <c r="H497" s="589">
        <v>151.85796545105566</v>
      </c>
      <c r="I497" s="589">
        <v>151.85796545105566</v>
      </c>
      <c r="J497" s="589">
        <v>151.85796545105566</v>
      </c>
      <c r="K497" s="589">
        <v>151.85796545105566</v>
      </c>
      <c r="L497" s="589">
        <v>151.85796545105566</v>
      </c>
      <c r="M497" s="589">
        <v>151.85796545105566</v>
      </c>
      <c r="N497" s="570"/>
      <c r="O497" s="570"/>
      <c r="P497" s="570"/>
      <c r="Q497" s="570"/>
      <c r="R497" s="570"/>
      <c r="S497" s="570"/>
      <c r="T497" s="570"/>
      <c r="U497" s="570"/>
      <c r="V497" s="131" t="s">
        <v>50</v>
      </c>
      <c r="W497" s="5"/>
      <c r="X497" s="13"/>
      <c r="Y497" s="7"/>
    </row>
    <row r="498" spans="1:27" ht="13.8">
      <c r="A498" s="40"/>
      <c r="B498" s="46"/>
      <c r="C498" s="47"/>
      <c r="D498" s="47"/>
      <c r="E498" s="47"/>
      <c r="F498" s="133" t="s">
        <v>409</v>
      </c>
      <c r="G498" s="589">
        <v>250.00333333333327</v>
      </c>
      <c r="H498" s="589">
        <v>250.00333333333327</v>
      </c>
      <c r="I498" s="589">
        <v>250.00333333333327</v>
      </c>
      <c r="J498" s="589">
        <v>250.00333333333327</v>
      </c>
      <c r="K498" s="589">
        <v>250.00333333333327</v>
      </c>
      <c r="L498" s="589">
        <v>250.00333333333327</v>
      </c>
      <c r="M498" s="589">
        <v>250.00333333333327</v>
      </c>
      <c r="N498" s="570"/>
      <c r="O498" s="570"/>
      <c r="P498" s="570"/>
      <c r="Q498" s="570"/>
      <c r="R498" s="570"/>
      <c r="S498" s="570"/>
      <c r="T498" s="570"/>
      <c r="U498" s="570"/>
      <c r="V498" s="131" t="s">
        <v>50</v>
      </c>
      <c r="W498" s="5"/>
      <c r="X498" s="13"/>
      <c r="Y498" s="7"/>
    </row>
    <row r="499" spans="1:27" ht="13.8">
      <c r="A499" s="40"/>
      <c r="B499" s="46"/>
      <c r="C499" s="47"/>
      <c r="D499" s="47"/>
      <c r="E499" s="47"/>
      <c r="F499" s="133"/>
      <c r="G499" s="512"/>
      <c r="H499" s="512"/>
      <c r="I499" s="512"/>
      <c r="J499" s="512"/>
      <c r="K499" s="512"/>
      <c r="L499" s="512"/>
      <c r="M499" s="512"/>
      <c r="N499" s="512"/>
      <c r="O499" s="512"/>
      <c r="P499" s="512"/>
      <c r="Q499" s="512"/>
      <c r="R499" s="512"/>
      <c r="S499" s="512"/>
      <c r="T499" s="512"/>
      <c r="U499" s="512"/>
      <c r="V499" s="131"/>
      <c r="W499" s="5"/>
      <c r="X499" s="13"/>
      <c r="Y499" s="7"/>
    </row>
    <row r="500" spans="1:27" ht="13.8">
      <c r="A500" s="40"/>
      <c r="B500" s="621" t="s">
        <v>715</v>
      </c>
      <c r="C500" s="622"/>
      <c r="D500" s="622"/>
      <c r="E500" s="236"/>
      <c r="F500" s="241"/>
      <c r="G500" s="242"/>
      <c r="H500" s="242"/>
      <c r="I500" s="242"/>
      <c r="J500" s="242"/>
      <c r="K500" s="242"/>
      <c r="L500" s="242"/>
      <c r="M500" s="242"/>
      <c r="N500" s="242"/>
      <c r="O500" s="242"/>
      <c r="P500" s="242"/>
      <c r="Q500" s="242"/>
      <c r="R500" s="242"/>
      <c r="S500" s="242"/>
      <c r="T500" s="242"/>
      <c r="U500" s="242"/>
      <c r="V500" s="424"/>
      <c r="W500" s="69"/>
      <c r="X500" s="391"/>
      <c r="Y500" s="382"/>
      <c r="Z500" s="383"/>
      <c r="AA500" s="130"/>
    </row>
    <row r="501" spans="1:27" ht="13.8">
      <c r="A501" s="40"/>
      <c r="B501" s="156" t="str">
        <f>IF(OR(G14="IPB 1.0 Size S",$G$14="IPB 1.0 Size Se",$G$14="IPB 1.1 Size Sd",$G$14="IPB 1.1 Size Se",$G$14="IPB 2.0 Size S",$G$14="IPB 2.0 Size M",$G$14="IPB 2.0 Size L",$G$15="DPB Size M",$G$15="DPB Size L"),"Highly recommended for all projects considering recuperative braking.","")</f>
        <v>Highly recommended for all projects considering recuperative braking.</v>
      </c>
      <c r="C501" s="47"/>
      <c r="D501" s="47"/>
      <c r="E501" s="47"/>
      <c r="F501" s="244"/>
      <c r="G501" s="336" t="str">
        <f>$G$44</f>
        <v>L 2WD NAO 2ROW</v>
      </c>
      <c r="H501" s="336" t="str">
        <f>$H$44</f>
        <v>L 4WD NAO 2ROW US</v>
      </c>
      <c r="I501" s="336" t="str">
        <f>$I$44</f>
        <v>L 4WD NAO 2ROW</v>
      </c>
      <c r="J501" s="336" t="str">
        <f>$J$44</f>
        <v>L 4WD NAO 3ROW</v>
      </c>
      <c r="K501" s="336" t="str">
        <f>$K$44</f>
        <v>R 2WD NAO 2ROW</v>
      </c>
      <c r="L501" s="336" t="str">
        <f>$L$44</f>
        <v>R 4WD NAO 2ROW</v>
      </c>
      <c r="M501" s="336" t="str">
        <f>$M$44</f>
        <v>R 4WD NAO 3ROW</v>
      </c>
      <c r="N501" s="336" t="str">
        <f>$N$44</f>
        <v/>
      </c>
      <c r="O501" s="336" t="str">
        <f>$O$44</f>
        <v/>
      </c>
      <c r="P501" s="336" t="str">
        <f>$P$44</f>
        <v/>
      </c>
      <c r="Q501" s="336" t="str">
        <f>$Q$44</f>
        <v/>
      </c>
      <c r="R501" s="336" t="str">
        <f>$R$44</f>
        <v/>
      </c>
      <c r="S501" s="336" t="str">
        <f>$S$44</f>
        <v/>
      </c>
      <c r="T501" s="336" t="str">
        <f>$T$44</f>
        <v/>
      </c>
      <c r="U501" s="336" t="str">
        <f>$U$44</f>
        <v/>
      </c>
      <c r="V501" s="405"/>
      <c r="W501" s="69"/>
      <c r="X501" s="391"/>
      <c r="Y501" s="382"/>
      <c r="Z501" s="383"/>
      <c r="AA501" s="130"/>
    </row>
    <row r="502" spans="1:27" ht="13.8">
      <c r="A502" s="40"/>
      <c r="B502" s="156"/>
      <c r="C502" s="5"/>
      <c r="D502" s="5"/>
      <c r="E502" s="5"/>
      <c r="F502" s="103"/>
      <c r="G502" s="448" t="s">
        <v>394</v>
      </c>
      <c r="H502" s="449"/>
      <c r="I502" s="449"/>
      <c r="J502" s="449"/>
      <c r="K502" s="449"/>
      <c r="L502" s="449"/>
      <c r="M502" s="449"/>
      <c r="N502" s="449"/>
      <c r="O502" s="449"/>
      <c r="P502" s="449"/>
      <c r="Q502" s="449"/>
      <c r="R502" s="449"/>
      <c r="S502" s="449"/>
      <c r="T502" s="449"/>
      <c r="U502" s="450"/>
      <c r="V502" s="113"/>
      <c r="W502" s="5"/>
      <c r="X502" s="13"/>
      <c r="Y502" s="7"/>
    </row>
    <row r="503" spans="1:27" ht="13.8">
      <c r="A503" s="40"/>
      <c r="B503" s="629"/>
      <c r="C503" s="630"/>
      <c r="D503" s="630"/>
      <c r="E503" s="162"/>
      <c r="F503" s="133" t="s">
        <v>395</v>
      </c>
      <c r="G503" s="593">
        <v>0</v>
      </c>
      <c r="H503" s="593">
        <v>0</v>
      </c>
      <c r="I503" s="593">
        <v>0</v>
      </c>
      <c r="J503" s="593">
        <v>0</v>
      </c>
      <c r="K503" s="593">
        <v>0</v>
      </c>
      <c r="L503" s="593">
        <v>0</v>
      </c>
      <c r="M503" s="593">
        <v>0</v>
      </c>
      <c r="N503" s="451"/>
      <c r="O503" s="451"/>
      <c r="P503" s="451"/>
      <c r="Q503" s="451"/>
      <c r="R503" s="451"/>
      <c r="S503" s="451"/>
      <c r="T503" s="451"/>
      <c r="U503" s="451"/>
      <c r="V503" s="131" t="s">
        <v>35</v>
      </c>
      <c r="W503" s="5"/>
      <c r="X503" s="13"/>
      <c r="Y503" s="7"/>
    </row>
    <row r="504" spans="1:27" ht="13.8">
      <c r="A504" s="40"/>
      <c r="B504" s="627"/>
      <c r="C504" s="628"/>
      <c r="D504" s="628"/>
      <c r="E504" s="33"/>
      <c r="F504" s="133" t="s">
        <v>396</v>
      </c>
      <c r="G504" s="594">
        <v>0.8</v>
      </c>
      <c r="H504" s="594">
        <v>0.8</v>
      </c>
      <c r="I504" s="594">
        <v>0.8</v>
      </c>
      <c r="J504" s="594">
        <v>0.8</v>
      </c>
      <c r="K504" s="594">
        <v>0.8</v>
      </c>
      <c r="L504" s="594">
        <v>0.8</v>
      </c>
      <c r="M504" s="594">
        <v>0.8</v>
      </c>
      <c r="N504" s="357"/>
      <c r="O504" s="357"/>
      <c r="P504" s="357"/>
      <c r="Q504" s="357"/>
      <c r="R504" s="357"/>
      <c r="S504" s="357"/>
      <c r="T504" s="357"/>
      <c r="U504" s="357"/>
      <c r="V504" s="131" t="s">
        <v>35</v>
      </c>
      <c r="W504" s="5"/>
      <c r="X504" s="13"/>
      <c r="Y504" s="7"/>
    </row>
    <row r="505" spans="1:27" ht="13.8">
      <c r="A505" s="40"/>
      <c r="B505" s="627"/>
      <c r="C505" s="628"/>
      <c r="D505" s="628"/>
      <c r="E505" s="33"/>
      <c r="F505" s="133" t="s">
        <v>397</v>
      </c>
      <c r="G505" s="594">
        <v>1.8</v>
      </c>
      <c r="H505" s="594">
        <v>1.8</v>
      </c>
      <c r="I505" s="594">
        <v>1.8</v>
      </c>
      <c r="J505" s="594">
        <v>1.8</v>
      </c>
      <c r="K505" s="594">
        <v>1.8</v>
      </c>
      <c r="L505" s="594">
        <v>1.8</v>
      </c>
      <c r="M505" s="594">
        <v>1.8</v>
      </c>
      <c r="N505" s="357"/>
      <c r="O505" s="357"/>
      <c r="P505" s="357"/>
      <c r="Q505" s="357"/>
      <c r="R505" s="357"/>
      <c r="S505" s="357"/>
      <c r="T505" s="357"/>
      <c r="U505" s="357"/>
      <c r="V505" s="131" t="s">
        <v>35</v>
      </c>
      <c r="W505" s="5"/>
      <c r="X505" s="13"/>
      <c r="Y505" s="7"/>
    </row>
    <row r="506" spans="1:27" ht="13.8">
      <c r="A506" s="40"/>
      <c r="B506" s="627"/>
      <c r="C506" s="628"/>
      <c r="D506" s="628"/>
      <c r="E506" s="33"/>
      <c r="F506" s="133" t="s">
        <v>398</v>
      </c>
      <c r="G506" s="594">
        <v>2.5</v>
      </c>
      <c r="H506" s="594">
        <v>2.5</v>
      </c>
      <c r="I506" s="594">
        <v>2.5</v>
      </c>
      <c r="J506" s="594">
        <v>2.5</v>
      </c>
      <c r="K506" s="594">
        <v>2.5</v>
      </c>
      <c r="L506" s="594">
        <v>2.5</v>
      </c>
      <c r="M506" s="594">
        <v>2.5</v>
      </c>
      <c r="N506" s="357"/>
      <c r="O506" s="357"/>
      <c r="P506" s="357"/>
      <c r="Q506" s="357"/>
      <c r="R506" s="357"/>
      <c r="S506" s="357"/>
      <c r="T506" s="357"/>
      <c r="U506" s="357"/>
      <c r="V506" s="131" t="s">
        <v>35</v>
      </c>
      <c r="W506" s="5"/>
      <c r="X506" s="13"/>
      <c r="Y506" s="7"/>
    </row>
    <row r="507" spans="1:27" ht="13.8">
      <c r="A507" s="40"/>
      <c r="B507" s="627"/>
      <c r="C507" s="628"/>
      <c r="D507" s="628"/>
      <c r="E507" s="33"/>
      <c r="F507" s="133" t="s">
        <v>399</v>
      </c>
      <c r="G507" s="594">
        <v>4.4000000000000004</v>
      </c>
      <c r="H507" s="594">
        <v>4.4000000000000004</v>
      </c>
      <c r="I507" s="594">
        <v>4.4000000000000004</v>
      </c>
      <c r="J507" s="594">
        <v>4.4000000000000004</v>
      </c>
      <c r="K507" s="594">
        <v>4.4000000000000004</v>
      </c>
      <c r="L507" s="594">
        <v>4.4000000000000004</v>
      </c>
      <c r="M507" s="594">
        <v>4.4000000000000004</v>
      </c>
      <c r="N507" s="357"/>
      <c r="O507" s="357"/>
      <c r="P507" s="357"/>
      <c r="Q507" s="357"/>
      <c r="R507" s="357"/>
      <c r="S507" s="357"/>
      <c r="T507" s="357"/>
      <c r="U507" s="357"/>
      <c r="V507" s="131" t="s">
        <v>35</v>
      </c>
      <c r="W507" s="5"/>
      <c r="X507" s="13"/>
      <c r="Y507" s="7"/>
    </row>
    <row r="508" spans="1:27" ht="13.8">
      <c r="A508" s="40"/>
      <c r="B508" s="627"/>
      <c r="C508" s="628"/>
      <c r="D508" s="628"/>
      <c r="E508" s="33"/>
      <c r="F508" s="133" t="s">
        <v>400</v>
      </c>
      <c r="G508" s="594">
        <v>6</v>
      </c>
      <c r="H508" s="594">
        <v>6</v>
      </c>
      <c r="I508" s="594">
        <v>6</v>
      </c>
      <c r="J508" s="594">
        <v>6</v>
      </c>
      <c r="K508" s="594">
        <v>6</v>
      </c>
      <c r="L508" s="594">
        <v>6</v>
      </c>
      <c r="M508" s="594">
        <v>6</v>
      </c>
      <c r="N508" s="357"/>
      <c r="O508" s="357"/>
      <c r="P508" s="357"/>
      <c r="Q508" s="357"/>
      <c r="R508" s="357"/>
      <c r="S508" s="357"/>
      <c r="T508" s="357"/>
      <c r="U508" s="357"/>
      <c r="V508" s="131" t="s">
        <v>35</v>
      </c>
      <c r="W508" s="5"/>
      <c r="X508" s="13"/>
      <c r="Y508" s="7"/>
    </row>
    <row r="509" spans="1:27" ht="13.8">
      <c r="A509" s="40"/>
      <c r="B509" s="627"/>
      <c r="C509" s="628"/>
      <c r="D509" s="628"/>
      <c r="E509" s="33"/>
      <c r="F509" s="133" t="s">
        <v>401</v>
      </c>
      <c r="G509" s="594">
        <v>8.1999999999999993</v>
      </c>
      <c r="H509" s="594">
        <v>8.1999999999999993</v>
      </c>
      <c r="I509" s="594">
        <v>8.1999999999999993</v>
      </c>
      <c r="J509" s="594">
        <v>8.1999999999999993</v>
      </c>
      <c r="K509" s="594">
        <v>8.1999999999999993</v>
      </c>
      <c r="L509" s="594">
        <v>8.1999999999999993</v>
      </c>
      <c r="M509" s="594">
        <v>8.1999999999999993</v>
      </c>
      <c r="N509" s="357"/>
      <c r="O509" s="357"/>
      <c r="P509" s="357"/>
      <c r="Q509" s="357"/>
      <c r="R509" s="357"/>
      <c r="S509" s="357"/>
      <c r="T509" s="357"/>
      <c r="U509" s="357"/>
      <c r="V509" s="131" t="s">
        <v>35</v>
      </c>
      <c r="W509" s="5"/>
      <c r="X509" s="13"/>
      <c r="Y509" s="7"/>
    </row>
    <row r="510" spans="1:27" ht="13.8">
      <c r="A510" s="40"/>
      <c r="B510" s="627"/>
      <c r="C510" s="628"/>
      <c r="D510" s="628"/>
      <c r="E510" s="33"/>
      <c r="F510" s="133" t="s">
        <v>402</v>
      </c>
      <c r="G510" s="594">
        <v>11</v>
      </c>
      <c r="H510" s="594">
        <v>11</v>
      </c>
      <c r="I510" s="594">
        <v>11</v>
      </c>
      <c r="J510" s="594">
        <v>11</v>
      </c>
      <c r="K510" s="594">
        <v>11</v>
      </c>
      <c r="L510" s="594">
        <v>11</v>
      </c>
      <c r="M510" s="594">
        <v>11</v>
      </c>
      <c r="N510" s="357"/>
      <c r="O510" s="357"/>
      <c r="P510" s="357"/>
      <c r="Q510" s="357"/>
      <c r="R510" s="357"/>
      <c r="S510" s="357"/>
      <c r="T510" s="357"/>
      <c r="U510" s="357"/>
      <c r="V510" s="131" t="s">
        <v>35</v>
      </c>
      <c r="W510" s="5"/>
      <c r="X510" s="13"/>
      <c r="Y510" s="7"/>
    </row>
    <row r="511" spans="1:27" ht="13.8">
      <c r="A511" s="40"/>
      <c r="B511" s="627"/>
      <c r="C511" s="628"/>
      <c r="D511" s="628"/>
      <c r="E511" s="33"/>
      <c r="F511" s="133" t="s">
        <v>403</v>
      </c>
      <c r="G511" s="594">
        <v>12</v>
      </c>
      <c r="H511" s="594">
        <v>12</v>
      </c>
      <c r="I511" s="594">
        <v>12</v>
      </c>
      <c r="J511" s="594">
        <v>12</v>
      </c>
      <c r="K511" s="594">
        <v>12</v>
      </c>
      <c r="L511" s="594">
        <v>12</v>
      </c>
      <c r="M511" s="594">
        <v>12</v>
      </c>
      <c r="N511" s="357"/>
      <c r="O511" s="357"/>
      <c r="P511" s="357"/>
      <c r="Q511" s="357"/>
      <c r="R511" s="357"/>
      <c r="S511" s="357"/>
      <c r="T511" s="357"/>
      <c r="U511" s="357"/>
      <c r="V511" s="131" t="s">
        <v>35</v>
      </c>
      <c r="W511" s="5"/>
      <c r="X511" s="13"/>
      <c r="Y511" s="7"/>
    </row>
    <row r="512" spans="1:27" ht="13.8">
      <c r="A512" s="40"/>
      <c r="B512" s="627"/>
      <c r="C512" s="628"/>
      <c r="D512" s="628"/>
      <c r="E512" s="33"/>
      <c r="F512" s="133" t="s">
        <v>404</v>
      </c>
      <c r="G512" s="594">
        <v>13</v>
      </c>
      <c r="H512" s="594">
        <v>13</v>
      </c>
      <c r="I512" s="594">
        <v>13</v>
      </c>
      <c r="J512" s="594">
        <v>13</v>
      </c>
      <c r="K512" s="594">
        <v>13</v>
      </c>
      <c r="L512" s="594">
        <v>13</v>
      </c>
      <c r="M512" s="594">
        <v>13</v>
      </c>
      <c r="N512" s="357"/>
      <c r="O512" s="357"/>
      <c r="P512" s="357"/>
      <c r="Q512" s="357"/>
      <c r="R512" s="357"/>
      <c r="S512" s="357"/>
      <c r="T512" s="357"/>
      <c r="U512" s="357"/>
      <c r="V512" s="131" t="s">
        <v>35</v>
      </c>
      <c r="W512" s="5"/>
      <c r="X512" s="13"/>
      <c r="Y512" s="7"/>
    </row>
    <row r="513" spans="1:25" ht="13.8">
      <c r="A513" s="40"/>
      <c r="B513" s="42"/>
      <c r="C513" s="33"/>
      <c r="D513" s="33"/>
      <c r="E513" s="33"/>
      <c r="F513" s="133" t="s">
        <v>405</v>
      </c>
      <c r="G513" s="594">
        <v>13.4</v>
      </c>
      <c r="H513" s="594">
        <v>13.4</v>
      </c>
      <c r="I513" s="594">
        <v>13.4</v>
      </c>
      <c r="J513" s="594">
        <v>13.4</v>
      </c>
      <c r="K513" s="594">
        <v>13.4</v>
      </c>
      <c r="L513" s="594">
        <v>13.4</v>
      </c>
      <c r="M513" s="594">
        <v>13.4</v>
      </c>
      <c r="N513" s="357"/>
      <c r="O513" s="357"/>
      <c r="P513" s="357"/>
      <c r="Q513" s="357"/>
      <c r="R513" s="357"/>
      <c r="S513" s="357"/>
      <c r="T513" s="357"/>
      <c r="U513" s="357"/>
      <c r="V513" s="131" t="s">
        <v>35</v>
      </c>
      <c r="W513" s="5"/>
      <c r="X513" s="13"/>
      <c r="Y513" s="7"/>
    </row>
    <row r="514" spans="1:25" ht="13.8">
      <c r="A514" s="40"/>
      <c r="B514" s="42"/>
      <c r="C514" s="33"/>
      <c r="D514" s="33"/>
      <c r="E514" s="33"/>
      <c r="F514" s="133" t="s">
        <v>406</v>
      </c>
      <c r="G514" s="594">
        <v>13.7</v>
      </c>
      <c r="H514" s="594">
        <v>13.7</v>
      </c>
      <c r="I514" s="594">
        <v>13.7</v>
      </c>
      <c r="J514" s="594">
        <v>13.7</v>
      </c>
      <c r="K514" s="594">
        <v>13.7</v>
      </c>
      <c r="L514" s="594">
        <v>13.7</v>
      </c>
      <c r="M514" s="594">
        <v>13.7</v>
      </c>
      <c r="N514" s="357"/>
      <c r="O514" s="357"/>
      <c r="P514" s="357"/>
      <c r="Q514" s="357"/>
      <c r="R514" s="357"/>
      <c r="S514" s="357"/>
      <c r="T514" s="357"/>
      <c r="U514" s="357"/>
      <c r="V514" s="131" t="s">
        <v>35</v>
      </c>
      <c r="W514" s="5"/>
      <c r="X514" s="13"/>
      <c r="Y514" s="7"/>
    </row>
    <row r="515" spans="1:25" ht="13.8">
      <c r="A515" s="40"/>
      <c r="B515" s="627"/>
      <c r="C515" s="628"/>
      <c r="D515" s="628"/>
      <c r="E515" s="33"/>
      <c r="F515" s="133" t="s">
        <v>407</v>
      </c>
      <c r="G515" s="594">
        <v>15.8</v>
      </c>
      <c r="H515" s="594">
        <v>15.8</v>
      </c>
      <c r="I515" s="594">
        <v>15.8</v>
      </c>
      <c r="J515" s="594">
        <v>15.8</v>
      </c>
      <c r="K515" s="594">
        <v>15.8</v>
      </c>
      <c r="L515" s="594">
        <v>15.8</v>
      </c>
      <c r="M515" s="594">
        <v>15.8</v>
      </c>
      <c r="N515" s="357"/>
      <c r="O515" s="357"/>
      <c r="P515" s="357"/>
      <c r="Q515" s="357"/>
      <c r="R515" s="357"/>
      <c r="S515" s="357"/>
      <c r="T515" s="357"/>
      <c r="U515" s="357"/>
      <c r="V515" s="131" t="s">
        <v>35</v>
      </c>
      <c r="W515" s="5"/>
      <c r="X515" s="13"/>
      <c r="Y515" s="7"/>
    </row>
    <row r="516" spans="1:25" ht="13.8">
      <c r="A516" s="40"/>
      <c r="B516" s="42"/>
      <c r="C516" s="33"/>
      <c r="D516" s="33"/>
      <c r="E516" s="33"/>
      <c r="F516" s="133" t="s">
        <v>408</v>
      </c>
      <c r="G516" s="594">
        <v>16.7</v>
      </c>
      <c r="H516" s="594">
        <v>16.7</v>
      </c>
      <c r="I516" s="594">
        <v>16.7</v>
      </c>
      <c r="J516" s="594">
        <v>16.7</v>
      </c>
      <c r="K516" s="594">
        <v>16.7</v>
      </c>
      <c r="L516" s="594">
        <v>16.7</v>
      </c>
      <c r="M516" s="594">
        <v>16.7</v>
      </c>
      <c r="N516" s="357"/>
      <c r="O516" s="357"/>
      <c r="P516" s="357"/>
      <c r="Q516" s="357"/>
      <c r="R516" s="357"/>
      <c r="S516" s="357"/>
      <c r="T516" s="357"/>
      <c r="U516" s="357"/>
      <c r="V516" s="131" t="s">
        <v>35</v>
      </c>
      <c r="W516" s="5"/>
      <c r="X516" s="13"/>
      <c r="Y516" s="7"/>
    </row>
    <row r="517" spans="1:25" ht="13.8">
      <c r="A517" s="40"/>
      <c r="B517" s="627"/>
      <c r="C517" s="628"/>
      <c r="D517" s="628"/>
      <c r="E517" s="33"/>
      <c r="F517" s="133" t="s">
        <v>409</v>
      </c>
      <c r="G517" s="594">
        <v>21</v>
      </c>
      <c r="H517" s="594">
        <v>21</v>
      </c>
      <c r="I517" s="594">
        <v>21</v>
      </c>
      <c r="J517" s="594">
        <v>21</v>
      </c>
      <c r="K517" s="594">
        <v>21</v>
      </c>
      <c r="L517" s="594">
        <v>21</v>
      </c>
      <c r="M517" s="594">
        <v>21</v>
      </c>
      <c r="N517" s="357"/>
      <c r="O517" s="357"/>
      <c r="P517" s="357"/>
      <c r="Q517" s="357"/>
      <c r="R517" s="357"/>
      <c r="S517" s="357"/>
      <c r="T517" s="357"/>
      <c r="U517" s="357"/>
      <c r="V517" s="131" t="s">
        <v>35</v>
      </c>
      <c r="W517" s="5"/>
      <c r="X517" s="13"/>
      <c r="Y517" s="7"/>
    </row>
    <row r="518" spans="1:25" ht="13.8">
      <c r="A518" s="40"/>
      <c r="B518" s="44"/>
      <c r="C518" s="5"/>
      <c r="D518" s="5"/>
      <c r="E518" s="5"/>
      <c r="F518" s="5"/>
      <c r="G518" s="454"/>
      <c r="H518" s="454"/>
      <c r="I518" s="454"/>
      <c r="J518" s="454"/>
      <c r="K518" s="454"/>
      <c r="L518" s="454"/>
      <c r="M518" s="454"/>
      <c r="N518" s="454"/>
      <c r="O518" s="454"/>
      <c r="P518" s="454"/>
      <c r="Q518" s="454"/>
      <c r="R518" s="454"/>
      <c r="S518" s="454"/>
      <c r="T518" s="454"/>
      <c r="U518" s="454"/>
      <c r="V518" s="19"/>
      <c r="W518" s="5"/>
      <c r="X518" s="13"/>
      <c r="Y518" s="7"/>
    </row>
    <row r="519" spans="1:25" ht="13.8">
      <c r="A519" s="40"/>
      <c r="B519" s="627"/>
      <c r="C519" s="628"/>
      <c r="D519" s="628"/>
      <c r="E519" s="33"/>
      <c r="F519" s="103"/>
      <c r="G519" s="448" t="s">
        <v>410</v>
      </c>
      <c r="H519" s="449"/>
      <c r="I519" s="449"/>
      <c r="J519" s="449"/>
      <c r="K519" s="449"/>
      <c r="L519" s="449"/>
      <c r="M519" s="449"/>
      <c r="N519" s="449"/>
      <c r="O519" s="449"/>
      <c r="P519" s="449"/>
      <c r="Q519" s="449"/>
      <c r="R519" s="449"/>
      <c r="S519" s="449"/>
      <c r="T519" s="449"/>
      <c r="U519" s="450"/>
      <c r="V519" s="113"/>
      <c r="W519" s="5"/>
      <c r="X519" s="13"/>
      <c r="Y519" s="7"/>
    </row>
    <row r="520" spans="1:25" ht="13.8">
      <c r="A520" s="40"/>
      <c r="B520" s="629"/>
      <c r="C520" s="630"/>
      <c r="D520" s="630"/>
      <c r="E520" s="162"/>
      <c r="F520" s="133" t="s">
        <v>395</v>
      </c>
      <c r="G520" s="592">
        <v>3.8232914497946822</v>
      </c>
      <c r="H520" s="592">
        <v>3.8232914497946822</v>
      </c>
      <c r="I520" s="592">
        <v>3.8232914497946822</v>
      </c>
      <c r="J520" s="592">
        <v>3.8232914497946822</v>
      </c>
      <c r="K520" s="592">
        <v>3.7876476308029248</v>
      </c>
      <c r="L520" s="592">
        <v>3.7876476308029248</v>
      </c>
      <c r="M520" s="592">
        <v>3.7876476308029248</v>
      </c>
      <c r="N520" s="451"/>
      <c r="O520" s="451"/>
      <c r="P520" s="451"/>
      <c r="Q520" s="451"/>
      <c r="R520" s="451"/>
      <c r="S520" s="451"/>
      <c r="T520" s="451"/>
      <c r="U520" s="451"/>
      <c r="V520" s="131" t="s">
        <v>46</v>
      </c>
      <c r="W520" s="5"/>
      <c r="X520" s="13"/>
      <c r="Y520" s="7"/>
    </row>
    <row r="521" spans="1:25" ht="13.8">
      <c r="A521" s="40"/>
      <c r="B521" s="604"/>
      <c r="C521" s="605"/>
      <c r="D521" s="605"/>
      <c r="E521" s="47"/>
      <c r="F521" s="133" t="s">
        <v>396</v>
      </c>
      <c r="G521" s="589">
        <v>3.8297369629077354</v>
      </c>
      <c r="H521" s="589">
        <v>3.8297369629077354</v>
      </c>
      <c r="I521" s="589">
        <v>3.8297369629077354</v>
      </c>
      <c r="J521" s="589">
        <v>3.8297369629077354</v>
      </c>
      <c r="K521" s="589">
        <v>3.794057598031654</v>
      </c>
      <c r="L521" s="589">
        <v>3.794057598031654</v>
      </c>
      <c r="M521" s="589">
        <v>3.794057598031654</v>
      </c>
      <c r="N521" s="357"/>
      <c r="O521" s="357"/>
      <c r="P521" s="357"/>
      <c r="Q521" s="357"/>
      <c r="R521" s="357"/>
      <c r="S521" s="357"/>
      <c r="T521" s="357"/>
      <c r="U521" s="357"/>
      <c r="V521" s="131" t="s">
        <v>46</v>
      </c>
      <c r="W521" s="5"/>
      <c r="X521" s="13"/>
      <c r="Y521" s="7"/>
    </row>
    <row r="522" spans="1:25" ht="13.8">
      <c r="A522" s="40"/>
      <c r="B522" s="604"/>
      <c r="C522" s="605"/>
      <c r="D522" s="605"/>
      <c r="E522" s="47"/>
      <c r="F522" s="133" t="s">
        <v>397</v>
      </c>
      <c r="G522" s="589">
        <v>3.8369828169169051</v>
      </c>
      <c r="H522" s="589">
        <v>3.8369828169169051</v>
      </c>
      <c r="I522" s="589">
        <v>3.8369828169169051</v>
      </c>
      <c r="J522" s="589">
        <v>3.8369828169169051</v>
      </c>
      <c r="K522" s="589">
        <v>3.8017205599058528</v>
      </c>
      <c r="L522" s="589">
        <v>3.8017205599058528</v>
      </c>
      <c r="M522" s="589">
        <v>3.8017205599058528</v>
      </c>
      <c r="N522" s="357"/>
      <c r="O522" s="357"/>
      <c r="P522" s="357"/>
      <c r="Q522" s="357"/>
      <c r="R522" s="357"/>
      <c r="S522" s="357"/>
      <c r="T522" s="357"/>
      <c r="U522" s="357"/>
      <c r="V522" s="131" t="s">
        <v>46</v>
      </c>
      <c r="W522" s="5"/>
      <c r="X522" s="13"/>
      <c r="Y522" s="7"/>
    </row>
    <row r="523" spans="1:25" ht="13.8">
      <c r="A523" s="40"/>
      <c r="B523" s="604"/>
      <c r="C523" s="605"/>
      <c r="D523" s="605"/>
      <c r="E523" s="47"/>
      <c r="F523" s="133" t="s">
        <v>398</v>
      </c>
      <c r="G523" s="589">
        <v>3.841858118915018</v>
      </c>
      <c r="H523" s="589">
        <v>3.841858118915018</v>
      </c>
      <c r="I523" s="589">
        <v>3.841858118915018</v>
      </c>
      <c r="J523" s="589">
        <v>3.841858118915018</v>
      </c>
      <c r="K523" s="589">
        <v>3.8069537795277868</v>
      </c>
      <c r="L523" s="589">
        <v>3.8069537795277868</v>
      </c>
      <c r="M523" s="589">
        <v>3.8069537795277868</v>
      </c>
      <c r="N523" s="357"/>
      <c r="O523" s="357"/>
      <c r="P523" s="357"/>
      <c r="Q523" s="357"/>
      <c r="R523" s="357"/>
      <c r="S523" s="357"/>
      <c r="T523" s="357"/>
      <c r="U523" s="357"/>
      <c r="V523" s="131" t="s">
        <v>46</v>
      </c>
      <c r="W523" s="5"/>
      <c r="X523" s="13"/>
      <c r="Y523" s="7"/>
    </row>
    <row r="524" spans="1:25" ht="13.8">
      <c r="A524" s="40"/>
      <c r="B524" s="604"/>
      <c r="C524" s="605"/>
      <c r="D524" s="605"/>
      <c r="E524" s="47"/>
      <c r="F524" s="133" t="s">
        <v>399</v>
      </c>
      <c r="G524" s="589">
        <v>3.8539568665676014</v>
      </c>
      <c r="H524" s="589">
        <v>3.8539568665676014</v>
      </c>
      <c r="I524" s="589">
        <v>3.8539568665676014</v>
      </c>
      <c r="J524" s="589">
        <v>3.8539568665676014</v>
      </c>
      <c r="K524" s="589">
        <v>3.8203993232702662</v>
      </c>
      <c r="L524" s="589">
        <v>3.8203993232702662</v>
      </c>
      <c r="M524" s="589">
        <v>3.8203993232702662</v>
      </c>
      <c r="N524" s="357"/>
      <c r="O524" s="357"/>
      <c r="P524" s="357"/>
      <c r="Q524" s="357"/>
      <c r="R524" s="357"/>
      <c r="S524" s="357"/>
      <c r="T524" s="357"/>
      <c r="U524" s="357"/>
      <c r="V524" s="131" t="s">
        <v>46</v>
      </c>
      <c r="W524" s="5"/>
      <c r="X524" s="13"/>
      <c r="Y524" s="7"/>
    </row>
    <row r="525" spans="1:25" ht="13.8">
      <c r="A525" s="40"/>
      <c r="B525" s="604"/>
      <c r="C525" s="605"/>
      <c r="D525" s="605"/>
      <c r="E525" s="47"/>
      <c r="F525" s="133" t="s">
        <v>400</v>
      </c>
      <c r="G525" s="589">
        <v>3.8632407629820826</v>
      </c>
      <c r="H525" s="589">
        <v>3.8632407629820826</v>
      </c>
      <c r="I525" s="589">
        <v>3.8632407629820826</v>
      </c>
      <c r="J525" s="589">
        <v>3.8632407629820826</v>
      </c>
      <c r="K525" s="589">
        <v>3.83108524791855</v>
      </c>
      <c r="L525" s="589">
        <v>3.83108524791855</v>
      </c>
      <c r="M525" s="589">
        <v>3.83108524791855</v>
      </c>
      <c r="N525" s="357"/>
      <c r="O525" s="357"/>
      <c r="P525" s="357"/>
      <c r="Q525" s="357"/>
      <c r="R525" s="357"/>
      <c r="S525" s="357"/>
      <c r="T525" s="357"/>
      <c r="U525" s="357"/>
      <c r="V525" s="131" t="s">
        <v>46</v>
      </c>
      <c r="W525" s="5"/>
      <c r="X525" s="13"/>
      <c r="Y525" s="7"/>
    </row>
    <row r="526" spans="1:25" ht="13.8">
      <c r="A526" s="40"/>
      <c r="B526" s="604"/>
      <c r="C526" s="605"/>
      <c r="D526" s="605"/>
      <c r="E526" s="47"/>
      <c r="F526" s="133" t="s">
        <v>401</v>
      </c>
      <c r="G526" s="589">
        <v>3.8745473080073962</v>
      </c>
      <c r="H526" s="589">
        <v>3.8745473080073962</v>
      </c>
      <c r="I526" s="589">
        <v>3.8745473080073962</v>
      </c>
      <c r="J526" s="589">
        <v>3.8745473080073962</v>
      </c>
      <c r="K526" s="589">
        <v>3.8447885366517514</v>
      </c>
      <c r="L526" s="589">
        <v>3.8447885366517514</v>
      </c>
      <c r="M526" s="589">
        <v>3.8447885366517514</v>
      </c>
      <c r="N526" s="357"/>
      <c r="O526" s="357"/>
      <c r="P526" s="357"/>
      <c r="Q526" s="357"/>
      <c r="R526" s="357"/>
      <c r="S526" s="357"/>
      <c r="T526" s="357"/>
      <c r="U526" s="357"/>
      <c r="V526" s="131" t="s">
        <v>46</v>
      </c>
      <c r="W526" s="5"/>
      <c r="X526" s="13"/>
      <c r="Y526" s="7"/>
    </row>
    <row r="527" spans="1:25" ht="13.8">
      <c r="A527" s="40"/>
      <c r="B527" s="604"/>
      <c r="C527" s="605"/>
      <c r="D527" s="605"/>
      <c r="E527" s="47"/>
      <c r="F527" s="133" t="s">
        <v>402</v>
      </c>
      <c r="G527" s="589">
        <v>3.8859812715555715</v>
      </c>
      <c r="H527" s="589">
        <v>3.8859812715555715</v>
      </c>
      <c r="I527" s="589">
        <v>3.8859812715555715</v>
      </c>
      <c r="J527" s="589">
        <v>3.8859812715555715</v>
      </c>
      <c r="K527" s="589">
        <v>3.8602268657957532</v>
      </c>
      <c r="L527" s="589">
        <v>3.8602268657957532</v>
      </c>
      <c r="M527" s="589">
        <v>3.8602268657957532</v>
      </c>
      <c r="N527" s="357"/>
      <c r="O527" s="357"/>
      <c r="P527" s="357"/>
      <c r="Q527" s="357"/>
      <c r="R527" s="357"/>
      <c r="S527" s="357"/>
      <c r="T527" s="357"/>
      <c r="U527" s="357"/>
      <c r="V527" s="131" t="s">
        <v>46</v>
      </c>
      <c r="W527" s="5"/>
      <c r="X527" s="13"/>
      <c r="Y527" s="7"/>
    </row>
    <row r="528" spans="1:25" ht="13.8">
      <c r="A528" s="40"/>
      <c r="B528" s="604"/>
      <c r="C528" s="605"/>
      <c r="D528" s="605"/>
      <c r="E528" s="47"/>
      <c r="F528" s="133" t="s">
        <v>403</v>
      </c>
      <c r="G528" s="589">
        <v>3.8893250640300661</v>
      </c>
      <c r="H528" s="589">
        <v>3.8893250640300661</v>
      </c>
      <c r="I528" s="589">
        <v>3.8893250640300661</v>
      </c>
      <c r="J528" s="589">
        <v>3.8893250640300661</v>
      </c>
      <c r="K528" s="589">
        <v>3.8652650225334075</v>
      </c>
      <c r="L528" s="589">
        <v>3.8652650225334075</v>
      </c>
      <c r="M528" s="589">
        <v>3.8652650225334075</v>
      </c>
      <c r="N528" s="357"/>
      <c r="O528" s="357"/>
      <c r="P528" s="357"/>
      <c r="Q528" s="357"/>
      <c r="R528" s="357"/>
      <c r="S528" s="357"/>
      <c r="T528" s="357"/>
      <c r="U528" s="357"/>
      <c r="V528" s="131" t="s">
        <v>46</v>
      </c>
      <c r="W528" s="5"/>
      <c r="X528" s="13"/>
      <c r="Y528" s="7"/>
    </row>
    <row r="529" spans="1:27" ht="13.8">
      <c r="A529" s="40"/>
      <c r="B529" s="604"/>
      <c r="C529" s="605"/>
      <c r="D529" s="605"/>
      <c r="E529" s="47"/>
      <c r="F529" s="133" t="s">
        <v>404</v>
      </c>
      <c r="G529" s="589">
        <v>3.8923390411378969</v>
      </c>
      <c r="H529" s="589">
        <v>3.8923390411378969</v>
      </c>
      <c r="I529" s="589">
        <v>3.8923390411378969</v>
      </c>
      <c r="J529" s="589">
        <v>3.8923390411378969</v>
      </c>
      <c r="K529" s="589">
        <v>3.8699913698790369</v>
      </c>
      <c r="L529" s="589">
        <v>3.8699913698790369</v>
      </c>
      <c r="M529" s="589">
        <v>3.8699913698790369</v>
      </c>
      <c r="N529" s="357"/>
      <c r="O529" s="357"/>
      <c r="P529" s="357"/>
      <c r="Q529" s="357"/>
      <c r="R529" s="357"/>
      <c r="S529" s="357"/>
      <c r="T529" s="357"/>
      <c r="U529" s="357"/>
      <c r="V529" s="131" t="s">
        <v>46</v>
      </c>
      <c r="W529" s="5"/>
      <c r="X529" s="13"/>
      <c r="Y529" s="7"/>
    </row>
    <row r="530" spans="1:27" ht="13.8">
      <c r="A530" s="40"/>
      <c r="B530" s="46"/>
      <c r="C530" s="47"/>
      <c r="D530" s="47"/>
      <c r="E530" s="47"/>
      <c r="F530" s="133" t="s">
        <v>405</v>
      </c>
      <c r="G530" s="589">
        <v>3.8932247562555524</v>
      </c>
      <c r="H530" s="589">
        <v>3.8932247562555524</v>
      </c>
      <c r="I530" s="589">
        <v>3.8932247562555524</v>
      </c>
      <c r="J530" s="589">
        <v>3.8932247562555524</v>
      </c>
      <c r="K530" s="589">
        <v>3.8716994312026451</v>
      </c>
      <c r="L530" s="589">
        <v>3.8716994312026451</v>
      </c>
      <c r="M530" s="589">
        <v>3.8716994312026451</v>
      </c>
      <c r="N530" s="357"/>
      <c r="O530" s="357"/>
      <c r="P530" s="357"/>
      <c r="Q530" s="357"/>
      <c r="R530" s="357"/>
      <c r="S530" s="357"/>
      <c r="T530" s="357"/>
      <c r="U530" s="357"/>
      <c r="V530" s="131" t="s">
        <v>46</v>
      </c>
      <c r="W530" s="5"/>
      <c r="X530" s="13"/>
      <c r="Y530" s="7"/>
    </row>
    <row r="531" spans="1:27" ht="13.8">
      <c r="A531" s="40"/>
      <c r="B531" s="604"/>
      <c r="C531" s="605"/>
      <c r="D531" s="605"/>
      <c r="E531" s="47"/>
      <c r="F531" s="133" t="s">
        <v>406</v>
      </c>
      <c r="G531" s="589">
        <v>3.8938890425937944</v>
      </c>
      <c r="H531" s="589">
        <v>3.8938890425937944</v>
      </c>
      <c r="I531" s="589">
        <v>3.8938890425937944</v>
      </c>
      <c r="J531" s="589">
        <v>3.8938890425937944</v>
      </c>
      <c r="K531" s="589">
        <v>3.8729804771953518</v>
      </c>
      <c r="L531" s="589">
        <v>3.8729804771953518</v>
      </c>
      <c r="M531" s="589">
        <v>3.8729804771953518</v>
      </c>
      <c r="N531" s="357"/>
      <c r="O531" s="357"/>
      <c r="P531" s="357"/>
      <c r="Q531" s="357"/>
      <c r="R531" s="357"/>
      <c r="S531" s="357"/>
      <c r="T531" s="357"/>
      <c r="U531" s="357"/>
      <c r="V531" s="131" t="s">
        <v>46</v>
      </c>
      <c r="W531" s="5"/>
      <c r="X531" s="13"/>
      <c r="Y531" s="7"/>
    </row>
    <row r="532" spans="1:27" ht="13.8">
      <c r="A532" s="40"/>
      <c r="B532" s="46"/>
      <c r="C532" s="47"/>
      <c r="D532" s="47"/>
      <c r="E532" s="47"/>
      <c r="F532" s="133" t="s">
        <v>407</v>
      </c>
      <c r="G532" s="589">
        <v>3.8979120260276119</v>
      </c>
      <c r="H532" s="589">
        <v>3.8979120260276119</v>
      </c>
      <c r="I532" s="589">
        <v>3.8979120260276119</v>
      </c>
      <c r="J532" s="589">
        <v>3.8979120260276119</v>
      </c>
      <c r="K532" s="589">
        <v>3.8814155389035938</v>
      </c>
      <c r="L532" s="589">
        <v>3.8814155389035938</v>
      </c>
      <c r="M532" s="589">
        <v>3.8814155389035938</v>
      </c>
      <c r="N532" s="357"/>
      <c r="O532" s="357"/>
      <c r="P532" s="357"/>
      <c r="Q532" s="357"/>
      <c r="R532" s="357"/>
      <c r="S532" s="357"/>
      <c r="T532" s="357"/>
      <c r="U532" s="357"/>
      <c r="V532" s="131" t="s">
        <v>46</v>
      </c>
      <c r="W532" s="5"/>
      <c r="X532" s="13"/>
      <c r="Y532" s="7"/>
    </row>
    <row r="533" spans="1:27" ht="13.8">
      <c r="A533" s="40"/>
      <c r="B533" s="46"/>
      <c r="C533" s="47"/>
      <c r="D533" s="47"/>
      <c r="E533" s="47"/>
      <c r="F533" s="133" t="s">
        <v>408</v>
      </c>
      <c r="G533" s="589">
        <v>3.8988258815232402</v>
      </c>
      <c r="H533" s="589">
        <v>3.8988258815232402</v>
      </c>
      <c r="I533" s="589">
        <v>3.8988258815232402</v>
      </c>
      <c r="J533" s="589">
        <v>3.8988258815232402</v>
      </c>
      <c r="K533" s="589">
        <v>3.8845250869634391</v>
      </c>
      <c r="L533" s="589">
        <v>3.8845250869634391</v>
      </c>
      <c r="M533" s="589">
        <v>3.8845250869634391</v>
      </c>
      <c r="N533" s="357"/>
      <c r="O533" s="357"/>
      <c r="P533" s="357"/>
      <c r="Q533" s="357"/>
      <c r="R533" s="357"/>
      <c r="S533" s="357"/>
      <c r="T533" s="357"/>
      <c r="U533" s="357"/>
      <c r="V533" s="131" t="s">
        <v>46</v>
      </c>
      <c r="W533" s="5"/>
      <c r="X533" s="13"/>
      <c r="Y533" s="7"/>
    </row>
    <row r="534" spans="1:27" ht="13.8">
      <c r="A534" s="40"/>
      <c r="B534" s="604"/>
      <c r="C534" s="605"/>
      <c r="D534" s="605"/>
      <c r="E534" s="47"/>
      <c r="F534" s="133" t="s">
        <v>409</v>
      </c>
      <c r="G534" s="589">
        <v>3.8984068742339728</v>
      </c>
      <c r="H534" s="589">
        <v>3.8984068742339728</v>
      </c>
      <c r="I534" s="589">
        <v>3.8984068742339728</v>
      </c>
      <c r="J534" s="589">
        <v>3.8984068742339728</v>
      </c>
      <c r="K534" s="589">
        <v>3.8958519308126225</v>
      </c>
      <c r="L534" s="589">
        <v>3.8958519308126225</v>
      </c>
      <c r="M534" s="589">
        <v>3.8958519308126225</v>
      </c>
      <c r="N534" s="357"/>
      <c r="O534" s="357"/>
      <c r="P534" s="357"/>
      <c r="Q534" s="357"/>
      <c r="R534" s="357"/>
      <c r="S534" s="357"/>
      <c r="T534" s="357"/>
      <c r="U534" s="357"/>
      <c r="V534" s="131" t="s">
        <v>46</v>
      </c>
      <c r="W534" s="5"/>
      <c r="X534" s="13"/>
      <c r="Y534" s="7"/>
    </row>
    <row r="535" spans="1:27" ht="14.4" thickBot="1">
      <c r="A535" s="40"/>
      <c r="B535" s="645"/>
      <c r="C535" s="646"/>
      <c r="D535" s="646"/>
      <c r="E535" s="245"/>
      <c r="F535" s="246"/>
      <c r="G535" s="247"/>
      <c r="H535" s="247"/>
      <c r="I535" s="247"/>
      <c r="J535" s="247"/>
      <c r="K535" s="247"/>
      <c r="L535" s="247"/>
      <c r="M535" s="247"/>
      <c r="N535" s="247"/>
      <c r="O535" s="247"/>
      <c r="P535" s="247"/>
      <c r="Q535" s="247"/>
      <c r="R535" s="247"/>
      <c r="S535" s="247"/>
      <c r="T535" s="247"/>
      <c r="U535" s="247"/>
      <c r="V535" s="425"/>
      <c r="W535" s="69"/>
      <c r="X535" s="391"/>
      <c r="Y535" s="382"/>
      <c r="Z535" s="383"/>
      <c r="AA535" s="130"/>
    </row>
    <row r="536" spans="1:27" ht="14.4" thickBot="1">
      <c r="A536" s="16"/>
      <c r="B536" s="248"/>
      <c r="C536" s="5"/>
      <c r="D536" s="5"/>
      <c r="E536" s="33" t="s">
        <v>478</v>
      </c>
      <c r="F536" s="29" t="s">
        <v>131</v>
      </c>
      <c r="G536" s="336" t="str">
        <f>$G$44</f>
        <v>L 2WD NAO 2ROW</v>
      </c>
      <c r="H536" s="336" t="str">
        <f>$H$44</f>
        <v>L 4WD NAO 2ROW US</v>
      </c>
      <c r="I536" s="336" t="str">
        <f>$I$44</f>
        <v>L 4WD NAO 2ROW</v>
      </c>
      <c r="J536" s="336" t="str">
        <f>$J$44</f>
        <v>L 4WD NAO 3ROW</v>
      </c>
      <c r="K536" s="336" t="str">
        <f>$K$44</f>
        <v>R 2WD NAO 2ROW</v>
      </c>
      <c r="L536" s="336" t="str">
        <f>$L$44</f>
        <v>R 4WD NAO 2ROW</v>
      </c>
      <c r="M536" s="336" t="str">
        <f>$M$44</f>
        <v>R 4WD NAO 3ROW</v>
      </c>
      <c r="N536" s="336" t="str">
        <f>$N$44</f>
        <v/>
      </c>
      <c r="O536" s="336" t="str">
        <f>$O$44</f>
        <v/>
      </c>
      <c r="P536" s="336" t="str">
        <f>$P$44</f>
        <v/>
      </c>
      <c r="Q536" s="336" t="str">
        <f>$Q$44</f>
        <v/>
      </c>
      <c r="R536" s="336" t="str">
        <f>$R$44</f>
        <v/>
      </c>
      <c r="S536" s="336" t="str">
        <f>$S$44</f>
        <v/>
      </c>
      <c r="T536" s="336" t="str">
        <f>$T$44</f>
        <v/>
      </c>
      <c r="U536" s="336" t="str">
        <f>$U$44</f>
        <v/>
      </c>
      <c r="V536" s="426"/>
      <c r="W536" s="69"/>
      <c r="X536" s="391"/>
      <c r="Y536" s="382"/>
      <c r="Z536" s="383"/>
      <c r="AA536" s="130"/>
    </row>
    <row r="537" spans="1:27" ht="15">
      <c r="A537" s="16"/>
      <c r="B537" s="97" t="s">
        <v>56</v>
      </c>
      <c r="C537" s="99"/>
      <c r="D537" s="99"/>
      <c r="E537" s="99"/>
      <c r="F537" s="99"/>
      <c r="G537" s="339"/>
      <c r="H537" s="339"/>
      <c r="I537" s="339"/>
      <c r="J537" s="339"/>
      <c r="K537" s="339"/>
      <c r="L537" s="339"/>
      <c r="M537" s="339"/>
      <c r="N537" s="339"/>
      <c r="O537" s="339"/>
      <c r="P537" s="339"/>
      <c r="Q537" s="339"/>
      <c r="R537" s="339"/>
      <c r="S537" s="339"/>
      <c r="T537" s="339"/>
      <c r="U537" s="339"/>
      <c r="V537" s="394"/>
      <c r="W537" s="69"/>
      <c r="X537" s="391"/>
      <c r="Y537" s="382"/>
      <c r="Z537" s="383"/>
      <c r="AA537" s="130"/>
    </row>
    <row r="538" spans="1:27" ht="13.8">
      <c r="A538" s="16"/>
      <c r="B538" s="635" t="s">
        <v>484</v>
      </c>
      <c r="C538" s="647"/>
      <c r="D538" s="165" t="s">
        <v>292</v>
      </c>
      <c r="E538" s="165" t="str">
        <f>IF(G538="","check",IF(MIN(G538:U538)&lt;Y538,"Attention," &amp;CHAR(10)&amp;"one of your parameters is below the usual range: "&amp;Y538&amp;D538,IF(MAX(G538:U538)&gt;Z538,"Attention," &amp;CHAR(10)&amp;" one of your parameters is above the usual range: "&amp;Z538&amp;D538,"check")))</f>
        <v>check</v>
      </c>
      <c r="F538" s="587" t="s">
        <v>1182</v>
      </c>
      <c r="G538" s="547">
        <v>0</v>
      </c>
      <c r="H538" s="547">
        <v>0</v>
      </c>
      <c r="I538" s="547">
        <v>0</v>
      </c>
      <c r="J538" s="547">
        <v>0</v>
      </c>
      <c r="K538" s="547">
        <v>0</v>
      </c>
      <c r="L538" s="547">
        <v>0</v>
      </c>
      <c r="M538" s="547">
        <v>0</v>
      </c>
      <c r="N538" s="498"/>
      <c r="O538" s="498"/>
      <c r="P538" s="498"/>
      <c r="Q538" s="498"/>
      <c r="R538" s="498"/>
      <c r="S538" s="498"/>
      <c r="T538" s="498"/>
      <c r="U538" s="498"/>
      <c r="V538" s="131" t="s">
        <v>292</v>
      </c>
      <c r="W538" s="5"/>
      <c r="X538" s="13"/>
      <c r="Y538" s="7">
        <v>0</v>
      </c>
      <c r="Z538" s="61">
        <v>10000</v>
      </c>
    </row>
    <row r="539" spans="1:27" ht="13.8">
      <c r="A539" s="16"/>
      <c r="B539" s="640" t="s">
        <v>874</v>
      </c>
      <c r="C539" s="641"/>
      <c r="D539" s="165" t="s">
        <v>46</v>
      </c>
      <c r="E539" s="427" t="str">
        <f>IF(G539="","check",IF(AND(IFERROR(IF(MATCH("Sequential",G539:U539,0),"Yes"),"No")="Yes",G19="II-Split"),"Attention," &amp;CHAR(10)&amp;"with II-Split and Sequential blending : no Prefill in CRB function available","check"))</f>
        <v>check</v>
      </c>
      <c r="F539" s="79"/>
      <c r="G539" s="547"/>
      <c r="H539" s="547"/>
      <c r="I539" s="547"/>
      <c r="J539" s="547"/>
      <c r="K539" s="547"/>
      <c r="L539" s="547"/>
      <c r="M539" s="547"/>
      <c r="N539" s="547"/>
      <c r="O539" s="547"/>
      <c r="P539" s="547"/>
      <c r="Q539" s="547"/>
      <c r="R539" s="547"/>
      <c r="S539" s="547"/>
      <c r="T539" s="547"/>
      <c r="U539" s="547"/>
      <c r="V539" s="131" t="s">
        <v>46</v>
      </c>
      <c r="W539" s="5"/>
      <c r="X539" s="13"/>
      <c r="Y539" s="7"/>
    </row>
    <row r="540" spans="1:27" ht="13.8">
      <c r="A540" s="16"/>
      <c r="B540" s="604" t="s">
        <v>60</v>
      </c>
      <c r="C540" s="605"/>
      <c r="D540" s="165" t="s">
        <v>63</v>
      </c>
      <c r="E540" s="428" t="str">
        <f>IF(G540="","check",IF(MIN(G540:U540)&lt;Y540,"Attention," &amp;CHAR(10)&amp;"one of your parameters is below the usual range: "&amp;Y540&amp;D540,IF(MAX(G540:U540)&gt;Z540,"Attention," &amp;CHAR(10)&amp;" one of your parameters is above the usual range: "&amp;Z540&amp;D540,"check")))</f>
        <v>check</v>
      </c>
      <c r="F540" s="79"/>
      <c r="G540" s="331"/>
      <c r="H540" s="331"/>
      <c r="I540" s="331"/>
      <c r="J540" s="331"/>
      <c r="K540" s="331"/>
      <c r="L540" s="331"/>
      <c r="M540" s="331"/>
      <c r="N540" s="331"/>
      <c r="O540" s="331"/>
      <c r="P540" s="331"/>
      <c r="Q540" s="331"/>
      <c r="R540" s="331"/>
      <c r="S540" s="331"/>
      <c r="T540" s="331"/>
      <c r="U540" s="331"/>
      <c r="V540" s="395" t="s">
        <v>63</v>
      </c>
      <c r="W540" s="69"/>
      <c r="X540" s="391"/>
      <c r="Y540" s="382">
        <v>0</v>
      </c>
      <c r="Z540" s="383">
        <v>1</v>
      </c>
      <c r="AA540" s="130"/>
    </row>
    <row r="541" spans="1:27" ht="13.8">
      <c r="A541" s="16"/>
      <c r="B541" s="604" t="s">
        <v>325</v>
      </c>
      <c r="C541" s="610"/>
      <c r="D541" s="165" t="s">
        <v>326</v>
      </c>
      <c r="E541" s="165"/>
      <c r="F541" s="79"/>
      <c r="G541" s="331"/>
      <c r="H541" s="331"/>
      <c r="I541" s="331"/>
      <c r="J541" s="331"/>
      <c r="K541" s="331"/>
      <c r="L541" s="331"/>
      <c r="M541" s="331"/>
      <c r="N541" s="331"/>
      <c r="O541" s="331"/>
      <c r="P541" s="331"/>
      <c r="Q541" s="331"/>
      <c r="R541" s="331"/>
      <c r="S541" s="331"/>
      <c r="T541" s="331"/>
      <c r="U541" s="331"/>
      <c r="V541" s="34" t="s">
        <v>326</v>
      </c>
      <c r="W541" s="5"/>
      <c r="X541" s="13"/>
      <c r="Y541" s="7"/>
    </row>
    <row r="542" spans="1:27" ht="13.8">
      <c r="A542" s="321"/>
      <c r="B542" s="604" t="s">
        <v>1083</v>
      </c>
      <c r="C542" s="605"/>
      <c r="D542" s="165" t="s">
        <v>292</v>
      </c>
      <c r="E542" s="165"/>
      <c r="F542" s="79"/>
      <c r="G542" s="331"/>
      <c r="H542" s="331"/>
      <c r="I542" s="331"/>
      <c r="J542" s="331"/>
      <c r="K542" s="331"/>
      <c r="L542" s="331"/>
      <c r="M542" s="331"/>
      <c r="N542" s="331"/>
      <c r="O542" s="331"/>
      <c r="P542" s="331"/>
      <c r="Q542" s="331"/>
      <c r="R542" s="331"/>
      <c r="S542" s="331"/>
      <c r="T542" s="331"/>
      <c r="U542" s="331"/>
      <c r="V542" s="34"/>
      <c r="W542" s="5"/>
      <c r="X542" s="13"/>
    </row>
    <row r="543" spans="1:27" ht="13.8">
      <c r="A543" s="321"/>
      <c r="B543" s="46" t="s">
        <v>1084</v>
      </c>
      <c r="C543" s="47"/>
      <c r="D543" s="165" t="s">
        <v>292</v>
      </c>
      <c r="E543" s="165"/>
      <c r="F543" s="79"/>
      <c r="G543" s="331"/>
      <c r="H543" s="331"/>
      <c r="I543" s="331"/>
      <c r="J543" s="331"/>
      <c r="K543" s="331"/>
      <c r="L543" s="331"/>
      <c r="M543" s="331"/>
      <c r="N543" s="331"/>
      <c r="O543" s="331"/>
      <c r="P543" s="331"/>
      <c r="Q543" s="331"/>
      <c r="R543" s="331"/>
      <c r="S543" s="331"/>
      <c r="T543" s="331"/>
      <c r="U543" s="331"/>
      <c r="V543" s="34"/>
      <c r="W543" s="5"/>
      <c r="X543" s="13"/>
    </row>
    <row r="544" spans="1:27" ht="13.8">
      <c r="A544" s="530"/>
      <c r="B544" s="604" t="s">
        <v>1141</v>
      </c>
      <c r="C544" s="610"/>
      <c r="D544" s="165" t="s">
        <v>292</v>
      </c>
      <c r="E544" s="165" t="s">
        <v>1157</v>
      </c>
      <c r="F544" s="79"/>
      <c r="G544" s="331"/>
      <c r="H544" s="331"/>
      <c r="I544" s="331"/>
      <c r="J544" s="331"/>
      <c r="K544" s="331"/>
      <c r="L544" s="331"/>
      <c r="M544" s="331"/>
      <c r="N544" s="331"/>
      <c r="O544" s="331"/>
      <c r="P544" s="331"/>
      <c r="Q544" s="331"/>
      <c r="R544" s="331"/>
      <c r="S544" s="331"/>
      <c r="T544" s="331"/>
      <c r="U544" s="331"/>
      <c r="V544" s="34"/>
      <c r="W544" s="5"/>
      <c r="X544" s="13"/>
    </row>
    <row r="545" spans="1:48" ht="13.8">
      <c r="A545" s="530"/>
      <c r="B545" s="604" t="s">
        <v>1142</v>
      </c>
      <c r="C545" s="610"/>
      <c r="D545" s="165" t="s">
        <v>292</v>
      </c>
      <c r="E545" s="165" t="s">
        <v>1157</v>
      </c>
      <c r="F545" s="79"/>
      <c r="G545" s="331"/>
      <c r="H545" s="331"/>
      <c r="I545" s="331"/>
      <c r="J545" s="331"/>
      <c r="K545" s="331"/>
      <c r="L545" s="331"/>
      <c r="M545" s="331"/>
      <c r="N545" s="331"/>
      <c r="O545" s="331"/>
      <c r="P545" s="331"/>
      <c r="Q545" s="331"/>
      <c r="R545" s="331"/>
      <c r="S545" s="331"/>
      <c r="T545" s="331"/>
      <c r="U545" s="331"/>
      <c r="V545" s="34"/>
      <c r="W545" s="5"/>
      <c r="X545" s="13"/>
    </row>
    <row r="546" spans="1:48" ht="13.8">
      <c r="A546" s="530"/>
      <c r="B546" s="604" t="s">
        <v>1144</v>
      </c>
      <c r="C546" s="610"/>
      <c r="D546" s="165" t="s">
        <v>292</v>
      </c>
      <c r="E546" s="165" t="s">
        <v>1157</v>
      </c>
      <c r="F546" s="79"/>
      <c r="G546" s="331"/>
      <c r="H546" s="331"/>
      <c r="I546" s="331"/>
      <c r="J546" s="331"/>
      <c r="K546" s="331"/>
      <c r="L546" s="331"/>
      <c r="M546" s="331"/>
      <c r="N546" s="331"/>
      <c r="O546" s="331"/>
      <c r="P546" s="331"/>
      <c r="Q546" s="331"/>
      <c r="R546" s="331"/>
      <c r="S546" s="331"/>
      <c r="T546" s="331"/>
      <c r="U546" s="331"/>
      <c r="V546" s="34"/>
      <c r="W546" s="5"/>
      <c r="X546" s="13"/>
    </row>
    <row r="547" spans="1:48" ht="13.8">
      <c r="A547" s="530"/>
      <c r="B547" s="604" t="s">
        <v>1143</v>
      </c>
      <c r="C547" s="610"/>
      <c r="D547" s="165" t="s">
        <v>292</v>
      </c>
      <c r="E547" s="165" t="s">
        <v>1157</v>
      </c>
      <c r="F547" s="79"/>
      <c r="G547" s="331"/>
      <c r="H547" s="331"/>
      <c r="I547" s="331"/>
      <c r="J547" s="331"/>
      <c r="K547" s="331"/>
      <c r="L547" s="331"/>
      <c r="M547" s="331"/>
      <c r="N547" s="331"/>
      <c r="O547" s="331"/>
      <c r="P547" s="331"/>
      <c r="Q547" s="331"/>
      <c r="R547" s="331"/>
      <c r="S547" s="331"/>
      <c r="T547" s="331"/>
      <c r="U547" s="331"/>
      <c r="V547" s="34"/>
      <c r="W547" s="5"/>
      <c r="X547" s="13"/>
    </row>
    <row r="548" spans="1:48" ht="14.4" thickBot="1">
      <c r="A548" s="16"/>
      <c r="B548" s="28"/>
      <c r="C548" s="24"/>
      <c r="D548" s="108"/>
      <c r="E548" s="108"/>
      <c r="F548" s="332"/>
      <c r="G548" s="360"/>
      <c r="H548" s="360"/>
      <c r="I548" s="360"/>
      <c r="J548" s="360"/>
      <c r="K548" s="332"/>
      <c r="L548" s="332"/>
      <c r="M548" s="338"/>
      <c r="N548" s="338"/>
      <c r="O548" s="338"/>
      <c r="P548" s="338"/>
      <c r="Q548" s="338"/>
      <c r="R548" s="338"/>
      <c r="S548" s="338"/>
      <c r="T548" s="338"/>
      <c r="U548" s="332"/>
      <c r="V548" s="390"/>
      <c r="W548" s="69"/>
      <c r="X548" s="391"/>
      <c r="Y548" s="130"/>
      <c r="Z548" s="383"/>
      <c r="AA548" s="130"/>
    </row>
    <row r="549" spans="1:48" ht="13.8">
      <c r="A549" s="40"/>
      <c r="B549" s="5"/>
      <c r="C549" s="5"/>
      <c r="D549" s="33"/>
      <c r="E549" s="33"/>
      <c r="F549" s="69"/>
      <c r="G549" s="361"/>
      <c r="H549" s="361"/>
      <c r="I549" s="361"/>
      <c r="J549" s="361"/>
      <c r="K549" s="69"/>
      <c r="L549" s="69"/>
      <c r="M549" s="340"/>
      <c r="N549" s="340"/>
      <c r="O549" s="340"/>
      <c r="P549" s="340"/>
      <c r="Q549" s="340"/>
      <c r="R549" s="340"/>
      <c r="S549" s="340"/>
      <c r="T549" s="340"/>
      <c r="U549" s="69"/>
      <c r="V549" s="69"/>
      <c r="W549" s="69"/>
      <c r="X549" s="391"/>
      <c r="Y549" s="130"/>
      <c r="Z549" s="383"/>
      <c r="AA549" s="130"/>
    </row>
    <row r="550" spans="1:48" ht="13.8">
      <c r="B550" s="5"/>
      <c r="C550" s="5"/>
      <c r="D550" s="33"/>
      <c r="E550" s="33"/>
      <c r="F550" s="436" t="s">
        <v>131</v>
      </c>
      <c r="G550" s="336" t="str">
        <f>$G$44</f>
        <v>L 2WD NAO 2ROW</v>
      </c>
      <c r="H550" s="336" t="str">
        <f>$H$44</f>
        <v>L 4WD NAO 2ROW US</v>
      </c>
      <c r="I550" s="336" t="str">
        <f>$I$44</f>
        <v>L 4WD NAO 2ROW</v>
      </c>
      <c r="J550" s="336" t="str">
        <f>$J$44</f>
        <v>L 4WD NAO 3ROW</v>
      </c>
      <c r="K550" s="336" t="str">
        <f>$K$44</f>
        <v>R 2WD NAO 2ROW</v>
      </c>
      <c r="L550" s="336" t="str">
        <f>$L$44</f>
        <v>R 4WD NAO 2ROW</v>
      </c>
      <c r="M550" s="336" t="str">
        <f>$M$44</f>
        <v>R 4WD NAO 3ROW</v>
      </c>
      <c r="N550" s="336" t="str">
        <f>$N$44</f>
        <v/>
      </c>
      <c r="O550" s="336" t="str">
        <f>$O$44</f>
        <v/>
      </c>
      <c r="P550" s="336" t="str">
        <f>$P$44</f>
        <v/>
      </c>
      <c r="Q550" s="336" t="str">
        <f>$Q$44</f>
        <v/>
      </c>
      <c r="R550" s="336" t="str">
        <f>$R$44</f>
        <v/>
      </c>
      <c r="S550" s="336" t="str">
        <f>$S$44</f>
        <v/>
      </c>
      <c r="T550" s="336" t="str">
        <f>$T$44</f>
        <v/>
      </c>
      <c r="U550" s="336" t="str">
        <f>$U$44</f>
        <v/>
      </c>
      <c r="V550" s="130"/>
      <c r="W550" s="69"/>
      <c r="X550" s="391"/>
      <c r="Y550" s="130"/>
      <c r="Z550" s="383"/>
      <c r="AA550" s="130"/>
    </row>
    <row r="551" spans="1:48" ht="15">
      <c r="A551" s="16"/>
      <c r="B551" s="98" t="s">
        <v>547</v>
      </c>
      <c r="C551" s="98"/>
      <c r="D551" s="112"/>
      <c r="E551" s="112"/>
      <c r="F551" s="337"/>
      <c r="G551" s="337"/>
      <c r="H551" s="337"/>
      <c r="I551" s="337"/>
      <c r="J551" s="337"/>
      <c r="K551" s="337"/>
      <c r="L551" s="337"/>
      <c r="M551" s="337"/>
      <c r="N551" s="337"/>
      <c r="O551" s="337"/>
      <c r="P551" s="337"/>
      <c r="Q551" s="337"/>
      <c r="R551" s="337"/>
      <c r="S551" s="337"/>
      <c r="T551" s="337"/>
      <c r="U551" s="337"/>
      <c r="V551" s="392"/>
      <c r="W551" s="69"/>
      <c r="X551" s="391"/>
      <c r="Y551" s="130"/>
      <c r="Z551" s="383"/>
      <c r="AA551" s="130"/>
    </row>
    <row r="552" spans="1:48" ht="13.8">
      <c r="A552" s="16"/>
      <c r="B552" s="617" t="s">
        <v>321</v>
      </c>
      <c r="C552" s="618"/>
      <c r="D552" s="164" t="s">
        <v>46</v>
      </c>
      <c r="E552" s="164"/>
      <c r="F552" s="587" t="s">
        <v>1182</v>
      </c>
      <c r="G552" s="518" t="s">
        <v>64</v>
      </c>
      <c r="H552" s="518" t="s">
        <v>64</v>
      </c>
      <c r="I552" s="518" t="s">
        <v>64</v>
      </c>
      <c r="J552" s="518" t="s">
        <v>64</v>
      </c>
      <c r="K552" s="518" t="s">
        <v>64</v>
      </c>
      <c r="L552" s="518" t="s">
        <v>64</v>
      </c>
      <c r="M552" s="518" t="s">
        <v>64</v>
      </c>
      <c r="N552" s="518"/>
      <c r="O552" s="518"/>
      <c r="P552" s="518"/>
      <c r="Q552" s="518"/>
      <c r="R552" s="518"/>
      <c r="S552" s="518"/>
      <c r="T552" s="518"/>
      <c r="U552" s="518"/>
      <c r="V552" s="39" t="s">
        <v>46</v>
      </c>
      <c r="W552" s="5"/>
      <c r="X552" s="13"/>
    </row>
    <row r="553" spans="1:48" ht="13.8">
      <c r="A553" s="16"/>
      <c r="B553" s="617" t="s">
        <v>703</v>
      </c>
      <c r="C553" s="626"/>
      <c r="D553" s="164" t="s">
        <v>46</v>
      </c>
      <c r="E553" s="164"/>
      <c r="F553" s="587" t="s">
        <v>1182</v>
      </c>
      <c r="G553" s="518" t="s">
        <v>548</v>
      </c>
      <c r="H553" s="518" t="s">
        <v>548</v>
      </c>
      <c r="I553" s="518" t="s">
        <v>548</v>
      </c>
      <c r="J553" s="518" t="s">
        <v>548</v>
      </c>
      <c r="K553" s="518" t="s">
        <v>548</v>
      </c>
      <c r="L553" s="518" t="s">
        <v>548</v>
      </c>
      <c r="M553" s="518" t="s">
        <v>548</v>
      </c>
      <c r="N553" s="518"/>
      <c r="O553" s="518"/>
      <c r="P553" s="518"/>
      <c r="Q553" s="518"/>
      <c r="R553" s="518"/>
      <c r="S553" s="518"/>
      <c r="T553" s="518"/>
      <c r="U553" s="518"/>
      <c r="V553" s="39" t="s">
        <v>46</v>
      </c>
      <c r="W553" s="5"/>
      <c r="X553" s="13"/>
      <c r="AF553">
        <f>IF(OR(G$553="Level 2 Hand free",G$553="Level 3",G$553="Level 4",G$553="Level 5"),1,0)</f>
        <v>0</v>
      </c>
      <c r="AG553">
        <f>IF(OR(H$553="Level 2 Hand free",H$553="Level 3",H$553="Level 4",H$553="Level 5"),1,0)</f>
        <v>0</v>
      </c>
      <c r="AH553">
        <f>IF(OR(I$553="Level 2 Hand free",I$553="Level 3",I$553="Level 4",I$553="Level 5"),1,0)</f>
        <v>0</v>
      </c>
      <c r="AI553">
        <f>IF(OR(J$553="Level 2 Hand free",J$553="Level 3",J$553="Level 4",J$553="Level 5"),1,0)</f>
        <v>0</v>
      </c>
      <c r="AJ553">
        <f>IF(OR(K$553="Level 2 Hand free",K$553="Level 3",K$553="Level 4",K$553="Level 5"),1,0)</f>
        <v>0</v>
      </c>
      <c r="AK553">
        <f t="shared" ref="AK553:AT553" si="15">IF(OR(L$553="Level 2 Hand free",L$553="Level 3",L$553="Level 4",L$553="Level 5"),1,0)</f>
        <v>0</v>
      </c>
      <c r="AL553">
        <f>IF(OR(M$553="Level 2 Hand free",M$553="Level 3",M$553="Level 4",M$553="Level 5"),1,0)</f>
        <v>0</v>
      </c>
      <c r="AM553">
        <f>IF(OR(N$553="Level 2 Hand free",N$553="Level 3",N$553="Level 4",N$553="Level 5"),1,0)</f>
        <v>0</v>
      </c>
      <c r="AN553">
        <f>IF(OR(O$553="Level 2 Hand free",O$553="Level 3",O$553="Level 4",O$553="Level 5"),1,0)</f>
        <v>0</v>
      </c>
      <c r="AO553">
        <f>IF(OR(P$553="Level 2 Hand free",P$553="Level 3",P$553="Level 4",P$553="Level 5"),1,0)</f>
        <v>0</v>
      </c>
      <c r="AP553">
        <f>IF(OR(Q$553="Level 2 Hand free",Q$553="Level 3",Q$553="Level 4",Q$553="Level 5"),1,0)</f>
        <v>0</v>
      </c>
      <c r="AQ553">
        <f t="shared" si="15"/>
        <v>0</v>
      </c>
      <c r="AR553">
        <f t="shared" si="15"/>
        <v>0</v>
      </c>
      <c r="AS553">
        <f t="shared" si="15"/>
        <v>0</v>
      </c>
      <c r="AT553">
        <f t="shared" si="15"/>
        <v>0</v>
      </c>
      <c r="AV553">
        <f>MAX(AF553:AT553)</f>
        <v>0</v>
      </c>
    </row>
    <row r="554" spans="1:48" ht="13.8">
      <c r="A554" s="16"/>
      <c r="B554" s="617" t="s">
        <v>549</v>
      </c>
      <c r="C554" s="626"/>
      <c r="D554" s="164" t="s">
        <v>46</v>
      </c>
      <c r="E554" s="164"/>
      <c r="F554" s="587" t="s">
        <v>1182</v>
      </c>
      <c r="G554" s="518" t="s">
        <v>64</v>
      </c>
      <c r="H554" s="518" t="s">
        <v>64</v>
      </c>
      <c r="I554" s="518" t="s">
        <v>64</v>
      </c>
      <c r="J554" s="518" t="s">
        <v>64</v>
      </c>
      <c r="K554" s="518" t="s">
        <v>64</v>
      </c>
      <c r="L554" s="518" t="s">
        <v>64</v>
      </c>
      <c r="M554" s="518" t="s">
        <v>64</v>
      </c>
      <c r="N554" s="518"/>
      <c r="O554" s="518"/>
      <c r="P554" s="518"/>
      <c r="Q554" s="518"/>
      <c r="R554" s="518"/>
      <c r="S554" s="518"/>
      <c r="T554" s="518"/>
      <c r="U554" s="518"/>
      <c r="V554" s="39" t="s">
        <v>46</v>
      </c>
      <c r="W554" s="5"/>
      <c r="X554" s="13"/>
      <c r="AF554">
        <f>IF(G$554="yes",1,0)</f>
        <v>1</v>
      </c>
      <c r="AG554">
        <f>IF(H$554="yes",1,0)</f>
        <v>1</v>
      </c>
      <c r="AH554">
        <f>IF(I$554="yes",1,0)</f>
        <v>1</v>
      </c>
      <c r="AI554">
        <f>IF(J$554="yes",1,0)</f>
        <v>1</v>
      </c>
      <c r="AJ554">
        <f>IF(K$554="yes",1,0)</f>
        <v>1</v>
      </c>
      <c r="AK554">
        <f t="shared" ref="AK554:AT554" si="16">IF(L$554="yes",1,0)</f>
        <v>1</v>
      </c>
      <c r="AL554">
        <f>IF(M$554="yes",1,0)</f>
        <v>1</v>
      </c>
      <c r="AM554">
        <f>IF(N$554="yes",1,0)</f>
        <v>0</v>
      </c>
      <c r="AN554">
        <f>IF(O$554="yes",1,0)</f>
        <v>0</v>
      </c>
      <c r="AO554">
        <f>IF(P$554="yes",1,0)</f>
        <v>0</v>
      </c>
      <c r="AP554">
        <f>IF(Q$554="yes",1,0)</f>
        <v>0</v>
      </c>
      <c r="AQ554">
        <f t="shared" si="16"/>
        <v>0</v>
      </c>
      <c r="AR554">
        <f t="shared" si="16"/>
        <v>0</v>
      </c>
      <c r="AS554">
        <f t="shared" si="16"/>
        <v>0</v>
      </c>
      <c r="AT554">
        <f t="shared" si="16"/>
        <v>0</v>
      </c>
      <c r="AV554">
        <f>MAX(AF554:AT554)</f>
        <v>1</v>
      </c>
    </row>
    <row r="555" spans="1:48" ht="13.8">
      <c r="A555" s="16"/>
      <c r="B555" s="617" t="s">
        <v>550</v>
      </c>
      <c r="C555" s="626"/>
      <c r="D555" s="164" t="s">
        <v>46</v>
      </c>
      <c r="E555" s="164"/>
      <c r="F555" s="587" t="s">
        <v>1182</v>
      </c>
      <c r="G555" s="518" t="s">
        <v>64</v>
      </c>
      <c r="H555" s="518" t="s">
        <v>64</v>
      </c>
      <c r="I555" s="518" t="s">
        <v>64</v>
      </c>
      <c r="J555" s="518" t="s">
        <v>64</v>
      </c>
      <c r="K555" s="518" t="s">
        <v>64</v>
      </c>
      <c r="L555" s="518" t="s">
        <v>64</v>
      </c>
      <c r="M555" s="518" t="s">
        <v>64</v>
      </c>
      <c r="N555" s="518"/>
      <c r="O555" s="518"/>
      <c r="P555" s="518"/>
      <c r="Q555" s="518"/>
      <c r="R555" s="518"/>
      <c r="S555" s="518"/>
      <c r="T555" s="518"/>
      <c r="U555" s="518"/>
      <c r="V555" s="39" t="s">
        <v>46</v>
      </c>
      <c r="W555" s="5"/>
      <c r="X555" s="13"/>
      <c r="AF555">
        <f>IF(G$555="yes",1,0)</f>
        <v>1</v>
      </c>
      <c r="AG555">
        <f>IF(H$555="yes",1,0)</f>
        <v>1</v>
      </c>
      <c r="AH555">
        <f>IF(I$555="yes",1,0)</f>
        <v>1</v>
      </c>
      <c r="AI555">
        <f>IF(J$555="yes",1,0)</f>
        <v>1</v>
      </c>
      <c r="AJ555">
        <f>IF(K$555="yes",1,0)</f>
        <v>1</v>
      </c>
      <c r="AK555">
        <f t="shared" ref="AK555:AT555" si="17">IF(L$555="yes",1,0)</f>
        <v>1</v>
      </c>
      <c r="AL555">
        <f>IF(M$555="yes",1,0)</f>
        <v>1</v>
      </c>
      <c r="AM555">
        <f>IF(N$555="yes",1,0)</f>
        <v>0</v>
      </c>
      <c r="AN555">
        <f>IF(O$555="yes",1,0)</f>
        <v>0</v>
      </c>
      <c r="AO555">
        <f>IF(P$555="yes",1,0)</f>
        <v>0</v>
      </c>
      <c r="AP555">
        <f>IF(Q$555="yes",1,0)</f>
        <v>0</v>
      </c>
      <c r="AQ555">
        <f t="shared" si="17"/>
        <v>0</v>
      </c>
      <c r="AR555">
        <f t="shared" si="17"/>
        <v>0</v>
      </c>
      <c r="AS555">
        <f t="shared" si="17"/>
        <v>0</v>
      </c>
      <c r="AT555">
        <f t="shared" si="17"/>
        <v>0</v>
      </c>
      <c r="AV555">
        <f>MAX(AF555:AT555)</f>
        <v>1</v>
      </c>
    </row>
    <row r="556" spans="1:48" ht="13.8">
      <c r="A556" s="16"/>
      <c r="B556" s="617" t="s">
        <v>551</v>
      </c>
      <c r="C556" s="626"/>
      <c r="D556" s="164" t="s">
        <v>46</v>
      </c>
      <c r="E556" s="164"/>
      <c r="F556" s="587" t="s">
        <v>1182</v>
      </c>
      <c r="G556" s="518" t="s">
        <v>553</v>
      </c>
      <c r="H556" s="518" t="s">
        <v>553</v>
      </c>
      <c r="I556" s="518" t="s">
        <v>553</v>
      </c>
      <c r="J556" s="518" t="s">
        <v>553</v>
      </c>
      <c r="K556" s="518" t="s">
        <v>553</v>
      </c>
      <c r="L556" s="518" t="s">
        <v>553</v>
      </c>
      <c r="M556" s="518" t="s">
        <v>553</v>
      </c>
      <c r="N556" s="518"/>
      <c r="O556" s="518"/>
      <c r="P556" s="518"/>
      <c r="Q556" s="518"/>
      <c r="R556" s="518"/>
      <c r="S556" s="518"/>
      <c r="T556" s="518"/>
      <c r="U556" s="518"/>
      <c r="V556" s="39" t="s">
        <v>46</v>
      </c>
      <c r="W556" s="5"/>
      <c r="X556" s="13"/>
    </row>
    <row r="557" spans="1:48" ht="13.8">
      <c r="A557" s="16"/>
      <c r="B557" s="617" t="s">
        <v>315</v>
      </c>
      <c r="C557" s="618"/>
      <c r="D557" s="164" t="s">
        <v>46</v>
      </c>
      <c r="E557" s="164"/>
      <c r="F557" s="587" t="s">
        <v>1182</v>
      </c>
      <c r="G557" s="518" t="s">
        <v>323</v>
      </c>
      <c r="H557" s="518" t="s">
        <v>323</v>
      </c>
      <c r="I557" s="518" t="s">
        <v>323</v>
      </c>
      <c r="J557" s="518" t="s">
        <v>323</v>
      </c>
      <c r="K557" s="518" t="s">
        <v>323</v>
      </c>
      <c r="L557" s="518" t="s">
        <v>323</v>
      </c>
      <c r="M557" s="518" t="s">
        <v>323</v>
      </c>
      <c r="N557" s="518"/>
      <c r="O557" s="518"/>
      <c r="P557" s="518"/>
      <c r="Q557" s="518"/>
      <c r="R557" s="518"/>
      <c r="S557" s="518"/>
      <c r="T557" s="518"/>
      <c r="U557" s="518"/>
      <c r="V557" s="39" t="s">
        <v>46</v>
      </c>
      <c r="W557" s="5"/>
      <c r="X557" s="13"/>
    </row>
    <row r="558" spans="1:48" ht="13.8">
      <c r="A558" s="16"/>
      <c r="B558" s="617" t="s">
        <v>332</v>
      </c>
      <c r="C558" s="626"/>
      <c r="D558" s="164" t="s">
        <v>46</v>
      </c>
      <c r="E558" s="164"/>
      <c r="F558" s="78"/>
      <c r="G558" s="518"/>
      <c r="H558" s="518"/>
      <c r="I558" s="518"/>
      <c r="J558" s="518"/>
      <c r="K558" s="518"/>
      <c r="L558" s="518"/>
      <c r="M558" s="518"/>
      <c r="N558" s="518"/>
      <c r="O558" s="518"/>
      <c r="P558" s="518"/>
      <c r="Q558" s="518"/>
      <c r="R558" s="518"/>
      <c r="S558" s="518"/>
      <c r="T558" s="518"/>
      <c r="U558" s="518"/>
      <c r="V558" s="39" t="s">
        <v>46</v>
      </c>
      <c r="W558" s="5"/>
      <c r="X558" s="13"/>
    </row>
    <row r="559" spans="1:48" ht="13.8">
      <c r="A559" s="16"/>
      <c r="B559" s="617" t="s">
        <v>556</v>
      </c>
      <c r="C559" s="618"/>
      <c r="D559" s="165" t="s">
        <v>46</v>
      </c>
      <c r="E559" s="427" t="str">
        <f>IF(COUNTIF(G559:U559,"")+COUNTIF(G559:U559,"no")+COUNTIF(G559:U559,"short time")+COUNTIF(G559:U559,"long time")&lt;15,"FAILURE"&amp;CHAR(10)&amp;"one of your parameter is not expected."&amp;CHAR(10)&amp;"Please use only the selection liste","check")</f>
        <v>check</v>
      </c>
      <c r="F559" s="78"/>
      <c r="G559" s="519"/>
      <c r="H559" s="519"/>
      <c r="I559" s="519"/>
      <c r="J559" s="519"/>
      <c r="K559" s="519"/>
      <c r="L559" s="519"/>
      <c r="M559" s="519"/>
      <c r="N559" s="519"/>
      <c r="O559" s="519"/>
      <c r="P559" s="519"/>
      <c r="Q559" s="519"/>
      <c r="R559" s="519"/>
      <c r="S559" s="519"/>
      <c r="T559" s="519"/>
      <c r="U559" s="519"/>
      <c r="V559" s="39" t="s">
        <v>46</v>
      </c>
      <c r="W559" s="5"/>
      <c r="X559" s="13"/>
    </row>
    <row r="560" spans="1:48" ht="13.8">
      <c r="A560" s="16"/>
      <c r="B560" s="617" t="s">
        <v>558</v>
      </c>
      <c r="C560" s="626"/>
      <c r="D560" s="165" t="s">
        <v>46</v>
      </c>
      <c r="E560" s="427" t="str">
        <f>IF(COUNTIF(G560:U560,"")+COUNTIF(G560:U560,"immediately stop")+COUNTIF(G560:U560,"fail operational")&lt;15,"FAILURE"&amp;CHAR(10)&amp;"one of your parameter is not expected."&amp;CHAR(10)&amp;"Please use only the selection liste","check")</f>
        <v>check</v>
      </c>
      <c r="F560" s="587" t="s">
        <v>1182</v>
      </c>
      <c r="G560" s="519" t="s">
        <v>367</v>
      </c>
      <c r="H560" s="519" t="s">
        <v>367</v>
      </c>
      <c r="I560" s="519" t="s">
        <v>367</v>
      </c>
      <c r="J560" s="519" t="s">
        <v>367</v>
      </c>
      <c r="K560" s="519" t="s">
        <v>367</v>
      </c>
      <c r="L560" s="519" t="s">
        <v>367</v>
      </c>
      <c r="M560" s="519" t="s">
        <v>367</v>
      </c>
      <c r="N560" s="519"/>
      <c r="O560" s="519"/>
      <c r="P560" s="519"/>
      <c r="Q560" s="519"/>
      <c r="R560" s="519"/>
      <c r="S560" s="519"/>
      <c r="T560" s="519"/>
      <c r="U560" s="519"/>
      <c r="V560" s="39" t="s">
        <v>46</v>
      </c>
      <c r="W560" s="5"/>
      <c r="X560" s="13"/>
    </row>
    <row r="561" spans="1:27" ht="13.8">
      <c r="A561" s="16"/>
      <c r="B561" s="617" t="s">
        <v>666</v>
      </c>
      <c r="C561" s="626"/>
      <c r="D561" s="165" t="s">
        <v>333</v>
      </c>
      <c r="E561" s="165"/>
      <c r="F561" s="587" t="s">
        <v>1182</v>
      </c>
      <c r="G561" s="519">
        <v>5</v>
      </c>
      <c r="H561" s="519">
        <v>5</v>
      </c>
      <c r="I561" s="519">
        <v>5</v>
      </c>
      <c r="J561" s="519">
        <v>5</v>
      </c>
      <c r="K561" s="519">
        <v>5</v>
      </c>
      <c r="L561" s="519">
        <v>5</v>
      </c>
      <c r="M561" s="519">
        <v>5</v>
      </c>
      <c r="N561" s="519"/>
      <c r="O561" s="519"/>
      <c r="P561" s="519"/>
      <c r="Q561" s="519"/>
      <c r="R561" s="519"/>
      <c r="S561" s="519"/>
      <c r="T561" s="519"/>
      <c r="U561" s="519"/>
      <c r="V561" s="39" t="s">
        <v>333</v>
      </c>
      <c r="W561" s="5"/>
      <c r="X561" s="13"/>
    </row>
    <row r="562" spans="1:27" ht="13.8">
      <c r="A562" s="16"/>
      <c r="B562" s="617" t="s">
        <v>561</v>
      </c>
      <c r="C562" s="626"/>
      <c r="D562" s="165" t="s">
        <v>560</v>
      </c>
      <c r="E562" s="165"/>
      <c r="F562" s="79"/>
      <c r="G562" s="519"/>
      <c r="H562" s="519"/>
      <c r="I562" s="519"/>
      <c r="J562" s="519"/>
      <c r="K562" s="519"/>
      <c r="L562" s="519"/>
      <c r="M562" s="519"/>
      <c r="N562" s="519"/>
      <c r="O562" s="519"/>
      <c r="P562" s="519"/>
      <c r="Q562" s="519"/>
      <c r="R562" s="519"/>
      <c r="S562" s="519"/>
      <c r="T562" s="519"/>
      <c r="U562" s="519"/>
      <c r="V562" s="39" t="s">
        <v>560</v>
      </c>
      <c r="W562" s="5"/>
      <c r="X562" s="13"/>
    </row>
    <row r="563" spans="1:27" ht="14.4" thickBot="1">
      <c r="A563" s="16"/>
      <c r="B563" s="28"/>
      <c r="C563" s="24"/>
      <c r="D563" s="24"/>
      <c r="E563" s="24"/>
      <c r="F563" s="24"/>
      <c r="G563" s="332"/>
      <c r="H563" s="332"/>
      <c r="I563" s="332"/>
      <c r="J563" s="332"/>
      <c r="K563" s="332"/>
      <c r="L563" s="338"/>
      <c r="M563" s="338"/>
      <c r="N563" s="338"/>
      <c r="O563" s="338"/>
      <c r="P563" s="338"/>
      <c r="Q563" s="338"/>
      <c r="R563" s="338"/>
      <c r="S563" s="332"/>
      <c r="T563" s="332"/>
      <c r="U563" s="332"/>
      <c r="V563" s="390"/>
      <c r="W563" s="69"/>
      <c r="X563" s="391"/>
      <c r="Y563" s="130"/>
      <c r="Z563" s="383"/>
      <c r="AA563" s="130"/>
    </row>
    <row r="564" spans="1:27" ht="14.4" thickBot="1">
      <c r="A564" s="16"/>
      <c r="B564" s="5"/>
      <c r="C564" s="5"/>
      <c r="D564" s="5"/>
      <c r="E564" s="5"/>
      <c r="F564" s="29"/>
      <c r="G564" s="30" t="str">
        <f>$G$44</f>
        <v>L 2WD NAO 2ROW</v>
      </c>
      <c r="H564" s="30" t="str">
        <f>$H$44</f>
        <v>L 4WD NAO 2ROW US</v>
      </c>
      <c r="I564" s="30" t="str">
        <f>$I$44</f>
        <v>L 4WD NAO 2ROW</v>
      </c>
      <c r="J564" s="30" t="str">
        <f>$J$44</f>
        <v>L 4WD NAO 3ROW</v>
      </c>
      <c r="K564" s="30" t="str">
        <f>$K$44</f>
        <v>R 2WD NAO 2ROW</v>
      </c>
      <c r="L564" s="30" t="str">
        <f>$L$44</f>
        <v>R 4WD NAO 2ROW</v>
      </c>
      <c r="M564" s="30" t="str">
        <f>$M$44</f>
        <v>R 4WD NAO 3ROW</v>
      </c>
      <c r="N564" s="30" t="str">
        <f>$N$44</f>
        <v/>
      </c>
      <c r="O564" s="30" t="str">
        <f>$O$44</f>
        <v/>
      </c>
      <c r="P564" s="30" t="str">
        <f>$P$44</f>
        <v/>
      </c>
      <c r="Q564" s="30" t="str">
        <f>$Q$44</f>
        <v/>
      </c>
      <c r="R564" s="30" t="str">
        <f>$R$44</f>
        <v/>
      </c>
      <c r="S564" s="30" t="str">
        <f>$S$44</f>
        <v/>
      </c>
      <c r="T564" s="30" t="str">
        <f>$T$44</f>
        <v/>
      </c>
      <c r="U564" s="30" t="str">
        <f>$U$44</f>
        <v/>
      </c>
      <c r="V564" s="5"/>
      <c r="W564" s="5"/>
      <c r="X564" s="13"/>
    </row>
    <row r="565" spans="1:27" ht="30.6" thickBot="1">
      <c r="A565" s="16"/>
      <c r="B565" s="642" t="s">
        <v>82</v>
      </c>
      <c r="C565" s="643"/>
      <c r="D565" s="643"/>
      <c r="E565" s="643"/>
      <c r="F565" s="643"/>
      <c r="G565" s="643"/>
      <c r="H565" s="643"/>
      <c r="I565" s="643"/>
      <c r="J565" s="643"/>
      <c r="K565" s="644"/>
      <c r="L565" s="104"/>
      <c r="M565" s="105"/>
      <c r="N565" s="105"/>
      <c r="O565" s="105"/>
      <c r="P565" s="105"/>
      <c r="Q565" s="105"/>
      <c r="R565" s="105"/>
      <c r="S565" s="105"/>
      <c r="T565" s="105"/>
      <c r="U565" s="105"/>
      <c r="V565" s="105"/>
      <c r="W565" s="105"/>
      <c r="X565" s="38"/>
    </row>
    <row r="569" spans="1:27">
      <c r="X569" s="5"/>
    </row>
    <row r="578" spans="1:1">
      <c r="A578" s="2"/>
    </row>
    <row r="579" spans="1:1">
      <c r="A579" s="2"/>
    </row>
    <row r="580" spans="1:1">
      <c r="A580" s="2"/>
    </row>
    <row r="581" spans="1:1">
      <c r="A581" s="2"/>
    </row>
    <row r="582" spans="1:1">
      <c r="A582" s="2"/>
    </row>
    <row r="583" spans="1:1">
      <c r="A583" s="2"/>
    </row>
    <row r="584" spans="1:1">
      <c r="A584" s="2"/>
    </row>
    <row r="585" spans="1:1">
      <c r="A585" s="2"/>
    </row>
    <row r="586" spans="1:1">
      <c r="A586" s="2"/>
    </row>
    <row r="587" spans="1:1">
      <c r="A587" s="2"/>
    </row>
    <row r="588" spans="1:1">
      <c r="A588" s="2"/>
    </row>
    <row r="589" spans="1:1">
      <c r="A589" s="2"/>
    </row>
    <row r="590" spans="1:1">
      <c r="A590" s="2"/>
    </row>
    <row r="591" spans="1:1">
      <c r="A591" s="2"/>
    </row>
    <row r="592" spans="1:1">
      <c r="A592" s="2"/>
    </row>
    <row r="593" spans="1:1">
      <c r="A593" s="2"/>
    </row>
    <row r="594" spans="1:1">
      <c r="A594" s="2"/>
    </row>
    <row r="595" spans="1:1">
      <c r="A595" s="2"/>
    </row>
    <row r="596" spans="1:1">
      <c r="A596" s="2"/>
    </row>
    <row r="597" spans="1:1">
      <c r="A597" s="2"/>
    </row>
    <row r="598" spans="1:1">
      <c r="A598" s="2"/>
    </row>
    <row r="599" spans="1:1">
      <c r="A599" s="2"/>
    </row>
    <row r="600" spans="1:1">
      <c r="A600" s="2"/>
    </row>
    <row r="601" spans="1:1">
      <c r="A601" s="2"/>
    </row>
    <row r="602" spans="1:1">
      <c r="A602" s="2"/>
    </row>
    <row r="603" spans="1:1">
      <c r="A603" s="2"/>
    </row>
    <row r="604" spans="1:1">
      <c r="A604" s="2"/>
    </row>
    <row r="605" spans="1:1">
      <c r="A605" s="2"/>
    </row>
    <row r="606" spans="1:1">
      <c r="A606" s="2"/>
    </row>
    <row r="607" spans="1:1">
      <c r="A607" s="2"/>
    </row>
    <row r="608" spans="1:1">
      <c r="A608" s="2"/>
    </row>
    <row r="609" spans="1:1">
      <c r="A609" s="2"/>
    </row>
    <row r="610" spans="1:1">
      <c r="A610" s="2"/>
    </row>
    <row r="611" spans="1:1">
      <c r="A611" s="2"/>
    </row>
    <row r="612" spans="1:1">
      <c r="A612" s="2"/>
    </row>
    <row r="613" spans="1:1">
      <c r="A613" s="2"/>
    </row>
    <row r="614" spans="1:1">
      <c r="A614" s="2"/>
    </row>
    <row r="615" spans="1:1">
      <c r="A615" s="2"/>
    </row>
  </sheetData>
  <sheetProtection formatColumns="0" formatRows="0"/>
  <dataConsolidate link="1"/>
  <mergeCells count="308">
    <mergeCell ref="B215:C215"/>
    <mergeCell ref="B216:C216"/>
    <mergeCell ref="B217:C217"/>
    <mergeCell ref="B218:C218"/>
    <mergeCell ref="B219:C219"/>
    <mergeCell ref="B75:C75"/>
    <mergeCell ref="B74:C74"/>
    <mergeCell ref="B73:C73"/>
    <mergeCell ref="B71:C71"/>
    <mergeCell ref="B176:C176"/>
    <mergeCell ref="B211:C211"/>
    <mergeCell ref="B157:C157"/>
    <mergeCell ref="B158:C158"/>
    <mergeCell ref="B159:C159"/>
    <mergeCell ref="B77:C77"/>
    <mergeCell ref="B78:C78"/>
    <mergeCell ref="B180:C180"/>
    <mergeCell ref="B162:C162"/>
    <mergeCell ref="B156:C156"/>
    <mergeCell ref="B141:C141"/>
    <mergeCell ref="B107:C107"/>
    <mergeCell ref="B94:C94"/>
    <mergeCell ref="B95:C95"/>
    <mergeCell ref="B83:C83"/>
    <mergeCell ref="B220:C220"/>
    <mergeCell ref="B169:C169"/>
    <mergeCell ref="B170:C170"/>
    <mergeCell ref="B171:C171"/>
    <mergeCell ref="B30:E30"/>
    <mergeCell ref="B70:C70"/>
    <mergeCell ref="B76:C76"/>
    <mergeCell ref="B207:C207"/>
    <mergeCell ref="B208:C208"/>
    <mergeCell ref="B209:C209"/>
    <mergeCell ref="B66:C66"/>
    <mergeCell ref="B67:C67"/>
    <mergeCell ref="B68:C68"/>
    <mergeCell ref="B69:C69"/>
    <mergeCell ref="E108:E109"/>
    <mergeCell ref="B115:C115"/>
    <mergeCell ref="B179:C179"/>
    <mergeCell ref="B177:C177"/>
    <mergeCell ref="B178:C178"/>
    <mergeCell ref="B168:C168"/>
    <mergeCell ref="B50:C50"/>
    <mergeCell ref="B212:C212"/>
    <mergeCell ref="B214:C214"/>
    <mergeCell ref="B213:C213"/>
    <mergeCell ref="M24:Q24"/>
    <mergeCell ref="M25:Q25"/>
    <mergeCell ref="N18:P18"/>
    <mergeCell ref="N19:P19"/>
    <mergeCell ref="N20:P20"/>
    <mergeCell ref="N21:P21"/>
    <mergeCell ref="B86:C86"/>
    <mergeCell ref="B87:C87"/>
    <mergeCell ref="B88:C88"/>
    <mergeCell ref="B62:C62"/>
    <mergeCell ref="B63:C63"/>
    <mergeCell ref="B64:C64"/>
    <mergeCell ref="B65:C65"/>
    <mergeCell ref="B72:C72"/>
    <mergeCell ref="B60:C60"/>
    <mergeCell ref="B79:C79"/>
    <mergeCell ref="G24:J24"/>
    <mergeCell ref="B19:F19"/>
    <mergeCell ref="B20:F20"/>
    <mergeCell ref="B61:C61"/>
    <mergeCell ref="B80:C80"/>
    <mergeCell ref="B81:C81"/>
    <mergeCell ref="B84:C84"/>
    <mergeCell ref="B59:C59"/>
    <mergeCell ref="B10:F10"/>
    <mergeCell ref="B47:C47"/>
    <mergeCell ref="B48:C48"/>
    <mergeCell ref="B49:C49"/>
    <mergeCell ref="B58:C58"/>
    <mergeCell ref="B46:C46"/>
    <mergeCell ref="G23:J23"/>
    <mergeCell ref="B142:C142"/>
    <mergeCell ref="G12:J12"/>
    <mergeCell ref="G13:J13"/>
    <mergeCell ref="B99:C99"/>
    <mergeCell ref="B92:C92"/>
    <mergeCell ref="E110:E111"/>
    <mergeCell ref="B103:C103"/>
    <mergeCell ref="B56:C56"/>
    <mergeCell ref="B51:C51"/>
    <mergeCell ref="B52:C52"/>
    <mergeCell ref="B54:C54"/>
    <mergeCell ref="B53:C53"/>
    <mergeCell ref="B55:C55"/>
    <mergeCell ref="B90:C90"/>
    <mergeCell ref="B109:C109"/>
    <mergeCell ref="B82:C82"/>
    <mergeCell ref="B57:C57"/>
    <mergeCell ref="N7:P7"/>
    <mergeCell ref="N6:P6"/>
    <mergeCell ref="N8:P8"/>
    <mergeCell ref="N9:P9"/>
    <mergeCell ref="N10:P10"/>
    <mergeCell ref="N11:P11"/>
    <mergeCell ref="N12:P12"/>
    <mergeCell ref="N13:P13"/>
    <mergeCell ref="N14:P14"/>
    <mergeCell ref="B85:C85"/>
    <mergeCell ref="B96:C96"/>
    <mergeCell ref="B91:C91"/>
    <mergeCell ref="B138:C138"/>
    <mergeCell ref="B136:C136"/>
    <mergeCell ref="B137:C137"/>
    <mergeCell ref="B128:C128"/>
    <mergeCell ref="B129:C129"/>
    <mergeCell ref="B93:C93"/>
    <mergeCell ref="B118:C118"/>
    <mergeCell ref="B117:C117"/>
    <mergeCell ref="B116:C116"/>
    <mergeCell ref="B135:C135"/>
    <mergeCell ref="B121:C121"/>
    <mergeCell ref="B122:C122"/>
    <mergeCell ref="B123:C123"/>
    <mergeCell ref="B124:C124"/>
    <mergeCell ref="B125:C125"/>
    <mergeCell ref="B126:C126"/>
    <mergeCell ref="B108:C108"/>
    <mergeCell ref="B127:C127"/>
    <mergeCell ref="H1:J1"/>
    <mergeCell ref="A1:G1"/>
    <mergeCell ref="G6:J6"/>
    <mergeCell ref="G7:J7"/>
    <mergeCell ref="G8:J8"/>
    <mergeCell ref="G9:J9"/>
    <mergeCell ref="B5:K5"/>
    <mergeCell ref="B6:F6"/>
    <mergeCell ref="B7:F7"/>
    <mergeCell ref="B8:F8"/>
    <mergeCell ref="B9:F9"/>
    <mergeCell ref="M5:Q5"/>
    <mergeCell ref="B22:F22"/>
    <mergeCell ref="G22:J22"/>
    <mergeCell ref="G14:J14"/>
    <mergeCell ref="G17:J17"/>
    <mergeCell ref="B24:F24"/>
    <mergeCell ref="G16:J16"/>
    <mergeCell ref="G19:J19"/>
    <mergeCell ref="B11:F11"/>
    <mergeCell ref="G20:J20"/>
    <mergeCell ref="G18:J18"/>
    <mergeCell ref="B21:F21"/>
    <mergeCell ref="G21:J21"/>
    <mergeCell ref="G15:J15"/>
    <mergeCell ref="B14:F14"/>
    <mergeCell ref="B15:F15"/>
    <mergeCell ref="G11:J11"/>
    <mergeCell ref="B17:F17"/>
    <mergeCell ref="B16:F16"/>
    <mergeCell ref="B18:F18"/>
    <mergeCell ref="N15:P15"/>
    <mergeCell ref="N16:P16"/>
    <mergeCell ref="N17:P17"/>
    <mergeCell ref="G10:J10"/>
    <mergeCell ref="B503:D503"/>
    <mergeCell ref="B455:D455"/>
    <mergeCell ref="B522:D522"/>
    <mergeCell ref="B565:K565"/>
    <mergeCell ref="B508:D508"/>
    <mergeCell ref="B509:D509"/>
    <mergeCell ref="B453:D453"/>
    <mergeCell ref="B454:D454"/>
    <mergeCell ref="B528:D528"/>
    <mergeCell ref="B529:D529"/>
    <mergeCell ref="B531:D531"/>
    <mergeCell ref="B534:D534"/>
    <mergeCell ref="B535:D535"/>
    <mergeCell ref="B538:C538"/>
    <mergeCell ref="B510:D510"/>
    <mergeCell ref="B511:D511"/>
    <mergeCell ref="B512:D512"/>
    <mergeCell ref="B515:D515"/>
    <mergeCell ref="B517:D517"/>
    <mergeCell ref="B521:D521"/>
    <mergeCell ref="B500:D500"/>
    <mergeCell ref="B524:D524"/>
    <mergeCell ref="B561:C561"/>
    <mergeCell ref="B558:C558"/>
    <mergeCell ref="B519:D519"/>
    <mergeCell ref="B520:D520"/>
    <mergeCell ref="B557:C557"/>
    <mergeCell ref="B559:C559"/>
    <mergeCell ref="B541:C541"/>
    <mergeCell ref="B553:C553"/>
    <mergeCell ref="B554:C554"/>
    <mergeCell ref="B555:C555"/>
    <mergeCell ref="B556:C556"/>
    <mergeCell ref="B542:C542"/>
    <mergeCell ref="B523:D523"/>
    <mergeCell ref="B539:C539"/>
    <mergeCell ref="B540:C540"/>
    <mergeCell ref="B552:C552"/>
    <mergeCell ref="B544:C544"/>
    <mergeCell ref="B545:C545"/>
    <mergeCell ref="B546:C546"/>
    <mergeCell ref="B547:C547"/>
    <mergeCell ref="B392:C392"/>
    <mergeCell ref="B407:C407"/>
    <mergeCell ref="B408:C408"/>
    <mergeCell ref="B450:D450"/>
    <mergeCell ref="B451:D451"/>
    <mergeCell ref="B452:D452"/>
    <mergeCell ref="B409:C409"/>
    <mergeCell ref="B462:D462"/>
    <mergeCell ref="B449:D449"/>
    <mergeCell ref="B504:D504"/>
    <mergeCell ref="B525:D525"/>
    <mergeCell ref="B526:D526"/>
    <mergeCell ref="B527:D527"/>
    <mergeCell ref="B560:C560"/>
    <mergeCell ref="B458:D458"/>
    <mergeCell ref="B313:D313"/>
    <mergeCell ref="B376:C376"/>
    <mergeCell ref="B362:C362"/>
    <mergeCell ref="B405:C405"/>
    <mergeCell ref="B406:C406"/>
    <mergeCell ref="B364:C364"/>
    <mergeCell ref="B395:C395"/>
    <mergeCell ref="B402:C402"/>
    <mergeCell ref="B403:C403"/>
    <mergeCell ref="B404:C404"/>
    <mergeCell ref="B344:D344"/>
    <mergeCell ref="B327:D327"/>
    <mergeCell ref="B372:C372"/>
    <mergeCell ref="B373:C373"/>
    <mergeCell ref="B363:C363"/>
    <mergeCell ref="B389:C389"/>
    <mergeCell ref="B390:C390"/>
    <mergeCell ref="B391:C391"/>
    <mergeCell ref="B312:D312"/>
    <mergeCell ref="B273:C273"/>
    <mergeCell ref="B286:C286"/>
    <mergeCell ref="B290:C290"/>
    <mergeCell ref="B303:C303"/>
    <mergeCell ref="B311:D311"/>
    <mergeCell ref="B562:C562"/>
    <mergeCell ref="B410:C410"/>
    <mergeCell ref="B411:C411"/>
    <mergeCell ref="B326:C326"/>
    <mergeCell ref="B365:C365"/>
    <mergeCell ref="B374:C374"/>
    <mergeCell ref="B370:C370"/>
    <mergeCell ref="B371:C371"/>
    <mergeCell ref="B375:C375"/>
    <mergeCell ref="B394:C394"/>
    <mergeCell ref="B396:C396"/>
    <mergeCell ref="B401:C401"/>
    <mergeCell ref="B456:D456"/>
    <mergeCell ref="B457:D457"/>
    <mergeCell ref="B448:D448"/>
    <mergeCell ref="B505:D505"/>
    <mergeCell ref="B506:D506"/>
    <mergeCell ref="B507:D507"/>
    <mergeCell ref="B309:C309"/>
    <mergeCell ref="B310:D310"/>
    <mergeCell ref="B23:F23"/>
    <mergeCell ref="B228:C228"/>
    <mergeCell ref="B229:C229"/>
    <mergeCell ref="B182:C182"/>
    <mergeCell ref="B149:C149"/>
    <mergeCell ref="B167:C167"/>
    <mergeCell ref="B140:C140"/>
    <mergeCell ref="B146:C146"/>
    <mergeCell ref="B147:C147"/>
    <mergeCell ref="B148:C148"/>
    <mergeCell ref="B150:C150"/>
    <mergeCell ref="B151:C151"/>
    <mergeCell ref="B152:C152"/>
    <mergeCell ref="B153:C153"/>
    <mergeCell ref="B154:C154"/>
    <mergeCell ref="B130:C130"/>
    <mergeCell ref="B131:C131"/>
    <mergeCell ref="B132:C132"/>
    <mergeCell ref="B133:C133"/>
    <mergeCell ref="B134:C134"/>
    <mergeCell ref="B89:C89"/>
    <mergeCell ref="B97:C97"/>
    <mergeCell ref="B183:C194"/>
    <mergeCell ref="B195:C206"/>
    <mergeCell ref="B12:F12"/>
    <mergeCell ref="B13:F13"/>
    <mergeCell ref="B237:C237"/>
    <mergeCell ref="B250:C250"/>
    <mergeCell ref="B254:C254"/>
    <mergeCell ref="B267:C267"/>
    <mergeCell ref="B308:C308"/>
    <mergeCell ref="B98:C98"/>
    <mergeCell ref="B119:C119"/>
    <mergeCell ref="B120:C120"/>
    <mergeCell ref="B110:C110"/>
    <mergeCell ref="B111:C111"/>
    <mergeCell ref="B161:C161"/>
    <mergeCell ref="B163:C163"/>
    <mergeCell ref="B210:C210"/>
    <mergeCell ref="B224:C224"/>
    <mergeCell ref="B223:C223"/>
    <mergeCell ref="B181:C181"/>
    <mergeCell ref="B166:C166"/>
    <mergeCell ref="B139:C139"/>
    <mergeCell ref="B160:C160"/>
    <mergeCell ref="B155:C155"/>
  </mergeCells>
  <phoneticPr fontId="69" type="noConversion"/>
  <conditionalFormatting sqref="B394:C395">
    <cfRule type="expression" dxfId="595" priority="1494">
      <formula>IF(NOT(OR($G$15="Vacuum Booster",$G$15="Hydro-Boost")),TRUE)</formula>
    </cfRule>
  </conditionalFormatting>
  <conditionalFormatting sqref="B73:B75">
    <cfRule type="expression" dxfId="594" priority="1364">
      <formula>IF(NOT(OR($G$12="EMB S-35kN",$G$12="EMB M-50kN",$G$12="EMB L-65kN",$G$13="EMB S-35kN",$G$13="EMB M-50kN",$G$13="EMB L-65kN")),TRUE)</formula>
    </cfRule>
  </conditionalFormatting>
  <conditionalFormatting sqref="B79:E79 N79:V79">
    <cfRule type="expression" dxfId="593" priority="1324">
      <formula>IF(NOT($G$22="yes"),TRUE)</formula>
    </cfRule>
  </conditionalFormatting>
  <conditionalFormatting sqref="G86:U86">
    <cfRule type="expression" dxfId="592" priority="153">
      <formula>IF(NOT(OR($G$22="yes",$G$15="BWA Size S",$G$15="BWA Size M")),TRUE)</formula>
    </cfRule>
  </conditionalFormatting>
  <conditionalFormatting sqref="V79">
    <cfRule type="expression" dxfId="591" priority="1322">
      <formula>IF(NOT($G$22="yes"),TRUE)</formula>
    </cfRule>
  </conditionalFormatting>
  <conditionalFormatting sqref="D375:U375">
    <cfRule type="expression" dxfId="590" priority="136">
      <formula>IF(NOT(OR($G$15="BWA Size S",$G$15="BWA Size M",$G$15="iBoosterGen1",$G$15="iBoosterGen2",$G$15="iBoosterGen2evo")),TRUE)</formula>
    </cfRule>
  </conditionalFormatting>
  <conditionalFormatting sqref="V375">
    <cfRule type="expression" dxfId="589" priority="137">
      <formula>IF(NOT(OR($G$15="BWA Size S",$G$15="BWA Size M",$G$15="iBoosterGen1",$G$15="iBoosterGen2",$G$15="iBoosterGen2evo")),TRUE)</formula>
    </cfRule>
  </conditionalFormatting>
  <conditionalFormatting sqref="B396">
    <cfRule type="expression" dxfId="588" priority="1310">
      <formula>IF(NOT(AND($G$15="Vacuum Booster",OR($G$14="ESP9.3HP - ESP hevX",$G$14="ESP9.3HU - ESP hevII",$G$14="ESP9UHDH - ESP hevX",$G$14="ESP10HB - ESP hevX",$G$14="ESP10HE - ESP hevX",$G$14="ESP10HP - ESP hevX",$G$14="ESP10HU - ESP hevX"))),TRUE)</formula>
    </cfRule>
  </conditionalFormatting>
  <conditionalFormatting sqref="V394:V395">
    <cfRule type="expression" dxfId="587" priority="1307">
      <formula>IF(NOT(OR($G$15="Vacuum Booster",$G$15="Hydro-Boost",$G$21="yes")),TRUE)</formula>
    </cfRule>
  </conditionalFormatting>
  <conditionalFormatting sqref="B401:C411">
    <cfRule type="expression" dxfId="586" priority="1306">
      <formula>IF(NOT($G$17="yes"),TRUE)</formula>
    </cfRule>
  </conditionalFormatting>
  <conditionalFormatting sqref="V401:V411">
    <cfRule type="expression" dxfId="585" priority="1286">
      <formula>IF(NOT($G$17="yes"),TRUE)</formula>
    </cfRule>
  </conditionalFormatting>
  <conditionalFormatting sqref="V396">
    <cfRule type="expression" dxfId="584" priority="1276">
      <formula>IF(NOT(AND($G$15="Vacuum Booster",OR($G$14="ESP9.3HP - ESP hevX",$G$14="ESP9.3HU - ESP hevII",$G$14="ESP9UHDH - ESP hevX",$G$14="ESP10HB - ESP hevX",$G$14="ESP10HE - ESP hevX",$G$14="ESP10HP - ESP hevX",$G$14="ESP10HU - ESP hevX"))),TRUE)</formula>
    </cfRule>
  </conditionalFormatting>
  <conditionalFormatting sqref="B72:E72 N72:V72">
    <cfRule type="expression" dxfId="583" priority="1268">
      <formula>IF(NOT(OR($G$12="EMB S-35kN",$G$12="EMB M-50kN",$G$12="EMB L-65kN",$G$13="EMB S-35kN",$G$13="EMB M-50kN",$G$13="EMB L-65kN",$G$14="IPB 1.0 Size S",$G$14="IPB 1.0 Size Se",$G$14="IPB 1.1 Size Sd",$G$14="IPB 1.1 Size Se",$G$14="IPB 2.0 Size S",$G$14="IPB 2.0 Size M",$G$14="IPB 2.0 Size L",$G$15="DPB Size M",$G$15="DPB Size L",$G$15="iBoosterGen2",$G$15="iBoosterGen1",$G$15="iBoosterGen2evo",$G$15="BWA Size S",$G$15="BWA Size M")),TRUE)</formula>
    </cfRule>
  </conditionalFormatting>
  <conditionalFormatting sqref="D80:U80">
    <cfRule type="expression" dxfId="582" priority="1267">
      <formula>IF(NOT(OR($G$14="ESP9.3CB - ESP Standard",$G$14="ESP9.3CP - ESP Standard",$G$14="ESP9UHDS - ESP Standard",$G$14="ESP9.3HP - ESP hevX",$G$14="ESP9.3HU - ESP hevII",$G$14="ESP9UHDH - ESP hevX",$G$14="ESP9.3TE - ESP Standard for light trucks",$G$14="ESP9.3TA - ESP Standard for medium heavy trucks",$G$14="ESP10CB - ESP Standard",$G$14="ESP10HB - ESP hevX",$G$14="ESP10CE - ESP Standard",$G$14="ESP10HE - ESP hevX",$G$14="ESP10CP - ESP Standard",$G$14="ESP10HP - ESP hevX",$G$14="ESP10CU - ESP Standard",$G$14="ESP10HU - ESP hevX",$G$14="Competitor",$G$14="ESP10CL - ESP Standard",$G$14="ESP10TE - ESP Standard for trucks",$G$14="ESP10TP - ESP Standard for trucks",$G$14="ESP10TU - ESP Standard for trucks",$G$21="yes",AND($G$22="yes",$G$12="Hydraulic Brake"))),TRUE)</formula>
    </cfRule>
  </conditionalFormatting>
  <conditionalFormatting sqref="B84:E84 B538:E538 N538:V538 G84:V84">
    <cfRule type="expression" dxfId="581" priority="1264">
      <formula>IF(NOT(OR($G$14="IPB 1.0 Size S",$G$14="IPB 1.0 Size Se",$G$14="IPB 1.1 Size Sd",$G$14="IPB 1.1 Size Se",$G$14="IPB 2.0 Size S",$G$14="IPB 2.0 Size M",$G$14="IPB 2.0 Size L",$G$15="DPB Size M",$G$15="DPB Size L")),TRUE)</formula>
    </cfRule>
  </conditionalFormatting>
  <conditionalFormatting sqref="B86">
    <cfRule type="expression" dxfId="580" priority="1261">
      <formula>IF(NOT(OR($G$22="yes",$G$15="BWA Size S",$G$15="BWA Size M")),TRUE)</formula>
    </cfRule>
  </conditionalFormatting>
  <conditionalFormatting sqref="B87:D87 G87:V87">
    <cfRule type="expression" dxfId="579" priority="1258">
      <formula>IF(NOT(OR($G$14="ESP9.3CB - ESP Standard",$G$14="ESP9.3CP - ESP Standard",$G$14="ESP9UHDS - ESP Standard",$G$14="ESP9.3TE - ESP Standard for light trucks",$G$14="ESP9.3TA - ESP Standard for medium heavy trucks",$G$14="ESP10CB - ESP Standard",$G$14="ESP10CE - ESP Standard",$G$14="ESP10CP - ESP Standard",$G$14="ESP10CU - ESP Standard",$G$14="Competitor",$G$14="ESP10CL - ESP Standard",$G$14="ESP10TE - ESP Standard for trucks",$G$14="ESP10TP - ESP Standard for trucks",$G$14="ESP10TU - ESP Standard for trucks",$G$21="yes",$G$22="yes")),TRUE)</formula>
    </cfRule>
  </conditionalFormatting>
  <conditionalFormatting sqref="B88:E88 G88:V88">
    <cfRule type="expression" dxfId="578" priority="265">
      <formula>IF(OR($G$14="IPB 2.0 Size L",$G$14="IPB 2.0 Size M",$G$14="IPB 2.0 Size S",$G$14="IPB 1.1 Size Sd",$G$14="IPB 1.1 Size Se"),TRUE)</formula>
    </cfRule>
    <cfRule type="expression" dxfId="577" priority="1257">
      <formula>IF($G$14="",TRUE)</formula>
    </cfRule>
  </conditionalFormatting>
  <conditionalFormatting sqref="V86">
    <cfRule type="expression" dxfId="576" priority="1248">
      <formula>IF(NOT(OR($G$22="yes",$G$15="BWA Size S",$G$15="BWA Size M")),TRUE)</formula>
    </cfRule>
  </conditionalFormatting>
  <conditionalFormatting sqref="B167:E167 D177:E178 D168:E168 G167:V168 G177:V178 D362:V363">
    <cfRule type="expression" dxfId="575" priority="1226">
      <formula>IF(NOT(OR($G$14="IPB 1.0 Size S",$G$14="IPB 1.0 Size Se",$G$14="IPB 1.1 Size Sd",$G$14="IPB 1.1 Size Se",$G$14="IPB 2.0 Size S",$G$14="IPB 2.0 Size M",$G$14="IPB 2.0 Size L",,$G$15="DPB Size M",$G$15="DPB Size L")),TRUE)</formula>
    </cfRule>
  </conditionalFormatting>
  <conditionalFormatting sqref="B364">
    <cfRule type="expression" dxfId="574" priority="1220">
      <formula>IF(NOT(OR($G$14="ESP9.3CB - ESP Standard",$G$14="ESP9.3CP - ESP Standard",$G$14="ESP9UHDS - ESP Standard",$G$14="ESP9.3HP - ESP hevX",$G$14="ESP9.3HU - ESP hevII",$G$14="ESP9UHDH - ESP hevX",$G$14="ESP9.3TE - ESP Standard for light trucks",$G$14="ESP9.3TA - ESP Standard for medium heavy trucks",$G$14="ESP10CB - ESP Standard",$G$14="ESP10HB - ESP hevX",$G$14="ESP10CE - ESP Standard",$G$14="ESP10HE - ESP hevX",$G$14="ESP10CP - ESP standard",$G$14="ESP10HP - ESP hevX",$G$14="ESP10CU - ESP Standard",$G$14="ESP10HU - ESP hevX",$G$14="ESP10CL - ESP Standard",$G$14="ESP10TE - ESP Standard for trucks",$G$14="ESP10TP - ESP Standard for trucks",$G$14="ESP10TU - ESP Standard for trucks")),TRUE)</formula>
    </cfRule>
  </conditionalFormatting>
  <conditionalFormatting sqref="V364">
    <cfRule type="expression" dxfId="573" priority="1218">
      <formula>IF(NOT(OR($G$14="ESP9.3CB - ESP Standard",$G$14="ESP9.3CP - ESP Standard",$G$14="ESP9UHDS - ESP Standard",$G$14="ESP9.3HP - ESP hevX",$G$14="ESP9.3HU - ESP hevII",$G$14="ESP9UHDH - ESP hevX",$G$14="ESP9.3TE - ESP Standard for light trucks",$G$14="ESP9.3TA - ESP Standard for medium heavy trucks",$G$14="ESP10CB - ESP Standard",$G$14="ESP10HB - ESP hevX",$G$14="ESP10CE - ESP Standard",$G$14="ESP10HE - ESP hevX",$G$14="ESP10CP - ESP standard",$G$14="ESP10HP - ESP hevX",$G$14="ESP10CU - ESP Standard",$G$14="ESP10HU - ESP hevX",$G$14="ESP10CL - ESP Standard",$G$14="ESP10TE - ESP Standard for trucks",$G$14="ESP10TP - ESP Standard for trucks",$G$14="ESP10TU - ESP Standard for trucks")),TRUE)</formula>
    </cfRule>
  </conditionalFormatting>
  <conditionalFormatting sqref="B365">
    <cfRule type="expression" dxfId="572" priority="1217">
      <formula>IF(NOT(OR($G$14="ESP9.3CB - ESP Standard",$G$14="ESP9.3CP - ESP Standard",$G$14="ESP9UHDS - ESP Standard",$G$14="ESP9.3HP - ESP hevX",$G$14="ESP9.3HU - ESP hevII",$G$14="ESP9UHDH - ESP hevX",$G$14="ESP9.3TE - ESP Standard for light trucks",$G$14="ESP9.3TA - ESP Standard for medium heavy trucks",$G$14="ESP10CB - ESP Standard",$G$14="ESP10HB - ESP hevX",$G$14="ESP10CE - ESP Standard",$G$14="ESP10HE - ESP hevX",$G$14="ESP10CP - ESP standard",$G$14="ESP10HP - ESP hevX",$G$14="ESP10CU - ESP Standard",$G$14="ESP10HU - ESP hevX",$G$14="ESP10CL - ESP Standard",$G$14="ESP10TE - ESP Standard for trucks",$G$14="ESP10TP - ESP Standard for trucks",$G$14="ESP10TU - ESP Standard for trucks")),TRUE)</formula>
    </cfRule>
  </conditionalFormatting>
  <conditionalFormatting sqref="V365">
    <cfRule type="expression" dxfId="571" priority="1215">
      <formula>IF(NOT(OR($G$14="ESP9.3CB - ESP Standard",$G$14="ESP9.3CP - ESP Standard",$G$14="ESP9UHDS - ESP Standard",$G$14="ESP9.3HP - ESP hevX",$G$14="ESP9.3HU - ESP hevII",$G$14="ESP9UHDH - ESP hevX",$G$14="ESP9.3TE - ESP Standard for light trucks",$G$14="ESP9.3TA - ESP Standard for medium heavy trucks",$G$14="ESP10CB - ESP Standard",$G$14="ESP10HB - ESP hevX",$G$14="ESP10CE - ESP Standard",$G$14="ESP10HE - ESP hevX",$G$14="ESP10CP - ESP standard",$G$14="ESP10HP - ESP hevX",$G$14="ESP10CU - ESP Standard",$G$14="ESP10HU - ESP hevX",$G$14="ESP10CL - ESP Standard",$G$14="ESP10TE - ESP Standard for trucks",$G$14="ESP10TP - ESP Standard for trucks",$G$14="ESP10TU - ESP Standard for trucks")),TRUE)</formula>
    </cfRule>
  </conditionalFormatting>
  <conditionalFormatting sqref="D541">
    <cfRule type="expression" dxfId="570" priority="1205">
      <formula>IF(NOT(OR($G$14="ESP9.3HP - ESP hevX",$G$14="ESP9.3HU - ESP hevII",$G$14="ESP9UHDH - ESP hevX",$G$14="ESP10HB - ESP hevX",$G$14="ESP10HE - ESP hevX",$G$14="ESP10HP - ESP hevX",$G$14="ESP10HU - ESP hevX")),TRUE)</formula>
    </cfRule>
  </conditionalFormatting>
  <conditionalFormatting sqref="V540">
    <cfRule type="expression" dxfId="569" priority="1194">
      <formula>IF(NOT(OR($G$14="ESP9.3HP - ESP hevX",$G$14="ESP9.3HU - ESP hevII",$G$14="ESP9UHDH - ESP hevX",$G$14="ESP10HB - ESP hevX",$G$14="ESP10HE - ESP hevX",$G$14="ESP10HP - ESP hevX",$G$14="ESP10HU - ESP hevX",$G$15="iBoosterGen2",$G$15="iBoosterGen1" )),TRUE)</formula>
    </cfRule>
  </conditionalFormatting>
  <conditionalFormatting sqref="B51:E52 N51:U52">
    <cfRule type="expression" dxfId="568" priority="1123">
      <formula>IF(AND($G$12="",$G$14=""),TRUE)</formula>
    </cfRule>
  </conditionalFormatting>
  <conditionalFormatting sqref="V51">
    <cfRule type="expression" dxfId="567" priority="1191">
      <formula>IF(AND($G$12="",$G$14=""),TRUE)</formula>
    </cfRule>
  </conditionalFormatting>
  <conditionalFormatting sqref="B52">
    <cfRule type="expression" dxfId="566" priority="1190">
      <formula>IF(AND($G$12="",$G$14=""),TRUE)</formula>
    </cfRule>
  </conditionalFormatting>
  <conditionalFormatting sqref="D228:E229 N228:V229">
    <cfRule type="expression" dxfId="565" priority="395">
      <formula>IF($G$14="",TRUE)</formula>
    </cfRule>
  </conditionalFormatting>
  <conditionalFormatting sqref="V52">
    <cfRule type="expression" dxfId="564" priority="1188">
      <formula>IF(AND($G$12="",$G$14=""),TRUE)</formula>
    </cfRule>
  </conditionalFormatting>
  <conditionalFormatting sqref="B53">
    <cfRule type="expression" dxfId="563" priority="1187">
      <formula>IF(NOT(OR($G$12="EMB S-35kN",$G$12="EMB M-50kN",$G$12="EMB L-65kN",$G$13="EMB S-35kN",$G$13="EMB M-50kN",$G$13="EMB L-65kN",$G$14="ESP9.3HP - ESP hevX",$G$14="ESP9.3HU - ESP hevII",$G$14="ESP9UHDH - ESP hevX",$G$14="ESP10HB - ESP hevX",$G$14="ESP10HE - ESP hevX",$G$14="ESP10HP - ESP hevX",$G$14="ESP10HU - ESP hevX",$G$14="IPB 1.0 Size S",$G$14="IPB 1.0 Size Se",$G$14="IPB 1.1 Size Sd",$G$14="IPB 1.1 Size Se",$G$14="IPB 2.0 Size S",$G$14="IPB 2.0 Size M",$G$14="IPB 2.0 Size L",$G$15="DPB Size M",$G$15="DPB Size L",$G$14="Competitor",$G$15="iBoosterGen2",$G$15="iBoosterGen2evo",$G$15="BWA Size S",$G$15="BWA Size M")),TRUE)</formula>
    </cfRule>
  </conditionalFormatting>
  <conditionalFormatting sqref="V53">
    <cfRule type="expression" dxfId="562" priority="1185">
      <formula>IF(NOT(OR($G$12="EMB S-35kN",$G$12="EMB M-50kN",$G$12="EMB L-65kN",$G$13="EMB S-35kN",$G$13="EMB M-50kN",$G$13="EMB L-65kN",$G$14="ESP9.3HP - ESP hevX",$G$14="ESP9.3HU - ESP hevII",$G$14="ESP9UHDH - ESP hevX",$G$14="ESP10HB - ESP hevX",$G$14="ESP10HE - ESP hevX",$G$14="ESP10HP - ESP hevX",$G$14="ESP10HU - ESP hevX",$G$14="IPB 1.0 Size S",$G$14="IPB 1.0 Size Se",$G$14="IPB 1.1 Size Sd",$G$14="IPB 1.1 Size Se",$G$14="IPB 2.0 Size S",$G$14="IPB 2.0 Size M",$G$14="IPB 2.0 Size L",$G$15="DPB Size M",$G$15="DPB Size L",$G$14="Competitor",$G$15="iBoosterGen2",$G$15="iBoosterGen2evo",$G$15="BWA Size S",$G$15="BWA Size M")),TRUE)</formula>
    </cfRule>
  </conditionalFormatting>
  <conditionalFormatting sqref="B54">
    <cfRule type="expression" dxfId="561" priority="1184">
      <formula>IF(NOT(OR($G$12="EMB S-35kN",$G$12="EMB M-50kN",$G$12="EMB L-65kN",$G$13="EMB S-35kN",$G$13="EMB M-50kN",$G$13="EMB L-65kN",$G$14="ESP9.3HP - ESP hevX",$G$14="ESP9.3HU - ESP hevII",$G$14="ESP9UHDH - ESP hevX",$G$14="ESP10HB - ESP hevX",$G$14="ESP10HE - ESP hevX",$G$14="ESP10HP - ESP hevX",$G$14="ESP10HU - ESP hevX",$G$14="IPB 1.0 Size S",$G$14="IPB 1.0 Size Se",$G$14="IPB 1.1 Size Sd",$G$14="IPB 1.1 Size Se",$G$14="IPB 2.0 Size S",$G$14="IPB 2.0 Size M",$G$14="IPB 2.0 Size L",$G$15="DPB Size M",$G$15="DPB Size L",$G$14="Competitor",$G$15="iBoosterGen2",$G$15="iBoosterGen2evo",$G$15="BWA Size S",$G$15="BWA Size M")),TRUE)</formula>
    </cfRule>
  </conditionalFormatting>
  <conditionalFormatting sqref="V54">
    <cfRule type="expression" dxfId="560" priority="1182">
      <formula>IF(NOT(OR($G$12="EMB S-35kN",$G$12="EMB M-50kN",$G$12="EMB L-65kN",$G$13="EMB S-35kN",$G$13="EMB M-50kN",$G$13="EMB L-65kN",$G$14="ESP9.3HP - ESP hevX",$G$14="ESP9.3HU - ESP hevII",$G$14="ESP9UHDH - ESP hevX",$G$14="ESP10HB - ESP hevX",$G$14="ESP10HE - ESP hevX",$G$14="ESP10HP - ESP hevX",$G$14="ESP10HU - ESP hevX",$G$14="IPB 1.0 Size S",$G$14="IPB 1.0 Size Se",$G$14="IPB 1.1 Size Sd",$G$14="IPB 1.1 Size Se",$G$14="IPB 2.0 Size S",$G$14="IPB 2.0 Size M",$G$14="IPB 2.0 Size L",$G$15="DPB Size M",$G$15="DPB Size L",$G$14="Competitor",$G$15="iBoosterGen2",$G$15="iBoosterGen2evo",$G$15="BWA Size S",$G$15="BWA Size M")),TRUE)</formula>
    </cfRule>
  </conditionalFormatting>
  <conditionalFormatting sqref="B60">
    <cfRule type="expression" dxfId="559" priority="1178">
      <formula>IF(AND($G$12="",$G$14=""),TRUE)</formula>
    </cfRule>
  </conditionalFormatting>
  <conditionalFormatting sqref="V60">
    <cfRule type="expression" dxfId="558" priority="1176">
      <formula>IF(AND($G$12="",$G$14=""),TRUE)</formula>
    </cfRule>
  </conditionalFormatting>
  <conditionalFormatting sqref="B60:E61 G60:U61">
    <cfRule type="expression" dxfId="557" priority="1175">
      <formula>IF(AND($G$12="",$G$14=""),TRUE)</formula>
    </cfRule>
  </conditionalFormatting>
  <conditionalFormatting sqref="V61">
    <cfRule type="expression" dxfId="556" priority="1173">
      <formula>IF(AND($G$12="",$G$14=""),TRUE)</formula>
    </cfRule>
  </conditionalFormatting>
  <conditionalFormatting sqref="B62:E65 G62:V65">
    <cfRule type="expression" dxfId="555" priority="1167">
      <formula>IF($G$14="",TRUE)</formula>
    </cfRule>
  </conditionalFormatting>
  <conditionalFormatting sqref="D85:E85 G85:V85">
    <cfRule type="expression" dxfId="554" priority="1160">
      <formula>IF(NOT(OR($G$14="ESP9.3HP - ESP hevX",$G$14="ESP9.3HU - ESP hevII",$G$14="ESP9UHDH - ESP hevX",$G$14="ESP10HB - ESP hevX",$G$14="ESP10HE - ESP hevX",$G$14="ESP10HP - ESP hevX",$G$14="ESP10HU - ESP hevX",$G$14="IPB 1.0 Size S",$G$14="IPB 1.0 Size Se",$G$14="IPB 1.1 Size Sd",$G$14="IPB 1.1 Size Se",$G$14="IPB 2.0 Size S",$G$14="IPB 2.0 Size M",$G$14="IPB 2.0 Size L",$G$15="DPB Size M",$G$15="DPB Size L",$G$14="Competitor")),TRUE)</formula>
    </cfRule>
  </conditionalFormatting>
  <conditionalFormatting sqref="B94:E94 G94:V94">
    <cfRule type="expression" dxfId="553" priority="1157">
      <formula>IF(NOT(OR(AND(OR($G$14=" IPB 1.0 Size S",$G$14="IPB 1.0 Size Se",$G$14="IPB 1.1 Size Sd",$G$14="IPB 1.1 Size Se",$G$14="IPB 2.0 Size S",$G$14="IPB 2.0 Size M",$G$14="IPB 2.0 Size L",$G$15="DPB Size M",$G$15="DPB Size L"),$G$19="X-Split"),$G$15="iBoosterGen1",$G$15="iBoosterGen2",$G$15="iBoosterGen2evo")),TRUE)</formula>
    </cfRule>
  </conditionalFormatting>
  <conditionalFormatting sqref="B103:E103 G103:V103">
    <cfRule type="expression" dxfId="552" priority="1151">
      <formula>IF(NOT(OR($G$12="EMB S-35kN",$G$12="EMB M-50kN",$G$12="EMB L-65kN",$G$13="EMB S-35kN",$G$13="EMB M-50kN",$G$13="EMB L-65kN",$G$14="IPB 1.0 Size S",$G$14="IPB 1.0 Size Se",$G$14="IPB 1.1 Size Sd",$G$14="IPB 1.1 Size Se",$G$14="IPB 2.0 Size S",$G$14="IPB 2.0 Size M",$G$14="IPB 2.0 Size L",$G$15="DPB Size M",$G$15="DPB Size L",$G$15="iBoosterGen2",$G$15="iBoosterGen1",$G$15="iBoosterGen2evo")),TRUE)</formula>
    </cfRule>
  </conditionalFormatting>
  <conditionalFormatting sqref="B166:E166 G166:V166">
    <cfRule type="expression" dxfId="551" priority="1148">
      <formula>IF(OR($G$14="",$G$15="BWA Size S",$G$15="BWA Size M"),TRUE)</formula>
    </cfRule>
  </conditionalFormatting>
  <conditionalFormatting sqref="B228">
    <cfRule type="expression" dxfId="550" priority="1139">
      <formula>IF($G$14="",TRUE)</formula>
    </cfRule>
  </conditionalFormatting>
  <conditionalFormatting sqref="V228">
    <cfRule type="expression" dxfId="549" priority="1137">
      <formula>IF($G$14="",TRUE)</formula>
    </cfRule>
  </conditionalFormatting>
  <conditionalFormatting sqref="B229">
    <cfRule type="expression" dxfId="548" priority="1136">
      <formula>IF($G$14="",TRUE)</formula>
    </cfRule>
  </conditionalFormatting>
  <conditionalFormatting sqref="V229">
    <cfRule type="expression" dxfId="547" priority="1134">
      <formula>IF($G$14="",TRUE)</formula>
    </cfRule>
  </conditionalFormatting>
  <conditionalFormatting sqref="V328:V340">
    <cfRule type="expression" dxfId="546" priority="1130">
      <formula>IF($G$14="",TRUE)</formula>
    </cfRule>
  </conditionalFormatting>
  <conditionalFormatting sqref="E345:U357">
    <cfRule type="expression" dxfId="545" priority="1129">
      <formula>IF(OR($G$14="",AND(OR($G$14="IPB 2.0 Size L",$G$14="IPB 2.0 Size M",$G$14="IPB 2.0 Size S",$G$14="IPB 1.1 Size Sd",$G$14="IPB 1.1 Size Se"),OR($G$16="no",$G$16=""))),TRUE)</formula>
    </cfRule>
  </conditionalFormatting>
  <conditionalFormatting sqref="V345:V357">
    <cfRule type="expression" dxfId="544" priority="1128">
      <formula>IF(OR($G$14="",AND(OR($G$14="IPB 2.0 Size L",$G$14="IPB 2.0 Size M",$G$14="IPB 2.0 Size S",$G$14="IPB 1.1 Size Sd",$G$14="IPB 1.1 Size Se"),OR($G$16="no",$G$16=""))),TRUE)</formula>
    </cfRule>
  </conditionalFormatting>
  <conditionalFormatting sqref="B55">
    <cfRule type="expression" dxfId="543" priority="1121">
      <formula>IF(NOT(OR($G$12="EMB S-35kN",$G$12="EMB M-50kN",$G$12="EMB L-65kN",$G$13="EMB S-35kN",$G$13="EMB M-50kN",$G$13="EMB L-65kN",$G$14="ESP9.3CB - ESP Standard",$G$14="ESP9.3CP - ESP Standard",$G$14="ESP9UHDS - ESP Standard",$G$14="ESP9.3TE - ESP Standard for light trucks",$G$14="ESP9.3TA - ESP Standard for medium heavy trucks",$G$14="ESP10CB - ESP Standard",$G$14="ESP10CE - ESP Standard",$G$14="ESP10CP - ESP Standard",$G$14="ESP10CU - ESP Standard",$G$14="Competitor",$G$14="IPB 1.0 Size Se",$G$14="IPB 1.1 Size Sd",$G$14="IPB 1.1 Size Se",$G$14="IPB 2.0 Size S",$G$14="IPB 2.0 Size M",$G$14="IPB 2.0 Size L",$G$15="DPB Size M",$G$15="DPB Size L",$G$14="ESP10CL - ESP Standard",$G$14="ESP10TE - ESP Standard for trucks",$G$14="ESP10TP - ESP Standard for trucks",$G$14="ESP10TU - ESP Standard for trucks")),TRUE)</formula>
    </cfRule>
  </conditionalFormatting>
  <conditionalFormatting sqref="B179:C180">
    <cfRule type="expression" dxfId="542" priority="1114">
      <formula>IF(NOT(OR($G$14="ESP9.3HP - ESP hevX",$G$14="ESP9.3HU - ESP hevII",$G$14="ESP9UHDH - ESP hevX",$G$14="ESP10HB - ESP hevX",$G$14="ESP10HE - ESP hevX",$G$14="ESP10HP - ESP hevX",$G$14="ESP10HU - ESP hevX",$G$14="Competitor",$G$15="iBoosterGen2",$G$15="iBoosterGen1",$G$15="iBoosterGen2evo",$G$21="yes")),TRUE)</formula>
    </cfRule>
  </conditionalFormatting>
  <conditionalFormatting sqref="V179:V180">
    <cfRule type="expression" dxfId="541" priority="1111">
      <formula>IF(NOT(OR($G$14="ESP9.3HP - ESP hevX",$G$14="ESP9.3HU - ESP hevII",$G$14="ESP9UHDH - ESP hevX",$G$14="ESP10HB - ESP hevX",$G$14="ESP10HE - ESP hevX",$G$14="ESP10HP - ESP hevX",$G$14="ESP10HU - ESP hevX",$G$14="Competitor",$G$15="iBoosterGen2",$G$15="iBoosterGen1",$G$15="iBoosterGen2evo",$G$21="yes")),TRUE)</formula>
    </cfRule>
  </conditionalFormatting>
  <conditionalFormatting sqref="B181:B182">
    <cfRule type="expression" dxfId="540" priority="1103">
      <formula>IF($G$14="",TRUE)</formula>
    </cfRule>
  </conditionalFormatting>
  <conditionalFormatting sqref="G22:J22">
    <cfRule type="expression" dxfId="539" priority="1099">
      <formula>IF(OR($G$22="yes",$G$22="no"),TRUE)</formula>
    </cfRule>
  </conditionalFormatting>
  <conditionalFormatting sqref="B90:E90 G90:V90">
    <cfRule type="expression" dxfId="538" priority="1085">
      <formula>IF(NOT(OR($G$14="ESP9.3CP - ESP Standard",$G$14="ESP9.3HP - ESP hevX",$G$14="ESP9.3HU - ESP hevII",$G$14="ESP9.3TE - ESP Standard for light trucks",$G$14="ESP10CB - ESP Standard",$G$14="ESP10CE - ESP Standard",$G$14="ESP10CP - ESP Standard",$G$14="ESP10CU - ESP Standard",$G$14="ESP10CL - ESP Standard",$G$14="ESP10TE - ESP Standard for trucks",$G$14="ESP10TP - ESP Standard for trucks",$G$14="ESP10TU - ESP Standard for trucks")),TRUE)</formula>
    </cfRule>
  </conditionalFormatting>
  <conditionalFormatting sqref="V90">
    <cfRule type="expression" dxfId="537" priority="1083">
      <formula>IF(NOT(OR($G$14="ESP9.3CP - ESP Standard",$G$14="ESP9.3HP - ESP hevX",$G$14="ESP9.3HU - ESP hevII",$G$14="ESP9.3TE - ESP Standard for light trucks",$G$14="ESP10CB - ESP Standard",$G$14="ESP10CE - ESP Standard",$G$14="ESP10CP - ESP Standard",$G$14="ESP10CU - ESP Standard",$G$14="ESP10CL - ESP Standard",$G$22="yes")),TRUE)</formula>
    </cfRule>
  </conditionalFormatting>
  <conditionalFormatting sqref="D55:E55 N55:U55">
    <cfRule type="expression" dxfId="536" priority="1062">
      <formula>IF(NOT(OR($G$12="EMB S-35kN",$G$12="EMB M-50kN",$G$12="EMB L-65kN",$G$13="EMB S-35kN",$G$13="EMB M-50kN",$G$13="EMB L-65kN",$G$14="ESP9.3CB - ESP Standard",$G$14="ESP9.3CP - ESP Standard",$G$14="ESP9UHDS - ESP Standard",$G$14="ESP9.3TE - ESP Standard for light trucks",$G$14="ESP9.3TA - ESP Standard for medium heavy trucks",$G$14="ESP10CB - ESP Standard",$G$14="ESP10CE - ESP Standard",$G$14="ESP10CP - ESP Standard",$G$14="ESP10CU - ESP Standard",$G$14="Competitor",$G$14="IPB 1.0 Size Se",$G$14="IPB 1.1 Size Sd",$G$14="IPB 1.1 Size Se",$G$14="IPB 2.0 Size S",$G$14="IPB 2.0 Size M",$G$14="IPB 2.0 Size L",$G$15="DPB Size M",$G$15="DPB Size L",$G$14="ESP10CL - ESP Standard",$G$14="ESP10TE - ESP Standard for trucks",$G$14="ESP10TP - ESP Standard for trucks",$G$14="ESP10TU - ESP Standard for trucks")),TRUE)</formula>
    </cfRule>
  </conditionalFormatting>
  <conditionalFormatting sqref="D86:E86">
    <cfRule type="expression" dxfId="535" priority="1051">
      <formula>IF(NOT(OR($G$22="yes",$G$15="BWA Size S",$G$15="BWA Size M")),TRUE)</formula>
    </cfRule>
  </conditionalFormatting>
  <conditionalFormatting sqref="D181:E182 G181:V182">
    <cfRule type="expression" dxfId="534" priority="1030">
      <formula>IF($G$14="",TRUE)</formula>
    </cfRule>
  </conditionalFormatting>
  <conditionalFormatting sqref="B541:V541 B82:V83">
    <cfRule type="expression" dxfId="533" priority="990">
      <formula>IF(NOT(OR($G$14="ESP9.3HP - ESP hevX",$G$14="ESP9.3HU - ESP hevII",$G$14="ESP9UHDH - ESP hevX",$G$14="ESP10HB - ESP hevX",$G$14="ESP10HE - ESP hevX",$G$14="ESP10HP - ESP hevX",$G$14="ESP10HU - ESP hevX")),TRUE)</formula>
    </cfRule>
  </conditionalFormatting>
  <conditionalFormatting sqref="V541">
    <cfRule type="expression" dxfId="532" priority="988">
      <formula>IF(NOT(OR($G$14="ESP9.3HP - ESP hevX",$G$14="ESP9.3HU - ESP hevII",$G$14="ESP9UHDH - ESP hevX",$G$14="ESP10HB - ESP hevX",$G$14="ESP10HE - ESP hevX",$G$14="ESP10HP - ESP hevX",$G$14="ESP10HU - ESP hevX")),TRUE)</formula>
    </cfRule>
  </conditionalFormatting>
  <conditionalFormatting sqref="G26">
    <cfRule type="expression" dxfId="531" priority="984">
      <formula>IF($G$26="yes",TRUE)</formula>
    </cfRule>
  </conditionalFormatting>
  <conditionalFormatting sqref="V55">
    <cfRule type="expression" dxfId="530" priority="939">
      <formula>IF(NOT(OR($G$12="EMB S-35kN",$G$12="EMB M-50kN",$G$12="EMB L-65kN",$G$13="EMB S-35kN",$G$13="EMB M-50kN",$G$13="EMB L-65kN",$G$14="ESP9.3CB - ESP Standard",$G$14="ESP9.3CP - ESP Standard",$G$14="ESP9UHDS - ESP Standard",$G$14="ESP9.3TE - ESP Standard for light trucks",$G$14="ESP9.3TA - ESP Standard for medium heavy trucks",$G$14="ESP10CB - ESP Standard",$G$14="ESP10CE - ESP Standard",$G$14="ESP10CP - ESP Standard",$G$14="ESP10CU - ESP Standard",$G$14="Competitor",$G$14="IPB 1.0 Size Se",$G$14="IPB 1.1 Size Sd",$G$14="IPB 1.1 Size Se",$G$14="IPB 2.0 Size S",$G$14="IPB 2.0 Size M",$G$14="IPB 2.0 Size L",$G$15="DPB Size M",$G$15="DPB Size L",$G$14="ESP10CL - ESP Standard",$G$14="ESP10TE - ESP Standard for trucks",$G$14="ESP10TP - ESP Standard for trucks",$G$14="ESP10TU - ESP Standard for trucks")),TRUE)</formula>
    </cfRule>
  </conditionalFormatting>
  <conditionalFormatting sqref="B389:C392 V389:V392">
    <cfRule type="expression" dxfId="529" priority="938">
      <formula>IF(NOT(AND(OR($G$15="iBoosterGen2",$G$15="iBoosterGen2evo"),$G$22="yes")),TRUE)</formula>
    </cfRule>
  </conditionalFormatting>
  <conditionalFormatting sqref="G17:J17">
    <cfRule type="expression" dxfId="528" priority="369">
      <formula>IF(NOT(OR($G$14="IPB 1.0 Size Se",$G$14="IPB 1.1 Size Sd",$G$14="IPB 1.1 Size Se",$G$14="IPB 2.0 Size S",$G$14="IPB 2.0 Size M",$G$14="IPB 2.0 Size L",$G$15="DPB Size M",$G$15="DPB Size L")),TRUE)</formula>
    </cfRule>
    <cfRule type="expression" dxfId="527" priority="829">
      <formula>IF(ISBLANK($G$17),TRUE)</formula>
    </cfRule>
  </conditionalFormatting>
  <conditionalFormatting sqref="D394:V395">
    <cfRule type="expression" dxfId="526" priority="1496">
      <formula>IF(NOT(OR($G$15="Vacuum Booster",$G$15="Hydro-Boost")),TRUE)</formula>
    </cfRule>
  </conditionalFormatting>
  <conditionalFormatting sqref="D396:U396">
    <cfRule type="expression" dxfId="525" priority="1498">
      <formula>IF(NOT(AND($G$15="Vacuum Booster",OR($G$14="ESP9.3HP - ESP hevX",$G$14="ESP9.3HU - ESP hevII",$G$14="ESP9UHDH - ESP hevX",$G$14="ESP10HB - ESP hevX",$G$14="ESP10HE - ESP hevX",$G$14="ESP10HP - ESP hevX",$G$14="ESP10HU - ESP hevX"))),TRUE)</formula>
    </cfRule>
  </conditionalFormatting>
  <conditionalFormatting sqref="D73:U75">
    <cfRule type="expression" dxfId="524" priority="1500">
      <formula>IF(NOT(OR($G$12="EMB S-35kN",$G$12="EMB M-50kN",$G$12="EMB L-65kN",$G$13="EMB S-35kN",$G$13="EMB M-50kN",$G$13="EMB L-65kN")),TRUE)</formula>
    </cfRule>
  </conditionalFormatting>
  <conditionalFormatting sqref="D364:E365 G364:U365">
    <cfRule type="expression" dxfId="523" priority="1516">
      <formula>IF(NOT(OR($G$14="ESP9.3CB - ESP Standard",$G$14="ESP9.3CP - ESP Standard",$G$14="ESP9UHDS - ESP Standard",$G$14="ESP9.3HP - ESP hevX",$G$14="ESP9.3HU - ESP hevII",$G$14="ESP9UHDH - ESP hevX",$G$14="ESP9.3TE - ESP Standard for light trucks",$G$14="ESP9.3TA - ESP Standard for medium heavy trucks",$G$14="ESP10CB - ESP Standard",$G$14="ESP10HB - ESP hevX",$G$14="ESP10CE - ESP Standard",$G$14="ESP10HE - ESP hevX",$G$14="ESP10CP - ESP standard",$G$14="ESP10HP - ESP hevX",$G$14="ESP10CU - ESP Standard",$G$14="ESP10HU - ESP hevX",$G$14="ESP10CL - ESP Standard",$G$14="ESP10TE - ESP Standard for trucks",$G$14="ESP10TP - ESP Standard for trucks",$G$14="ESP10TU - ESP Standard for trucks")),TRUE)</formula>
    </cfRule>
  </conditionalFormatting>
  <conditionalFormatting sqref="D401:E411 G502:U502 G518:U519 N503:U517 N520:U534 N401:U411">
    <cfRule type="expression" dxfId="522" priority="1554">
      <formula>IF(NOT($G$17="yes"),TRUE)</formula>
    </cfRule>
  </conditionalFormatting>
  <conditionalFormatting sqref="D81:V81">
    <cfRule type="expression" dxfId="521" priority="210">
      <formula>IF(NOT(OR($G$14="ESP9.3CB - ESP Standard",$G$14="ESP9.3CP - ESP Standard",$G$14="ESP9UHDS - ESP Standard",$G$14="ESP9.3HP - ESP hevX",$G$14="ESP9.3HU - ESP hevII",$G$14="ESP9UHDH - ESP hevX",$G$14="ESP9.3TE - ESP Standard for light trucks",$G$14="ESP9.3TA - ESP Standard for medium heavy trucks",$G$14="ESP10CB - ESP Standard",$G$14="ESP10HB - ESP hevX",$G$14="ESP10CE - ESP Standard",$G$14="ESP10HE - ESP hevX",$G$14="ESP10CP - ESP Standard",$G$14="ESP10HP - ESP hevX",$G$14="ESP10CU - ESP Standard",$G$14="ESP10HU - ESP hevX",$G$14="Competitor",$G$14="ESP10CL - ESP Standard",$G$14="ESP10TE - ESP Standard for trucks",$G$14="ESP10TP - ESP Standard for trucks",$G$14="ESP10TU - ESP Standard for trucks",$G$21="yes",AND($G$22="yes",$G$12="Hydraulic Brake"))),TRUE)</formula>
    </cfRule>
  </conditionalFormatting>
  <conditionalFormatting sqref="D389:U392">
    <cfRule type="expression" dxfId="520" priority="1588">
      <formula>IF(NOT(AND(OR($G$15="iBoosterGen2",$G$15="iBoosterGen2evo"),$G$22="yes")),TRUE)</formula>
    </cfRule>
  </conditionalFormatting>
  <conditionalFormatting sqref="B17:F17">
    <cfRule type="expression" dxfId="519" priority="1648">
      <formula>IF(NOT(OR($G$14="IPB 1.0 Size S",$G$14="IPB 1.0 Size Se",$G$14="IPB 1.1 Size Sd",$G$14="IPB 1.1 Size Se",$G$14="IPB 2.0 Size S",$G$14="IPB 2.0 Size M",$G$14="IPB 2.0 Size L",$G$15="DPB Size M",$G$15="DPB Size L")),TRUE)</formula>
    </cfRule>
  </conditionalFormatting>
  <conditionalFormatting sqref="B16:F16">
    <cfRule type="expression" dxfId="518" priority="816">
      <formula>IF(NOT(OR($G$14="IPB 1.0 Size Se",$G$14="IPB 1.1 Size Sd",$G$14="IPB 1.1 Size Se",$G$14="IPB 2.0 Size S",$G$14="IPB 2.0 Size M",$G$14="IPB 2.0 Size L")),TRUE)</formula>
    </cfRule>
  </conditionalFormatting>
  <conditionalFormatting sqref="G16:J16">
    <cfRule type="expression" dxfId="517" priority="370">
      <formula>IF(NOT(OR($G$14="IPB 1.0 Size Se",$G$14="IPB 1.1 Size Sd",$G$14="IPB 1.1 Size Se",$G$14="IPB 2.0 Size S",$G$14="IPB 2.0 Size M",$G$14="IPB 2.0 Size L")),TRUE)</formula>
    </cfRule>
    <cfRule type="expression" dxfId="516" priority="815">
      <formula>IF(ISBLANK($G$16),TRUE)</formula>
    </cfRule>
  </conditionalFormatting>
  <conditionalFormatting sqref="G21:J21">
    <cfRule type="expression" dxfId="515" priority="441">
      <formula>IF(OR($G$21="yes",$G$21="no"),TRUE)</formula>
    </cfRule>
    <cfRule type="expression" dxfId="514" priority="810">
      <formula>IF(NOT(OR($G$14="ESP9.3CB - ESP Standard",$G$14="ESP9.3CP - ESP Standard",$G$14="ESP9UHDS - ESP Standard",$G$14="ESP9.3HP - ESP hevX",$G$14="ESP9.3HU - ESP hevII",$G$14="ESP9UHDH - ESP hevX",$G$14="ESP9.3TE - ESP Standard for light trucks",$G$14="ESP9.3TA - ESP Standard for medium heavy trucks",$G$14="ESP10CL - ESP Standard",$G$14="ESP10CB - ESP Standard",$G$14="ESP10HB - ESP hevX",$G$14="ESP10CE - ESP Standard",$G$14="ESP10HE - ESP hevX",$G$14="ESP10CP - ESP Standard",$G$14="ESP10HP - ESP hevX",$G$14="ESP10CU - ESP Standard",$G$14="ESP10HU - ESP hevX",$G$14="ESP10TE - ESP Standard for trucks",$G$14="ESP10TP - ESP Standard for trucks",$G$14="ESP10TU - ESP Standard for trucks")),TRUE)</formula>
    </cfRule>
  </conditionalFormatting>
  <conditionalFormatting sqref="B502:F534">
    <cfRule type="expression" dxfId="513" priority="809">
      <formula>IF(NOT($G$17="yes"),TRUE)</formula>
    </cfRule>
  </conditionalFormatting>
  <conditionalFormatting sqref="V502:V534">
    <cfRule type="expression" dxfId="512" priority="807">
      <formula>IF(NOT($G$17="yes"),TRUE)</formula>
    </cfRule>
  </conditionalFormatting>
  <conditionalFormatting sqref="B147:C148">
    <cfRule type="expression" dxfId="511" priority="133">
      <formula>IF(NOT(OR(AND(OR($G$14="ESP9UHDS - ESP Standard",$G$14="ESP9UHDH - ESP hevX",$G$14="ESP10CU - ESP Standard",$G$14="ESP10HU - ESP hevX",$G$14="ESP10CP - ESP Standard",$G$14="ESP10HP - ESP hevX",$G$14="ESP10CB - ESP Standard",$G$14="ESP10HB - ESP hevX",$G$14="ESP10CE - ESP Standard",$G$14="ESP10HE - ESP hevX",$G$14="ESP10CL - ESP Standard"),$G$22="yes"),$G$15="BWA Size S",$G$15="BWA Size M")),TRUE)</formula>
    </cfRule>
  </conditionalFormatting>
  <conditionalFormatting sqref="D149:V163">
    <cfRule type="expression" dxfId="510" priority="753">
      <formula>IF(NOT(AND(OR($G$14="ESP9UHDS - ESP Standard",$G$14="ESP9UHDH - ESP hevX",$G$14="ESP10CU - ESP Standard",$G$14="ESP10HU - ESP hevX",$G$14="ESP10CP - ESP Standard",$G$14="ESP10HP - ESP hevX",$G$14="ESP10CB - ESP Standard",$G$14="ESP10HB - ESP hevX",$G$14="ESP10CE - ESP Standard",$G$14="ESP10HE - ESP hevX",$G$14="ESP10CL - ESP Standard"),$G$22="yes")),TRUE)</formula>
    </cfRule>
  </conditionalFormatting>
  <conditionalFormatting sqref="G329:L340 R329:U340">
    <cfRule type="expression" dxfId="509" priority="460">
      <formula>IF(ISBLANK(G329),FALSE,IF(G329&lt;=MAX(G$328:G328),TRUE,FALSE))</formula>
    </cfRule>
  </conditionalFormatting>
  <conditionalFormatting sqref="G346:L357 R346:U357">
    <cfRule type="expression" dxfId="508" priority="459">
      <formula>IF(ISBLANK(G346),FALSE,IF(G346&lt;=MAX(G$345:G345),TRUE,FALSE))</formula>
    </cfRule>
  </conditionalFormatting>
  <conditionalFormatting sqref="G24">
    <cfRule type="expression" dxfId="507" priority="440">
      <formula>IF(OR($G$24="yes",$G$24="no"),TRUE)</formula>
    </cfRule>
  </conditionalFormatting>
  <conditionalFormatting sqref="D179:U180">
    <cfRule type="expression" dxfId="506" priority="401">
      <formula>IF(NOT(OR($G$14="ESP9.3HP - ESP hevX",$G$14="ESP9.3HU - ESP hevII",$G$14="ESP9UHDH - ESP hevX",$G$14="ESP10HB - ESP hevX",$G$14="ESP10HE - ESP hevX",$G$14="ESP10HP - ESP hevX",$G$14="ESP10HU - ESP hevX",$G$14="Competitor",$G$15="iBoosterGen2",$G$15="iBoosterGen1",$G$15="iBoosterGen2evo",$G$21="yes")),TRUE)</formula>
    </cfRule>
  </conditionalFormatting>
  <conditionalFormatting sqref="B375">
    <cfRule type="expression" dxfId="505" priority="400">
      <formula>IF(NOT(OR($G$15="BWA Size S",$G$15="BWA Size M",$G$15="iBoosterGen1",$G$15="iBoosterGen2",$G$15="iBoosterGen2evo")),TRUE)</formula>
    </cfRule>
  </conditionalFormatting>
  <conditionalFormatting sqref="B430:F463">
    <cfRule type="expression" dxfId="504" priority="397">
      <formula>IF(NOT(OR($G$14="IPB 1.0 Size S",$G$14="IPB 1.0 Size Se",$G$14="IPB 1.1 Size Sd",$G$14="IPB 1.1 Size Se",$G$14="IPB 2.0 Size S",$G$14="IPB 2.0 Size M",$G$14="IPB 2.0 Size L",$G$15="DPB Size M",$G$15="DPB Size L")),TRUE)</formula>
    </cfRule>
  </conditionalFormatting>
  <conditionalFormatting sqref="D540:U540">
    <cfRule type="expression" dxfId="503" priority="1206">
      <formula>IF(NOT(OR($G$14="ESP9.3HP - ESP hevX",$G$14="ESP9.3HU - ESP hevII",$G$14="ESP9UHDH - ESP hevX",$G$14="ESP10HB - ESP hevX",$G$14="ESP10HE - ESP hevX",$G$14="ESP10HP - ESP hevX",$G$14="ESP10HU - ESP hevX",$G$15="iBoosterGen2",$G$15="iBoosterGen1",$G$15="iBoosterGen2evo" )),TRUE)</formula>
    </cfRule>
  </conditionalFormatting>
  <conditionalFormatting sqref="D53:E54 N53:U54">
    <cfRule type="expression" dxfId="502" priority="394">
      <formula>IF(NOT(OR($G$12="EMB S-35kN",$G$12="EMB M-50kN",$G$12="EMB L-65kN",$G$13="EMB S-35kN",$G$13="EMB M-50kN",$G$13="EMB L-65kN",$G$14="ESP9.3HP - ESP hevX",$G$14="ESP9.3HU - ESP hevII",$G$14="ESP9UHDH - ESP hevX",$G$14="ESP10HB - ESP hevX",$G$14="ESP10HE - ESP hevX",$G$14="ESP10HP - ESP hevX",$G$14="ESP10HU - ESP hevX",$G$14="IPB 1.0 Size S",$G$14="IPB 1.0 Size Se",$G$14="IPB 1.1 Size Sd",$G$14="IPB 1.1 Size Se",$G$14="IPB 2.0 Size S",$G$14="IPB 2.0 Size M",$G$14="IPB 2.0 Size L",$G$15="DPB Size M",$G$15="DPB Size L",$G$14="Competitor",$G$15="iBoosterGen2",$G$15="iBoosterGen2evo",$G$15="BWA Size S",$G$15="BWA Size M")),TRUE)</formula>
    </cfRule>
  </conditionalFormatting>
  <conditionalFormatting sqref="G14:J14">
    <cfRule type="expression" dxfId="501" priority="387">
      <formula>IF(ISBLANK($G$14),TRUE)</formula>
    </cfRule>
  </conditionalFormatting>
  <conditionalFormatting sqref="G15:J15">
    <cfRule type="expression" dxfId="500" priority="386">
      <formula>IF(ISBLANK($G$15),TRUE)</formula>
    </cfRule>
  </conditionalFormatting>
  <conditionalFormatting sqref="Q14">
    <cfRule type="expression" dxfId="499" priority="378">
      <formula>IF(ISBLANK($Q$14),TRUE)</formula>
    </cfRule>
  </conditionalFormatting>
  <conditionalFormatting sqref="Q15">
    <cfRule type="expression" dxfId="498" priority="377">
      <formula>IF(ISBLANK($Q$15),TRUE)</formula>
    </cfRule>
  </conditionalFormatting>
  <conditionalFormatting sqref="Q16">
    <cfRule type="expression" dxfId="497" priority="376">
      <formula>IF(ISBLANK($Q$16),TRUE)</formula>
    </cfRule>
  </conditionalFormatting>
  <conditionalFormatting sqref="Q17">
    <cfRule type="expression" dxfId="496" priority="375">
      <formula>IF(ISBLANK($Q$17),TRUE)</formula>
    </cfRule>
  </conditionalFormatting>
  <conditionalFormatting sqref="Q18">
    <cfRule type="expression" dxfId="495" priority="374">
      <formula>IF(ISBLANK($Q$18),TRUE)</formula>
    </cfRule>
  </conditionalFormatting>
  <conditionalFormatting sqref="Q19">
    <cfRule type="expression" dxfId="494" priority="373">
      <formula>IF(ISBLANK($Q$19),TRUE)</formula>
    </cfRule>
  </conditionalFormatting>
  <conditionalFormatting sqref="Q20">
    <cfRule type="expression" dxfId="493" priority="372">
      <formula>IF(ISBLANK($Q$20),TRUE)</formula>
    </cfRule>
  </conditionalFormatting>
  <conditionalFormatting sqref="Q21">
    <cfRule type="expression" dxfId="492" priority="371">
      <formula>IF(ISBLANK($Q$21),TRUE)</formula>
    </cfRule>
  </conditionalFormatting>
  <conditionalFormatting sqref="E328:U340 R118:V118 E311:F323 G116:L119 M116:U142 I311:U323 F120:L142 N115:U115 H116:M117 H119:M119 H123:M127">
    <cfRule type="expression" dxfId="491" priority="365">
      <formula>IF($G$14="",TRUE)</formula>
    </cfRule>
  </conditionalFormatting>
  <conditionalFormatting sqref="B95:E95 G95:V95">
    <cfRule type="expression" dxfId="490" priority="363">
      <formula>IF(NOT(AND(OR($G$14="IPB 1.0 Size S",$G$14="IPB 1.0 Size Se",$G$14="IPB 1.1 Size Sd",$G$14="IPB 1.1 Size Se",$G$14="IPB 2.0 Size S",$G$14="IPB 2.0 Size M",$G$14="IPB 2.0 Size L",$G$15="DPB Size M",$G$15="DPB Size L"),$G$19="X-Split")),TRUE)</formula>
    </cfRule>
  </conditionalFormatting>
  <conditionalFormatting sqref="B96:L96 R96:V96">
    <cfRule type="expression" dxfId="489" priority="360">
      <formula>IF(NOT(AND(OR($G14="IPB 1.0 Size S",$G$14="IPB 1.0 Size Se",$G$14="IPB 1.1 Size Sd",$G$14="IPB 1.1 Size Se",$G$14="IPB 2.0 Size S",$G$14="IPB 2.0 Size M",$G$14="IPB 2.0 Size L",$G$15="DPB Size M",$G$15="DPB Size L"),$G$19="II-Split")),TRUE)</formula>
    </cfRule>
  </conditionalFormatting>
  <conditionalFormatting sqref="G430:V447 G463:V463 N448:V462">
    <cfRule type="expression" dxfId="488" priority="355">
      <formula>IF(NOT(OR($G$14=" IPB 1.0 Size S",$G$14="IPB 1.0 Size Se",$G$14="IPB 1.1 Size Sd",$G$14="IPB 1.1 Size Se",$G$14="IPB 2.0 Size S",$G$14="IPB 2.0 Size M",$G$14="IPB 2.0 Size L",$G$15="DPB Size M",$G$15="DPB Size L")),TRUE)</formula>
    </cfRule>
  </conditionalFormatting>
  <conditionalFormatting sqref="B466:F499">
    <cfRule type="expression" dxfId="487" priority="354">
      <formula>IF(NOT(OR($G$14=" IPB 1.0 Size S",$G$14="IPB 1.0 Size Se",$G$14="IPB 1.1 Size Sd",$G$14="IPB 1.1 Size Se",$G$14="IPB 2.0 Size S",$G$14="IPB 2.0 Size M",$G$14="IPB 2.0 Size L",$G$15="DPB Size M",$G$15="DPB Size L")),TRUE)</formula>
    </cfRule>
  </conditionalFormatting>
  <conditionalFormatting sqref="G466:V466 G482:V483 N467:V481 G499:V499 N484:V498">
    <cfRule type="expression" dxfId="486" priority="353">
      <formula>IF(NOT(OR($G$14="IPB 1.0 Size S",$G$14="IPB 1.0 Size Se",$G$14="IPB 1.1 Size Sd",$G$14="IPB 1.1 Size Se",$G$14="IPB 2.0 Size S",$G$14="IPB 2.0 Size M",$G$14="IPB 2.0 Size L",$G$15="DPB Size M",$G$15="DPB Size L")),TRUE)</formula>
    </cfRule>
  </conditionalFormatting>
  <conditionalFormatting sqref="B177:C178">
    <cfRule type="expression" dxfId="485" priority="351">
      <formula>IF(NOT(OR($G$14="IPB 1.0 Size S",$G$14="IPB 1.0 Size Se",$G$14="IPB 1.1 Size Sd",$G$14="IPB 1.1 Size Se",$G$14="IPB 2.0 Size S",$G$14="IPB 2.0 Size M",$G$14="IPB 2.0 Size L",$G$15="DPB Size M",$G$15="DPB Size L")),TRUE)</formula>
    </cfRule>
  </conditionalFormatting>
  <conditionalFormatting sqref="B376:C376">
    <cfRule type="expression" dxfId="484" priority="345">
      <formula>IF(NOT(OR(,$G$15="iBoosterGen1",$G$15="iBoosterGen2",$G$15="iBoosterGen2evo")),TRUE)</formula>
    </cfRule>
  </conditionalFormatting>
  <conditionalFormatting sqref="D376:U376">
    <cfRule type="expression" dxfId="483" priority="344">
      <formula>IF(NOT(OR(,$G$15="iBoosterGen1",$G$15="iBoosterGen2",$G$15="iBoosterGen2evo")),TRUE)</formula>
    </cfRule>
  </conditionalFormatting>
  <conditionalFormatting sqref="B111:D111">
    <cfRule type="expression" dxfId="482" priority="166">
      <formula>IF($G$14="",TRUE)</formula>
    </cfRule>
  </conditionalFormatting>
  <conditionalFormatting sqref="M14:M21">
    <cfRule type="expression" dxfId="481" priority="326">
      <formula>IF(OR($G$15="DPB Size M",$G$15="DPB Size L",$G$14="IPB 1.0 Size Se",$G$14="IPB 1.1 Size Sd",$G$14="IPB 1.1 Size Se",$G$14="IPB 2.0 Size S",$G$14="IPB 2.0 Size M",$G$14="IPB 2.0 Size L"),TRUE)</formula>
    </cfRule>
  </conditionalFormatting>
  <conditionalFormatting sqref="D115:F115 N115:V115 B116:V142">
    <cfRule type="expression" dxfId="480" priority="314">
      <formula>IF(NOT($G$21="yes"),TRUE)</formula>
    </cfRule>
  </conditionalFormatting>
  <conditionalFormatting sqref="D120:V122 B128:V142">
    <cfRule type="expression" dxfId="479" priority="312">
      <formula>IF(NOT(AND(OR($G$14="ESP9UHDS - ESP Standard",$G$14="ESP9UHDH - ESP hevX"),$G$21="yes")),TRUE)</formula>
    </cfRule>
  </conditionalFormatting>
  <conditionalFormatting sqref="B120:C122">
    <cfRule type="expression" dxfId="478" priority="306">
      <formula>IF(NOT(AND(OR($G$14="ESP9UHDS - ESP Standard",$G$14="ESP9UHDH - ESP hevX"),$G$21="yes")),TRUE)</formula>
    </cfRule>
  </conditionalFormatting>
  <conditionalFormatting sqref="F115">
    <cfRule type="expression" dxfId="477" priority="304">
      <formula>IF($G$14="",TRUE)</formula>
    </cfRule>
  </conditionalFormatting>
  <conditionalFormatting sqref="F116">
    <cfRule type="expression" dxfId="476" priority="302">
      <formula>IF($G$14="",TRUE)</formula>
    </cfRule>
  </conditionalFormatting>
  <conditionalFormatting sqref="D115:E116">
    <cfRule type="expression" dxfId="475" priority="273">
      <formula>IF($G$14="",TRUE)</formula>
    </cfRule>
  </conditionalFormatting>
  <conditionalFormatting sqref="F117:F118">
    <cfRule type="expression" dxfId="474" priority="299">
      <formula>IF($G$14="",TRUE)</formula>
    </cfRule>
  </conditionalFormatting>
  <conditionalFormatting sqref="D117:E118">
    <cfRule type="expression" dxfId="473" priority="298">
      <formula>IF($G$14="",TRUE)</formula>
    </cfRule>
  </conditionalFormatting>
  <conditionalFormatting sqref="D120:E121">
    <cfRule type="expression" dxfId="472" priority="297">
      <formula>IF($G$14="",TRUE)</formula>
    </cfRule>
  </conditionalFormatting>
  <conditionalFormatting sqref="D122:E122">
    <cfRule type="expression" dxfId="471" priority="293">
      <formula>IF($G$14="",TRUE)</formula>
    </cfRule>
  </conditionalFormatting>
  <conditionalFormatting sqref="D123:E127">
    <cfRule type="expression" dxfId="470" priority="292">
      <formula>IF($G$14="",TRUE)</formula>
    </cfRule>
  </conditionalFormatting>
  <conditionalFormatting sqref="D128:E142">
    <cfRule type="expression" dxfId="469" priority="291">
      <formula>IF(NOT(AND(OR($G$14="ESP9UHDS - ESP Standard",$G$14="ESP9UHDH - ESP hevX"),$G$21="yes")),TRUE)</formula>
    </cfRule>
  </conditionalFormatting>
  <conditionalFormatting sqref="D128:E142">
    <cfRule type="expression" dxfId="468" priority="290">
      <formula>IF($G$14="",TRUE)</formula>
    </cfRule>
  </conditionalFormatting>
  <conditionalFormatting sqref="B18:J18">
    <cfRule type="expression" dxfId="467" priority="288">
      <formula>IF(NOT(OR($G$14="IPB 1.0 Size Se",$G$14="IPB 1.1 Size Sd",$G$14="IPB 1.1 Size Se",$G$14="IPB 2.0 Size S",$G$14="IPB 2.0 Size M",$G$14="IPB 2.0 Size L",$G$15="DPB Size M",$G$15="DPB Size L")),TRUE)</formula>
    </cfRule>
  </conditionalFormatting>
  <conditionalFormatting sqref="B169:B171">
    <cfRule type="expression" dxfId="466" priority="141">
      <formula>IF(NOT(OR($G$12="EMB S-35kN",$G$12="EMB M-50kN",$G$12="EMB L-65kN",$G$13="EMB S-35kN",$G$13="EMB M-50kN",$G$13="EMB L-65kN",$G$15="BWA Size S",$G$15="BWA Size M")),TRUE)</formula>
    </cfRule>
  </conditionalFormatting>
  <conditionalFormatting sqref="D169:V171">
    <cfRule type="expression" dxfId="465" priority="257">
      <formula>IF(NOT(OR($G$12="EMB S-35kN",$G$12="EMB M-50kN",$G$12="EMB L-65kN",$G$13="EMB S-35kN",$G$13="EMB M-50kN",$G$13="EMB L-65kN",$G$15="BWA Size S",$G$15="BWA Size M")),TRUE)</formula>
    </cfRule>
  </conditionalFormatting>
  <conditionalFormatting sqref="B91:E91 G91:V91">
    <cfRule type="expression" dxfId="464" priority="280">
      <formula>IF(NOT(OR($G$14="ESP10CB - ESP Standard",$G$14="ESP10CE - ESP Standard",$G$14="ESP10CP - ESP Standard",$G$14="ESP10CU - ESP Standard",$G$14="ESP10CL - ESP Standard",$G$14="ESP10TE - ESP Standard for trucks",$G$14="ESP10TP - ESP Standard for trucks",$G$14="ESP10TU - ESP Standard for trucks")),TRUE)</formula>
    </cfRule>
  </conditionalFormatting>
  <conditionalFormatting sqref="B97:L98 D99:L99 M97:V99">
    <cfRule type="expression" dxfId="463" priority="279">
      <formula>IF(NOT(AND(OR($G$14="IPB 1.0 Size S",$G$14="IPB 1.0 Size Se",$G$14="IPB 1.1 Size Sd",$G$14="IPB 1.1 Size Se",$G$14="IPB 2.0 Size S",$G$14="IPB 2.0 Size M",$G$14="IPB 2.0 Size L",$G$15="DPB Size M",$G$15="DPB Size L"),$G$19="II-Split")),TRUE)</formula>
    </cfRule>
  </conditionalFormatting>
  <conditionalFormatting sqref="B99:C99">
    <cfRule type="expression" dxfId="462" priority="276">
      <formula>IF(NOT(AND(OR($G$14="IPB 1.0 Size S",$G$14="IPB 1.0 Size Se",$G$14="IPB 1.1 Size Sd",$G$14="IPB 1.1 Size Se",$G$14="IPB 2.0 Size S",$G$14="IPB 2.0 Size M",$G$14="IPB 2.0 Size L",$G$15="DPB Size M",$G$15="DPB Size L"),$G$19="II-Split")),TRUE)</formula>
    </cfRule>
  </conditionalFormatting>
  <conditionalFormatting sqref="B85:C85">
    <cfRule type="expression" dxfId="461" priority="271">
      <formula>IF(NOT(OR($G$14="ESP9.3HP - ESP hevX",$G$14="ESP9.3HU - ESP hevII",$G$14="ESP9UHDH - ESP hevX",$G$14="ESP10HB - ESP hevX",$G$14="ESP10HE - ESP hevX",$G$14="ESP10HP - ESP hevX",$G$14="ESP10HU - ESP hevX",$G$14="IPB 1.0 Size S",$G$14="IPB 1.0 Size Se",$G$14="IPB 1.1 Size Sd",$G$14="IPB 1.1 Size Se",$G$14="IPB 2.0 Size S",$G$14="IPB 2.0 Size M",$G$14="IPB 2.0 Size L",$G$15="DPB Size M",$G$15="DPB Size L",$G$14="Competitor")),TRUE)</formula>
    </cfRule>
  </conditionalFormatting>
  <conditionalFormatting sqref="B540:C540">
    <cfRule type="expression" dxfId="460" priority="270">
      <formula>IF(NOT(OR($G$14="ESP9.3HP - ESP hevX",$G$14="ESP9.3HU - ESP hevII",$G$14="ESP9UHDH - ESP hevX",$G$14="ESP10HB - ESP hevX",$G$14="ESP10HE - ESP hevX",$G$14="ESP10HP - ESP hevX",$G$14="ESP10HU - ESP hevX",$G$15="iBoosterGen2",$G$15="iBoosterGen1",$G$15="iBoosterGen2evo" )),TRUE)</formula>
    </cfRule>
  </conditionalFormatting>
  <conditionalFormatting sqref="B115:C115">
    <cfRule type="expression" dxfId="459" priority="268">
      <formula>IF(NOT($G$21="yes"),TRUE)</formula>
    </cfRule>
  </conditionalFormatting>
  <conditionalFormatting sqref="B21:F21">
    <cfRule type="expression" dxfId="458" priority="266">
      <formula>IF(NOT(OR($G$14="ESP9.3CB - ESP Standard",$G$14="ESP9.3CP - ESP Standard",$G$14="ESP9UHDS - ESP Standard",$G$14="ESP9.3HP - ESP hevX",$G$14="ESP9.3HU - ESP hevII",$G$14="ESP9UHDH - ESP hevX",$G$14="ESP9.3TE - ESP Standard for light trucks",$G$14="ESP9.3TA - ESP Standard for medium heavy trucks",$G$14="ESP10CL - ESP Standard",$G$14="ESP10CB - ESP Standard",$G$14="ESP10HB - ESP hevX",$G$14="ESP10CE - ESP Standard",$G$14="ESP10HE - ESP hevX",$G$14="ESP10CP - ESP Standard",$G$14="ESP10HP - ESP hevX",$G$14="ESP10CU - ESP Standard",$G$14="ESP10HU - ESP hevX",$G$14="ESP10TE - ESP Standard for trucks",$G$14="ESP10TP - ESP Standard for trucks",$G$14="ESP10TU - ESP Standard for trucks")),TRUE)</formula>
    </cfRule>
  </conditionalFormatting>
  <conditionalFormatting sqref="B539:V539">
    <cfRule type="expression" dxfId="457" priority="259">
      <formula>IF(NOT(OR($G$14="IPB 1.0 Size S",$G$14="IPB 1.0 Size Se",$G$14="IPB 1.1 Size Sd",$G$14="IPB 1.1 Size Se",$G$14="IPB 2.0 Size S",$G$14="IPB 2.0 Size M",$G$14="IPB 2.0 Size L")),TRUE)</formula>
    </cfRule>
  </conditionalFormatting>
  <conditionalFormatting sqref="E168">
    <cfRule type="expression" dxfId="456" priority="282">
      <formula>IF($E$168&lt;&gt;"check",TRUE)</formula>
    </cfRule>
  </conditionalFormatting>
  <conditionalFormatting sqref="B372:C374">
    <cfRule type="expression" dxfId="455" priority="256">
      <formula>IF(NOT(OR($G$15="iBoosterGen2",$G$15="iBoosterGen2evo")),TRUE)</formula>
    </cfRule>
  </conditionalFormatting>
  <conditionalFormatting sqref="D372:U374">
    <cfRule type="expression" dxfId="454" priority="255">
      <formula>IF(NOT(OR($G$15="iBoosterGen2",$G$15="iBoosterGen2evo")),TRUE)</formula>
    </cfRule>
  </conditionalFormatting>
  <conditionalFormatting sqref="V372:V374">
    <cfRule type="expression" dxfId="453" priority="254">
      <formula>IF(NOT(OR($G$15="iBoosterGen2",$G$15="iBoosterGen2evo")),TRUE)</formula>
    </cfRule>
  </conditionalFormatting>
  <conditionalFormatting sqref="E80">
    <cfRule type="expression" dxfId="452" priority="219">
      <formula>IF(NOT($E$80="check"),TRUE)</formula>
    </cfRule>
  </conditionalFormatting>
  <conditionalFormatting sqref="E81">
    <cfRule type="expression" dxfId="451" priority="215">
      <formula>IF(NOT($E$81="check"),TRUE)</formula>
    </cfRule>
  </conditionalFormatting>
  <conditionalFormatting sqref="E82">
    <cfRule type="expression" dxfId="450" priority="214">
      <formula>IF(NOT($E$82="check"),TRUE)</formula>
    </cfRule>
  </conditionalFormatting>
  <conditionalFormatting sqref="E83">
    <cfRule type="expression" dxfId="449" priority="213">
      <formula>IF(NOT($E$83="check"),TRUE)</formula>
    </cfRule>
  </conditionalFormatting>
  <conditionalFormatting sqref="V80">
    <cfRule type="expression" dxfId="448" priority="212">
      <formula>IF(NOT(OR($G$14="ESP9.3CB - ESP Standard",$G$14="ESP9.3CP - ESP Standard",$G$14="ESP9UHDS - ESP Standard",$G$14="ESP9.3HP - ESP hevX",$G$14="ESP9.3HU - ESP hevII",$G$14="ESP9UHDH - ESP hevX",$G$14="ESP9.3TE - ESP Standard for light trucks",$G$14="ESP9.3TA - ESP Standard for medium heavy trucks",$G$14="ESP10CB - ESP Standard",$G$14="ESP10HB - ESP hevX",$G$14="ESP10CE - ESP Standard",$G$14="ESP10HE - ESP hevX",$G$14="ESP10CP - ESP Standard",$G$14="ESP10HP - ESP hevX",$G$14="ESP10CU - ESP Standard",$G$14="ESP10HU - ESP hevX",$G$14="Competitor",$G$14="ESP10CL - ESP Standard",$G$14="ESP10TE - ESP Standard for trucks",$G$14="ESP10TP - ESP Standard for trucks",$G$14="ESP10TU - ESP Standard for trucks",$G$21="yes",AND($G$22="yes",$G$12="Hydraulic Brake"))),TRUE)</formula>
    </cfRule>
  </conditionalFormatting>
  <conditionalFormatting sqref="B81:C81">
    <cfRule type="expression" dxfId="447" priority="209">
      <formula>IF(NOT(OR($G$14="ESP9.3CB - ESP Standard",$G$14="ESP9.3CP - ESP Standard",$G$14="ESP9UHDS - ESP Standard",$G$14="ESP9.3HP - ESP hevX",$G$14="ESP9.3HU - ESP hevII",$G$14="ESP9UHDH - ESP hevX",$G$14="ESP9.3TE - ESP Standard for light trucks",$G$14="ESP9.3TA - ESP Standard for medium heavy trucks",$G$14="ESP10CB - ESP Standard",$G$14="ESP10HB - ESP hevX",$G$14="ESP10CE - ESP Standard",$G$14="ESP10HE - ESP hevX",$G$14="ESP10CP - ESP Standard",$G$14="ESP10HP - ESP hevX",$G$14="ESP10CU - ESP Standard",$G$14="ESP10HU - ESP hevX",$G$14="Competitor",$G$14="ESP10CL - ESP Standard",$G$14="ESP10TE - ESP Standard for trucks",$G$14="ESP10TP - ESP Standard for trucks",$G$14="ESP10TU - ESP Standard for trucks",$G$21="yes",AND($G$22="yes",$G$12="Hydraulic Brake"))),TRUE)</formula>
    </cfRule>
  </conditionalFormatting>
  <conditionalFormatting sqref="B80:C80">
    <cfRule type="expression" dxfId="446" priority="208">
      <formula>IF(NOT(OR($G$14="ESP9.3CB - ESP Standard",$G$14="ESP9.3CP - ESP Standard",$G$14="ESP9UHDS - ESP Standard",$G$14="ESP9.3HP - ESP hevX",$G$14="ESP9.3HU - ESP hevII",$G$14="ESP9UHDH - ESP hevX",$G$14="ESP9.3TE - ESP Standard for light trucks",$G$14="ESP9.3TA - ESP Standard for medium heavy trucks",$G$14="ESP10CB - ESP Standard",$G$14="ESP10HB - ESP hevX",$G$14="ESP10CE - ESP Standard",$G$14="ESP10HE - ESP hevX",$G$14="ESP10CP - ESP Standard",$G$14="ESP10HP - ESP hevX",$G$14="ESP10CU - ESP Standard",$G$14="ESP10HU - ESP hevX",$G$14="Competitor",$G$14="ESP10CL - ESP Standard",$G$14="ESP10TE - ESP Standard for trucks",$G$14="ESP10TP - ESP Standard for trucks",$G$14="ESP10TU - ESP Standard for trucks",$G$21="yes",AND($G$22="yes",$G$12="Hydraulic Brake"))),TRUE)</formula>
    </cfRule>
  </conditionalFormatting>
  <conditionalFormatting sqref="V311:V323">
    <cfRule type="expression" dxfId="445" priority="189">
      <formula>IF($G$14="",TRUE)</formula>
    </cfRule>
  </conditionalFormatting>
  <conditionalFormatting sqref="B308:E308 G308:V308">
    <cfRule type="expression" dxfId="444" priority="188">
      <formula>IF(NOT(OR($G$14="ESP9.3HP - ESP hevX",$G$14="ESP9UHDH - ESP hevX",$G$14="ESP10HB - ESP hevX",$G$14="ESP10HE - ESP hevX",$G$14="ESP10HP - ESP hevX",$G$14="ESP10HU - ESP hevX",$G$14="IPB 1.0 Size S",$G$14="IPB 1.0 Size Se",$G$14="IPB 1.1 Size Sd",$G$14="IPB 1.1 Size Se",$G$14="IPB 2.0 Size S",$G$14="IPB 2.0 Size M",$G$14="IPB 2.0 Size L",$G$15="DPB Size M",$G$15="DPB Size L",$G$14="Competitor")),TRUE)</formula>
    </cfRule>
  </conditionalFormatting>
  <conditionalFormatting sqref="I312:L323 R312:U323">
    <cfRule type="expression" dxfId="443" priority="187">
      <formula>IF(ISBLANK(I312),FALSE,IF(I312&lt;=MAX(I$311:I311),TRUE,FALSE))</formula>
    </cfRule>
  </conditionalFormatting>
  <conditionalFormatting sqref="E108:E109">
    <cfRule type="expression" dxfId="442" priority="328">
      <formula>IF(E108="check",FALSE,TRUE)</formula>
    </cfRule>
  </conditionalFormatting>
  <conditionalFormatting sqref="E87">
    <cfRule type="expression" dxfId="441" priority="161">
      <formula>IF(NOT(OR($G$14="ESP9.3CB - ESP Standard",$G$14="ESP9.3CP - ESP Standard",$G$14="ESP9UHDS - ESP Standard",$G$14="ESP9.3TE - ESP Standard for light trucks",$G$14="ESP9.3TA - ESP Standard for medium heavy trucks",$G$14="ESP10CB - ESP Standard",$G$14="ESP10CE - ESP Standard",$G$14="ESP10CP - ESP Standard",$G$14="ESP10CU - ESP Standard",$G$14="Competitor",$G$14="ESP10CL - ESP Standard",$G$14="ESP10TE - ESP Standard for trucks",$G$14="ESP10TP - ESP Standard for trucks",$G$14="ESP10TU - ESP Standard for trucks",$G$21="yes",$G$22="yes")),TRUE)</formula>
    </cfRule>
  </conditionalFormatting>
  <conditionalFormatting sqref="F119">
    <cfRule type="expression" dxfId="440" priority="156">
      <formula>IF($G$14="",TRUE)</formula>
    </cfRule>
  </conditionalFormatting>
  <conditionalFormatting sqref="D119:E119">
    <cfRule type="expression" dxfId="439" priority="155">
      <formula>IF($G$14="",TRUE)</formula>
    </cfRule>
  </conditionalFormatting>
  <conditionalFormatting sqref="G167:L167 R167:U167">
    <cfRule type="expression" dxfId="438" priority="2132">
      <formula>IF(NOT(G$167=""),IF(G$167&lt;(G$108+G$109)*G$166,TRUE),FALSE)</formula>
    </cfRule>
  </conditionalFormatting>
  <conditionalFormatting sqref="N79:U79">
    <cfRule type="expression" dxfId="437" priority="1323">
      <formula>IF(NOT($G$22="yes"),TRUE)</formula>
    </cfRule>
  </conditionalFormatting>
  <conditionalFormatting sqref="D47:U48">
    <cfRule type="expression" dxfId="436" priority="144">
      <formula>IF(OR($G$15="Vacuum Booster",$G$15="boosterless",$G$15="none"),TRUE)</formula>
    </cfRule>
  </conditionalFormatting>
  <conditionalFormatting sqref="B47:B48 V47:V48">
    <cfRule type="expression" dxfId="435" priority="143">
      <formula>IF(OR($G$15="Vacuum Booster",$G$15="boosterless",$G$15="none"),TRUE)</formula>
    </cfRule>
  </conditionalFormatting>
  <conditionalFormatting sqref="B168">
    <cfRule type="expression" dxfId="434" priority="140">
      <formula>IF(NOT(OR($G$14="IPB 1.0 Size S",$G$14="IPB 1.0 Size Se",$G$14="IPB 1.1 Size Sd",$G$14="IPB 1.1 Size Se",$G$14="IPB 2.0 Size S",$G$14="IPB 2.0 Size M",$G$14="IPB 2.0 Size L",$G$15="DPB Size M",$G$15="DPB Size L")),TRUE)</formula>
    </cfRule>
  </conditionalFormatting>
  <conditionalFormatting sqref="B370:C371 B376 V376">
    <cfRule type="expression" dxfId="433" priority="138">
      <formula>IF(NOT(OR($G$15="iBoosterGen1",$G$15="iBoosterGen2",$G$15="iBoosterGen2evo")),TRUE)</formula>
    </cfRule>
  </conditionalFormatting>
  <conditionalFormatting sqref="D370:U371">
    <cfRule type="expression" dxfId="432" priority="1318">
      <formula>IF(NOT(OR($G$15="iBoosterGen1",$G$15="iBoosterGen2",$G$15="iBoosterGen2evo")),TRUE)</formula>
    </cfRule>
  </conditionalFormatting>
  <conditionalFormatting sqref="V370:V371">
    <cfRule type="expression" dxfId="431" priority="1314">
      <formula>IF(NOT(OR($G$15="iBoosterGen1",$G$15="iBoosterGen2",$G$15="iBoosterGen2evo")),TRUE)</formula>
    </cfRule>
  </conditionalFormatting>
  <conditionalFormatting sqref="B146">
    <cfRule type="expression" dxfId="430" priority="135">
      <formula>IF(NOT(OR(AND(OR($G$14="ESP9UHDS - ESP Standard",$G$14="ESP9UHDH - ESP hevX",$G$14="ESP10CU - ESP Standard",$G$14="ESP10HU - ESP hevX",$G$14="ESP10CP - ESP Standard",$G$14="ESP10HP - ESP hevX",$G$14="ESP10CB - ESP Standard",$G$14="ESP10HB - ESP hevX",$G$14="ESP10CE - ESP Standard",$G$14="ESP10HE - ESP hevX",$G$14="ESP10CL - ESP Standard"),$G$22="yes"),$G$15="BWA Size S",$G$15="BWA Size M")),TRUE)</formula>
    </cfRule>
  </conditionalFormatting>
  <conditionalFormatting sqref="D146:V148">
    <cfRule type="expression" dxfId="429" priority="134">
      <formula>IF(NOT(OR(AND(OR($G$14="ESP9UHDS - ESP Standard",$G$14="ESP9UHDH - ESP hevX",$G$14="ESP10CU - ESP Standard",$G$14="ESP10HU - ESP hevX",$G$14="ESP10CP - ESP Standard",$G$14="ESP10HP - ESP hevX",$G$14="ESP10CB - ESP Standard",$G$14="ESP10HB - ESP hevX",$G$14="ESP10CE - ESP Standard",$G$14="ESP10HE - ESP hevX",$G$14="ESP10CL - ESP Standard"),$G$22="yes"),$G$15="BWA Size S",$G$15="BWA Size M")),TRUE)</formula>
    </cfRule>
  </conditionalFormatting>
  <conditionalFormatting sqref="B149:C163">
    <cfRule type="expression" dxfId="428" priority="754">
      <formula>IF(NOT(AND(OR($G$14="ESP9UHDS - ESP Standard",$G$14="ESP9UHDH - ESP hevX",$G$14="ESP10CU - ESP Standard",$G$14="ESP10HU - ESP hevX",$G$14="ESP10CP - ESP Standard",$G$14="ESP10HP - ESP hevX",$G$14="ESP10CB - ESP Standard",$G$14="ESP10HB - ESP hevX",$G$14="ESP10CE - ESP Standard",$G$14="ESP10HE - ESP hevX",$G$14="ESP10CL - ESP Standard"),$G$22="yes")),TRUE)</formula>
    </cfRule>
  </conditionalFormatting>
  <conditionalFormatting sqref="V56 B56:C56">
    <cfRule type="expression" dxfId="427" priority="2144">
      <formula>IF(NOT(OR($G$12="EMB S-35kN",$G$12="EMB M-50kN",$G$12="EMB L-65kN",$G$13="EMB S-35kN",$G$13="EMB M-50kN",$G$13="EMB L-65kN",$G$14="IPB 1.0 Size S",$G$14="IPB 1.0 Size Se",$G$14="IPB 1.1 Size Sd",$G$14="IPB 1.1 Size Se",$G$14="IPB 2.0 Size S",$G$14="IPB 2.0 Size M",$G$14="IPB 2.0 Size L",$G$15="DPB Size M",$G$15="DPB Size L",$G$24="yes")),TRUE)</formula>
    </cfRule>
  </conditionalFormatting>
  <conditionalFormatting sqref="V557:V558 B552:C555 B557:C558 V552:V555 B89:E89 B556:E556 G89:V89 G556:V556">
    <cfRule type="expression" dxfId="426" priority="2146">
      <formula>IF(NOT($G$24="yes"),TRUE)</formula>
    </cfRule>
  </conditionalFormatting>
  <conditionalFormatting sqref="B559 V559 V562 B562">
    <cfRule type="expression" dxfId="425" priority="2147">
      <formula>IF(OR(NOT($G$24="yes"),$AV$553=0),TRUE)</formula>
    </cfRule>
  </conditionalFormatting>
  <conditionalFormatting sqref="D558:U558 D552:E555 G552:U555 D557:E557 G557:U557">
    <cfRule type="expression" dxfId="424" priority="2154">
      <formula>IF(NOT($G$24="yes"),TRUE)</formula>
    </cfRule>
  </conditionalFormatting>
  <conditionalFormatting sqref="D56:E56 N56:U56">
    <cfRule type="expression" dxfId="423" priority="2155">
      <formula>IF(NOT(OR($G$12="EMB S-35kN",$G$12="EMB M-50kN",$G$12="EMB L-65kN",$G$13="EMB S-35kN",$G$13="EMB M-50kN",$G$13="EMB L-65kN",$G$14="IPB 1.0 Size Se",$G$14="IPB 1.1 Size Sd",$G$14="IPB 1.1 Size Se",$G$14="IPB 2.0 Size S",$G$14="IPB 2.0 Size M",$G$14="IPB 2.0 Size L",$G$15="DPB Size M",$G$15="DPB Size L",$G$24="yes")),TRUE)</formula>
    </cfRule>
  </conditionalFormatting>
  <conditionalFormatting sqref="B560:C561 V560:V561">
    <cfRule type="expression" dxfId="422" priority="2156">
      <formula>IF(AND(OR(NOT($G$24="yes"),$AV$555=0),OR(NOT($G$24="yes"),$AV$554=0)),TRUE)</formula>
    </cfRule>
  </conditionalFormatting>
  <conditionalFormatting sqref="D560:E561">
    <cfRule type="expression" dxfId="421" priority="2158">
      <formula>IF(AND(OR(NOT($G$24="yes"),$AV$555=0),OR(NOT($G$24="yes"),$AV$554=0)),TRUE)</formula>
    </cfRule>
  </conditionalFormatting>
  <conditionalFormatting sqref="D559:F559 D562:F562">
    <cfRule type="expression" dxfId="420" priority="2159">
      <formula>IF(OR(NOT($G$24="yes"),$AV$553=0),TRUE)</formula>
    </cfRule>
  </conditionalFormatting>
  <conditionalFormatting sqref="G31:K31">
    <cfRule type="expression" priority="2163">
      <formula>IF($G$24="yes",TRUE)</formula>
    </cfRule>
  </conditionalFormatting>
  <conditionalFormatting sqref="B57:E57 N57:V57">
    <cfRule type="expression" dxfId="419" priority="2167">
      <formula>IF(NOT(OR($G$12="EMB S-35kN",$G$12="EMB M-50kN",$G$12="EMB L-65kN",$G$13="EMB S-35kN",$G$13="EMB M-50kN",$G$13="EMB L-65kN",$G$14="ESP9.3CB - ESP Standard",$G$14="ESP9.3CP - ESP Standard",$G$14="ESP9UHDS - ESP Standard",$G$14="ESP9.3TE - ESP Standard for light trucks",$G$14="ESP9.3TA - ESP Standard for medium heavy trucks",$G$14="ESP10CB - ESP Standard",$G$14="ESP10CE - ESP Standard",$G$14="ESP10CP - ESP Standard",$G$14="ESP10CU - ESP Standard",$G$14="Competitor",$G$14="IPB 1.0 Size Se",$G$14="IPB 1.1 Size Sd",$G$14="IPB 1.1 Size Se",$G$14="IPB 2.0 Size S",$G$14="IPB 2.0 Size M",$G$14="IPB 2.0 Size L",$G$15="DBP Size M",$G$15="DPB Size L",$G$14="ESP10CL - ESP Standard",$G$14="ESP10CL - ESP Standard",$G$14="ESP10TE - ESP Standard for trucks",$G$14="ESP10TP - ESP Standard for trucks",$G$14="ESP10TU - ESP Standard for trucks",$G$24="yes")),TRUE)</formula>
    </cfRule>
  </conditionalFormatting>
  <conditionalFormatting sqref="B58:V58">
    <cfRule type="expression" dxfId="418" priority="2151">
      <formula>IF(NOT(OR($G$12="EMB S-35kN",$G$12="EMB M-50kN",$G$12="EMB L-65kN",$G$13="EMB S-35kN",$G$13="EMB M-50kN",$G$13="EMB L-65kN",$G$14="ESP9.3HP - ESP hevX",$G$14="ESP9.3HU - ESP hevII",$G$14="ESP9UHDH - ESP hevX",$G$14="ESP10HB - ESP hevX",$G$14="ESP10HE - ESP hevX",$G$14="ESP10HP - ESP hevX",$G$14="ESP10HU - ESP hevX",$G$14="ESP9.3CB - ESP Standard",$G$14="ESP9.3CP - ESP Standard",$G$14="ESP9UHDS - ESP Standard",$G$14="ESP9.3TE - ESP Standard for light trucks",$G$14="ESP9.3TA - ESP Standard for medium heavy trucks",$G$14="ESP10CB - ESP Standard",$G$14="ESP10CE - ESP Standard",$G$14="ESP10CP - ESP Standard",$G$14="ESP10CU - ESP Standard",$G$14="ESP10CL - ESP Standard",$G$14="ESP10TE - ESP Standard for trucks",$G$14="ESP10TP - ESP Standard for trucks",$G$14="ESP10TU - ESP Standard for trucks")),TRUE)</formula>
    </cfRule>
  </conditionalFormatting>
  <conditionalFormatting sqref="M329:Q340">
    <cfRule type="expression" dxfId="417" priority="2244">
      <formula>IF(ISBLANK(M329),FALSE,IF(M329&lt;=MAX(M$328:M328),TRUE,FALSE))</formula>
    </cfRule>
  </conditionalFormatting>
  <conditionalFormatting sqref="M346:Q357">
    <cfRule type="expression" dxfId="416" priority="2246">
      <formula>IF(ISBLANK(M346),FALSE,IF(M346&lt;=MAX(M$345:M345),TRUE,FALSE))</formula>
    </cfRule>
  </conditionalFormatting>
  <conditionalFormatting sqref="M96:Q96">
    <cfRule type="expression" dxfId="415" priority="2266">
      <formula>IF(NOT(AND(OR($G14="IPB 1.0 Size S",$G$14="IPB 1.0 Size Se",$G$14="IPB 1.1 Size Sd",$G$14="IPB 1.1 Size Se",$G$14="IPB 2.0 Size S",$G$14="IPB 2.0 Size M",$G$14="IPB 2.0 Size L",$G$15="DPB Size M",$G$15="DPB Size L"),$G$19="II-Split")),TRUE)</formula>
    </cfRule>
  </conditionalFormatting>
  <conditionalFormatting sqref="M312:Q323">
    <cfRule type="expression" dxfId="414" priority="2320">
      <formula>IF(ISBLANK(M312),FALSE,IF(M312&lt;=MAX(M$311:M311),TRUE,FALSE))</formula>
    </cfRule>
  </conditionalFormatting>
  <conditionalFormatting sqref="M167:Q167">
    <cfRule type="expression" dxfId="413" priority="2336">
      <formula>IF(NOT(M$167=""),IF(M$167&lt;(M$108+M$109)*M$166,TRUE),FALSE)</formula>
    </cfRule>
  </conditionalFormatting>
  <conditionalFormatting sqref="E363">
    <cfRule type="expression" dxfId="412" priority="121">
      <formula>IF($E$363&lt;&gt;"check",TRUE)</formula>
    </cfRule>
  </conditionalFormatting>
  <conditionalFormatting sqref="B76:V78 B66:V71 V76:V78 B214:V214 B213 D213:V213 B223:V224 B215:B222 D215:V222 B207:V212">
    <cfRule type="expression" dxfId="411" priority="120">
      <formula>IF(NOT(OR($G$12="EMB S-35kN",$G$12="EMB M-50kN",$G$12="EMB L-65kN",$G$13="EMB S-35kN",$G$13="EMB M-50kN",$G$13="EMB L-65kN")),TRUE)</formula>
    </cfRule>
  </conditionalFormatting>
  <conditionalFormatting sqref="B542:V543">
    <cfRule type="expression" dxfId="410" priority="117">
      <formula>IF(NOT(OR($G$12="EMB S-35kN",$G$12="EMB M-50kN",$G$13="EMB S-35kN",$G$13="EMB M-50kN")),TRUE)</formula>
    </cfRule>
  </conditionalFormatting>
  <conditionalFormatting sqref="M31:M39">
    <cfRule type="expression" dxfId="409" priority="125">
      <formula>IF(OR($G$15="BWA Size S",$G$15="BWA Size M"),TRUE)</formula>
    </cfRule>
  </conditionalFormatting>
  <conditionalFormatting sqref="M30:Q30">
    <cfRule type="expression" dxfId="408" priority="126">
      <formula>IF(OR($G$15="BWA Size S",$G$15="BWA Size M"),TRUE)</formula>
    </cfRule>
  </conditionalFormatting>
  <conditionalFormatting sqref="M39:Q39">
    <cfRule type="expression" dxfId="407" priority="106">
      <formula>IF(OR($G$13="BWA Size S",$G$13="BWA Size M"),TRUE)</formula>
    </cfRule>
    <cfRule type="expression" dxfId="406" priority="127">
      <formula>IF(OR($G$15="BWA Size S",$G$15="BWA Size M"),TRUE)</formula>
    </cfRule>
  </conditionalFormatting>
  <conditionalFormatting sqref="Q31:Q39">
    <cfRule type="expression" dxfId="405" priority="129">
      <formula>IF(OR($G$15="BWA Size S",$G$15="BWA Size M"),TRUE)</formula>
    </cfRule>
  </conditionalFormatting>
  <conditionalFormatting sqref="M38">
    <cfRule type="expression" dxfId="404" priority="108">
      <formula>IF(OR($G$15="BWA Size S",$G$15="BWA Size M"),TRUE)</formula>
    </cfRule>
    <cfRule type="expression" dxfId="403" priority="109">
      <formula>IF(OR($G$15="BWA Size S",$G$15="BWA Size M"),TRUE)</formula>
    </cfRule>
  </conditionalFormatting>
  <conditionalFormatting sqref="G31:G39">
    <cfRule type="expression" dxfId="402" priority="110">
      <formula>IF($G$24="yes",TRUE)</formula>
    </cfRule>
  </conditionalFormatting>
  <conditionalFormatting sqref="G30:K30">
    <cfRule type="expression" dxfId="401" priority="2161">
      <formula>IF($G$24="yes",TRUE)</formula>
    </cfRule>
  </conditionalFormatting>
  <conditionalFormatting sqref="G39:K39">
    <cfRule type="expression" dxfId="400" priority="112">
      <formula>IF($G$24="yes",TRUE)</formula>
    </cfRule>
  </conditionalFormatting>
  <conditionalFormatting sqref="J31:L39">
    <cfRule type="expression" priority="113">
      <formula>IF($G$24="yes",TRUE)</formula>
    </cfRule>
  </conditionalFormatting>
  <conditionalFormatting sqref="K31:K39">
    <cfRule type="expression" dxfId="399" priority="114">
      <formula>IF($G$24="yes",TRUE)</formula>
    </cfRule>
  </conditionalFormatting>
  <conditionalFormatting sqref="G38">
    <cfRule type="expression" dxfId="398" priority="115">
      <formula>IF($G$24="yes",TRUE)</formula>
    </cfRule>
    <cfRule type="expression" dxfId="397" priority="116">
      <formula>IF($G$24="yes",TRUE)</formula>
    </cfRule>
  </conditionalFormatting>
  <conditionalFormatting sqref="B50 D50:V50">
    <cfRule type="expression" dxfId="396" priority="96">
      <formula>IF(NOT(OR($G$12="EMB S-35kN",$G$12="EMB M-50kN",$G$12="EMB L-65kN",$G$13="EMB S-35kN",$G$13="EMB M-50kN",$G$13="EMB L-65kN")),TRUE)</formula>
    </cfRule>
  </conditionalFormatting>
  <conditionalFormatting sqref="B176:V176">
    <cfRule type="expression" dxfId="395" priority="95">
      <formula>IF(NOT(OR($G$12="EMB S-35kN",$G$12="EMB M-50kN",$G$12="EMB L-65kN",$G$13="EMB S-35kN",$G$13="EMB M-50kN",$G$13="EMB L-65kN",$G$15="BWA Size S",$G$15="BWA Size M")),TRUE)</formula>
    </cfRule>
  </conditionalFormatting>
  <conditionalFormatting sqref="B362:B363">
    <cfRule type="expression" dxfId="394" priority="94">
      <formula>IF(NOT(OR($G$14="IPB 1.0 Size S",$G$14="IPB 1.0 Size Se",$G$14="IPB 1.1 Size Sd",$G$14="IPB 1.1 Size Se",$G$14="IPB 2.0 Size S",$G$14="IPB 2.0 Size M",$G$14="IPB 2.0 Size L",,$G$15="DPB Size M",$G$15="DPB Size L")),TRUE)</formula>
    </cfRule>
  </conditionalFormatting>
  <conditionalFormatting sqref="B77:V78">
    <cfRule type="expression" dxfId="393" priority="93">
      <formula>IF(NOT(OR($G$12="EMB S-35kN",$G$12="EMB M-50kN",$G$12="EMB L-65kN",$G$13="EMB S-35kN",$G$13="EMB M-50kN",$G$13="EMB L-65kN")),TRUE)</formula>
    </cfRule>
  </conditionalFormatting>
  <conditionalFormatting sqref="B544:V547">
    <cfRule type="expression" dxfId="392" priority="91">
      <formula>IF(NOT(OR($G$12="EMB S-35kN",$G$12="EMB M-50kN",$G$12="EMB L-65kN",$G$13="EMB S-35kN",$G$13="EMB M-50kN",$G$13="EMB L-65kN")),TRUE)</formula>
    </cfRule>
  </conditionalFormatting>
  <conditionalFormatting sqref="B14:F15">
    <cfRule type="expression" dxfId="391" priority="87">
      <formula>IF(NOT(OR($G$12="Hydraulic Brake",$G$13="Hydraulic Brake")),TRUE)</formula>
    </cfRule>
  </conditionalFormatting>
  <conditionalFormatting sqref="G14:J15">
    <cfRule type="expression" dxfId="390" priority="88">
      <formula>IF(NOT(OR($G$12="Hydraulic Brake",$G$13="Hydraulic Brake")),TRUE)</formula>
    </cfRule>
  </conditionalFormatting>
  <conditionalFormatting sqref="B19:F19">
    <cfRule type="expression" dxfId="389" priority="86">
      <formula>IF(AND($G$14="",$G$15=""),TRUE)</formula>
    </cfRule>
  </conditionalFormatting>
  <conditionalFormatting sqref="G19:J19">
    <cfRule type="expression" dxfId="388" priority="85">
      <formula>IF(AND($G$14="",$G$15=""),TRUE)</formula>
    </cfRule>
  </conditionalFormatting>
  <conditionalFormatting sqref="B47:V49">
    <cfRule type="expression" dxfId="387" priority="83">
      <formula>IF($G$14="",TRUE)</formula>
    </cfRule>
  </conditionalFormatting>
  <conditionalFormatting sqref="B46:V46">
    <cfRule type="expression" dxfId="386" priority="82">
      <formula>IF(AND($G$12="",$G$14=""),TRUE)</formula>
    </cfRule>
  </conditionalFormatting>
  <conditionalFormatting sqref="B107:E111 N107:V111">
    <cfRule type="expression" dxfId="385" priority="81">
      <formula>IF($G$14="",TRUE)</formula>
    </cfRule>
  </conditionalFormatting>
  <conditionalFormatting sqref="G12:J12">
    <cfRule type="expression" dxfId="384" priority="80">
      <formula>IF(ISBLANK($G$12),TRUE)</formula>
    </cfRule>
  </conditionalFormatting>
  <conditionalFormatting sqref="G13:J13">
    <cfRule type="expression" dxfId="383" priority="78">
      <formula>IF(ISBLANK($G$13),TRUE)</formula>
    </cfRule>
  </conditionalFormatting>
  <conditionalFormatting sqref="B59:V59">
    <cfRule type="expression" dxfId="382" priority="77">
      <formula>IF($G$14="",TRUE)</formula>
    </cfRule>
  </conditionalFormatting>
  <conditionalFormatting sqref="G168:U168">
    <cfRule type="expression" dxfId="381" priority="2503">
      <formula>IF(NOT(G$166=""),IF(AND(OR($G$14="IPB 1.0 Size Se",$G$14="IPB 1.1 Size Sd",$G$14="IPB 1.1 Size Se"),G$166&gt;4.2),TRUE),FALSE)</formula>
    </cfRule>
  </conditionalFormatting>
  <conditionalFormatting sqref="B71:V71">
    <cfRule type="expression" dxfId="380" priority="76">
      <formula>IF($G$70="Bosch definition (default)",TRUE)</formula>
    </cfRule>
    <cfRule type="expression" dxfId="379" priority="57">
      <formula>IF(NOT(OR($G$12="EMB S-35kN",$G$12="EMB M-50kN",$G$12="EMB L-65kN",$G$13="EMB S-35kN",$G$13="EMB M-50kN",$G$13="EMB L-65kN")),TRUE)</formula>
    </cfRule>
  </conditionalFormatting>
  <conditionalFormatting sqref="G559:U559 G562:U562">
    <cfRule type="expression" dxfId="378" priority="2512">
      <formula>IF(OR(NOT($G$24="yes"),NOT(AF$553=1)),TRUE)</formula>
    </cfRule>
  </conditionalFormatting>
  <conditionalFormatting sqref="G560:U561">
    <cfRule type="expression" dxfId="377" priority="2514">
      <formula>IF(AND(OR(NOT($G$24="yes"),NOT(G$555="yes")),OR(NOT($G$24="yes"),NOT(G$554="yes"))),TRUE)</formula>
    </cfRule>
  </conditionalFormatting>
  <conditionalFormatting sqref="B235:V267 B271:V303">
    <cfRule type="expression" dxfId="376" priority="75">
      <formula>IF(NOT(OR($G$12="Hydraulic Brake",$G$13="Hydraulic Brake")),TRUE)</formula>
    </cfRule>
  </conditionalFormatting>
  <conditionalFormatting sqref="B183:V206">
    <cfRule type="expression" dxfId="375" priority="73">
      <formula>IF(NOT(OR($G$12="EMB S-35kN",$G$12="EMB M-50kN",$G$12="EMB L-65kN",$G$13="EMB S-35kN",$G$13="EMB M-50kN",$G$13="EMB L-65kN")),TRUE)</formula>
    </cfRule>
  </conditionalFormatting>
  <conditionalFormatting sqref="G311:H323">
    <cfRule type="expression" dxfId="374" priority="72">
      <formula>IF($G$14="",TRUE)</formula>
    </cfRule>
  </conditionalFormatting>
  <conditionalFormatting sqref="G312:H323">
    <cfRule type="expression" dxfId="373" priority="71">
      <formula>IF(ISBLANK(G312),FALSE,IF(G312&lt;=MAX(G$289:G311),TRUE,FALSE))</formula>
    </cfRule>
  </conditionalFormatting>
  <conditionalFormatting sqref="B209:F209 B211:F211 V209 V211">
    <cfRule type="expression" dxfId="372" priority="70">
      <formula>IF(COUNTIF($G$76:$U$76,"Both axles")&gt;0,FALSE,TRUE)</formula>
    </cfRule>
  </conditionalFormatting>
  <conditionalFormatting sqref="G209 G211">
    <cfRule type="expression" dxfId="371" priority="65">
      <formula>IF($G$76="Rear axle",TRUE)</formula>
    </cfRule>
    <cfRule type="expression" dxfId="370" priority="69">
      <formula>IF($G$76="Rear axle",TRUE)</formula>
    </cfRule>
  </conditionalFormatting>
  <conditionalFormatting sqref="H209 H211">
    <cfRule type="expression" dxfId="369" priority="68">
      <formula>IF($H$76="Rear axle",TRUE)</formula>
    </cfRule>
  </conditionalFormatting>
  <conditionalFormatting sqref="I209 I211">
    <cfRule type="expression" dxfId="368" priority="67">
      <formula>IF($I$76="Rear axle",TRUE)</formula>
    </cfRule>
  </conditionalFormatting>
  <conditionalFormatting sqref="J209 J211">
    <cfRule type="expression" dxfId="367" priority="66">
      <formula>IF($J$76="Rear axle",TRUE)</formula>
    </cfRule>
  </conditionalFormatting>
  <conditionalFormatting sqref="K209 K211">
    <cfRule type="expression" dxfId="366" priority="64">
      <formula>IF($K$76="Rear axle",TRUE)</formula>
    </cfRule>
  </conditionalFormatting>
  <conditionalFormatting sqref="L209 L211">
    <cfRule type="expression" dxfId="365" priority="63">
      <formula>IF($L$76="Rear axle",TRUE)</formula>
    </cfRule>
  </conditionalFormatting>
  <conditionalFormatting sqref="M209 M211">
    <cfRule type="expression" dxfId="364" priority="62">
      <formula>IF($M$76="Rear axle",TRUE)</formula>
    </cfRule>
  </conditionalFormatting>
  <conditionalFormatting sqref="N209 N211">
    <cfRule type="expression" dxfId="363" priority="61">
      <formula>IF($N$76="Rear axle",TRUE)</formula>
    </cfRule>
  </conditionalFormatting>
  <conditionalFormatting sqref="O209 O211">
    <cfRule type="expression" dxfId="362" priority="60">
      <formula>IF($O$76="Rear axle",TRUE)</formula>
    </cfRule>
  </conditionalFormatting>
  <conditionalFormatting sqref="P209 P211">
    <cfRule type="expression" dxfId="361" priority="59">
      <formula>IF($P$76="Rear axle",TRUE)</formula>
    </cfRule>
  </conditionalFormatting>
  <conditionalFormatting sqref="Q209 Q211">
    <cfRule type="expression" dxfId="360" priority="58">
      <formula>IF($Q$76="Rear axle",TRUE)</formula>
    </cfRule>
  </conditionalFormatting>
  <conditionalFormatting sqref="Q7">
    <cfRule type="expression" dxfId="359" priority="56">
      <formula>IF(ISBLANK($Q$7),TRUE)</formula>
    </cfRule>
  </conditionalFormatting>
  <conditionalFormatting sqref="Q8">
    <cfRule type="expression" dxfId="358" priority="55">
      <formula>IF(ISBLANK($Q$8),TRUE)</formula>
    </cfRule>
  </conditionalFormatting>
  <conditionalFormatting sqref="Q9">
    <cfRule type="expression" dxfId="357" priority="54">
      <formula>IF(ISBLANK($Q$9),TRUE)</formula>
    </cfRule>
  </conditionalFormatting>
  <conditionalFormatting sqref="Q10">
    <cfRule type="expression" dxfId="356" priority="53">
      <formula>IF(ISBLANK($Q$10),TRUE)</formula>
    </cfRule>
  </conditionalFormatting>
  <conditionalFormatting sqref="Q11">
    <cfRule type="expression" dxfId="355" priority="52">
      <formula>IF(ISBLANK($Q$11),TRUE)</formula>
    </cfRule>
  </conditionalFormatting>
  <conditionalFormatting sqref="Q12">
    <cfRule type="expression" dxfId="354" priority="51">
      <formula>IF(ISBLANK($Q$12),TRUE)</formula>
    </cfRule>
  </conditionalFormatting>
  <conditionalFormatting sqref="Q13">
    <cfRule type="expression" dxfId="353" priority="50">
      <formula>IF(ISBLANK($Q$13),TRUE)</formula>
    </cfRule>
  </conditionalFormatting>
  <conditionalFormatting sqref="M7:M13">
    <cfRule type="expression" dxfId="352" priority="49">
      <formula>IF(OR($G$13="DPB Size M",$G$13="DPB Size L",$G$12="IPB 1.0 Size Se",$G$12="IPB 1.1 Size Sd",$G$12="IPB 1.1 Size Se",$G$12="IPB 2.0 Size S",$G$12="IPB 2.0 Size M",$G$12="IPB 2.0 Size L"),TRUE)</formula>
    </cfRule>
  </conditionalFormatting>
  <conditionalFormatting sqref="G51:M51">
    <cfRule type="expression" dxfId="351" priority="44">
      <formula>IF($G$12="",TRUE)</formula>
    </cfRule>
  </conditionalFormatting>
  <conditionalFormatting sqref="G55:M55">
    <cfRule type="expression" dxfId="350" priority="46">
      <formula>IF(NOT(OR($G$12="ESP9.3CB - ESP Standard",$G$12="ESP9.3CP - ESP Standard",$G$12="ESP9UHDS - ESP Standard",$G$12="ESP9.3TE - ESP Standard for light trucks",$G$12="ESP9.3TA - ESP Standard for medium heavy trucks",$G$12="ESP10CB - ESP Standard",$G$12="ESP10CE - ESP Standard",$G$12="ESP10CP - ESP Standard",$G$12="ESP10CU - ESP Standard",$G$12="Competitor",$G$12="IPB 1.0 Size Se",$G$12="IPB 1.1 Size Sd",$G$12="IPB 1.1 Size Se",$G$12="IPB 2.0 Size S",$G$12="IPB 2.0 Size M",$G$12="IPB 2.0 Size L",$G$13="DPB Size M",$G$13="DPB Size L",$G$12="ESP10CL - ESP Standard",$G$12="ESP10TE - ESP Standard for trucks",$G$12="ESP10TP - ESP Standard for trucks",$G$12="ESP10TU - ESP Standard for trucks")),TRUE)</formula>
    </cfRule>
  </conditionalFormatting>
  <conditionalFormatting sqref="G52:M52">
    <cfRule type="expression" dxfId="349" priority="47">
      <formula>IF($G$12="",TRUE)</formula>
    </cfRule>
  </conditionalFormatting>
  <conditionalFormatting sqref="G56:M56">
    <cfRule type="expression" dxfId="348" priority="48">
      <formula>IF(NOT(OR($G$12="IPB 1.0 Size Se",$G$12="IPB 1.1 Size Sd",$G$12="IPB 1.1 Size Se",$G$12="IPB 2.0 Size S",$G$12="IPB 2.0 Size M",$G$12="IPB 2.0 Size L",$G$13="DPB Size M",$G$13="DPB Size L",$G$21="yes")),TRUE)</formula>
    </cfRule>
  </conditionalFormatting>
  <conditionalFormatting sqref="G57:M57">
    <cfRule type="expression" dxfId="347" priority="45">
      <formula>IF(NOT(OR($G$12="ESP9.3CB - ESP Standard",$G$12="ESP9.3CP - ESP Standard",$G$12="ESP9UHDS - ESP Standard",$G$12="ESP9.3TE - ESP Standard for light trucks",$G$12="ESP9.3TA - ESP Standard for medium heavy trucks",$G$12="ESP10CB - ESP Standard",$G$12="ESP10CE - ESP Standard",$G$12="ESP10CP - ESP Standard",$G$12="ESP10CU - ESP Standard",$G$12="Competitor",$G$12="IPB 1.0 Size Se",$G$12="IPB 1.1 Size Sd",$G$12="IPB 1.1 Size Se",$G$12="IPB 2.0 Size S",$G$12="IPB 2.0 Size M",$G$12="IPB 2.0 Size L",$G$13="DBP Size M",$G$13="DPB Size L",$G$12="ESP10CL - ESP Standard",$G$12="ESP10CL - ESP Standard",$G$12="ESP10TE - ESP Standard for trucks",$G$12="ESP10TP - ESP Standard for trucks",$G$12="ESP10TU - ESP Standard for trucks",$G$21="yes")),TRUE)</formula>
    </cfRule>
  </conditionalFormatting>
  <conditionalFormatting sqref="G53:M54">
    <cfRule type="expression" dxfId="346" priority="43">
      <formula>IF(NOT(OR($G$12="ESP9.3HP - ESP hevX",$G$12="ESP9.3HU - ESP hevII",$G$12="ESP9UHDH - ESP hevX",$G$12="ESP10HB - ESP hevX",$G$12="ESP10HE - ESP hevX",$G$12="ESP10HP - ESP hevX",$G$12="ESP10HU - ESP hevX",$G$12="IPB 1.0 Size S",$G$12="IPB 1.0 Size Se",$G$12="IPB 1.1 Size Sd",$G$12="IPB 1.1 Size Se",$G$12="IPB 2.0 Size S",$G$12="IPB 2.0 Size M",$G$12="IPB 2.0 Size L",$G$13="DPB Size M",$G$13="DPB Size L",$G$12="Competitor",$G$13="iBoosterGen2")),TRUE)</formula>
    </cfRule>
  </conditionalFormatting>
  <conditionalFormatting sqref="G72:M72">
    <cfRule type="expression" dxfId="345" priority="42">
      <formula>IF(NOT(OR($G$12="IPB 1.0 Size Se",$G$12="IPB 1.1 Size Sd",$G$12="IPB 1.1 Size Se",$G$12="IPB 2.0 Size S",$G$12="IPB 2.0 Size M",$G$12="IPB 2.0 Size L",$G$13="DPB Size M",$G$13="DPB Size L",$G$13="iBoosterGen2",$G$13="iBoosterGen1")),TRUE)</formula>
    </cfRule>
  </conditionalFormatting>
  <conditionalFormatting sqref="G79:M79">
    <cfRule type="expression" dxfId="344" priority="41">
      <formula>IF(NOT($G$20="yes"),TRUE)</formula>
    </cfRule>
  </conditionalFormatting>
  <conditionalFormatting sqref="G79:M79">
    <cfRule type="expression" dxfId="343" priority="40">
      <formula>IF(NOT($G$20="yes"),TRUE)</formula>
    </cfRule>
  </conditionalFormatting>
  <conditionalFormatting sqref="G107:M111">
    <cfRule type="expression" dxfId="342" priority="39">
      <formula>IF($G$12="",TRUE)</formula>
    </cfRule>
  </conditionalFormatting>
  <conditionalFormatting sqref="G538:M538">
    <cfRule type="expression" dxfId="341" priority="32">
      <formula>IF(NOT(OR($G$12="IPB 1.0 Size S",$G$12="IPB 1.0 Size Se",$G$12="IPB 1.1 Size Sd",$G$12="IPB 1.1 Size Se",$G$12="IPB 2.0 Size S",$G$12="IPB 2.0 Size M",$G$12="IPB 2.0 Size L",$G$13="DPB Size M",$G$13="DPB Size L")),TRUE)</formula>
    </cfRule>
  </conditionalFormatting>
  <conditionalFormatting sqref="F51:F57">
    <cfRule type="expression" dxfId="340" priority="31">
      <formula>IF($G$12="",TRUE)</formula>
    </cfRule>
  </conditionalFormatting>
  <conditionalFormatting sqref="F60:F65">
    <cfRule type="expression" dxfId="339" priority="30">
      <formula>IF($G$12="",TRUE)</formula>
    </cfRule>
  </conditionalFormatting>
  <conditionalFormatting sqref="F72">
    <cfRule type="expression" dxfId="338" priority="29">
      <formula>IF($G$12="",TRUE)</formula>
    </cfRule>
  </conditionalFormatting>
  <conditionalFormatting sqref="F79">
    <cfRule type="expression" dxfId="337" priority="28">
      <formula>IF($G$12="",TRUE)</formula>
    </cfRule>
  </conditionalFormatting>
  <conditionalFormatting sqref="F84:F95">
    <cfRule type="expression" dxfId="336" priority="27">
      <formula>IF($G$12="",TRUE)</formula>
    </cfRule>
  </conditionalFormatting>
  <conditionalFormatting sqref="F103">
    <cfRule type="expression" dxfId="335" priority="26">
      <formula>IF($G$12="",TRUE)</formula>
    </cfRule>
  </conditionalFormatting>
  <conditionalFormatting sqref="F107:F111">
    <cfRule type="expression" dxfId="334" priority="25">
      <formula>IF($G$12="",TRUE)</formula>
    </cfRule>
  </conditionalFormatting>
  <conditionalFormatting sqref="F166:F168">
    <cfRule type="expression" dxfId="333" priority="24">
      <formula>IF($G$12="",TRUE)</formula>
    </cfRule>
  </conditionalFormatting>
  <conditionalFormatting sqref="F177:F178">
    <cfRule type="expression" dxfId="332" priority="23">
      <formula>IF($G$12="",TRUE)</formula>
    </cfRule>
  </conditionalFormatting>
  <conditionalFormatting sqref="F181:F182">
    <cfRule type="expression" dxfId="331" priority="22">
      <formula>IF($G$12="",TRUE)</formula>
    </cfRule>
  </conditionalFormatting>
  <conditionalFormatting sqref="F229 F228:M228">
    <cfRule type="expression" dxfId="330" priority="21">
      <formula>IF($G$12="",TRUE)</formula>
    </cfRule>
  </conditionalFormatting>
  <conditionalFormatting sqref="G229:M229">
    <cfRule type="expression" dxfId="329" priority="20">
      <formula>IF($G$12="",TRUE)</formula>
    </cfRule>
  </conditionalFormatting>
  <conditionalFormatting sqref="F538">
    <cfRule type="expression" dxfId="328" priority="11">
      <formula>IF(NOT(OR($G$12="ESP9.3CB - ESP Standard",$G$12="ESP9.3CP - ESP Standard",$G$12="ESP9UHDS - ESP Standard",$G$12="ESP9.3HP - ESP hevX",$G$12="ESP9.3HU - ESP hevII",$G$12="ESP9UHDH - ESP hevX",$G$12="ESP9.3TE - ESP Standard for light trucks",$G$12="ESP9.3TA - ESP Standard for medium heavy trucks",$G$12="ESP10CB - ESP Standard",$G$12="ESP10HB - ESP hevX",$G$12="ESP10CE - ESP Standard",$G$12="ESP10HE - ESP hevX",$G$12="ESP10CP - ESP standard",$G$12="ESP10HP - ESP hevX",$G$12="ESP10CU - ESP Standard",$G$12="ESP10HU - ESP hevX",$G$12="ESP10CL - ESP Standard",$G$12="ESP10TE - ESP Standard for trucks",$G$12="ESP10TP - ESP Standard for trucks",$G$12="ESP10TU - ESP Standard for trucks")),TRUE)</formula>
    </cfRule>
  </conditionalFormatting>
  <conditionalFormatting sqref="G115:M115">
    <cfRule type="expression" dxfId="327" priority="2">
      <formula>IF($G$14="",TRUE)</formula>
    </cfRule>
  </conditionalFormatting>
  <conditionalFormatting sqref="G115:M115">
    <cfRule type="expression" dxfId="326" priority="1">
      <formula>IF(NOT($G$21="yes"),TRUE)</formula>
    </cfRule>
  </conditionalFormatting>
  <dataValidations xWindow="548" yWindow="500" count="62">
    <dataValidation type="list" allowBlank="1" showInputMessage="1" showErrorMessage="1" sqref="G24:J24 M38 G38 G22:J22 G49:U49" xr:uid="{00000000-0002-0000-0000-000001000000}">
      <formula1>INDIRECT("tab_yes_no")</formula1>
    </dataValidation>
    <dataValidation type="list" allowBlank="1" showInputMessage="1" showErrorMessage="1" sqref="G14:J14" xr:uid="{00000000-0002-0000-0000-000002000000}">
      <formula1>INDIRECT("tab_Modulation")</formula1>
    </dataValidation>
    <dataValidation type="list" allowBlank="1" showInputMessage="1" showErrorMessage="1" sqref="G20:J20" xr:uid="{00000000-0002-0000-0000-000003000000}">
      <formula1>IF($G$12="","",INDIRECT("tab_engine_types"))</formula1>
    </dataValidation>
    <dataValidation type="list" allowBlank="1" showInputMessage="1" showErrorMessage="1" sqref="G17:J17" xr:uid="{00000000-0002-0000-0000-000007000000}">
      <formula1>IF(OR($G$14="IPB 1.0 Size S",$G$14="IPB 1.0 Size Se",$G$14="IPB 1.1 Size Sd",$G$14="IPB 1.1 Size Se",$G$14="IPB 2.0 Size S",$G$14="IPB 2.0 Size M",$G$14="IPB 2.0 Size L",$G$15="DPB Size M",$G$15="DPB Size L"),INDIRECT("tab_pfs"),"")</formula1>
    </dataValidation>
    <dataValidation type="list" allowBlank="1" showInputMessage="1" showErrorMessage="1" sqref="G21:J21" xr:uid="{00000000-0002-0000-0000-000008000000}">
      <formula1>IF($G$14="","",INDIRECT("tab_iis["&amp;$G$14&amp;"]"))</formula1>
    </dataValidation>
    <dataValidation type="list" allowBlank="1" showInputMessage="1" showErrorMessage="1" sqref="G16:J16" xr:uid="{00000000-0002-0000-0000-00000B000000}">
      <formula1>IF($G$14="","",INDIRECT("tab_RBU["&amp;$G$14&amp;"]"))</formula1>
    </dataValidation>
    <dataValidation type="decimal" operator="greaterThanOrEqual" allowBlank="1" showInputMessage="1" showErrorMessage="1" sqref="N538" xr:uid="{4771944B-BDF6-4464-9D5C-5DCF9296B71D}">
      <formula1>Y538</formula1>
    </dataValidation>
    <dataValidation type="decimal" operator="greaterThanOrEqual" allowBlank="1" showInputMessage="1" showErrorMessage="1" sqref="O538" xr:uid="{4675E529-DB42-4263-9844-8E697DEE67F8}">
      <formula1>Y538</formula1>
    </dataValidation>
    <dataValidation type="decimal" operator="greaterThanOrEqual" allowBlank="1" showInputMessage="1" showErrorMessage="1" sqref="P538" xr:uid="{6FAE026C-F133-4FE5-83EB-EC2D9975F453}">
      <formula1>Y538</formula1>
    </dataValidation>
    <dataValidation type="decimal" operator="greaterThanOrEqual" allowBlank="1" showInputMessage="1" showErrorMessage="1" sqref="Q538" xr:uid="{F64E5553-C18D-4901-9E63-557065BE9775}">
      <formula1>Y538</formula1>
    </dataValidation>
    <dataValidation type="decimal" operator="greaterThanOrEqual" allowBlank="1" showInputMessage="1" showErrorMessage="1" sqref="R538" xr:uid="{090CE051-747F-4505-9669-4397910F368C}">
      <formula1>Y538</formula1>
    </dataValidation>
    <dataValidation type="decimal" operator="greaterThanOrEqual" allowBlank="1" showInputMessage="1" showErrorMessage="1" sqref="S538" xr:uid="{542B13C3-6DBF-41B6-B8E3-531442DB7E4D}">
      <formula1>Y538</formula1>
    </dataValidation>
    <dataValidation type="decimal" operator="greaterThanOrEqual" allowBlank="1" showInputMessage="1" showErrorMessage="1" sqref="T538" xr:uid="{19803EE4-60B5-42B5-8B3B-0B7DCD2B83E6}">
      <formula1>Y538</formula1>
    </dataValidation>
    <dataValidation type="decimal" operator="greaterThanOrEqual" allowBlank="1" showInputMessage="1" showErrorMessage="1" sqref="U538" xr:uid="{B0F59044-2086-4D54-B117-B51FEFE137E4}">
      <formula1>Y538</formula1>
    </dataValidation>
    <dataValidation type="list" allowBlank="1" showInputMessage="1" sqref="G170:U170" xr:uid="{69C7AFE8-E7E0-4FC7-97D8-4C0FB9134EB8}">
      <formula1>INDIRECT("tab_ePedal_Supplier")</formula1>
    </dataValidation>
    <dataValidation type="list" allowBlank="1" showInputMessage="1" sqref="G171:U171" xr:uid="{9B666A06-4DDC-48C9-8F58-4366C5349A27}">
      <formula1>INDIRECT("tab_ePedal_Arch_same_as_RB")</formula1>
    </dataValidation>
    <dataValidation type="list" allowBlank="1" showInputMessage="1" showErrorMessage="1" sqref="BA99" xr:uid="{3AF180E6-56F9-4947-B40A-699E19DC9B5B}">
      <formula1>_xlfn._xlws.FILTER(INDIRECT("tab_TMC_Diameter_ACT["&amp;$G$15&amp;"]"),INDIRECT("tab_TMC_Diameter_ACT["&amp;$G$15&amp;"]")&lt;&gt;"")</formula1>
    </dataValidation>
    <dataValidation type="list" allowBlank="1" showInputMessage="1" showErrorMessage="1" sqref="G46:U46" xr:uid="{00000000-0002-0000-0000-000005000000}">
      <formula1>INDIRECT("tab_hom_class")</formula1>
    </dataValidation>
    <dataValidation type="list" allowBlank="1" showInputMessage="1" showErrorMessage="1" sqref="G80:U80" xr:uid="{00000000-0002-0000-0000-00000C000000}">
      <formula1>IF($G$14="","",INDIRECT("tab_inlet_valve_front_axle["&amp;$G$14&amp;"]"))</formula1>
    </dataValidation>
    <dataValidation type="list" allowBlank="1" showInputMessage="1" showErrorMessage="1" sqref="G83:U83" xr:uid="{00000000-0002-0000-0000-00000E000000}">
      <formula1>IF($G$14="","",INDIRECT("tab_outlet_valve_rear["&amp;$G$14&amp;"]"))</formula1>
    </dataValidation>
    <dataValidation type="list" allowBlank="1" showInputMessage="1" showErrorMessage="1" sqref="G85:U85" xr:uid="{00000000-0002-0000-0000-00000F000000}">
      <formula1>IF($G$14="","",INDIRECT("tab_z_critical["&amp;$G$14&amp;"]"))</formula1>
    </dataValidation>
    <dataValidation type="list" allowBlank="1" showInputMessage="1" showErrorMessage="1" sqref="G90:U90" xr:uid="{00000000-0002-0000-0000-000010000000}">
      <formula1>IF($G$14="","",INDIRECT("tab_cdd_damper["&amp;$G$14&amp;"]"))</formula1>
    </dataValidation>
    <dataValidation type="list" allowBlank="1" showInputMessage="1" showErrorMessage="1" sqref="G91:U91" xr:uid="{00000000-0002-0000-0000-000011000000}">
      <formula1>IF($G$14="","",INDIRECT("tab_suction_damper["&amp;$G$14&amp;"]"))</formula1>
    </dataValidation>
    <dataValidation type="list" allowBlank="1" showInputMessage="1" showErrorMessage="1" sqref="G364:U364" xr:uid="{00000000-0002-0000-0000-000015000000}">
      <formula1>IF($G$14="","",INDIRECT("tab_low_pressure_accumulator_1["&amp;$G$14&amp;"]"))</formula1>
    </dataValidation>
    <dataValidation type="list" allowBlank="1" showInputMessage="1" showErrorMessage="1" sqref="G365:U365" xr:uid="{00000000-0002-0000-0000-000016000000}">
      <formula1>IF($G$14="","",INDIRECT("tab_low_pressure_accumulator_2["&amp;$G$14&amp;"]"))</formula1>
    </dataValidation>
    <dataValidation type="list" allowBlank="1" showInputMessage="1" showErrorMessage="1" sqref="G552:U552" xr:uid="{00000000-0002-0000-0000-000017000000}">
      <formula1>IF($G$14="","",INDIRECT("tab_parking_pawl["&amp;$G$14&amp;"]"))</formula1>
    </dataValidation>
    <dataValidation type="list" allowBlank="1" showInputMessage="1" showErrorMessage="1" sqref="G553:U553" xr:uid="{00000000-0002-0000-0000-000018000000}">
      <formula1>IF($G$14="","",INDIRECT("tab_HAD_level["&amp;$G$14&amp;"]"))</formula1>
    </dataValidation>
    <dataValidation type="list" allowBlank="1" showInputMessage="1" showErrorMessage="1" sqref="G557:U557" xr:uid="{00000000-0002-0000-0000-000019000000}">
      <formula1>IF($G$14="","",INDIRECT("tab_WSS_signal["&amp;$G$14&amp;"]"))</formula1>
    </dataValidation>
    <dataValidation type="list" allowBlank="1" showInputMessage="1" showErrorMessage="1" sqref="G558:U558" xr:uid="{00000000-0002-0000-0000-00001A000000}">
      <formula1>IF($G$14="","",INDIRECT("tab_pressure_sensor["&amp;$G$14&amp;"]"))</formula1>
    </dataValidation>
    <dataValidation type="list" allowBlank="1" showInputMessage="1" showErrorMessage="1" sqref="G116:U116" xr:uid="{00000000-0002-0000-0000-00001B000000}">
      <formula1>IF($G$14="","",INDIRECT("tab_thermal_layout["&amp;$G$14&amp;"]"))</formula1>
    </dataValidation>
    <dataValidation type="list" allowBlank="1" showInputMessage="1" showErrorMessage="1" sqref="G554:U554" xr:uid="{00000000-0002-0000-0000-00001C000000}">
      <formula1>IF($G$14="","",INDIRECT("tab_remote_parking["&amp;$G$14&amp;"]"))</formula1>
    </dataValidation>
    <dataValidation type="list" allowBlank="1" showInputMessage="1" showErrorMessage="1" sqref="G555:U555" xr:uid="{00000000-0002-0000-0000-00001D000000}">
      <formula1>IF($G$14="","",INDIRECT("tab_automated_parking["&amp;$G$14&amp;"]"))</formula1>
    </dataValidation>
    <dataValidation type="list" allowBlank="1" showInputMessage="1" showErrorMessage="1" sqref="G556:U556" xr:uid="{00000000-0002-0000-0000-00001E000000}">
      <formula1>IF($G$14="","",INDIRECT("tab_Requested_Redundancy["&amp;$G$14&amp;"]"))</formula1>
    </dataValidation>
    <dataValidation type="list" allowBlank="1" showInputMessage="1" showErrorMessage="1" sqref="G559:U559" xr:uid="{00000000-0002-0000-0000-00001F000000}">
      <formula1>IF($G$14="","",INDIRECT("tab_duration_backup_driving["&amp;$G$14&amp;"]"))</formula1>
    </dataValidation>
    <dataValidation type="list" allowBlank="1" showInputMessage="1" showErrorMessage="1" sqref="G560:U560" xr:uid="{00000000-0002-0000-0000-000020000000}">
      <formula1>IF($G$14="","",INDIRECT("tab_duration_backup_parking["&amp;$G$14&amp;"]"))</formula1>
    </dataValidation>
    <dataValidation type="list" allowBlank="1" showInputMessage="1" showErrorMessage="1" sqref="G562:U562" xr:uid="{00000000-0002-0000-0000-000021000000}">
      <formula1>IF($G$14="","",INDIRECT("tab_driver_takeover_time["&amp;$G$14&amp;"]"))</formula1>
    </dataValidation>
    <dataValidation type="list" allowBlank="1" showInputMessage="1" showErrorMessage="1" sqref="G376:U376" xr:uid="{00000000-0002-0000-0000-000022000000}">
      <formula1>IF($G$15="","",INDIRECT("tab_ib_motor["&amp;$G$15&amp;"]"))</formula1>
    </dataValidation>
    <dataValidation type="list" allowBlank="1" showInputMessage="1" showErrorMessage="1" sqref="G82:U82" xr:uid="{00000000-0002-0000-0000-000025000000}">
      <formula1>IF($G$14="","",INDIRECT("tab_outlet_valve_front["&amp;$G$14&amp;"]"))</formula1>
    </dataValidation>
    <dataValidation type="list" allowBlank="1" showInputMessage="1" showErrorMessage="1" sqref="G89:U89" xr:uid="{FAC340AB-637C-49E1-AD1F-4FEA754C7719}">
      <formula1>IF($G$14="","",INDIRECT("tab_motor_control["&amp;$G$14&amp;"]"))</formula1>
    </dataValidation>
    <dataValidation type="list" allowBlank="1" showInputMessage="1" showErrorMessage="1" sqref="G539:U539" xr:uid="{DB446577-FE48-4B86-9364-25A5C3D90D8C}">
      <formula1>INDIRECT("tab_IPB_Blending_strategy")</formula1>
    </dataValidation>
    <dataValidation type="list" allowBlank="1" showInputMessage="1" showErrorMessage="1" sqref="G308:U308" xr:uid="{6CE34C07-DA2A-47C7-B23A-D2F74C728321}">
      <formula1>IF($G$14="","",IF(OR($G$15="DPB Size M",$G$15="DPB Size L"),INDIRECT("tab_nom_spec_lim["&amp;$G$15&amp;"]"),INDIRECT("tab_nom_spec_lim["&amp;$G$14&amp;"]")))</formula1>
    </dataValidation>
    <dataValidation type="list" allowBlank="1" showInputMessage="1" showErrorMessage="1" sqref="G372:U372" xr:uid="{90B9DF23-52CE-4551-B44E-76F2B25DBC0C}">
      <formula1>IF($G$15="","",INDIRECT("tab_ib_motor3["&amp;$G$15&amp;"]"))</formula1>
    </dataValidation>
    <dataValidation type="list" allowBlank="1" showInputMessage="1" showErrorMessage="1" sqref="G373:U373" xr:uid="{54E1C9F1-66F4-42C1-A7D4-1A65348BD9F6}">
      <formula1>IF($G$15="","",INDIRECT("tab_ib_motor34["&amp;$G$15&amp;"]"))</formula1>
    </dataValidation>
    <dataValidation type="list" allowBlank="1" showInputMessage="1" showErrorMessage="1" sqref="G89:U89" xr:uid="{66236F89-BB9B-4587-B62C-87CB407A1DFE}">
      <formula1>IF($G$14="","",INDIRECT("tab_Motor_Control["&amp;$G$14&amp;"]"))</formula1>
    </dataValidation>
    <dataValidation type="list" allowBlank="1" showInputMessage="1" showErrorMessage="1" sqref="G81:U81" xr:uid="{45A4EBDC-5132-4723-9AF2-E2F4CA5B784A}">
      <formula1>IF($G$14="","",INDIRECT("tab_inlet_valve_rear_axle["&amp;$G$14&amp;"]"))</formula1>
    </dataValidation>
    <dataValidation type="list" allowBlank="1" showInputMessage="1" showErrorMessage="1" sqref="G119:U142" xr:uid="{00000000-0002-0000-0000-000023000000}">
      <formula1>IF($G$14="","",INDIRECT("tab_ECU["&amp;$G$14&amp;"]"))</formula1>
    </dataValidation>
    <dataValidation type="list" allowBlank="1" showInputMessage="1" showErrorMessage="1" sqref="G117:U117" xr:uid="{12D8E365-B161-420A-ABA4-96E4C798509D}">
      <formula1>IF($G$14="","",INDIRECT("tab_IIS_Sensor["&amp;$G$14&amp;"]"))</formula1>
    </dataValidation>
    <dataValidation type="list" allowBlank="1" showInputMessage="1" showErrorMessage="1" sqref="G47:U47" xr:uid="{483907A6-3906-48FC-A187-442B94B74571}">
      <formula1>IF($G$14="","",INDIRECT("tab_volt_mod["&amp;$G$14&amp;"]"))</formula1>
    </dataValidation>
    <dataValidation type="list" allowBlank="1" showInputMessage="1" showErrorMessage="1" sqref="G48:U48" xr:uid="{42F8B4A5-2606-4B39-81A0-0ED423D6F5B6}">
      <formula1>IF($G$15="","",INDIRECT("tab_volt_act["&amp;$G$15&amp;"]"))</formula1>
    </dataValidation>
    <dataValidation type="list" allowBlank="1" showInputMessage="1" showErrorMessage="1" sqref="Q7:Q21" xr:uid="{00000000-0002-0000-0000-000024000000}">
      <formula1>INDIRECT("tab_variant_status")</formula1>
    </dataValidation>
    <dataValidation type="list" allowBlank="1" showInputMessage="1" showErrorMessage="1" sqref="G12:J12" xr:uid="{DEA6FB07-55FF-4E25-AE92-ADCDF6E6025A}">
      <formula1>INDIRECT("tab_Foundation_1")</formula1>
    </dataValidation>
    <dataValidation type="list" allowBlank="1" showInputMessage="1" showErrorMessage="1" sqref="G13:J13" xr:uid="{8B940FDD-B015-4F31-A1F2-70A0D6CD5E74}">
      <formula1>INDIRECT("tab_Foundation_2")</formula1>
    </dataValidation>
    <dataValidation type="list" allowBlank="1" showInputMessage="1" showErrorMessage="1" sqref="G50:U50" xr:uid="{68012D52-CC9B-4E8F-93B3-41012A17DEF6}">
      <formula1>INDIRECT("tab_redundancy")</formula1>
    </dataValidation>
    <dataValidation type="list" allowBlank="1" showInputMessage="1" showErrorMessage="1" sqref="G70:U70" xr:uid="{466F9636-0D90-41A9-BDA0-5D6AE1B0A92F}">
      <formula1>INDIRECT("tab_brake_force")</formula1>
    </dataValidation>
    <dataValidation type="list" allowBlank="1" showInputMessage="1" showErrorMessage="1" sqref="G76:U76" xr:uid="{34FC1E7F-CD9B-48DD-B7AB-4BEAB5676CEA}">
      <formula1>INDIRECT("tab_APB_PLU")</formula1>
    </dataValidation>
    <dataValidation type="list" allowBlank="1" showInputMessage="1" showErrorMessage="1" sqref="G176:U176" xr:uid="{3A9B5F08-1C06-49B0-AC9E-D1419B767847}">
      <formula1>INDIRECT("tab_brake_rotor")</formula1>
    </dataValidation>
    <dataValidation type="decimal" errorStyle="warning" operator="greaterThan" allowBlank="1" showInputMessage="1" showErrorMessage="1" error="an airgap of 0 cm³ is physically not possible._x000a_If your airgap is included in the PV tables, you should substract the airgap from the values and put it here" sqref="G181:U182 G207:U224" xr:uid="{8BC59B54-A9FD-4E04-AD35-A10957CAE0EE}">
      <formula1>0</formula1>
    </dataValidation>
    <dataValidation errorStyle="warning" operator="greaterThan" allowBlank="1" showInputMessage="1" showErrorMessage="1" error="an airgap of 0 cm³ is physically not possible._x000a_If your airgap is included in the PV tables, you should substract the airgap from the values and put it here" sqref="G183:U183 G195" xr:uid="{48F012E9-7EBA-4A9F-A49E-F22B421B1CAA}"/>
    <dataValidation type="list" allowBlank="1" showInputMessage="1" sqref="G169:U169" xr:uid="{F2183D12-4326-439D-BDA5-BC9890A5ECD9}">
      <formula1>INDIRECT("tab_max_measureable_pedal_force")</formula1>
    </dataValidation>
    <dataValidation type="list" allowBlank="1" showInputMessage="1" showErrorMessage="1" sqref="G71:U71" xr:uid="{F9C54302-2244-462F-AC64-C6BE365123E0}">
      <formula1>INDIRECT("tab_z_crit")</formula1>
    </dataValidation>
    <dataValidation type="list" allowBlank="1" showInputMessage="1" showErrorMessage="1" sqref="G107:M107" xr:uid="{D1B60621-5FDE-4F0B-8B03-B7A556535E55}">
      <formula1>IF($G$12="","",IF($G$13="DPB",INDIRECT("tab_TMC_Diameter["&amp;$G$13&amp;"]"),INDIRECT("tab_TMC_Diameter["&amp;$G$12&amp;"]")))</formula1>
    </dataValidation>
    <dataValidation type="list" allowBlank="1" showInputMessage="1" showErrorMessage="1" sqref="F560" xr:uid="{8744EAC0-8854-4A7A-BA5A-E8A999663D62}">
      <formula1>IF($G$12="","",INDIRECT("tab_duration_backup["&amp;$G$12&amp;"]"))</formula1>
    </dataValidation>
  </dataValidations>
  <pageMargins left="0.70866141732283472" right="0.70866141732283472" top="0.78740157480314965" bottom="0.78740157480314965" header="0.31496062992125984" footer="0.31496062992125984"/>
  <pageSetup paperSize="9" orientation="landscape" horizontalDpi="300" r:id="rId1"/>
  <customProperties>
    <customPr name="EpmWorksheetKeyString_GUID" r:id="rId2"/>
  </customProperties>
  <ignoredErrors>
    <ignoredError sqref="E85" unlockedFormula="1"/>
  </ignoredErrors>
  <drawing r:id="rId3"/>
  <legacyDrawing r:id="rId4"/>
  <extLst>
    <ext xmlns:x14="http://schemas.microsoft.com/office/spreadsheetml/2009/9/main" uri="{78C0D931-6437-407d-A8EE-F0AAD7539E65}">
      <x14:conditionalFormattings>
        <x14:conditionalFormatting xmlns:xm="http://schemas.microsoft.com/office/excel/2006/main">
          <x14:cfRule type="expression" priority="158" id="{5012CCA3-BC5C-41FB-B82F-3A6A0D06B5DE}">
            <xm:f>EXACT($H$1,Dropdowns!$A$400)</xm:f>
            <x14:dxf>
              <font>
                <strike val="0"/>
                <color theme="0" tint="-0.499984740745262"/>
              </font>
              <fill>
                <patternFill>
                  <bgColor theme="0" tint="-0.499984740745262"/>
                </patternFill>
              </fill>
            </x14:dxf>
          </x14:cfRule>
          <xm:sqref>B119:V119</xm:sqref>
        </x14:conditionalFormatting>
        <x14:conditionalFormatting xmlns:xm="http://schemas.microsoft.com/office/excel/2006/main">
          <x14:cfRule type="expression" priority="335" id="{2291D0B4-AB3C-4BF1-AB33-F3F8614049E1}">
            <xm:f>EXACT($H$1,Dropdowns!$A$402)</xm:f>
            <x14:dxf>
              <font>
                <color theme="0" tint="-0.499984740745262"/>
              </font>
              <fill>
                <patternFill>
                  <bgColor theme="0" tint="-0.499984740745262"/>
                </patternFill>
              </fill>
              <border>
                <left style="thin">
                  <color auto="1"/>
                </left>
                <right style="thin">
                  <color auto="1"/>
                </right>
                <top style="thin">
                  <color auto="1"/>
                </top>
                <bottom style="thin">
                  <color auto="1"/>
                </bottom>
              </border>
            </x14:dxf>
          </x14:cfRule>
          <xm:sqref>B6:J7 B558:V558 B115:F115 N115:V115 B116:V118 B120:V142</xm:sqref>
        </x14:conditionalFormatting>
        <x14:conditionalFormatting xmlns:xm="http://schemas.microsoft.com/office/excel/2006/main">
          <x14:cfRule type="expression" priority="325" id="{992BD4F1-FB30-408D-9FC4-D1BFC503CDE2}">
            <xm:f>EXACT($H$1,Dropdowns!$A$402)</xm:f>
            <x14:dxf>
              <font>
                <color theme="0" tint="-0.499984740745262"/>
              </font>
              <fill>
                <patternFill>
                  <bgColor theme="0" tint="-0.499984740745262"/>
                </patternFill>
              </fill>
            </x14:dxf>
          </x14:cfRule>
          <xm:sqref>B18:J18 B80:V83</xm:sqref>
        </x14:conditionalFormatting>
        <x14:conditionalFormatting xmlns:xm="http://schemas.microsoft.com/office/excel/2006/main">
          <x14:cfRule type="expression" priority="281" id="{813ED023-4ADA-4F9D-B28E-EA40FB283D29}">
            <xm:f>EXACT($H$1,Dropdowns!$A$397)</xm:f>
            <x14:dxf>
              <font>
                <color theme="0" tint="-0.499984740745262"/>
              </font>
              <fill>
                <patternFill>
                  <bgColor theme="0" tint="-0.499984740745262"/>
                </patternFill>
              </fill>
            </x14:dxf>
          </x14:cfRule>
          <xm:sqref>B91:E91 G91:U91</xm:sqref>
        </x14:conditionalFormatting>
        <x14:conditionalFormatting xmlns:xm="http://schemas.microsoft.com/office/excel/2006/main">
          <x14:cfRule type="expression" priority="263" id="{5D7D90E3-D9ED-4BB1-8D48-9E0FE21538DE}">
            <xm:f>EXACT($H$1,Dropdowns!$A$397)</xm:f>
            <x14:dxf>
              <font>
                <color theme="0" tint="-0.499984740745262"/>
              </font>
              <fill>
                <patternFill>
                  <bgColor theme="0" tint="-0.499984740745262"/>
                </patternFill>
              </fill>
            </x14:dxf>
          </x14:cfRule>
          <xm:sqref>B88:C88</xm:sqref>
        </x14:conditionalFormatting>
        <x14:conditionalFormatting xmlns:xm="http://schemas.microsoft.com/office/excel/2006/main">
          <x14:cfRule type="expression" priority="2515" id="{AE493597-F2AF-4D0B-8B52-50A81128A7AF}">
            <xm:f>EXACT(Dropdowns!$S$6, 0)</xm:f>
            <x14:dxf>
              <font>
                <color theme="0" tint="-0.499984740745262"/>
              </font>
              <fill>
                <patternFill>
                  <bgColor theme="0" tint="-0.499984740745262"/>
                </patternFill>
              </fill>
            </x14:dxf>
          </x14:cfRule>
          <xm:sqref>B92:E93 G92:V93</xm:sqref>
        </x14:conditionalFormatting>
      </x14:conditionalFormattings>
    </ext>
    <ext xmlns:x14="http://schemas.microsoft.com/office/spreadsheetml/2009/9/main" uri="{CCE6A557-97BC-4b89-ADB6-D9C93CAAB3DF}">
      <x14:dataValidations xmlns:xm="http://schemas.microsoft.com/office/excel/2006/main" xWindow="548" yWindow="500" count="5">
        <x14:dataValidation type="list" allowBlank="1" showInputMessage="1" showErrorMessage="1" xr:uid="{00000000-0002-0000-0000-00000A000000}">
          <x14:formula1>
            <xm:f>IF($G$14="","",_xlfn.ANCHORARRAY(Dropdowns!$AC$38))</xm:f>
          </x14:formula1>
          <xm:sqref>G15:J15</xm:sqref>
        </x14:dataValidation>
        <x14:dataValidation type="list" allowBlank="1" showInputMessage="1" showErrorMessage="1" xr:uid="{7B035AAB-E3A1-4EF1-9CF2-323A9EB4F537}">
          <x14:formula1>
            <xm:f>Dropdowns!$A$401:$A$402</xm:f>
          </x14:formula1>
          <xm:sqref>H1:J1</xm:sqref>
        </x14:dataValidation>
        <x14:dataValidation type="list" allowBlank="1" showInputMessage="1" showErrorMessage="1" xr:uid="{C8D52F9F-AA25-4BEA-B33F-3D47979FD077}">
          <x14:formula1>
            <xm:f>IF($G$14="","",IF(OR($G$15="BWA Size S",$G$15="BWA Size M"),Dropdowns!$E$6,INDIRECT("tab_brakecircuit_split["&amp;$G$14&amp;"]")))</xm:f>
          </x14:formula1>
          <xm:sqref>G19:J19</xm:sqref>
        </x14:dataValidation>
        <x14:dataValidation type="list" allowBlank="1" showInputMessage="1" showErrorMessage="1" xr:uid="{F7B81948-6AAC-4435-935A-841995F5267C}">
          <x14:formula1>
            <xm:f>IF($G$14="","",IF(ISERROR(FIND("IPB",$G$14)),_xlfn.ANCHORARRAY(Dropdowns!$N$191),_xlfn.ANCHORARRAY(Dropdowns!$H$183)))</xm:f>
          </x14:formula1>
          <xm:sqref>N107:U107</xm:sqref>
        </x14:dataValidation>
        <x14:dataValidation type="list" allowBlank="1" showInputMessage="1" showErrorMessage="1" xr:uid="{77B84944-D7C1-4278-A243-64AEB55F2C6A}">
          <x14:formula1>
            <xm:f>IF($G$14="","",_xlfn.ANCHORARRAY(Dropdowns!$AE$169))</xm:f>
          </x14:formula1>
          <xm:sqref>G88:U88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5A245-91CA-411D-9D5A-D0046514558C}">
  <sheetPr codeName="Sheet7">
    <tabColor rgb="FFFFC000"/>
  </sheetPr>
  <dimension ref="A1:AK113"/>
  <sheetViews>
    <sheetView topLeftCell="B1" zoomScale="90" zoomScaleNormal="90" workbookViewId="0">
      <selection activeCell="C121" sqref="C121"/>
    </sheetView>
  </sheetViews>
  <sheetFormatPr defaultColWidth="9.109375" defaultRowHeight="13.2"/>
  <cols>
    <col min="1" max="1" width="21.44140625" style="61" bestFit="1" customWidth="1"/>
    <col min="2" max="2" width="21.6640625" style="61" bestFit="1" customWidth="1"/>
    <col min="3" max="3" width="22.33203125" style="61" customWidth="1"/>
    <col min="4" max="4" width="18.6640625" style="61" customWidth="1"/>
    <col min="5" max="5" width="43.44140625" style="61" customWidth="1"/>
    <col min="6" max="6" width="54.6640625" style="61" customWidth="1"/>
    <col min="7" max="10" width="28" style="383" customWidth="1"/>
    <col min="11" max="13" width="9.109375" style="61"/>
    <col min="14" max="14" width="44.5546875" style="61" customWidth="1"/>
    <col min="15" max="15" width="35.109375" style="61" customWidth="1"/>
    <col min="16" max="16" width="26.33203125" style="61" customWidth="1"/>
    <col min="17" max="35" width="9.109375" style="61"/>
    <col min="36" max="36" width="10.88671875" style="61" customWidth="1"/>
    <col min="37" max="16384" width="9.109375" style="61"/>
  </cols>
  <sheetData>
    <row r="1" spans="1:37" ht="13.8" thickBot="1"/>
    <row r="2" spans="1:37" ht="13.8" thickBot="1">
      <c r="C2" s="738" t="s">
        <v>99</v>
      </c>
      <c r="D2" s="739"/>
      <c r="E2" s="739"/>
      <c r="M2" s="61" t="s">
        <v>997</v>
      </c>
    </row>
    <row r="3" spans="1:37" ht="27" thickBot="1">
      <c r="A3" s="465" t="s">
        <v>1025</v>
      </c>
      <c r="B3" s="465" t="s">
        <v>1024</v>
      </c>
      <c r="C3" s="740" t="s">
        <v>98</v>
      </c>
      <c r="D3" s="741"/>
      <c r="E3" s="466"/>
      <c r="G3" s="383" t="s">
        <v>86</v>
      </c>
      <c r="H3" s="383" t="s">
        <v>1054</v>
      </c>
      <c r="I3" s="383" t="s">
        <v>1055</v>
      </c>
      <c r="J3" s="383" t="s">
        <v>88</v>
      </c>
      <c r="N3" s="61" t="s">
        <v>4</v>
      </c>
      <c r="O3" s="61" t="s">
        <v>69</v>
      </c>
      <c r="P3" s="61" t="s">
        <v>864</v>
      </c>
      <c r="Q3" s="61" t="s">
        <v>5</v>
      </c>
      <c r="R3" s="61" t="s">
        <v>6</v>
      </c>
      <c r="S3" s="61" t="s">
        <v>70</v>
      </c>
      <c r="T3" s="61" t="s">
        <v>7</v>
      </c>
      <c r="U3" s="61" t="s">
        <v>72</v>
      </c>
      <c r="V3" s="61" t="s">
        <v>979</v>
      </c>
      <c r="W3" s="61" t="s">
        <v>284</v>
      </c>
      <c r="X3" s="61" t="s">
        <v>285</v>
      </c>
      <c r="Y3" s="61" t="s">
        <v>11</v>
      </c>
      <c r="Z3" s="61" t="s">
        <v>12</v>
      </c>
      <c r="AA3" s="61" t="s">
        <v>13</v>
      </c>
      <c r="AB3" s="61" t="s">
        <v>1058</v>
      </c>
      <c r="AC3" s="61" t="s">
        <v>14</v>
      </c>
      <c r="AD3" s="61" t="s">
        <v>93</v>
      </c>
      <c r="AE3" s="61" t="s">
        <v>16</v>
      </c>
      <c r="AF3" s="61" t="s">
        <v>655</v>
      </c>
      <c r="AG3" s="61" t="s">
        <v>831</v>
      </c>
      <c r="AH3" s="61" t="s">
        <v>933</v>
      </c>
      <c r="AI3" s="61" t="s">
        <v>286</v>
      </c>
      <c r="AJ3" s="467" t="s">
        <v>550</v>
      </c>
      <c r="AK3" s="61" t="s">
        <v>15</v>
      </c>
    </row>
    <row r="4" spans="1:37">
      <c r="A4" s="729" t="str">
        <f>IF(ISBLANK($E$4)," ",IF(AND(ISERROR(SEARCH("separate actuator",$E$4)),ISERROR(SEARCH("no",$E$4))),"x"," "))</f>
        <v>x</v>
      </c>
      <c r="B4" s="735" t="str">
        <f>IF(ISERROR(SEARCH("separate actuator",$E$4))," ","x")</f>
        <v xml:space="preserve"> </v>
      </c>
      <c r="C4" s="747" t="s">
        <v>4</v>
      </c>
      <c r="D4" s="748"/>
      <c r="E4" s="731" t="s">
        <v>948</v>
      </c>
      <c r="F4" s="745" t="s">
        <v>1039</v>
      </c>
      <c r="G4" s="468"/>
      <c r="H4" s="468"/>
      <c r="I4" s="468"/>
      <c r="J4" s="468"/>
      <c r="AJ4" s="467"/>
    </row>
    <row r="5" spans="1:37">
      <c r="A5" s="729"/>
      <c r="B5" s="735"/>
      <c r="C5" s="736"/>
      <c r="D5" s="737"/>
      <c r="E5" s="732"/>
      <c r="F5" s="745"/>
      <c r="G5" s="468"/>
      <c r="H5" s="468"/>
      <c r="I5" s="468"/>
      <c r="J5" s="468"/>
      <c r="N5" s="469"/>
      <c r="O5" s="469"/>
      <c r="P5" s="469"/>
      <c r="Q5" s="469"/>
      <c r="R5" s="469"/>
      <c r="S5" s="469"/>
      <c r="T5" s="469"/>
      <c r="U5" s="469"/>
      <c r="V5" s="469"/>
      <c r="W5" s="469"/>
      <c r="X5" s="469"/>
      <c r="Y5" s="469"/>
      <c r="Z5" s="469"/>
      <c r="AA5" s="469"/>
      <c r="AB5" s="469"/>
      <c r="AC5" s="469"/>
      <c r="AD5" s="469"/>
      <c r="AE5" s="469"/>
      <c r="AF5" s="469"/>
      <c r="AG5" s="469"/>
      <c r="AH5" s="469"/>
      <c r="AI5" s="469"/>
      <c r="AJ5" s="467"/>
      <c r="AK5" s="469"/>
    </row>
    <row r="6" spans="1:37">
      <c r="A6" s="729"/>
      <c r="B6" s="735"/>
      <c r="C6" s="736"/>
      <c r="D6" s="737"/>
      <c r="E6" s="732"/>
      <c r="F6" s="745"/>
      <c r="G6" s="468"/>
      <c r="H6" s="468"/>
      <c r="I6" s="468"/>
      <c r="J6" s="468"/>
      <c r="N6" s="469"/>
      <c r="O6" s="469"/>
      <c r="P6" s="469"/>
      <c r="Q6" s="469"/>
      <c r="R6" s="469"/>
      <c r="S6" s="469"/>
      <c r="T6" s="469"/>
      <c r="U6" s="469"/>
      <c r="V6" s="469"/>
      <c r="W6" s="469"/>
      <c r="X6" s="469"/>
      <c r="Y6" s="469"/>
      <c r="Z6" s="469"/>
      <c r="AA6" s="469"/>
      <c r="AB6" s="469"/>
      <c r="AC6" s="469"/>
      <c r="AD6" s="469"/>
      <c r="AE6" s="469"/>
      <c r="AF6" s="469"/>
      <c r="AG6" s="469"/>
      <c r="AH6" s="469"/>
      <c r="AI6" s="469"/>
      <c r="AJ6" s="467"/>
      <c r="AK6" s="469"/>
    </row>
    <row r="7" spans="1:37">
      <c r="A7" s="729"/>
      <c r="B7" s="735"/>
      <c r="C7" s="736"/>
      <c r="D7" s="737"/>
      <c r="E7" s="732"/>
      <c r="F7" s="745"/>
      <c r="G7" s="468"/>
      <c r="H7" s="468"/>
      <c r="I7" s="468"/>
      <c r="J7" s="468"/>
      <c r="N7" s="469"/>
      <c r="O7" s="469"/>
      <c r="P7" s="469"/>
      <c r="Q7" s="469"/>
      <c r="R7" s="469"/>
      <c r="S7" s="469"/>
      <c r="T7" s="469"/>
      <c r="U7" s="469"/>
      <c r="V7" s="469"/>
      <c r="W7" s="469"/>
      <c r="X7" s="469"/>
      <c r="Y7" s="469"/>
      <c r="Z7" s="469"/>
      <c r="AA7" s="469"/>
      <c r="AB7" s="469"/>
      <c r="AC7" s="469"/>
      <c r="AD7" s="469"/>
      <c r="AE7" s="469"/>
      <c r="AF7" s="469"/>
      <c r="AG7" s="469"/>
      <c r="AH7" s="469"/>
      <c r="AI7" s="469"/>
      <c r="AJ7" s="467"/>
      <c r="AK7" s="469"/>
    </row>
    <row r="8" spans="1:37" ht="13.8" thickBot="1">
      <c r="A8" s="729"/>
      <c r="B8" s="735"/>
      <c r="C8" s="736"/>
      <c r="D8" s="737"/>
      <c r="E8" s="733"/>
      <c r="F8" s="745"/>
      <c r="G8" s="468"/>
      <c r="H8" s="468"/>
      <c r="I8" s="468"/>
      <c r="J8" s="468"/>
      <c r="N8" s="469"/>
      <c r="O8" s="469"/>
      <c r="P8" s="469"/>
      <c r="Q8" s="469"/>
      <c r="R8" s="469"/>
      <c r="S8" s="469"/>
      <c r="T8" s="469"/>
      <c r="U8" s="469"/>
      <c r="V8" s="469"/>
      <c r="W8" s="469"/>
      <c r="X8" s="469"/>
      <c r="Y8" s="469"/>
      <c r="Z8" s="469"/>
      <c r="AA8" s="469"/>
      <c r="AB8" s="469"/>
      <c r="AC8" s="469"/>
      <c r="AD8" s="469"/>
      <c r="AE8" s="469"/>
      <c r="AF8" s="469"/>
      <c r="AG8" s="469"/>
      <c r="AH8" s="469"/>
      <c r="AI8" s="469"/>
      <c r="AJ8" s="467"/>
      <c r="AK8" s="469"/>
    </row>
    <row r="9" spans="1:37">
      <c r="A9" s="729" t="str">
        <f>IF(ISBLANK($E$9)," ",IF(AND(ISERROR(SEARCH("separate actuator",$E$9)),ISERROR(SEARCH("no",$E$9))),"x"," "))</f>
        <v>x</v>
      </c>
      <c r="B9" s="730" t="str">
        <f>IF(ISERROR(SEARCH("separate actuator",$E$9))," ","x")</f>
        <v xml:space="preserve"> </v>
      </c>
      <c r="C9" s="736" t="s">
        <v>69</v>
      </c>
      <c r="D9" s="737"/>
      <c r="E9" s="731" t="s">
        <v>954</v>
      </c>
      <c r="F9" s="745" t="s">
        <v>1039</v>
      </c>
      <c r="G9" s="468"/>
      <c r="H9" s="468"/>
      <c r="I9" s="468"/>
      <c r="J9" s="468"/>
      <c r="N9" s="469"/>
      <c r="O9" s="469"/>
      <c r="P9" s="469"/>
      <c r="Q9" s="469"/>
      <c r="R9" s="469"/>
      <c r="S9" s="469"/>
      <c r="T9" s="469"/>
      <c r="U9" s="469"/>
      <c r="V9" s="469"/>
      <c r="W9" s="469"/>
      <c r="X9" s="469"/>
      <c r="Y9" s="469"/>
      <c r="Z9" s="469"/>
      <c r="AA9" s="469"/>
      <c r="AB9" s="469"/>
      <c r="AC9" s="469"/>
      <c r="AD9" s="469"/>
      <c r="AE9" s="469"/>
      <c r="AF9" s="469"/>
      <c r="AG9" s="469"/>
      <c r="AH9" s="469"/>
      <c r="AI9" s="469"/>
      <c r="AJ9" s="467"/>
      <c r="AK9" s="469"/>
    </row>
    <row r="10" spans="1:37">
      <c r="A10" s="729"/>
      <c r="B10" s="730"/>
      <c r="C10" s="736"/>
      <c r="D10" s="737"/>
      <c r="E10" s="732"/>
      <c r="F10" s="745"/>
      <c r="G10" s="468"/>
      <c r="H10" s="468"/>
      <c r="I10" s="468"/>
      <c r="J10" s="468"/>
      <c r="N10" s="61" t="s">
        <v>943</v>
      </c>
      <c r="O10" s="61" t="s">
        <v>951</v>
      </c>
      <c r="P10" s="61" t="s">
        <v>956</v>
      </c>
      <c r="Q10" s="61" t="s">
        <v>958</v>
      </c>
      <c r="R10" s="61" t="s">
        <v>65</v>
      </c>
      <c r="S10" s="61" t="s">
        <v>966</v>
      </c>
      <c r="T10" s="61" t="s">
        <v>65</v>
      </c>
      <c r="U10" s="61" t="s">
        <v>65</v>
      </c>
      <c r="V10" s="61" t="s">
        <v>976</v>
      </c>
      <c r="W10" s="61" t="s">
        <v>980</v>
      </c>
      <c r="X10" s="61" t="s">
        <v>982</v>
      </c>
      <c r="Y10" s="61" t="s">
        <v>11</v>
      </c>
      <c r="Z10" s="61" t="s">
        <v>12</v>
      </c>
      <c r="AA10" s="61" t="s">
        <v>65</v>
      </c>
      <c r="AC10" s="61" t="s">
        <v>65</v>
      </c>
      <c r="AD10" s="61" t="s">
        <v>93</v>
      </c>
      <c r="AE10" s="61" t="s">
        <v>16</v>
      </c>
      <c r="AF10" s="61" t="s">
        <v>65</v>
      </c>
      <c r="AG10" s="61" t="s">
        <v>65</v>
      </c>
      <c r="AH10" s="61" t="s">
        <v>65</v>
      </c>
      <c r="AJ10" s="470" t="s">
        <v>65</v>
      </c>
      <c r="AK10" s="61" t="s">
        <v>65</v>
      </c>
    </row>
    <row r="11" spans="1:37">
      <c r="A11" s="729"/>
      <c r="B11" s="730"/>
      <c r="C11" s="736"/>
      <c r="D11" s="737"/>
      <c r="E11" s="732"/>
      <c r="F11" s="745"/>
      <c r="G11" s="468"/>
      <c r="H11" s="468"/>
      <c r="I11" s="468"/>
      <c r="J11" s="468"/>
      <c r="N11" s="61" t="s">
        <v>944</v>
      </c>
      <c r="O11" s="61" t="s">
        <v>65</v>
      </c>
      <c r="P11" s="61" t="s">
        <v>65</v>
      </c>
      <c r="Q11" s="61" t="s">
        <v>65</v>
      </c>
      <c r="R11" s="61" t="s">
        <v>962</v>
      </c>
      <c r="S11" s="61" t="s">
        <v>65</v>
      </c>
      <c r="T11" s="61" t="s">
        <v>968</v>
      </c>
      <c r="U11" s="61" t="s">
        <v>972</v>
      </c>
      <c r="V11" s="61" t="s">
        <v>65</v>
      </c>
      <c r="W11" s="61" t="s">
        <v>65</v>
      </c>
      <c r="X11" s="61" t="s">
        <v>983</v>
      </c>
      <c r="Y11" s="61" t="s">
        <v>984</v>
      </c>
      <c r="Z11" s="61" t="s">
        <v>65</v>
      </c>
      <c r="AA11" s="61" t="s">
        <v>987</v>
      </c>
      <c r="AC11" s="61" t="s">
        <v>14</v>
      </c>
      <c r="AD11" s="61" t="s">
        <v>1027</v>
      </c>
      <c r="AE11" s="61" t="s">
        <v>65</v>
      </c>
      <c r="AF11" s="61" t="s">
        <v>655</v>
      </c>
      <c r="AG11" s="61" t="s">
        <v>64</v>
      </c>
      <c r="AH11" s="61" t="s">
        <v>64</v>
      </c>
      <c r="AJ11" s="470" t="s">
        <v>1029</v>
      </c>
      <c r="AK11" s="61" t="s">
        <v>992</v>
      </c>
    </row>
    <row r="12" spans="1:37">
      <c r="A12" s="729"/>
      <c r="B12" s="730"/>
      <c r="C12" s="736"/>
      <c r="D12" s="737"/>
      <c r="E12" s="732"/>
      <c r="F12" s="745"/>
      <c r="G12" s="468"/>
      <c r="H12" s="468"/>
      <c r="I12" s="468"/>
      <c r="J12" s="468"/>
      <c r="N12" s="61" t="s">
        <v>945</v>
      </c>
      <c r="O12" s="61" t="s">
        <v>952</v>
      </c>
      <c r="P12" s="61" t="s">
        <v>957</v>
      </c>
      <c r="Q12" s="61" t="s">
        <v>959</v>
      </c>
      <c r="R12" s="61" t="s">
        <v>963</v>
      </c>
      <c r="S12" s="61" t="s">
        <v>70</v>
      </c>
      <c r="T12" s="61" t="s">
        <v>969</v>
      </c>
      <c r="U12" s="61" t="s">
        <v>973</v>
      </c>
      <c r="V12" s="61" t="s">
        <v>977</v>
      </c>
      <c r="W12" s="61" t="s">
        <v>981</v>
      </c>
      <c r="X12" s="61" t="s">
        <v>65</v>
      </c>
      <c r="Y12" s="61" t="s">
        <v>65</v>
      </c>
      <c r="Z12" s="61" t="s">
        <v>986</v>
      </c>
      <c r="AA12" s="61" t="s">
        <v>988</v>
      </c>
      <c r="AC12" s="61" t="s">
        <v>991</v>
      </c>
      <c r="AD12" s="61" t="s">
        <v>65</v>
      </c>
      <c r="AE12" s="61" t="s">
        <v>1028</v>
      </c>
      <c r="AJ12" s="470" t="s">
        <v>832</v>
      </c>
      <c r="AK12" s="61" t="s">
        <v>993</v>
      </c>
    </row>
    <row r="13" spans="1:37" ht="13.8" thickBot="1">
      <c r="A13" s="729"/>
      <c r="B13" s="730"/>
      <c r="C13" s="736"/>
      <c r="D13" s="737"/>
      <c r="E13" s="733"/>
      <c r="F13" s="745"/>
      <c r="G13" s="468"/>
      <c r="H13" s="468"/>
      <c r="I13" s="468"/>
      <c r="J13" s="468"/>
      <c r="N13" s="61" t="s">
        <v>946</v>
      </c>
      <c r="O13" s="61" t="s">
        <v>953</v>
      </c>
      <c r="Q13" s="61" t="s">
        <v>960</v>
      </c>
      <c r="R13" s="61" t="s">
        <v>964</v>
      </c>
      <c r="S13" s="61" t="s">
        <v>967</v>
      </c>
      <c r="T13" s="61" t="s">
        <v>970</v>
      </c>
      <c r="U13" s="61" t="s">
        <v>974</v>
      </c>
      <c r="V13" s="61" t="s">
        <v>978</v>
      </c>
      <c r="Y13" s="61" t="s">
        <v>985</v>
      </c>
      <c r="AA13" s="61" t="s">
        <v>989</v>
      </c>
      <c r="AJ13" s="470" t="s">
        <v>1030</v>
      </c>
      <c r="AK13" s="61" t="s">
        <v>994</v>
      </c>
    </row>
    <row r="14" spans="1:37">
      <c r="A14" s="734"/>
      <c r="B14" s="735" t="str">
        <f>IF(ISERROR(SEARCH("separate actuator",$E$14))," ","x")</f>
        <v xml:space="preserve"> </v>
      </c>
      <c r="C14" s="736" t="s">
        <v>864</v>
      </c>
      <c r="D14" s="737"/>
      <c r="E14" s="731" t="s">
        <v>65</v>
      </c>
      <c r="F14" s="745" t="s">
        <v>1039</v>
      </c>
      <c r="G14" s="468"/>
      <c r="H14" s="468"/>
      <c r="I14" s="468"/>
      <c r="J14" s="468"/>
      <c r="N14" s="61" t="s">
        <v>65</v>
      </c>
      <c r="O14" s="61" t="s">
        <v>954</v>
      </c>
      <c r="Q14" s="61" t="s">
        <v>961</v>
      </c>
      <c r="R14" s="61" t="s">
        <v>965</v>
      </c>
      <c r="T14" s="61" t="s">
        <v>971</v>
      </c>
      <c r="U14" s="61" t="s">
        <v>975</v>
      </c>
      <c r="V14" s="61" t="s">
        <v>1016</v>
      </c>
      <c r="AA14" s="61" t="s">
        <v>990</v>
      </c>
      <c r="AJ14" s="470" t="s">
        <v>1031</v>
      </c>
      <c r="AK14" s="61" t="s">
        <v>995</v>
      </c>
    </row>
    <row r="15" spans="1:37">
      <c r="A15" s="734"/>
      <c r="B15" s="735"/>
      <c r="C15" s="736"/>
      <c r="D15" s="737"/>
      <c r="E15" s="732"/>
      <c r="F15" s="745"/>
      <c r="G15" s="468"/>
      <c r="H15" s="468"/>
      <c r="I15" s="468"/>
      <c r="J15" s="468"/>
      <c r="N15" s="61" t="s">
        <v>947</v>
      </c>
      <c r="O15" s="61" t="s">
        <v>955</v>
      </c>
      <c r="V15" s="61" t="s">
        <v>1037</v>
      </c>
    </row>
    <row r="16" spans="1:37">
      <c r="A16" s="734"/>
      <c r="B16" s="735"/>
      <c r="C16" s="736"/>
      <c r="D16" s="737"/>
      <c r="E16" s="732"/>
      <c r="F16" s="745"/>
      <c r="G16" s="468"/>
      <c r="H16" s="468"/>
      <c r="I16" s="468"/>
      <c r="J16" s="468"/>
      <c r="N16" s="61" t="s">
        <v>948</v>
      </c>
      <c r="V16" s="61" t="s">
        <v>1038</v>
      </c>
    </row>
    <row r="17" spans="1:37">
      <c r="A17" s="734"/>
      <c r="B17" s="735"/>
      <c r="C17" s="736"/>
      <c r="D17" s="737"/>
      <c r="E17" s="732"/>
      <c r="F17" s="745"/>
      <c r="G17" s="468"/>
      <c r="H17" s="468"/>
      <c r="I17" s="468"/>
      <c r="J17" s="468"/>
      <c r="N17" s="61" t="s">
        <v>949</v>
      </c>
    </row>
    <row r="18" spans="1:37" ht="13.8" thickBot="1">
      <c r="A18" s="734"/>
      <c r="B18" s="735"/>
      <c r="C18" s="736"/>
      <c r="D18" s="737"/>
      <c r="E18" s="733"/>
      <c r="F18" s="745"/>
      <c r="G18" s="468"/>
      <c r="H18" s="468"/>
      <c r="I18" s="468"/>
      <c r="J18" s="468"/>
      <c r="N18" s="61" t="s">
        <v>950</v>
      </c>
    </row>
    <row r="19" spans="1:37">
      <c r="A19" s="729" t="str">
        <f>IF(ISBLANK($E$19)," ",IF(AND(ISERROR(SEARCH("separate actuator",$E$19)),ISERROR(SEARCH("no",$E$19))),"x"," "))</f>
        <v xml:space="preserve"> </v>
      </c>
      <c r="B19" s="735" t="str">
        <f>IF(ISERROR(SEARCH("separate actuator",$E$19))," ","x")</f>
        <v>x</v>
      </c>
      <c r="C19" s="736" t="s">
        <v>5</v>
      </c>
      <c r="D19" s="737"/>
      <c r="E19" s="731" t="s">
        <v>959</v>
      </c>
      <c r="F19" s="746" t="str">
        <f>IF(Parameter_Template!$G$15="","check",IF(AND(OR(Parameter_Template!$G$15="iBoosterGen2",Parameter_Template!$G$15="iBoosterGen2evo"),AND(A19="x",B19&lt;&gt;"x")),CONCATENATE("This configuration (iBooster with ESP combination, AVH supported by ESP) is not supported by platform anymore and will lead to the failed iBooster BSPA Result. For efficient discussion please get in contact with iBooster Sytem Expert", " (Wagner Vivien(VM/EYB4), Vaisakh Ammassam Veettil (MS/EBS12-VM), Gopal Harshitha (MS/EBS12-VM)))"),"check"))</f>
        <v>check</v>
      </c>
      <c r="G19" s="468"/>
      <c r="H19" s="468"/>
      <c r="I19" s="468"/>
      <c r="J19" s="468"/>
    </row>
    <row r="20" spans="1:37">
      <c r="A20" s="729"/>
      <c r="B20" s="735"/>
      <c r="C20" s="736"/>
      <c r="D20" s="737"/>
      <c r="E20" s="732"/>
      <c r="F20" s="746"/>
      <c r="G20" s="468"/>
      <c r="H20" s="468"/>
      <c r="I20" s="468"/>
      <c r="J20" s="468"/>
    </row>
    <row r="21" spans="1:37">
      <c r="A21" s="729"/>
      <c r="B21" s="735"/>
      <c r="C21" s="736"/>
      <c r="D21" s="737"/>
      <c r="E21" s="732"/>
      <c r="F21" s="746"/>
      <c r="G21" s="468"/>
      <c r="H21" s="468"/>
      <c r="I21" s="468"/>
      <c r="J21" s="468"/>
    </row>
    <row r="22" spans="1:37">
      <c r="A22" s="729"/>
      <c r="B22" s="735"/>
      <c r="C22" s="736"/>
      <c r="D22" s="737"/>
      <c r="E22" s="732"/>
      <c r="F22" s="746"/>
      <c r="G22" s="468"/>
      <c r="H22" s="468"/>
      <c r="I22" s="468"/>
      <c r="J22" s="468"/>
    </row>
    <row r="23" spans="1:37" ht="13.8" thickBot="1">
      <c r="A23" s="729"/>
      <c r="B23" s="735"/>
      <c r="C23" s="736"/>
      <c r="D23" s="737"/>
      <c r="E23" s="733"/>
      <c r="F23" s="746"/>
      <c r="G23" s="468"/>
      <c r="H23" s="468"/>
      <c r="I23" s="468"/>
      <c r="J23" s="468"/>
      <c r="M23" s="61" t="s">
        <v>998</v>
      </c>
    </row>
    <row r="24" spans="1:37">
      <c r="A24" s="729" t="str">
        <f>IF(ISBLANK($E$24)," ",IF(AND(ISERROR(SEARCH("separate actuator",$E$24)),ISERROR(SEARCH("no",$E$24))),"x"," "))</f>
        <v xml:space="preserve"> </v>
      </c>
      <c r="B24" s="735" t="str">
        <f>IF(ISERROR(SEARCH("separate actuator",$E$24))," ","x")</f>
        <v xml:space="preserve"> </v>
      </c>
      <c r="C24" s="736" t="s">
        <v>6</v>
      </c>
      <c r="D24" s="737"/>
      <c r="E24" s="731" t="s">
        <v>65</v>
      </c>
      <c r="F24" s="745" t="s">
        <v>1039</v>
      </c>
      <c r="G24" s="468"/>
      <c r="H24" s="468"/>
      <c r="I24" s="468"/>
      <c r="J24" s="468"/>
      <c r="N24" s="61" t="s">
        <v>65</v>
      </c>
      <c r="P24" s="61" t="s">
        <v>999</v>
      </c>
      <c r="V24" s="61" t="s">
        <v>1000</v>
      </c>
    </row>
    <row r="25" spans="1:37">
      <c r="A25" s="729"/>
      <c r="B25" s="735"/>
      <c r="C25" s="736"/>
      <c r="D25" s="737"/>
      <c r="E25" s="732"/>
      <c r="F25" s="745"/>
      <c r="G25" s="468"/>
      <c r="H25" s="468"/>
      <c r="I25" s="468"/>
      <c r="J25" s="468"/>
      <c r="N25" s="61" t="s">
        <v>996</v>
      </c>
      <c r="P25" s="61" t="s">
        <v>65</v>
      </c>
      <c r="V25" s="61" t="s">
        <v>1001</v>
      </c>
    </row>
    <row r="26" spans="1:37">
      <c r="A26" s="729"/>
      <c r="B26" s="735"/>
      <c r="C26" s="736"/>
      <c r="D26" s="737"/>
      <c r="E26" s="732"/>
      <c r="F26" s="745"/>
      <c r="G26" s="468"/>
      <c r="H26" s="468"/>
      <c r="I26" s="468"/>
      <c r="J26" s="468"/>
      <c r="N26" s="61" t="s">
        <v>64</v>
      </c>
      <c r="V26" s="61" t="s">
        <v>65</v>
      </c>
    </row>
    <row r="27" spans="1:37">
      <c r="A27" s="729"/>
      <c r="B27" s="735"/>
      <c r="C27" s="736"/>
      <c r="D27" s="737"/>
      <c r="E27" s="732"/>
      <c r="F27" s="745"/>
      <c r="G27" s="468"/>
      <c r="H27" s="468"/>
      <c r="I27" s="468"/>
      <c r="J27" s="468"/>
    </row>
    <row r="28" spans="1:37" ht="13.8" thickBot="1">
      <c r="A28" s="729"/>
      <c r="B28" s="735"/>
      <c r="C28" s="736"/>
      <c r="D28" s="737"/>
      <c r="E28" s="733"/>
      <c r="F28" s="745"/>
      <c r="G28" s="468"/>
      <c r="H28" s="468"/>
      <c r="I28" s="468"/>
      <c r="J28" s="468"/>
    </row>
    <row r="29" spans="1:37">
      <c r="A29" s="729" t="str">
        <f>IF(ISBLANK($E$29)," ",IF(AND(ISERROR(SEARCH("separate actuator",$E$29)),ISERROR(SEARCH("no",$E$29))),"x"," "))</f>
        <v xml:space="preserve"> </v>
      </c>
      <c r="B29" s="730"/>
      <c r="C29" s="736" t="s">
        <v>70</v>
      </c>
      <c r="D29" s="737"/>
      <c r="E29" s="731" t="s">
        <v>65</v>
      </c>
      <c r="F29" s="745" t="s">
        <v>1039</v>
      </c>
      <c r="G29" s="468"/>
      <c r="H29" s="468"/>
      <c r="I29" s="468"/>
      <c r="J29" s="468"/>
      <c r="M29" s="61" t="s">
        <v>1002</v>
      </c>
      <c r="N29" s="61" t="s">
        <v>4</v>
      </c>
      <c r="O29" s="61" t="s">
        <v>955</v>
      </c>
      <c r="P29" s="61" t="s">
        <v>999</v>
      </c>
      <c r="Q29" s="61" t="s">
        <v>1009</v>
      </c>
      <c r="R29" s="61" t="s">
        <v>1010</v>
      </c>
      <c r="T29" s="61" t="s">
        <v>7</v>
      </c>
      <c r="U29" s="61" t="s">
        <v>72</v>
      </c>
      <c r="V29" s="61" t="s">
        <v>1016</v>
      </c>
      <c r="AA29" s="61" t="s">
        <v>13</v>
      </c>
      <c r="AB29" s="61" t="s">
        <v>64</v>
      </c>
      <c r="AK29" s="61" t="s">
        <v>1022</v>
      </c>
    </row>
    <row r="30" spans="1:37">
      <c r="A30" s="729"/>
      <c r="B30" s="730"/>
      <c r="C30" s="736"/>
      <c r="D30" s="737"/>
      <c r="E30" s="732"/>
      <c r="F30" s="745"/>
      <c r="G30" s="468"/>
      <c r="H30" s="468"/>
      <c r="I30" s="468"/>
      <c r="J30" s="468"/>
      <c r="N30" s="61" t="s">
        <v>1003</v>
      </c>
      <c r="O30" s="61" t="s">
        <v>65</v>
      </c>
      <c r="P30" s="61" t="s">
        <v>65</v>
      </c>
      <c r="Q30" s="61" t="s">
        <v>1009</v>
      </c>
      <c r="R30" s="61" t="s">
        <v>6</v>
      </c>
      <c r="T30" s="61" t="s">
        <v>1012</v>
      </c>
      <c r="U30" s="61" t="s">
        <v>1014</v>
      </c>
      <c r="V30" s="61" t="s">
        <v>1017</v>
      </c>
      <c r="AA30" s="61" t="s">
        <v>1020</v>
      </c>
      <c r="AB30" s="61" t="s">
        <v>65</v>
      </c>
      <c r="AK30" s="61" t="s">
        <v>15</v>
      </c>
    </row>
    <row r="31" spans="1:37">
      <c r="A31" s="729"/>
      <c r="B31" s="730"/>
      <c r="C31" s="736"/>
      <c r="D31" s="737"/>
      <c r="E31" s="732"/>
      <c r="F31" s="745"/>
      <c r="G31" s="468"/>
      <c r="H31" s="468"/>
      <c r="I31" s="468"/>
      <c r="J31" s="468"/>
      <c r="N31" s="61" t="s">
        <v>132</v>
      </c>
      <c r="P31" s="61" t="s">
        <v>1007</v>
      </c>
      <c r="Q31" s="61" t="s">
        <v>1009</v>
      </c>
      <c r="R31" s="61" t="s">
        <v>1011</v>
      </c>
      <c r="T31" s="61" t="s">
        <v>65</v>
      </c>
      <c r="U31" s="61" t="s">
        <v>65</v>
      </c>
      <c r="V31" s="61" t="s">
        <v>1018</v>
      </c>
      <c r="AA31" s="61" t="s">
        <v>1021</v>
      </c>
      <c r="AK31" s="61" t="s">
        <v>1023</v>
      </c>
    </row>
    <row r="32" spans="1:37">
      <c r="A32" s="729"/>
      <c r="B32" s="730"/>
      <c r="C32" s="736"/>
      <c r="D32" s="737"/>
      <c r="E32" s="732"/>
      <c r="F32" s="745"/>
      <c r="G32" s="468"/>
      <c r="H32" s="468"/>
      <c r="I32" s="468"/>
      <c r="J32" s="468"/>
      <c r="N32" s="61" t="s">
        <v>1004</v>
      </c>
      <c r="P32" s="61" t="s">
        <v>1008</v>
      </c>
      <c r="Q32" s="61" t="s">
        <v>1009</v>
      </c>
      <c r="R32" s="61" t="s">
        <v>65</v>
      </c>
      <c r="T32" s="61" t="s">
        <v>1013</v>
      </c>
      <c r="U32" s="61" t="s">
        <v>1015</v>
      </c>
      <c r="V32" s="61" t="s">
        <v>65</v>
      </c>
      <c r="AA32" s="61" t="s">
        <v>65</v>
      </c>
      <c r="AK32" s="61" t="s">
        <v>65</v>
      </c>
    </row>
    <row r="33" spans="1:22" ht="13.8" thickBot="1">
      <c r="A33" s="729"/>
      <c r="B33" s="730"/>
      <c r="C33" s="736"/>
      <c r="D33" s="737"/>
      <c r="E33" s="733"/>
      <c r="F33" s="745"/>
      <c r="G33" s="468"/>
      <c r="H33" s="468"/>
      <c r="I33" s="468"/>
      <c r="J33" s="468"/>
      <c r="N33" s="61" t="s">
        <v>65</v>
      </c>
      <c r="V33" s="61" t="s">
        <v>1019</v>
      </c>
    </row>
    <row r="34" spans="1:22">
      <c r="A34" s="729" t="str">
        <f>IF(ISBLANK($E$34)," ",IF(AND(ISERROR(SEARCH("separate actuator",$E$34)),ISERROR(SEARCH("no",$E$34))),"x"," "))</f>
        <v xml:space="preserve"> </v>
      </c>
      <c r="B34" s="735" t="str">
        <f>IF(ISERROR(SEARCH("separate actuator",$E$34))," ","x")</f>
        <v xml:space="preserve"> </v>
      </c>
      <c r="C34" s="736" t="s">
        <v>7</v>
      </c>
      <c r="D34" s="737"/>
      <c r="E34" s="731" t="s">
        <v>65</v>
      </c>
      <c r="F34" s="745" t="s">
        <v>1039</v>
      </c>
      <c r="G34" s="468"/>
      <c r="H34" s="468"/>
      <c r="I34" s="468"/>
      <c r="J34" s="468"/>
      <c r="N34" s="61" t="s">
        <v>1005</v>
      </c>
    </row>
    <row r="35" spans="1:22">
      <c r="A35" s="729"/>
      <c r="B35" s="735"/>
      <c r="C35" s="736"/>
      <c r="D35" s="737"/>
      <c r="E35" s="732"/>
      <c r="F35" s="745"/>
      <c r="G35" s="468"/>
      <c r="H35" s="468"/>
      <c r="I35" s="468"/>
      <c r="J35" s="468"/>
      <c r="N35" s="61" t="s">
        <v>1006</v>
      </c>
    </row>
    <row r="36" spans="1:22">
      <c r="A36" s="729"/>
      <c r="B36" s="735"/>
      <c r="C36" s="736"/>
      <c r="D36" s="737"/>
      <c r="E36" s="732"/>
      <c r="F36" s="745"/>
      <c r="G36" s="468"/>
      <c r="H36" s="468"/>
      <c r="I36" s="468"/>
      <c r="J36" s="468"/>
    </row>
    <row r="37" spans="1:22">
      <c r="A37" s="729"/>
      <c r="B37" s="735"/>
      <c r="C37" s="736"/>
      <c r="D37" s="737"/>
      <c r="E37" s="732"/>
      <c r="F37" s="745"/>
      <c r="G37" s="468"/>
      <c r="H37" s="468"/>
      <c r="I37" s="468"/>
      <c r="J37" s="468"/>
    </row>
    <row r="38" spans="1:22" ht="13.8" thickBot="1">
      <c r="A38" s="729"/>
      <c r="B38" s="735"/>
      <c r="C38" s="736"/>
      <c r="D38" s="737"/>
      <c r="E38" s="733"/>
      <c r="F38" s="745"/>
      <c r="G38" s="468"/>
      <c r="H38" s="468"/>
      <c r="I38" s="468"/>
      <c r="J38" s="468"/>
    </row>
    <row r="39" spans="1:22">
      <c r="A39" s="729" t="str">
        <f>IF(ISBLANK($E$39)," ",IF(AND(ISERROR(SEARCH("separate actuator",$E$39)),ISERROR(SEARCH("no",$E$39))),"x"," "))</f>
        <v xml:space="preserve"> </v>
      </c>
      <c r="B39" s="735" t="str">
        <f>IF(ISERROR(SEARCH("separate actuator",$E$39))," ","x")</f>
        <v xml:space="preserve"> </v>
      </c>
      <c r="C39" s="736" t="s">
        <v>72</v>
      </c>
      <c r="D39" s="737"/>
      <c r="E39" s="731" t="s">
        <v>65</v>
      </c>
      <c r="F39" s="745" t="s">
        <v>1039</v>
      </c>
      <c r="G39" s="468"/>
      <c r="H39" s="468"/>
      <c r="I39" s="468"/>
      <c r="J39" s="468"/>
    </row>
    <row r="40" spans="1:22">
      <c r="A40" s="729"/>
      <c r="B40" s="735"/>
      <c r="C40" s="736"/>
      <c r="D40" s="737"/>
      <c r="E40" s="732"/>
      <c r="F40" s="745"/>
      <c r="G40" s="468"/>
      <c r="H40" s="468"/>
      <c r="I40" s="468"/>
      <c r="J40" s="468"/>
    </row>
    <row r="41" spans="1:22">
      <c r="A41" s="729"/>
      <c r="B41" s="735"/>
      <c r="C41" s="736"/>
      <c r="D41" s="737"/>
      <c r="E41" s="732"/>
      <c r="F41" s="745"/>
      <c r="G41" s="468"/>
      <c r="H41" s="468"/>
      <c r="I41" s="468"/>
      <c r="J41" s="468"/>
    </row>
    <row r="42" spans="1:22">
      <c r="A42" s="729"/>
      <c r="B42" s="735"/>
      <c r="C42" s="736"/>
      <c r="D42" s="737"/>
      <c r="E42" s="732"/>
      <c r="F42" s="745"/>
      <c r="G42" s="468"/>
      <c r="H42" s="468"/>
      <c r="I42" s="468"/>
      <c r="J42" s="468"/>
    </row>
    <row r="43" spans="1:22" ht="13.8" thickBot="1">
      <c r="A43" s="729"/>
      <c r="B43" s="735"/>
      <c r="C43" s="736"/>
      <c r="D43" s="737"/>
      <c r="E43" s="733"/>
      <c r="F43" s="745"/>
      <c r="G43" s="468"/>
      <c r="H43" s="468"/>
      <c r="I43" s="468"/>
      <c r="J43" s="468"/>
    </row>
    <row r="44" spans="1:22">
      <c r="A44" s="729" t="str">
        <f>IF(ISBLANK($E$44)," ",IF(AND(ISERROR(SEARCH("separate actuator",$E$44)),ISERROR(SEARCH("no",$E$44))),"x"," "))</f>
        <v xml:space="preserve"> </v>
      </c>
      <c r="B44" s="735" t="str">
        <f>IF(ISERROR(SEARCH("separate actuator",$E$44))," ","x")</f>
        <v xml:space="preserve"> </v>
      </c>
      <c r="C44" s="736" t="s">
        <v>979</v>
      </c>
      <c r="D44" s="737"/>
      <c r="E44" s="731" t="s">
        <v>65</v>
      </c>
      <c r="F44" s="745" t="s">
        <v>1039</v>
      </c>
      <c r="G44" s="468"/>
      <c r="H44" s="468"/>
      <c r="I44" s="468"/>
      <c r="J44" s="468"/>
    </row>
    <row r="45" spans="1:22">
      <c r="A45" s="729"/>
      <c r="B45" s="735"/>
      <c r="C45" s="736"/>
      <c r="D45" s="737"/>
      <c r="E45" s="732"/>
      <c r="F45" s="745"/>
      <c r="G45" s="468"/>
      <c r="H45" s="468"/>
      <c r="I45" s="468"/>
      <c r="J45" s="468"/>
    </row>
    <row r="46" spans="1:22">
      <c r="A46" s="729"/>
      <c r="B46" s="735"/>
      <c r="C46" s="736"/>
      <c r="D46" s="737"/>
      <c r="E46" s="732"/>
      <c r="F46" s="745"/>
      <c r="G46" s="468"/>
      <c r="H46" s="468"/>
      <c r="I46" s="468"/>
      <c r="J46" s="468"/>
    </row>
    <row r="47" spans="1:22">
      <c r="A47" s="729"/>
      <c r="B47" s="735"/>
      <c r="C47" s="736"/>
      <c r="D47" s="737"/>
      <c r="E47" s="732"/>
      <c r="F47" s="745"/>
      <c r="G47" s="468"/>
      <c r="H47" s="468"/>
      <c r="I47" s="468"/>
      <c r="J47" s="468"/>
    </row>
    <row r="48" spans="1:22" ht="13.8" thickBot="1">
      <c r="A48" s="729"/>
      <c r="B48" s="735"/>
      <c r="C48" s="736"/>
      <c r="D48" s="737"/>
      <c r="E48" s="733"/>
      <c r="F48" s="745"/>
      <c r="G48" s="468"/>
      <c r="H48" s="468"/>
      <c r="I48" s="468"/>
      <c r="J48" s="468"/>
    </row>
    <row r="49" spans="1:10">
      <c r="A49" s="729" t="str">
        <f>IF(ISBLANK($E$49)," ",IF(AND(ISERROR(SEARCH("separate actuator",$E$49)),ISERROR(SEARCH("no",$E$49))),"x"," "))</f>
        <v>x</v>
      </c>
      <c r="B49" s="730" t="str">
        <f>IF(ISERROR(SEARCH("separate actuator",$E$49))," ","x")</f>
        <v xml:space="preserve"> </v>
      </c>
      <c r="C49" s="736" t="s">
        <v>284</v>
      </c>
      <c r="D49" s="737"/>
      <c r="E49" s="731" t="s">
        <v>980</v>
      </c>
      <c r="F49" s="745" t="s">
        <v>1039</v>
      </c>
      <c r="G49" s="468"/>
      <c r="H49" s="468"/>
      <c r="I49" s="468"/>
      <c r="J49" s="468"/>
    </row>
    <row r="50" spans="1:10">
      <c r="A50" s="729"/>
      <c r="B50" s="730"/>
      <c r="C50" s="736"/>
      <c r="D50" s="737"/>
      <c r="E50" s="732"/>
      <c r="F50" s="745"/>
      <c r="G50" s="468"/>
      <c r="H50" s="468"/>
      <c r="I50" s="468"/>
      <c r="J50" s="468"/>
    </row>
    <row r="51" spans="1:10">
      <c r="A51" s="729"/>
      <c r="B51" s="730"/>
      <c r="C51" s="736"/>
      <c r="D51" s="737"/>
      <c r="E51" s="732"/>
      <c r="F51" s="745"/>
      <c r="G51" s="468"/>
      <c r="H51" s="468"/>
      <c r="I51" s="468"/>
      <c r="J51" s="468"/>
    </row>
    <row r="52" spans="1:10">
      <c r="A52" s="729"/>
      <c r="B52" s="730"/>
      <c r="C52" s="736"/>
      <c r="D52" s="737"/>
      <c r="E52" s="732"/>
      <c r="F52" s="745"/>
      <c r="G52" s="468"/>
      <c r="H52" s="468"/>
      <c r="I52" s="468"/>
      <c r="J52" s="468"/>
    </row>
    <row r="53" spans="1:10" ht="13.8" thickBot="1">
      <c r="A53" s="729"/>
      <c r="B53" s="730"/>
      <c r="C53" s="736"/>
      <c r="D53" s="737"/>
      <c r="E53" s="733"/>
      <c r="F53" s="745"/>
      <c r="G53" s="468"/>
      <c r="H53" s="468"/>
      <c r="I53" s="468"/>
      <c r="J53" s="468"/>
    </row>
    <row r="54" spans="1:10">
      <c r="A54" s="729" t="str">
        <f>IF(ISBLANK($E$54)," ",IF(AND(ISERROR(SEARCH("separate actuator",$E$54)),ISERROR(SEARCH("no",$E$54))),"x"," "))</f>
        <v>x</v>
      </c>
      <c r="B54" s="730"/>
      <c r="C54" s="736" t="s">
        <v>285</v>
      </c>
      <c r="D54" s="737"/>
      <c r="E54" s="731" t="s">
        <v>982</v>
      </c>
      <c r="F54" s="745" t="s">
        <v>1039</v>
      </c>
      <c r="G54" s="468"/>
      <c r="H54" s="468"/>
      <c r="I54" s="468"/>
      <c r="J54" s="468"/>
    </row>
    <row r="55" spans="1:10">
      <c r="A55" s="729"/>
      <c r="B55" s="730"/>
      <c r="C55" s="736"/>
      <c r="D55" s="737"/>
      <c r="E55" s="732"/>
      <c r="F55" s="745"/>
      <c r="G55" s="468"/>
      <c r="H55" s="468"/>
      <c r="I55" s="468"/>
      <c r="J55" s="468"/>
    </row>
    <row r="56" spans="1:10">
      <c r="A56" s="729"/>
      <c r="B56" s="730"/>
      <c r="C56" s="736"/>
      <c r="D56" s="737"/>
      <c r="E56" s="732"/>
      <c r="F56" s="745"/>
      <c r="G56" s="468"/>
      <c r="H56" s="468"/>
      <c r="I56" s="468"/>
      <c r="J56" s="468"/>
    </row>
    <row r="57" spans="1:10">
      <c r="A57" s="729"/>
      <c r="B57" s="730"/>
      <c r="C57" s="736"/>
      <c r="D57" s="737"/>
      <c r="E57" s="732"/>
      <c r="F57" s="745"/>
      <c r="G57" s="468"/>
      <c r="H57" s="468"/>
      <c r="I57" s="468"/>
      <c r="J57" s="468"/>
    </row>
    <row r="58" spans="1:10" ht="13.8" thickBot="1">
      <c r="A58" s="729"/>
      <c r="B58" s="730"/>
      <c r="C58" s="736"/>
      <c r="D58" s="737"/>
      <c r="E58" s="733"/>
      <c r="F58" s="745"/>
      <c r="G58" s="468"/>
      <c r="H58" s="468"/>
      <c r="I58" s="468"/>
      <c r="J58" s="468"/>
    </row>
    <row r="59" spans="1:10">
      <c r="A59" s="729" t="str">
        <f>IF(ISBLANK($E$59)," ",IF(AND(ISERROR(SEARCH("separate actuator",$E$59)),ISERROR(SEARCH("no",$E$59))),"x"," "))</f>
        <v>x</v>
      </c>
      <c r="B59" s="749" t="str">
        <f>IF(ISERROR(SEARCH("separate actuator",$E$59))," ","x")</f>
        <v xml:space="preserve"> </v>
      </c>
      <c r="C59" s="736" t="s">
        <v>11</v>
      </c>
      <c r="D59" s="737"/>
      <c r="E59" s="731" t="s">
        <v>11</v>
      </c>
      <c r="F59" s="745" t="s">
        <v>1039</v>
      </c>
      <c r="G59" s="468"/>
      <c r="H59" s="468"/>
      <c r="I59" s="468"/>
      <c r="J59" s="468"/>
    </row>
    <row r="60" spans="1:10">
      <c r="A60" s="729"/>
      <c r="B60" s="749"/>
      <c r="C60" s="736"/>
      <c r="D60" s="737"/>
      <c r="E60" s="732"/>
      <c r="F60" s="745"/>
      <c r="G60" s="468"/>
      <c r="H60" s="468"/>
      <c r="I60" s="468"/>
      <c r="J60" s="468"/>
    </row>
    <row r="61" spans="1:10">
      <c r="A61" s="729"/>
      <c r="B61" s="749"/>
      <c r="C61" s="736"/>
      <c r="D61" s="737"/>
      <c r="E61" s="732"/>
      <c r="F61" s="745"/>
      <c r="G61" s="468"/>
      <c r="H61" s="468"/>
      <c r="I61" s="468"/>
      <c r="J61" s="468"/>
    </row>
    <row r="62" spans="1:10">
      <c r="A62" s="729"/>
      <c r="B62" s="749"/>
      <c r="C62" s="736"/>
      <c r="D62" s="737"/>
      <c r="E62" s="732"/>
      <c r="F62" s="745"/>
      <c r="G62" s="468"/>
      <c r="H62" s="468"/>
      <c r="I62" s="468"/>
      <c r="J62" s="468"/>
    </row>
    <row r="63" spans="1:10" ht="13.8" thickBot="1">
      <c r="A63" s="729"/>
      <c r="B63" s="749"/>
      <c r="C63" s="736"/>
      <c r="D63" s="737"/>
      <c r="E63" s="733"/>
      <c r="F63" s="745"/>
      <c r="G63" s="468"/>
      <c r="H63" s="468"/>
      <c r="I63" s="468"/>
      <c r="J63" s="468"/>
    </row>
    <row r="64" spans="1:10">
      <c r="A64" s="729" t="str">
        <f>IF(ISBLANK($E$64)," ",IF(AND(ISERROR(SEARCH("separate actuator",$E$64)),ISERROR(SEARCH("no",$E$64))),"x"," "))</f>
        <v>x</v>
      </c>
      <c r="B64" s="749" t="str">
        <f>IF(ISERROR(SEARCH("separate actuator",$E$64))," ","x")</f>
        <v xml:space="preserve"> </v>
      </c>
      <c r="C64" s="736" t="s">
        <v>12</v>
      </c>
      <c r="D64" s="737"/>
      <c r="E64" s="731" t="s">
        <v>12</v>
      </c>
      <c r="F64" s="745" t="s">
        <v>1039</v>
      </c>
      <c r="G64" s="468"/>
      <c r="H64" s="468"/>
      <c r="I64" s="468"/>
      <c r="J64" s="468"/>
    </row>
    <row r="65" spans="1:10">
      <c r="A65" s="729"/>
      <c r="B65" s="749"/>
      <c r="C65" s="736"/>
      <c r="D65" s="737"/>
      <c r="E65" s="732"/>
      <c r="F65" s="745"/>
      <c r="G65" s="468"/>
      <c r="H65" s="468"/>
      <c r="I65" s="468"/>
      <c r="J65" s="468"/>
    </row>
    <row r="66" spans="1:10">
      <c r="A66" s="729"/>
      <c r="B66" s="749"/>
      <c r="C66" s="736"/>
      <c r="D66" s="737"/>
      <c r="E66" s="732"/>
      <c r="F66" s="745"/>
      <c r="G66" s="468"/>
      <c r="H66" s="468"/>
      <c r="I66" s="468"/>
      <c r="J66" s="468"/>
    </row>
    <row r="67" spans="1:10">
      <c r="A67" s="729"/>
      <c r="B67" s="749"/>
      <c r="C67" s="736"/>
      <c r="D67" s="737"/>
      <c r="E67" s="732"/>
      <c r="F67" s="745"/>
      <c r="G67" s="468"/>
      <c r="H67" s="468"/>
      <c r="I67" s="468"/>
      <c r="J67" s="468"/>
    </row>
    <row r="68" spans="1:10" ht="13.8" thickBot="1">
      <c r="A68" s="729"/>
      <c r="B68" s="749"/>
      <c r="C68" s="736"/>
      <c r="D68" s="737"/>
      <c r="E68" s="733"/>
      <c r="F68" s="745"/>
      <c r="G68" s="468"/>
      <c r="H68" s="468"/>
      <c r="I68" s="468"/>
      <c r="J68" s="468"/>
    </row>
    <row r="69" spans="1:10">
      <c r="A69" s="729" t="str">
        <f>IF(ISBLANK($E$69)," ",IF(AND(ISERROR(SEARCH("separate actuator",$E$69)),ISERROR(SEARCH("no",$E$69))),"x"," "))</f>
        <v xml:space="preserve"> </v>
      </c>
      <c r="B69" s="735" t="str">
        <f>IF(ISERROR(SEARCH("separate actuator",$E$69))," ","x")</f>
        <v>x</v>
      </c>
      <c r="C69" s="736" t="s">
        <v>13</v>
      </c>
      <c r="D69" s="737"/>
      <c r="E69" s="731" t="s">
        <v>987</v>
      </c>
      <c r="F69" s="746" t="str">
        <f>IF(Parameter_Template!$G$15="","check",IF(AND(OR(Parameter_Template!$G$15="iBoosterGen2",Parameter_Template!$G$15="iBoosterGen2evo"),AND(A69="x",B69&lt;&gt;"x")),CONCATENATE("This configuration (iBooster with ESP combination, AVH supported by ESP) is not supported by platform anymore and will lead to the failed iBooster BSPA Result. For efficient discussion please get in contact with iBooster Sytem Expert", " (Wagner Vivien(VM/EYB4), Vaisakh Ammassam Veettil (MS/EBS12-VM), Gopal Harshitha (MS/EBS12-VM)))"),"check"))</f>
        <v>check</v>
      </c>
      <c r="G69" s="468"/>
      <c r="H69" s="468"/>
      <c r="I69" s="468"/>
      <c r="J69" s="468"/>
    </row>
    <row r="70" spans="1:10">
      <c r="A70" s="729"/>
      <c r="B70" s="735"/>
      <c r="C70" s="736"/>
      <c r="D70" s="737"/>
      <c r="E70" s="732"/>
      <c r="F70" s="746"/>
      <c r="G70" s="468"/>
      <c r="H70" s="468"/>
      <c r="I70" s="468"/>
      <c r="J70" s="468"/>
    </row>
    <row r="71" spans="1:10">
      <c r="A71" s="729"/>
      <c r="B71" s="735"/>
      <c r="C71" s="736"/>
      <c r="D71" s="737"/>
      <c r="E71" s="732"/>
      <c r="F71" s="746"/>
      <c r="G71" s="468"/>
      <c r="H71" s="468"/>
      <c r="I71" s="468"/>
      <c r="J71" s="468"/>
    </row>
    <row r="72" spans="1:10">
      <c r="A72" s="729"/>
      <c r="B72" s="735"/>
      <c r="C72" s="736"/>
      <c r="D72" s="737"/>
      <c r="E72" s="732"/>
      <c r="F72" s="746"/>
      <c r="G72" s="468"/>
      <c r="H72" s="468"/>
      <c r="I72" s="468"/>
      <c r="J72" s="468"/>
    </row>
    <row r="73" spans="1:10" ht="13.8" thickBot="1">
      <c r="A73" s="729"/>
      <c r="B73" s="735"/>
      <c r="C73" s="736"/>
      <c r="D73" s="737"/>
      <c r="E73" s="733"/>
      <c r="F73" s="746"/>
      <c r="G73" s="468"/>
      <c r="H73" s="468"/>
      <c r="I73" s="468"/>
      <c r="J73" s="468"/>
    </row>
    <row r="74" spans="1:10">
      <c r="A74" s="729" t="str">
        <f>IF(ISBLANK($E$74)," ",IF(AND(ISERROR(SEARCH("separate actuator",$E$74)),ISERROR(SEARCH("no",$E$74))),"x"," "))</f>
        <v xml:space="preserve"> </v>
      </c>
      <c r="B74" s="749" t="str">
        <f>IF(ISERROR(SEARCH("separate actuator",$E$74))," ","x")</f>
        <v xml:space="preserve"> </v>
      </c>
      <c r="C74" s="736" t="s">
        <v>14</v>
      </c>
      <c r="D74" s="737"/>
      <c r="E74" s="731" t="s">
        <v>65</v>
      </c>
      <c r="F74" s="745" t="s">
        <v>1039</v>
      </c>
      <c r="G74" s="468"/>
      <c r="H74" s="468"/>
      <c r="I74" s="468"/>
      <c r="J74" s="468"/>
    </row>
    <row r="75" spans="1:10">
      <c r="A75" s="729"/>
      <c r="B75" s="749"/>
      <c r="C75" s="736"/>
      <c r="D75" s="737"/>
      <c r="E75" s="732"/>
      <c r="F75" s="745"/>
      <c r="G75" s="468"/>
      <c r="H75" s="468"/>
      <c r="I75" s="468"/>
      <c r="J75" s="468"/>
    </row>
    <row r="76" spans="1:10">
      <c r="A76" s="729"/>
      <c r="B76" s="749"/>
      <c r="C76" s="736"/>
      <c r="D76" s="737"/>
      <c r="E76" s="732"/>
      <c r="F76" s="745"/>
      <c r="G76" s="468"/>
      <c r="H76" s="468"/>
      <c r="I76" s="468"/>
      <c r="J76" s="468"/>
    </row>
    <row r="77" spans="1:10">
      <c r="A77" s="729"/>
      <c r="B77" s="749"/>
      <c r="C77" s="736"/>
      <c r="D77" s="737"/>
      <c r="E77" s="732"/>
      <c r="F77" s="745"/>
      <c r="G77" s="468"/>
      <c r="H77" s="468"/>
      <c r="I77" s="468"/>
      <c r="J77" s="468"/>
    </row>
    <row r="78" spans="1:10" ht="13.8" thickBot="1">
      <c r="A78" s="729"/>
      <c r="B78" s="749"/>
      <c r="C78" s="736"/>
      <c r="D78" s="737"/>
      <c r="E78" s="733"/>
      <c r="F78" s="745"/>
      <c r="G78" s="468"/>
      <c r="H78" s="468"/>
      <c r="I78" s="468"/>
      <c r="J78" s="468"/>
    </row>
    <row r="79" spans="1:10" ht="16.2" thickBot="1">
      <c r="A79" s="484" t="str">
        <f>IF(ISBLANK($E$79)," ",IF(ISERROR(SEARCH("no",$E$79)),"x"," "))</f>
        <v xml:space="preserve"> </v>
      </c>
      <c r="B79" s="480"/>
      <c r="C79" s="736" t="s">
        <v>1058</v>
      </c>
      <c r="D79" s="737"/>
      <c r="E79" s="481" t="s">
        <v>65</v>
      </c>
      <c r="F79" s="483" t="s">
        <v>1100</v>
      </c>
      <c r="G79" s="482"/>
      <c r="H79" s="482"/>
      <c r="I79" s="482"/>
      <c r="J79" s="482"/>
    </row>
    <row r="80" spans="1:10">
      <c r="A80" s="729" t="str">
        <f>IF(ISBLANK($E$80)," ",IF(AND(ISERROR(SEARCH("separate actuator",$E$80)),ISERROR(SEARCH("no",$E$80))),"x"," "))</f>
        <v xml:space="preserve"> </v>
      </c>
      <c r="B80" s="730"/>
      <c r="C80" s="736" t="s">
        <v>93</v>
      </c>
      <c r="D80" s="737"/>
      <c r="E80" s="731" t="s">
        <v>65</v>
      </c>
      <c r="F80" s="745" t="s">
        <v>1039</v>
      </c>
      <c r="G80" s="468"/>
      <c r="H80" s="468"/>
      <c r="I80" s="468"/>
      <c r="J80" s="468"/>
    </row>
    <row r="81" spans="1:10">
      <c r="A81" s="729"/>
      <c r="B81" s="730"/>
      <c r="C81" s="736"/>
      <c r="D81" s="737"/>
      <c r="E81" s="732"/>
      <c r="F81" s="745"/>
      <c r="G81" s="468"/>
      <c r="H81" s="468"/>
      <c r="I81" s="468"/>
      <c r="J81" s="468"/>
    </row>
    <row r="82" spans="1:10">
      <c r="A82" s="729"/>
      <c r="B82" s="730"/>
      <c r="C82" s="736"/>
      <c r="D82" s="737"/>
      <c r="E82" s="732"/>
      <c r="F82" s="745"/>
      <c r="G82" s="468"/>
      <c r="H82" s="468"/>
      <c r="I82" s="468"/>
      <c r="J82" s="468"/>
    </row>
    <row r="83" spans="1:10">
      <c r="A83" s="729"/>
      <c r="B83" s="730"/>
      <c r="C83" s="736"/>
      <c r="D83" s="737"/>
      <c r="E83" s="732"/>
      <c r="F83" s="745"/>
      <c r="G83" s="468"/>
      <c r="H83" s="468"/>
      <c r="I83" s="468"/>
      <c r="J83" s="468"/>
    </row>
    <row r="84" spans="1:10" ht="13.8" thickBot="1">
      <c r="A84" s="729"/>
      <c r="B84" s="730"/>
      <c r="C84" s="736"/>
      <c r="D84" s="737"/>
      <c r="E84" s="733"/>
      <c r="F84" s="745"/>
      <c r="G84" s="468"/>
      <c r="H84" s="468"/>
      <c r="I84" s="468"/>
      <c r="J84" s="468"/>
    </row>
    <row r="85" spans="1:10">
      <c r="A85" s="729" t="str">
        <f>IF(ISBLANK($E$85)," ",IF(AND(ISERROR(SEARCH("separate actuator",$E$85)),ISERROR(SEARCH("no",$E$85))),"x"," "))</f>
        <v>x</v>
      </c>
      <c r="B85" s="730"/>
      <c r="C85" s="736" t="s">
        <v>16</v>
      </c>
      <c r="D85" s="737"/>
      <c r="E85" s="731" t="s">
        <v>16</v>
      </c>
      <c r="F85" s="745" t="s">
        <v>1039</v>
      </c>
      <c r="G85" s="468"/>
      <c r="H85" s="468"/>
      <c r="I85" s="468"/>
      <c r="J85" s="468"/>
    </row>
    <row r="86" spans="1:10">
      <c r="A86" s="729"/>
      <c r="B86" s="730"/>
      <c r="C86" s="736"/>
      <c r="D86" s="737"/>
      <c r="E86" s="732"/>
      <c r="F86" s="745"/>
      <c r="G86" s="468"/>
      <c r="H86" s="468"/>
      <c r="I86" s="468"/>
      <c r="J86" s="468"/>
    </row>
    <row r="87" spans="1:10">
      <c r="A87" s="729"/>
      <c r="B87" s="730"/>
      <c r="C87" s="736"/>
      <c r="D87" s="737"/>
      <c r="E87" s="732"/>
      <c r="F87" s="745"/>
      <c r="G87" s="468"/>
      <c r="H87" s="468"/>
      <c r="I87" s="468"/>
      <c r="J87" s="468"/>
    </row>
    <row r="88" spans="1:10">
      <c r="A88" s="729"/>
      <c r="B88" s="730"/>
      <c r="C88" s="736"/>
      <c r="D88" s="737"/>
      <c r="E88" s="732"/>
      <c r="F88" s="745"/>
      <c r="G88" s="468"/>
      <c r="H88" s="468"/>
      <c r="I88" s="468"/>
      <c r="J88" s="468"/>
    </row>
    <row r="89" spans="1:10" ht="13.8" thickBot="1">
      <c r="A89" s="729"/>
      <c r="B89" s="730"/>
      <c r="C89" s="736"/>
      <c r="D89" s="737"/>
      <c r="E89" s="733"/>
      <c r="F89" s="745"/>
      <c r="G89" s="468"/>
      <c r="H89" s="468"/>
      <c r="I89" s="468"/>
      <c r="J89" s="468"/>
    </row>
    <row r="90" spans="1:10" ht="16.2" thickBot="1">
      <c r="A90" s="471" t="str">
        <f>IF(ISBLANK($E$90)," ",IF(ISERROR(SEARCH("no",$E$90)),"x"," "))</f>
        <v xml:space="preserve"> </v>
      </c>
      <c r="B90" s="472" t="str">
        <f>IF(ISBLANK($E$90)," ",IF(ISERROR(SEARCH("no",$E$90)),"x"," "))</f>
        <v xml:space="preserve"> </v>
      </c>
      <c r="C90" s="736" t="s">
        <v>655</v>
      </c>
      <c r="D90" s="737"/>
      <c r="E90" s="473" t="s">
        <v>65</v>
      </c>
    </row>
    <row r="91" spans="1:10" ht="16.2" thickBot="1">
      <c r="A91" s="474"/>
      <c r="B91" s="295" t="str">
        <f>IF(ISBLANK($E$91)," ",IF(ISERROR(SEARCH("no",$E$91)),"x"," "))</f>
        <v>x</v>
      </c>
      <c r="C91" s="736" t="s">
        <v>831</v>
      </c>
      <c r="D91" s="737"/>
      <c r="E91" s="475" t="s">
        <v>64</v>
      </c>
      <c r="F91" s="476"/>
    </row>
    <row r="92" spans="1:10" ht="16.2" thickBot="1">
      <c r="A92" s="474"/>
      <c r="B92" s="472" t="str">
        <f>IF(ISBLANK($E$92)," ",IF(ISERROR(SEARCH("no",$E$92)),"x"," "))</f>
        <v>x</v>
      </c>
      <c r="C92" s="736" t="s">
        <v>933</v>
      </c>
      <c r="D92" s="737"/>
      <c r="E92" s="475" t="s">
        <v>64</v>
      </c>
    </row>
    <row r="93" spans="1:10">
      <c r="A93" s="729" t="str">
        <f>IF(ISBLANK($E$93)," ",IF(AND(ISERROR(SEARCH("separate actuator",$E$93)),ISERROR(SEARCH("no",$E$93))),"x"," "))</f>
        <v>x</v>
      </c>
      <c r="B93" s="735" t="str">
        <f>IF(ISERROR(SEARCH("separate actuator",$E$93))," ","x")</f>
        <v xml:space="preserve"> </v>
      </c>
      <c r="C93" s="736" t="s">
        <v>1052</v>
      </c>
      <c r="D93" s="737"/>
      <c r="E93" s="731" t="s">
        <v>1031</v>
      </c>
      <c r="F93" s="745" t="s">
        <v>1039</v>
      </c>
      <c r="G93" s="468"/>
      <c r="H93" s="468"/>
      <c r="I93" s="468"/>
      <c r="J93" s="468"/>
    </row>
    <row r="94" spans="1:10">
      <c r="A94" s="729"/>
      <c r="B94" s="735"/>
      <c r="C94" s="736"/>
      <c r="D94" s="737"/>
      <c r="E94" s="732"/>
      <c r="F94" s="745"/>
      <c r="G94" s="468"/>
      <c r="H94" s="468"/>
      <c r="I94" s="468"/>
      <c r="J94" s="468"/>
    </row>
    <row r="95" spans="1:10">
      <c r="A95" s="729"/>
      <c r="B95" s="735"/>
      <c r="C95" s="736"/>
      <c r="D95" s="737"/>
      <c r="E95" s="732"/>
      <c r="F95" s="745"/>
      <c r="G95" s="468"/>
      <c r="H95" s="468"/>
      <c r="I95" s="468"/>
      <c r="J95" s="468"/>
    </row>
    <row r="96" spans="1:10">
      <c r="A96" s="729"/>
      <c r="B96" s="735"/>
      <c r="C96" s="736"/>
      <c r="D96" s="737"/>
      <c r="E96" s="732"/>
      <c r="F96" s="745"/>
      <c r="G96" s="468"/>
      <c r="H96" s="468"/>
      <c r="I96" s="468"/>
      <c r="J96" s="468"/>
    </row>
    <row r="97" spans="1:10" ht="13.8" thickBot="1">
      <c r="A97" s="729"/>
      <c r="B97" s="735"/>
      <c r="C97" s="736"/>
      <c r="D97" s="737"/>
      <c r="E97" s="733"/>
      <c r="F97" s="745"/>
      <c r="G97" s="468"/>
      <c r="H97" s="468"/>
      <c r="I97" s="468"/>
      <c r="J97" s="468"/>
    </row>
    <row r="98" spans="1:10">
      <c r="A98" s="729" t="str">
        <f>IF(ISBLANK($E$98)," ",IF(AND(ISERROR(SEARCH("separate actuator",$E$98)),ISERROR(SEARCH("no",$E$98))),"x"," "))</f>
        <v>x</v>
      </c>
      <c r="B98" s="735" t="str">
        <f>IF(ISERROR(SEARCH("separate actuator",$E$98))," ","x")</f>
        <v xml:space="preserve"> </v>
      </c>
      <c r="C98" s="736" t="s">
        <v>1053</v>
      </c>
      <c r="D98" s="737"/>
      <c r="E98" s="731" t="s">
        <v>995</v>
      </c>
      <c r="F98" s="745" t="s">
        <v>1039</v>
      </c>
      <c r="G98" s="468"/>
      <c r="H98" s="468"/>
      <c r="I98" s="468"/>
      <c r="J98" s="468"/>
    </row>
    <row r="99" spans="1:10">
      <c r="A99" s="729"/>
      <c r="B99" s="735"/>
      <c r="C99" s="736"/>
      <c r="D99" s="737"/>
      <c r="E99" s="732"/>
      <c r="F99" s="745"/>
      <c r="G99" s="468"/>
      <c r="H99" s="468"/>
      <c r="I99" s="468"/>
      <c r="J99" s="468"/>
    </row>
    <row r="100" spans="1:10">
      <c r="A100" s="729"/>
      <c r="B100" s="735"/>
      <c r="C100" s="736"/>
      <c r="D100" s="737"/>
      <c r="E100" s="732"/>
      <c r="F100" s="745"/>
      <c r="G100" s="468"/>
      <c r="H100" s="468"/>
      <c r="I100" s="468"/>
      <c r="J100" s="468"/>
    </row>
    <row r="101" spans="1:10">
      <c r="A101" s="729"/>
      <c r="B101" s="735"/>
      <c r="C101" s="736"/>
      <c r="D101" s="737"/>
      <c r="E101" s="732"/>
      <c r="F101" s="745"/>
      <c r="G101" s="468"/>
      <c r="H101" s="468"/>
      <c r="I101" s="468"/>
      <c r="J101" s="468"/>
    </row>
    <row r="102" spans="1:10" ht="13.8" thickBot="1">
      <c r="A102" s="729"/>
      <c r="B102" s="735"/>
      <c r="C102" s="736"/>
      <c r="D102" s="737"/>
      <c r="E102" s="733"/>
      <c r="F102" s="745"/>
      <c r="G102" s="468"/>
      <c r="H102" s="468"/>
      <c r="I102" s="468"/>
      <c r="J102" s="468"/>
    </row>
    <row r="103" spans="1:10" s="478" customFormat="1" ht="15.6" thickBot="1">
      <c r="A103" s="471" t="str">
        <f>IF(ISBLANK($E$103)," ",IF(ISERROR(SEARCH("no",$E$103)),"x"," "))</f>
        <v>x</v>
      </c>
      <c r="B103" s="477"/>
      <c r="C103" s="742" t="s">
        <v>1036</v>
      </c>
      <c r="D103" s="743"/>
      <c r="E103" s="473" t="s">
        <v>64</v>
      </c>
      <c r="F103" s="61"/>
      <c r="G103" s="464"/>
      <c r="H103" s="464"/>
      <c r="I103" s="464"/>
      <c r="J103" s="464"/>
    </row>
    <row r="104" spans="1:10" s="478" customFormat="1">
      <c r="A104" s="61"/>
      <c r="B104" s="61"/>
      <c r="C104" s="744"/>
      <c r="D104" s="744"/>
      <c r="E104" s="61"/>
      <c r="F104" s="61"/>
      <c r="G104" s="464"/>
      <c r="H104" s="464"/>
      <c r="I104" s="464"/>
      <c r="J104" s="464"/>
    </row>
    <row r="105" spans="1:10" s="478" customFormat="1">
      <c r="A105" s="61"/>
      <c r="B105" s="61"/>
      <c r="C105" s="744"/>
      <c r="D105" s="744"/>
      <c r="E105" s="61"/>
      <c r="F105" s="61"/>
      <c r="G105" s="464"/>
      <c r="H105" s="464"/>
      <c r="I105" s="464"/>
      <c r="J105" s="464"/>
    </row>
    <row r="108" spans="1:10">
      <c r="F108" s="492"/>
    </row>
    <row r="110" spans="1:10">
      <c r="C110" s="479" t="s">
        <v>817</v>
      </c>
      <c r="D110" s="61" t="s">
        <v>1041</v>
      </c>
    </row>
    <row r="111" spans="1:10">
      <c r="D111" s="61" t="s">
        <v>1042</v>
      </c>
    </row>
    <row r="112" spans="1:10">
      <c r="D112" s="61" t="s">
        <v>1043</v>
      </c>
    </row>
    <row r="113" spans="4:4">
      <c r="D113" s="61" t="s">
        <v>1044</v>
      </c>
    </row>
  </sheetData>
  <sheetProtection algorithmName="SHA-512" hashValue="KmqAWeK07F5pqFZ6X73tQVIQPNcmrkzODUlLLgSEwVALnINoSH+F+xQQYO5GrwI4I0lFE+rlrGmqzajEVITasw==" saltValue="/AdQC8qoJA9T6d3cpAGoRg==" spinCount="100000" sheet="1" objects="1" scenarios="1" formatColumns="0" formatRows="0"/>
  <mergeCells count="104">
    <mergeCell ref="F85:F89"/>
    <mergeCell ref="F98:F102"/>
    <mergeCell ref="A74:A78"/>
    <mergeCell ref="B74:B78"/>
    <mergeCell ref="A54:A58"/>
    <mergeCell ref="B54:B58"/>
    <mergeCell ref="A59:A63"/>
    <mergeCell ref="B59:B63"/>
    <mergeCell ref="A64:A68"/>
    <mergeCell ref="B64:B68"/>
    <mergeCell ref="A80:A84"/>
    <mergeCell ref="B80:B84"/>
    <mergeCell ref="E74:E78"/>
    <mergeCell ref="C98:D102"/>
    <mergeCell ref="E98:E102"/>
    <mergeCell ref="C93:D97"/>
    <mergeCell ref="E93:E97"/>
    <mergeCell ref="F93:F97"/>
    <mergeCell ref="A93:A97"/>
    <mergeCell ref="B93:B97"/>
    <mergeCell ref="A98:A102"/>
    <mergeCell ref="B98:B102"/>
    <mergeCell ref="C80:D84"/>
    <mergeCell ref="C85:D89"/>
    <mergeCell ref="A29:A33"/>
    <mergeCell ref="B29:B33"/>
    <mergeCell ref="A34:A38"/>
    <mergeCell ref="B34:B38"/>
    <mergeCell ref="A69:A73"/>
    <mergeCell ref="B69:B73"/>
    <mergeCell ref="F80:F84"/>
    <mergeCell ref="F49:F53"/>
    <mergeCell ref="F54:F58"/>
    <mergeCell ref="F59:F63"/>
    <mergeCell ref="F64:F68"/>
    <mergeCell ref="F74:F78"/>
    <mergeCell ref="E80:E84"/>
    <mergeCell ref="C79:D79"/>
    <mergeCell ref="C103:D103"/>
    <mergeCell ref="C104:D104"/>
    <mergeCell ref="C105:D105"/>
    <mergeCell ref="C91:D91"/>
    <mergeCell ref="C92:D92"/>
    <mergeCell ref="C90:D90"/>
    <mergeCell ref="F4:F8"/>
    <mergeCell ref="F9:F13"/>
    <mergeCell ref="F14:F18"/>
    <mergeCell ref="F24:F28"/>
    <mergeCell ref="F29:F33"/>
    <mergeCell ref="E44:E48"/>
    <mergeCell ref="F19:F23"/>
    <mergeCell ref="C24:D28"/>
    <mergeCell ref="E24:E28"/>
    <mergeCell ref="C4:D8"/>
    <mergeCell ref="E4:E8"/>
    <mergeCell ref="F34:F38"/>
    <mergeCell ref="F39:F43"/>
    <mergeCell ref="F44:F48"/>
    <mergeCell ref="C69:D73"/>
    <mergeCell ref="E69:E73"/>
    <mergeCell ref="F69:F73"/>
    <mergeCell ref="C74:D78"/>
    <mergeCell ref="C2:E2"/>
    <mergeCell ref="C3:D3"/>
    <mergeCell ref="C9:D13"/>
    <mergeCell ref="E9:E13"/>
    <mergeCell ref="C14:D18"/>
    <mergeCell ref="E14:E18"/>
    <mergeCell ref="E54:E58"/>
    <mergeCell ref="C59:D63"/>
    <mergeCell ref="E59:E63"/>
    <mergeCell ref="C49:D53"/>
    <mergeCell ref="E49:E53"/>
    <mergeCell ref="C54:D58"/>
    <mergeCell ref="C44:D48"/>
    <mergeCell ref="C29:D33"/>
    <mergeCell ref="E29:E33"/>
    <mergeCell ref="C34:D38"/>
    <mergeCell ref="E34:E38"/>
    <mergeCell ref="E19:E23"/>
    <mergeCell ref="A85:A89"/>
    <mergeCell ref="B85:B89"/>
    <mergeCell ref="E85:E89"/>
    <mergeCell ref="A4:A8"/>
    <mergeCell ref="A9:A13"/>
    <mergeCell ref="A14:A18"/>
    <mergeCell ref="B14:B18"/>
    <mergeCell ref="A19:A23"/>
    <mergeCell ref="B19:B23"/>
    <mergeCell ref="B9:B13"/>
    <mergeCell ref="B4:B8"/>
    <mergeCell ref="A39:A43"/>
    <mergeCell ref="B39:B43"/>
    <mergeCell ref="A44:A48"/>
    <mergeCell ref="B44:B48"/>
    <mergeCell ref="C64:D68"/>
    <mergeCell ref="E64:E68"/>
    <mergeCell ref="C39:D43"/>
    <mergeCell ref="E39:E43"/>
    <mergeCell ref="C19:D23"/>
    <mergeCell ref="A49:A53"/>
    <mergeCell ref="B49:B53"/>
    <mergeCell ref="A24:A28"/>
    <mergeCell ref="B24:B28"/>
  </mergeCells>
  <conditionalFormatting sqref="G4:J8">
    <cfRule type="expression" dxfId="319" priority="38">
      <formula>IF(ISERROR(SEARCH("customer specific",$E$4)),TRUE)</formula>
    </cfRule>
  </conditionalFormatting>
  <conditionalFormatting sqref="G9:J13">
    <cfRule type="expression" dxfId="318" priority="37">
      <formula>IF(ISERROR(SEARCH("customer specific",$E$9)),TRUE)</formula>
    </cfRule>
  </conditionalFormatting>
  <conditionalFormatting sqref="G14:J18">
    <cfRule type="expression" dxfId="317" priority="36">
      <formula>IF(ISERROR(SEARCH("customer specific",$E$14)),TRUE)</formula>
    </cfRule>
  </conditionalFormatting>
  <conditionalFormatting sqref="G19:J23">
    <cfRule type="expression" dxfId="316" priority="35">
      <formula>IF(ISERROR(SEARCH("customer specific",$E$19)),TRUE)</formula>
    </cfRule>
  </conditionalFormatting>
  <conditionalFormatting sqref="G24:J28">
    <cfRule type="expression" dxfId="315" priority="34">
      <formula>IF(ISERROR(SEARCH("customer specific",$E$24)),TRUE)</formula>
    </cfRule>
  </conditionalFormatting>
  <conditionalFormatting sqref="G29:J33">
    <cfRule type="expression" dxfId="314" priority="33">
      <formula>IF(ISERROR(SEARCH("customer specific",$E$29)),TRUE)</formula>
    </cfRule>
  </conditionalFormatting>
  <conditionalFormatting sqref="G34:J38">
    <cfRule type="expression" dxfId="313" priority="32">
      <formula>IF(ISERROR(SEARCH("customer specific",$E$34)),TRUE)</formula>
    </cfRule>
  </conditionalFormatting>
  <conditionalFormatting sqref="G39:J43">
    <cfRule type="expression" dxfId="312" priority="31">
      <formula>IF(ISERROR(SEARCH("customer specific",$E$39)),TRUE)</formula>
    </cfRule>
  </conditionalFormatting>
  <conditionalFormatting sqref="G44:J48">
    <cfRule type="expression" dxfId="311" priority="30">
      <formula>IF(ISERROR(SEARCH("customer specific",$E$44)),TRUE)</formula>
    </cfRule>
  </conditionalFormatting>
  <conditionalFormatting sqref="G49:J53">
    <cfRule type="expression" dxfId="310" priority="29">
      <formula>IF(ISERROR(SEARCH("customer specific",$E$49)),TRUE)</formula>
    </cfRule>
  </conditionalFormatting>
  <conditionalFormatting sqref="G54:J58">
    <cfRule type="expression" dxfId="309" priority="28">
      <formula>IF(ISERROR(SEARCH("customer specific",$E$54)),TRUE)</formula>
    </cfRule>
  </conditionalFormatting>
  <conditionalFormatting sqref="G59:J63">
    <cfRule type="expression" dxfId="308" priority="27">
      <formula>IF(ISERROR(SEARCH("customer specific",$E$59)),TRUE)</formula>
    </cfRule>
  </conditionalFormatting>
  <conditionalFormatting sqref="G64:J68">
    <cfRule type="expression" dxfId="307" priority="26">
      <formula>IF(ISERROR(SEARCH("customer specific",$E$64)),TRUE)</formula>
    </cfRule>
  </conditionalFormatting>
  <conditionalFormatting sqref="G69:J73">
    <cfRule type="expression" dxfId="306" priority="25">
      <formula>IF(ISERROR(SEARCH("customer specific",$E$69)),TRUE)</formula>
    </cfRule>
  </conditionalFormatting>
  <conditionalFormatting sqref="G74:J78">
    <cfRule type="expression" dxfId="305" priority="24">
      <formula>IF(ISERROR(SEARCH("customer specific",$E$74)),TRUE)</formula>
    </cfRule>
  </conditionalFormatting>
  <conditionalFormatting sqref="G80:J84">
    <cfRule type="expression" dxfId="304" priority="23">
      <formula>IF(ISERROR(SEARCH("customer specific",$E$80)),TRUE)</formula>
    </cfRule>
  </conditionalFormatting>
  <conditionalFormatting sqref="G85:J89">
    <cfRule type="expression" dxfId="303" priority="22">
      <formula>IF(ISERROR(SEARCH("customer specific",$E$85)),TRUE)</formula>
    </cfRule>
  </conditionalFormatting>
  <conditionalFormatting sqref="F19:F23">
    <cfRule type="expression" dxfId="302" priority="21">
      <formula>IF(NOT(F19="check"),TRUE)</formula>
    </cfRule>
  </conditionalFormatting>
  <conditionalFormatting sqref="F69:F73">
    <cfRule type="expression" dxfId="301" priority="20">
      <formula>IF(NOT(F69="check"),TRUE)</formula>
    </cfRule>
  </conditionalFormatting>
  <conditionalFormatting sqref="G93:J97">
    <cfRule type="expression" dxfId="300" priority="19">
      <formula>IF(ISERROR(SEARCH("customer specific",$E$93)),TRUE)</formula>
    </cfRule>
  </conditionalFormatting>
  <conditionalFormatting sqref="G98:J102">
    <cfRule type="expression" dxfId="299" priority="18">
      <formula>IF(ISERROR(SEARCH("customer specific",$E$98)),TRUE)</formula>
    </cfRule>
  </conditionalFormatting>
  <conditionalFormatting sqref="F4">
    <cfRule type="expression" dxfId="298" priority="17">
      <formula>IF(ISERROR(SEARCH("customer specific",$E$4)),TRUE)</formula>
    </cfRule>
  </conditionalFormatting>
  <conditionalFormatting sqref="F9">
    <cfRule type="expression" dxfId="297" priority="16">
      <formula>IF(ISERROR(SEARCH("customer specific",$E$9)),TRUE)</formula>
    </cfRule>
  </conditionalFormatting>
  <conditionalFormatting sqref="F14">
    <cfRule type="expression" dxfId="296" priority="15">
      <formula>IF(ISERROR(SEARCH("customer specific",$E$14)),TRUE)</formula>
    </cfRule>
  </conditionalFormatting>
  <conditionalFormatting sqref="F24">
    <cfRule type="expression" dxfId="295" priority="14">
      <formula>IF(ISERROR(SEARCH("customer specific",$E$24)),TRUE)</formula>
    </cfRule>
  </conditionalFormatting>
  <conditionalFormatting sqref="F29">
    <cfRule type="expression" dxfId="294" priority="13">
      <formula>IF(ISERROR(SEARCH("customer specific",$E$29)),TRUE)</formula>
    </cfRule>
  </conditionalFormatting>
  <conditionalFormatting sqref="F34">
    <cfRule type="expression" dxfId="293" priority="12">
      <formula>IF(ISERROR(SEARCH("customer specific",$E$34)),TRUE)</formula>
    </cfRule>
  </conditionalFormatting>
  <conditionalFormatting sqref="F39">
    <cfRule type="expression" dxfId="292" priority="11">
      <formula>IF(ISERROR(SEARCH("customer specific",$E$39)),TRUE)</formula>
    </cfRule>
  </conditionalFormatting>
  <conditionalFormatting sqref="F44">
    <cfRule type="expression" dxfId="291" priority="10">
      <formula>IF(ISERROR(SEARCH("customer specific",$E$44)),TRUE)</formula>
    </cfRule>
  </conditionalFormatting>
  <conditionalFormatting sqref="F49">
    <cfRule type="expression" dxfId="290" priority="9">
      <formula>IF(ISERROR(SEARCH("customer specific",$E$49)),TRUE)</formula>
    </cfRule>
  </conditionalFormatting>
  <conditionalFormatting sqref="F54">
    <cfRule type="expression" dxfId="289" priority="8">
      <formula>IF(ISERROR(SEARCH("customer specific",$E$54)),TRUE)</formula>
    </cfRule>
  </conditionalFormatting>
  <conditionalFormatting sqref="F59">
    <cfRule type="expression" dxfId="288" priority="7">
      <formula>IF(ISERROR(SEARCH("customer specific",$E$59)),TRUE)</formula>
    </cfRule>
  </conditionalFormatting>
  <conditionalFormatting sqref="F64">
    <cfRule type="expression" dxfId="287" priority="6">
      <formula>IF(ISERROR(SEARCH("customer specific",$E$64)),TRUE)</formula>
    </cfRule>
  </conditionalFormatting>
  <conditionalFormatting sqref="F74">
    <cfRule type="expression" dxfId="286" priority="5">
      <formula>IF(ISERROR(SEARCH("customer specific",$E$74)),TRUE)</formula>
    </cfRule>
  </conditionalFormatting>
  <conditionalFormatting sqref="F80">
    <cfRule type="expression" dxfId="285" priority="4">
      <formula>IF(ISERROR(SEARCH("customer specific",$E$80)),TRUE)</formula>
    </cfRule>
  </conditionalFormatting>
  <conditionalFormatting sqref="F85">
    <cfRule type="expression" dxfId="284" priority="3">
      <formula>IF(ISERROR(SEARCH("customer specific",$E$85)),TRUE)</formula>
    </cfRule>
  </conditionalFormatting>
  <conditionalFormatting sqref="F93">
    <cfRule type="expression" dxfId="283" priority="2">
      <formula>IF(ISERROR(SEARCH("customer specific",$E$93)),TRUE)</formula>
    </cfRule>
  </conditionalFormatting>
  <conditionalFormatting sqref="F98">
    <cfRule type="expression" dxfId="282" priority="1">
      <formula>IF(ISERROR(SEARCH("customer specific",$E$98)),TRUE)</formula>
    </cfRule>
  </conditionalFormatting>
  <dataValidations count="23">
    <dataValidation type="list" allowBlank="1" showInputMessage="1" showErrorMessage="1" sqref="E4" xr:uid="{6E792A6A-B5CE-4F2C-965A-F7A24FFABA3A}">
      <formula1>$N$10:$N$18</formula1>
    </dataValidation>
    <dataValidation type="list" allowBlank="1" showInputMessage="1" showErrorMessage="1" sqref="E92" xr:uid="{11D46744-3166-4630-ADAB-97C37D1A8283}">
      <formula1>$AH$10:$AH$11</formula1>
    </dataValidation>
    <dataValidation type="list" allowBlank="1" showInputMessage="1" showErrorMessage="1" sqref="E9" xr:uid="{7E7CBD02-0600-4BFD-9BB7-FFF81FB191FF}">
      <formula1>$O$10:$O$15</formula1>
    </dataValidation>
    <dataValidation type="list" allowBlank="1" showInputMessage="1" showErrorMessage="1" sqref="E14" xr:uid="{E78B64E9-7C37-4B4C-A232-E9B048F51033}">
      <formula1>$P$10:$P$12</formula1>
    </dataValidation>
    <dataValidation type="list" allowBlank="1" showInputMessage="1" showErrorMessage="1" sqref="E19" xr:uid="{0D34726F-842C-4399-9684-8067C4E91602}">
      <formula1>$Q$10:$Q$14</formula1>
    </dataValidation>
    <dataValidation type="list" allowBlank="1" showInputMessage="1" showErrorMessage="1" sqref="E24" xr:uid="{A7C72088-B08C-4EED-A68C-30BB22F5F055}">
      <formula1>$R$10:$R$14</formula1>
    </dataValidation>
    <dataValidation type="list" allowBlank="1" showInputMessage="1" showErrorMessage="1" sqref="E29" xr:uid="{4B5F8300-6F42-42AF-A881-7DFF31CC8B41}">
      <formula1>$S$10:$S$13</formula1>
    </dataValidation>
    <dataValidation type="list" allowBlank="1" showInputMessage="1" showErrorMessage="1" sqref="E34" xr:uid="{68590382-A6A7-4AA6-89D1-2131284B66ED}">
      <formula1>$T$10:$T$14</formula1>
    </dataValidation>
    <dataValidation type="list" allowBlank="1" showInputMessage="1" showErrorMessage="1" sqref="E39" xr:uid="{CEB6F336-CDB0-41D6-BB4A-D064DDF354E2}">
      <formula1>$U$10:$U$14</formula1>
    </dataValidation>
    <dataValidation type="list" allowBlank="1" showInputMessage="1" showErrorMessage="1" sqref="E44" xr:uid="{C124273B-A326-48C3-BA50-3CB518FE5906}">
      <formula1>$V$10:$V$16</formula1>
    </dataValidation>
    <dataValidation type="list" allowBlank="1" showInputMessage="1" showErrorMessage="1" sqref="E54" xr:uid="{737535D1-47E9-4C60-8D72-D39FF53AE97F}">
      <formula1>$X$10:$X$13</formula1>
    </dataValidation>
    <dataValidation type="list" allowBlank="1" showInputMessage="1" showErrorMessage="1" sqref="E59" xr:uid="{60DB3B9E-F41A-4986-A270-3443B5FA074A}">
      <formula1>$Y$10:$Y$13</formula1>
    </dataValidation>
    <dataValidation type="list" allowBlank="1" showInputMessage="1" showErrorMessage="1" sqref="E69" xr:uid="{01035367-E1C9-40D4-B08A-A5D711450D2C}">
      <formula1>$AA$10:$AA$14</formula1>
    </dataValidation>
    <dataValidation type="list" allowBlank="1" showInputMessage="1" showErrorMessage="1" sqref="E90" xr:uid="{32B319B0-0D12-40C4-BA73-5BDD7A906F06}">
      <formula1>$AF$10:$AF$11</formula1>
    </dataValidation>
    <dataValidation type="list" allowBlank="1" showInputMessage="1" showErrorMessage="1" sqref="E93" xr:uid="{C9B7108A-091C-4A35-B1F9-BA155FA57A92}">
      <formula1>$AJ$10:$AJ$14</formula1>
    </dataValidation>
    <dataValidation type="list" allowBlank="1" showInputMessage="1" showErrorMessage="1" sqref="E98" xr:uid="{0ECBCAA8-2AE1-4219-A37B-A3206C02146E}">
      <formula1>$AK$10:$AK$14</formula1>
    </dataValidation>
    <dataValidation type="list" allowBlank="1" showInputMessage="1" showErrorMessage="1" sqref="E80:E84" xr:uid="{B6584F8C-F50A-4611-B0D0-BB71AF1E3980}">
      <formula1>$AD$10:$AD$12</formula1>
    </dataValidation>
    <dataValidation type="list" allowBlank="1" showInputMessage="1" showErrorMessage="1" sqref="E85:E89" xr:uid="{3BAB7CE1-2C3A-4DD1-B191-356E9FA749DA}">
      <formula1>$AE$10:$AE$12</formula1>
    </dataValidation>
    <dataValidation type="list" allowBlank="1" showInputMessage="1" showErrorMessage="1" sqref="E91" xr:uid="{E7379DE4-062E-49CD-B75D-2F949DDE7A52}">
      <formula1>$AG$10:$AG$11</formula1>
    </dataValidation>
    <dataValidation type="list" allowBlank="1" showInputMessage="1" showErrorMessage="1" sqref="E49" xr:uid="{F258E936-9B66-4EC8-B78E-F13C855A4DF8}">
      <formula1>$W$10:$W$12</formula1>
    </dataValidation>
    <dataValidation type="list" allowBlank="1" showInputMessage="1" showErrorMessage="1" sqref="E64" xr:uid="{1406D884-FB92-4A9D-B24F-DFA1F592A9AD}">
      <formula1>$Z$10:$Z$12</formula1>
    </dataValidation>
    <dataValidation type="list" allowBlank="1" showInputMessage="1" showErrorMessage="1" sqref="E74" xr:uid="{869FDB3E-7D11-44C7-A1F6-E5F209B2CFF3}">
      <formula1>$AC$10:$AC$12</formula1>
    </dataValidation>
    <dataValidation type="list" allowBlank="1" showInputMessage="1" showErrorMessage="1" sqref="E79" xr:uid="{4A30261C-F369-4388-8FB7-82A2CFAF25C4}">
      <formula1>$AB$29:$AB$30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D0C2D65-4CAE-46C0-AE99-7B13BE787407}">
          <x14:formula1>
            <xm:f>Dropdowns!$J$6:$J$7</xm:f>
          </x14:formula1>
          <xm:sqref>E103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Q333"/>
  <sheetViews>
    <sheetView topLeftCell="A288" workbookViewId="0">
      <selection activeCell="I336" sqref="I336"/>
    </sheetView>
  </sheetViews>
  <sheetFormatPr defaultColWidth="9.109375" defaultRowHeight="13.2"/>
  <cols>
    <col min="2" max="2" width="19.33203125" customWidth="1"/>
    <col min="3" max="3" width="35.6640625" customWidth="1"/>
  </cols>
  <sheetData>
    <row r="1" spans="1:13">
      <c r="A1" s="148" t="s">
        <v>460</v>
      </c>
      <c r="B1" s="149"/>
      <c r="C1" s="149"/>
      <c r="D1" s="149"/>
      <c r="E1" s="149"/>
      <c r="F1" s="149"/>
      <c r="G1" s="149"/>
      <c r="H1" s="149"/>
      <c r="I1" s="149"/>
      <c r="J1" s="149"/>
      <c r="K1" s="149"/>
      <c r="L1" s="149"/>
      <c r="M1" s="150"/>
    </row>
    <row r="2" spans="1:13">
      <c r="A2" s="7"/>
      <c r="M2" s="19"/>
    </row>
    <row r="3" spans="1:13">
      <c r="A3" s="7" t="s">
        <v>349</v>
      </c>
      <c r="M3" s="19"/>
    </row>
    <row r="4" spans="1:13">
      <c r="A4" s="151" t="s">
        <v>353</v>
      </c>
      <c r="M4" s="19"/>
    </row>
    <row r="5" spans="1:13">
      <c r="A5" s="7"/>
      <c r="M5" s="19"/>
    </row>
    <row r="6" spans="1:13">
      <c r="A6" s="7" t="s">
        <v>354</v>
      </c>
      <c r="M6" s="19"/>
    </row>
    <row r="7" spans="1:13">
      <c r="A7" s="7"/>
      <c r="M7" s="19"/>
    </row>
    <row r="8" spans="1:13">
      <c r="A8" s="7"/>
      <c r="M8" s="19"/>
    </row>
    <row r="9" spans="1:13">
      <c r="A9" s="151" t="s">
        <v>352</v>
      </c>
      <c r="M9" s="19"/>
    </row>
    <row r="10" spans="1:13">
      <c r="A10" s="7"/>
      <c r="M10" s="19"/>
    </row>
    <row r="11" spans="1:13">
      <c r="A11" s="7" t="s">
        <v>355</v>
      </c>
      <c r="M11" s="19"/>
    </row>
    <row r="12" spans="1:13">
      <c r="A12" s="7"/>
      <c r="M12" s="19"/>
    </row>
    <row r="13" spans="1:13">
      <c r="A13" s="7"/>
      <c r="M13" s="19"/>
    </row>
    <row r="14" spans="1:13">
      <c r="A14" s="151" t="s">
        <v>356</v>
      </c>
      <c r="M14" s="19"/>
    </row>
    <row r="15" spans="1:13">
      <c r="A15" s="7"/>
      <c r="M15" s="19"/>
    </row>
    <row r="16" spans="1:13" ht="14.4">
      <c r="A16" s="152" t="s">
        <v>359</v>
      </c>
      <c r="M16" s="19"/>
    </row>
    <row r="17" spans="1:13" ht="15" thickBot="1">
      <c r="A17" s="153"/>
      <c r="B17" s="122"/>
      <c r="C17" s="122"/>
      <c r="D17" s="122"/>
      <c r="E17" s="122"/>
      <c r="F17" s="122"/>
      <c r="G17" s="122"/>
      <c r="H17" s="122"/>
      <c r="I17" s="122"/>
      <c r="J17" s="122"/>
      <c r="K17" s="122"/>
      <c r="L17" s="122"/>
      <c r="M17" s="38"/>
    </row>
    <row r="19" spans="1:13">
      <c r="A19" s="146" t="s">
        <v>385</v>
      </c>
      <c r="B19" s="147"/>
      <c r="C19" s="147"/>
      <c r="D19" s="147"/>
      <c r="E19" s="147"/>
      <c r="F19" s="147"/>
      <c r="G19" s="147"/>
      <c r="H19" s="147"/>
      <c r="I19" s="147"/>
      <c r="J19" s="147"/>
      <c r="K19" s="147"/>
      <c r="L19" s="147"/>
      <c r="M19" s="147"/>
    </row>
    <row r="22" spans="1:13">
      <c r="A22" s="73" t="s">
        <v>414</v>
      </c>
    </row>
    <row r="24" spans="1:13" ht="13.8" thickBot="1"/>
    <row r="25" spans="1:13" ht="40.200000000000003" thickBot="1">
      <c r="A25" s="134" t="s">
        <v>415</v>
      </c>
      <c r="B25" s="135" t="s">
        <v>416</v>
      </c>
      <c r="C25" s="135" t="s">
        <v>417</v>
      </c>
      <c r="D25" s="135" t="s">
        <v>418</v>
      </c>
      <c r="E25" s="135" t="s">
        <v>419</v>
      </c>
      <c r="F25" s="136"/>
    </row>
    <row r="26" spans="1:13" ht="40.799999999999997" thickTop="1" thickBot="1">
      <c r="A26" s="137" t="s">
        <v>420</v>
      </c>
      <c r="B26" s="751" t="s">
        <v>421</v>
      </c>
      <c r="C26" s="138" t="s">
        <v>422</v>
      </c>
      <c r="D26" s="138" t="s">
        <v>423</v>
      </c>
      <c r="E26" s="138" t="s">
        <v>424</v>
      </c>
      <c r="F26" s="136"/>
    </row>
    <row r="27" spans="1:13" ht="66.599999999999994" thickBot="1">
      <c r="A27" s="139" t="s">
        <v>425</v>
      </c>
      <c r="B27" s="752"/>
      <c r="C27" s="140" t="s">
        <v>426</v>
      </c>
      <c r="D27" s="140" t="s">
        <v>427</v>
      </c>
      <c r="E27" s="140" t="s">
        <v>428</v>
      </c>
      <c r="F27" s="136"/>
    </row>
    <row r="28" spans="1:13" ht="66.599999999999994" thickBot="1">
      <c r="A28" s="137" t="s">
        <v>429</v>
      </c>
      <c r="B28" s="753"/>
      <c r="C28" s="138" t="s">
        <v>430</v>
      </c>
      <c r="D28" s="138" t="s">
        <v>427</v>
      </c>
      <c r="E28" s="138" t="s">
        <v>431</v>
      </c>
      <c r="F28" s="136"/>
    </row>
    <row r="29" spans="1:13">
      <c r="A29" s="754" t="s">
        <v>432</v>
      </c>
      <c r="B29" s="754" t="s">
        <v>433</v>
      </c>
      <c r="C29" s="754" t="s">
        <v>434</v>
      </c>
      <c r="D29" s="754" t="s">
        <v>424</v>
      </c>
      <c r="E29" s="754" t="s">
        <v>435</v>
      </c>
      <c r="F29" s="136"/>
    </row>
    <row r="30" spans="1:13" ht="13.8" thickBot="1">
      <c r="A30" s="755"/>
      <c r="B30" s="756"/>
      <c r="C30" s="755"/>
      <c r="D30" s="755"/>
      <c r="E30" s="755"/>
      <c r="F30" s="136"/>
    </row>
    <row r="31" spans="1:13" ht="40.200000000000003" thickBot="1">
      <c r="A31" s="139" t="s">
        <v>436</v>
      </c>
      <c r="B31" s="756"/>
      <c r="C31" s="140" t="s">
        <v>437</v>
      </c>
      <c r="D31" s="140" t="s">
        <v>424</v>
      </c>
      <c r="E31" s="140" t="s">
        <v>438</v>
      </c>
      <c r="F31" s="136"/>
    </row>
    <row r="32" spans="1:13" ht="40.200000000000003" thickBot="1">
      <c r="A32" s="137" t="s">
        <v>439</v>
      </c>
      <c r="B32" s="755"/>
      <c r="C32" s="138" t="s">
        <v>440</v>
      </c>
      <c r="D32" s="138" t="s">
        <v>424</v>
      </c>
      <c r="E32" s="138" t="s">
        <v>441</v>
      </c>
      <c r="F32" s="136"/>
    </row>
    <row r="35" spans="1:1">
      <c r="A35" s="73" t="s">
        <v>466</v>
      </c>
    </row>
    <row r="37" spans="1:1">
      <c r="A37" t="s">
        <v>467</v>
      </c>
    </row>
    <row r="38" spans="1:1">
      <c r="A38" t="s">
        <v>468</v>
      </c>
    </row>
    <row r="39" spans="1:1">
      <c r="A39" t="s">
        <v>384</v>
      </c>
    </row>
    <row r="41" spans="1:1">
      <c r="A41" s="73" t="s">
        <v>457</v>
      </c>
    </row>
    <row r="43" spans="1:1">
      <c r="A43" t="s">
        <v>459</v>
      </c>
    </row>
    <row r="45" spans="1:1">
      <c r="A45" t="s">
        <v>458</v>
      </c>
    </row>
    <row r="63" spans="1:1">
      <c r="A63" t="s">
        <v>461</v>
      </c>
    </row>
    <row r="77" spans="1:13">
      <c r="A77" s="146" t="s">
        <v>521</v>
      </c>
      <c r="B77" s="146"/>
      <c r="C77" s="146"/>
      <c r="D77" s="146"/>
      <c r="E77" s="146"/>
      <c r="F77" s="146"/>
      <c r="G77" s="146"/>
      <c r="H77" s="146"/>
      <c r="I77" s="146"/>
      <c r="J77" s="146"/>
      <c r="K77" s="146"/>
      <c r="L77" s="146"/>
      <c r="M77" s="146"/>
    </row>
    <row r="79" spans="1:13">
      <c r="A79" t="s">
        <v>524</v>
      </c>
    </row>
    <row r="81" spans="1:13" ht="14.4">
      <c r="A81" s="180" t="s">
        <v>497</v>
      </c>
    </row>
    <row r="82" spans="1:13" ht="14.4">
      <c r="A82" s="180" t="s">
        <v>472</v>
      </c>
    </row>
    <row r="83" spans="1:13" ht="14.4">
      <c r="A83" s="180" t="s">
        <v>486</v>
      </c>
    </row>
    <row r="84" spans="1:13" ht="14.4">
      <c r="A84" s="180" t="s">
        <v>522</v>
      </c>
    </row>
    <row r="86" spans="1:13" ht="14.4">
      <c r="A86" s="179" t="s">
        <v>354</v>
      </c>
    </row>
    <row r="88" spans="1:13">
      <c r="A88" s="73" t="s">
        <v>517</v>
      </c>
    </row>
    <row r="90" spans="1:13">
      <c r="A90" t="s">
        <v>523</v>
      </c>
    </row>
    <row r="93" spans="1:13">
      <c r="A93" s="146" t="s">
        <v>505</v>
      </c>
      <c r="B93" s="146"/>
      <c r="C93" s="146"/>
      <c r="D93" s="146"/>
      <c r="E93" s="146"/>
      <c r="F93" s="146"/>
      <c r="G93" s="146"/>
      <c r="H93" s="146"/>
      <c r="I93" s="146"/>
      <c r="J93" s="146"/>
      <c r="K93" s="146"/>
      <c r="L93" s="146"/>
      <c r="M93" s="146"/>
    </row>
    <row r="95" spans="1:13">
      <c r="A95" s="73" t="s">
        <v>528</v>
      </c>
    </row>
    <row r="96" spans="1:13">
      <c r="A96" s="73" t="s">
        <v>525</v>
      </c>
    </row>
    <row r="97" spans="1:1">
      <c r="A97" t="s">
        <v>526</v>
      </c>
    </row>
    <row r="107" spans="1:1">
      <c r="A107" s="73" t="s">
        <v>527</v>
      </c>
    </row>
    <row r="110" spans="1:1">
      <c r="A110" s="73" t="s">
        <v>530</v>
      </c>
    </row>
    <row r="111" spans="1:1">
      <c r="A111" t="s">
        <v>529</v>
      </c>
    </row>
    <row r="112" spans="1:1">
      <c r="A112" t="s">
        <v>531</v>
      </c>
    </row>
    <row r="130" spans="1:13">
      <c r="A130" s="73" t="s">
        <v>535</v>
      </c>
    </row>
    <row r="131" spans="1:13">
      <c r="A131" s="73"/>
    </row>
    <row r="133" spans="1:13">
      <c r="A133" s="146" t="s">
        <v>564</v>
      </c>
      <c r="B133" s="146"/>
      <c r="C133" s="146"/>
      <c r="D133" s="146"/>
      <c r="E133" s="146"/>
      <c r="F133" s="146"/>
      <c r="G133" s="146"/>
      <c r="H133" s="146"/>
      <c r="I133" s="146"/>
      <c r="J133" s="146"/>
      <c r="K133" s="146"/>
      <c r="L133" s="146"/>
      <c r="M133" s="146"/>
    </row>
    <row r="134" spans="1:13">
      <c r="A134" s="73" t="s">
        <v>572</v>
      </c>
    </row>
    <row r="135" spans="1:13">
      <c r="A135" t="s">
        <v>571</v>
      </c>
    </row>
    <row r="136" spans="1:13">
      <c r="A136" t="s">
        <v>570</v>
      </c>
    </row>
    <row r="137" spans="1:13">
      <c r="A137" t="s">
        <v>573</v>
      </c>
    </row>
    <row r="139" spans="1:13">
      <c r="A139" s="73" t="s">
        <v>569</v>
      </c>
    </row>
    <row r="142" spans="1:13">
      <c r="A142" s="146" t="s">
        <v>574</v>
      </c>
      <c r="B142" s="146"/>
      <c r="C142" s="146"/>
      <c r="D142" s="146"/>
      <c r="E142" s="146"/>
      <c r="F142" s="146"/>
      <c r="G142" s="146"/>
      <c r="H142" s="146"/>
      <c r="I142" s="146"/>
      <c r="J142" s="146"/>
      <c r="K142" s="146"/>
      <c r="L142" s="146"/>
      <c r="M142" s="146"/>
    </row>
    <row r="143" spans="1:13">
      <c r="A143" s="73" t="s">
        <v>414</v>
      </c>
    </row>
    <row r="144" spans="1:13">
      <c r="A144" t="s">
        <v>623</v>
      </c>
    </row>
    <row r="147" spans="1:13">
      <c r="A147" s="146" t="s">
        <v>726</v>
      </c>
      <c r="B147" s="146"/>
      <c r="C147" s="146"/>
      <c r="D147" s="146"/>
      <c r="E147" s="146"/>
      <c r="F147" s="146"/>
      <c r="G147" s="146"/>
      <c r="H147" s="146"/>
      <c r="I147" s="146"/>
      <c r="J147" s="146"/>
      <c r="K147" s="146"/>
      <c r="L147" s="146"/>
      <c r="M147" s="146"/>
    </row>
    <row r="148" spans="1:13">
      <c r="A148" s="73" t="s">
        <v>741</v>
      </c>
    </row>
    <row r="149" spans="1:13">
      <c r="A149" t="s">
        <v>735</v>
      </c>
    </row>
    <row r="150" spans="1:13">
      <c r="A150" t="s">
        <v>731</v>
      </c>
    </row>
    <row r="151" spans="1:13">
      <c r="A151" t="s">
        <v>732</v>
      </c>
    </row>
    <row r="152" spans="1:13">
      <c r="A152" t="s">
        <v>733</v>
      </c>
    </row>
    <row r="153" spans="1:13">
      <c r="A153" t="s">
        <v>734</v>
      </c>
    </row>
    <row r="155" spans="1:13">
      <c r="A155" s="73" t="s">
        <v>727</v>
      </c>
    </row>
    <row r="156" spans="1:13">
      <c r="A156" t="s">
        <v>728</v>
      </c>
    </row>
    <row r="158" spans="1:13">
      <c r="A158" s="73" t="s">
        <v>729</v>
      </c>
    </row>
    <row r="159" spans="1:13">
      <c r="A159" t="s">
        <v>730</v>
      </c>
    </row>
    <row r="162" spans="1:17">
      <c r="A162" s="146" t="s">
        <v>736</v>
      </c>
      <c r="B162" s="146"/>
      <c r="C162" s="146"/>
      <c r="D162" s="146"/>
      <c r="E162" s="146"/>
      <c r="F162" s="146"/>
      <c r="G162" s="146"/>
      <c r="H162" s="146"/>
      <c r="I162" s="146"/>
      <c r="J162" s="146"/>
      <c r="K162" s="146"/>
      <c r="L162" s="146"/>
      <c r="M162" s="146"/>
    </row>
    <row r="163" spans="1:17">
      <c r="A163" s="73" t="s">
        <v>737</v>
      </c>
    </row>
    <row r="164" spans="1:17">
      <c r="A164" s="61" t="s">
        <v>742</v>
      </c>
    </row>
    <row r="165" spans="1:17">
      <c r="A165" t="s">
        <v>704</v>
      </c>
    </row>
    <row r="166" spans="1:17">
      <c r="A166" t="s">
        <v>705</v>
      </c>
    </row>
    <row r="167" spans="1:17">
      <c r="A167" t="s">
        <v>706</v>
      </c>
    </row>
    <row r="168" spans="1:17">
      <c r="A168" t="s">
        <v>707</v>
      </c>
    </row>
    <row r="170" spans="1:17">
      <c r="A170" s="73" t="s">
        <v>740</v>
      </c>
    </row>
    <row r="171" spans="1:17">
      <c r="A171" t="s">
        <v>739</v>
      </c>
    </row>
    <row r="172" spans="1:17">
      <c r="A172" t="s">
        <v>738</v>
      </c>
    </row>
    <row r="175" spans="1:17">
      <c r="A175" s="146" t="s">
        <v>712</v>
      </c>
      <c r="B175" s="146"/>
      <c r="C175" s="146"/>
      <c r="D175" s="146"/>
      <c r="E175" s="146"/>
      <c r="F175" s="146"/>
      <c r="G175" s="146"/>
      <c r="H175" s="146"/>
      <c r="I175" s="146"/>
      <c r="J175" s="146"/>
      <c r="K175" s="146"/>
      <c r="L175" s="146"/>
      <c r="M175" s="146"/>
      <c r="N175" s="256"/>
      <c r="O175" s="750" t="s">
        <v>759</v>
      </c>
      <c r="P175" s="750"/>
      <c r="Q175" s="750"/>
    </row>
    <row r="176" spans="1:17">
      <c r="A176" s="254" t="s">
        <v>727</v>
      </c>
      <c r="B176" s="253"/>
      <c r="C176" s="253"/>
      <c r="D176" s="253"/>
      <c r="E176" s="253"/>
      <c r="F176" s="253"/>
      <c r="G176" s="253"/>
      <c r="H176" s="253"/>
      <c r="I176" s="253"/>
      <c r="J176" s="253"/>
      <c r="K176" s="253"/>
      <c r="L176" s="253"/>
      <c r="M176" s="253"/>
      <c r="N176" s="253"/>
      <c r="O176" s="253"/>
      <c r="P176" s="253"/>
      <c r="Q176" s="253"/>
    </row>
    <row r="177" spans="1:17">
      <c r="A177" s="252" t="s">
        <v>743</v>
      </c>
      <c r="B177" s="252"/>
      <c r="C177" s="252"/>
      <c r="D177" s="252"/>
      <c r="E177" s="252"/>
      <c r="F177" s="252"/>
      <c r="G177" s="252"/>
      <c r="H177" s="252"/>
      <c r="I177" s="252"/>
      <c r="J177" s="252"/>
      <c r="K177" s="252"/>
      <c r="L177" s="252"/>
      <c r="M177" s="252"/>
      <c r="N177" s="252"/>
      <c r="O177" s="252" t="s">
        <v>760</v>
      </c>
      <c r="P177" s="252" t="s">
        <v>761</v>
      </c>
      <c r="Q177" s="252"/>
    </row>
    <row r="178" spans="1:17">
      <c r="A178" s="252"/>
      <c r="B178" s="252"/>
      <c r="C178" s="252"/>
      <c r="D178" s="252"/>
      <c r="E178" s="252"/>
      <c r="F178" s="252"/>
      <c r="G178" s="252"/>
      <c r="H178" s="252"/>
      <c r="I178" s="252"/>
      <c r="J178" s="252"/>
      <c r="K178" s="252"/>
      <c r="L178" s="252"/>
      <c r="M178" s="252"/>
      <c r="N178" s="252"/>
      <c r="O178" s="252"/>
      <c r="P178" s="252"/>
      <c r="Q178" s="252"/>
    </row>
    <row r="179" spans="1:17">
      <c r="A179" s="254" t="s">
        <v>744</v>
      </c>
      <c r="B179" s="253"/>
      <c r="C179" s="253"/>
      <c r="D179" s="253"/>
      <c r="E179" s="253"/>
      <c r="F179" s="253"/>
      <c r="G179" s="253"/>
      <c r="H179" s="253"/>
      <c r="I179" s="253"/>
      <c r="J179" s="253"/>
      <c r="K179" s="253"/>
      <c r="L179" s="253"/>
      <c r="M179" s="253"/>
      <c r="N179" s="253"/>
      <c r="O179" s="253"/>
      <c r="P179" s="253"/>
      <c r="Q179" s="253"/>
    </row>
    <row r="180" spans="1:17">
      <c r="A180" s="252" t="s">
        <v>745</v>
      </c>
      <c r="B180" s="252"/>
      <c r="C180" s="252"/>
      <c r="D180" s="252"/>
      <c r="E180" s="252"/>
      <c r="F180" s="252"/>
      <c r="G180" s="252"/>
      <c r="H180" s="252"/>
      <c r="I180" s="252"/>
      <c r="J180" s="252"/>
      <c r="K180" s="252"/>
      <c r="L180" s="252"/>
      <c r="M180" s="252"/>
      <c r="N180" s="252"/>
      <c r="O180" s="252" t="s">
        <v>767</v>
      </c>
      <c r="P180" s="252" t="s">
        <v>768</v>
      </c>
      <c r="Q180" s="252"/>
    </row>
    <row r="181" spans="1:17">
      <c r="A181" s="252"/>
      <c r="B181" s="252"/>
      <c r="C181" s="252"/>
      <c r="D181" s="252"/>
      <c r="E181" s="252"/>
      <c r="F181" s="252"/>
      <c r="G181" s="252"/>
      <c r="H181" s="252"/>
      <c r="I181" s="252"/>
      <c r="J181" s="252"/>
      <c r="K181" s="252"/>
      <c r="L181" s="252"/>
      <c r="M181" s="252"/>
      <c r="N181" s="252"/>
      <c r="O181" s="252"/>
      <c r="P181" s="252"/>
      <c r="Q181" s="252"/>
    </row>
    <row r="182" spans="1:17">
      <c r="A182" s="252" t="s">
        <v>746</v>
      </c>
      <c r="B182" s="252"/>
      <c r="C182" s="252"/>
      <c r="D182" s="252"/>
      <c r="E182" s="252"/>
      <c r="F182" s="252"/>
      <c r="G182" s="252"/>
      <c r="H182" s="252"/>
      <c r="I182" s="252"/>
      <c r="J182" s="252"/>
      <c r="K182" s="252"/>
      <c r="L182" s="252"/>
      <c r="M182" s="252"/>
      <c r="N182" s="252"/>
      <c r="O182" s="252" t="s">
        <v>760</v>
      </c>
      <c r="P182" s="252" t="s">
        <v>761</v>
      </c>
      <c r="Q182" s="252"/>
    </row>
    <row r="183" spans="1:17">
      <c r="A183" s="252"/>
      <c r="B183" s="252"/>
      <c r="C183" s="252"/>
      <c r="D183" s="252"/>
      <c r="E183" s="252"/>
      <c r="F183" s="252"/>
      <c r="G183" s="252"/>
      <c r="H183" s="252"/>
      <c r="I183" s="252"/>
      <c r="J183" s="252"/>
      <c r="K183" s="252"/>
      <c r="L183" s="252"/>
      <c r="M183" s="252"/>
      <c r="N183" s="252"/>
      <c r="O183" s="252"/>
      <c r="P183" s="252"/>
      <c r="Q183" s="252"/>
    </row>
    <row r="184" spans="1:17">
      <c r="A184" s="255" t="s">
        <v>749</v>
      </c>
      <c r="B184" s="253"/>
      <c r="C184" s="253"/>
      <c r="D184" s="253"/>
      <c r="E184" s="253"/>
      <c r="F184" s="253"/>
      <c r="G184" s="253"/>
      <c r="H184" s="253"/>
      <c r="I184" s="253"/>
      <c r="J184" s="253"/>
      <c r="K184" s="253"/>
      <c r="L184" s="253"/>
      <c r="M184" s="253"/>
      <c r="N184" s="253"/>
      <c r="O184" s="253"/>
      <c r="P184" s="253"/>
      <c r="Q184" s="253"/>
    </row>
    <row r="185" spans="1:17">
      <c r="A185" s="252" t="s">
        <v>752</v>
      </c>
      <c r="B185" s="252"/>
      <c r="C185" s="252"/>
      <c r="D185" s="252"/>
      <c r="E185" s="252"/>
      <c r="F185" s="252"/>
      <c r="G185" s="252"/>
      <c r="H185" s="252"/>
      <c r="I185" s="252"/>
      <c r="J185" s="252"/>
      <c r="K185" s="252"/>
      <c r="L185" s="252"/>
      <c r="M185" s="252"/>
      <c r="N185" s="252"/>
      <c r="O185" s="252" t="s">
        <v>762</v>
      </c>
      <c r="P185" s="252" t="s">
        <v>763</v>
      </c>
      <c r="Q185" s="252"/>
    </row>
    <row r="186" spans="1:17">
      <c r="A186" s="252" t="s">
        <v>753</v>
      </c>
      <c r="B186" s="252"/>
      <c r="C186" s="252"/>
      <c r="D186" s="252"/>
      <c r="E186" s="252"/>
      <c r="F186" s="252"/>
      <c r="G186" s="252"/>
      <c r="H186" s="252"/>
      <c r="I186" s="252"/>
      <c r="J186" s="252"/>
      <c r="K186" s="252"/>
      <c r="L186" s="252"/>
      <c r="M186" s="252"/>
      <c r="N186" s="252"/>
      <c r="O186" s="252"/>
      <c r="P186" s="252"/>
      <c r="Q186" s="252"/>
    </row>
    <row r="187" spans="1:17">
      <c r="A187" s="252" t="s">
        <v>754</v>
      </c>
      <c r="B187" s="252"/>
      <c r="C187" s="252"/>
      <c r="D187" s="252"/>
      <c r="E187" s="252"/>
      <c r="F187" s="252"/>
      <c r="G187" s="252"/>
      <c r="H187" s="252"/>
      <c r="I187" s="252"/>
      <c r="J187" s="252"/>
      <c r="K187" s="252"/>
      <c r="L187" s="252"/>
      <c r="M187" s="252"/>
      <c r="N187" s="252"/>
      <c r="O187" s="252"/>
      <c r="P187" s="252"/>
      <c r="Q187" s="252"/>
    </row>
    <row r="188" spans="1:17">
      <c r="A188" s="252" t="s">
        <v>755</v>
      </c>
      <c r="B188" s="252"/>
      <c r="C188" s="252"/>
      <c r="D188" s="252"/>
      <c r="E188" s="252"/>
      <c r="F188" s="252"/>
      <c r="G188" s="252"/>
      <c r="H188" s="252"/>
      <c r="I188" s="252"/>
      <c r="J188" s="252"/>
      <c r="K188" s="252"/>
      <c r="L188" s="252"/>
      <c r="M188" s="252"/>
      <c r="N188" s="252"/>
      <c r="O188" s="252"/>
      <c r="P188" s="252"/>
      <c r="Q188" s="252"/>
    </row>
    <row r="189" spans="1:17">
      <c r="A189" s="252"/>
      <c r="B189" s="252"/>
      <c r="C189" s="252"/>
      <c r="D189" s="252"/>
      <c r="E189" s="252"/>
      <c r="F189" s="252"/>
      <c r="G189" s="252"/>
      <c r="H189" s="252"/>
      <c r="I189" s="252"/>
      <c r="J189" s="252"/>
      <c r="K189" s="252"/>
      <c r="L189" s="252"/>
      <c r="M189" s="252"/>
      <c r="N189" s="252"/>
      <c r="O189" s="252"/>
      <c r="P189" s="252"/>
      <c r="Q189" s="252"/>
    </row>
    <row r="190" spans="1:17">
      <c r="A190" s="254" t="s">
        <v>756</v>
      </c>
      <c r="B190" s="253"/>
      <c r="C190" s="253"/>
      <c r="D190" s="253"/>
      <c r="E190" s="253"/>
      <c r="F190" s="253"/>
      <c r="G190" s="253"/>
      <c r="H190" s="253"/>
      <c r="I190" s="253"/>
      <c r="J190" s="253"/>
      <c r="K190" s="253"/>
      <c r="L190" s="253"/>
      <c r="M190" s="253"/>
      <c r="N190" s="253"/>
      <c r="O190" s="253"/>
      <c r="P190" s="253"/>
      <c r="Q190" s="253"/>
    </row>
    <row r="191" spans="1:17">
      <c r="A191" s="252" t="s">
        <v>747</v>
      </c>
      <c r="B191" s="252"/>
      <c r="C191" s="252"/>
      <c r="D191" s="252"/>
      <c r="E191" s="252"/>
      <c r="F191" s="252"/>
      <c r="G191" s="252"/>
      <c r="H191" s="252"/>
      <c r="I191" s="252"/>
      <c r="J191" s="252"/>
      <c r="K191" s="252"/>
      <c r="L191" s="252"/>
      <c r="M191" s="252"/>
      <c r="N191" s="252"/>
      <c r="O191" s="252" t="s">
        <v>762</v>
      </c>
      <c r="P191" s="252" t="s">
        <v>763</v>
      </c>
      <c r="Q191" s="252"/>
    </row>
    <row r="192" spans="1:17">
      <c r="A192" s="252" t="s">
        <v>758</v>
      </c>
      <c r="B192" s="252"/>
      <c r="C192" s="252"/>
      <c r="D192" s="252"/>
      <c r="E192" s="252"/>
      <c r="F192" s="252"/>
      <c r="G192" s="252"/>
      <c r="H192" s="252"/>
      <c r="I192" s="252"/>
      <c r="J192" s="252"/>
      <c r="K192" s="252"/>
      <c r="L192" s="252"/>
      <c r="M192" s="252"/>
      <c r="N192" s="252"/>
      <c r="O192" s="252"/>
      <c r="P192" s="252"/>
      <c r="Q192" s="252"/>
    </row>
    <row r="193" spans="1:17">
      <c r="A193" s="252" t="s">
        <v>766</v>
      </c>
      <c r="B193" s="252"/>
      <c r="C193" s="252"/>
      <c r="D193" s="252"/>
      <c r="E193" s="252"/>
      <c r="F193" s="252"/>
      <c r="G193" s="252"/>
      <c r="H193" s="252"/>
      <c r="I193" s="252"/>
      <c r="J193" s="252"/>
      <c r="K193" s="252"/>
      <c r="L193" s="252"/>
      <c r="M193" s="252"/>
      <c r="N193" s="252"/>
      <c r="O193" s="252"/>
      <c r="P193" s="252"/>
      <c r="Q193" s="252"/>
    </row>
    <row r="194" spans="1:17">
      <c r="A194" s="252"/>
      <c r="B194" s="252"/>
      <c r="C194" s="252"/>
      <c r="D194" s="252"/>
      <c r="E194" s="252"/>
      <c r="F194" s="252"/>
      <c r="G194" s="252"/>
      <c r="H194" s="252"/>
      <c r="I194" s="252"/>
      <c r="J194" s="252"/>
      <c r="K194" s="252"/>
      <c r="L194" s="252"/>
      <c r="M194" s="252"/>
      <c r="N194" s="252"/>
      <c r="O194" s="252"/>
      <c r="P194" s="252"/>
      <c r="Q194" s="252"/>
    </row>
    <row r="195" spans="1:17">
      <c r="A195" s="252" t="s">
        <v>748</v>
      </c>
      <c r="B195" s="252"/>
      <c r="C195" s="252"/>
      <c r="D195" s="252"/>
      <c r="E195" s="252"/>
      <c r="F195" s="252"/>
      <c r="G195" s="252"/>
      <c r="H195" s="252"/>
      <c r="I195" s="252"/>
      <c r="J195" s="252"/>
      <c r="K195" s="252"/>
      <c r="L195" s="252"/>
      <c r="M195" s="252"/>
      <c r="N195" s="252"/>
      <c r="O195" s="252" t="s">
        <v>764</v>
      </c>
      <c r="P195" s="252" t="s">
        <v>765</v>
      </c>
      <c r="Q195" s="252"/>
    </row>
    <row r="196" spans="1:17">
      <c r="A196" s="252"/>
      <c r="B196" s="252"/>
      <c r="C196" s="252"/>
      <c r="D196" s="252"/>
      <c r="E196" s="252"/>
      <c r="F196" s="252"/>
      <c r="G196" s="252"/>
      <c r="H196" s="252"/>
      <c r="I196" s="252"/>
      <c r="J196" s="252"/>
      <c r="K196" s="252"/>
      <c r="L196" s="252"/>
      <c r="M196" s="252"/>
      <c r="N196" s="252"/>
      <c r="O196" s="252"/>
      <c r="P196" s="252"/>
      <c r="Q196" s="252"/>
    </row>
    <row r="197" spans="1:17">
      <c r="A197" s="254" t="s">
        <v>757</v>
      </c>
      <c r="B197" s="253"/>
      <c r="C197" s="253"/>
      <c r="D197" s="253"/>
      <c r="E197" s="253"/>
      <c r="F197" s="253"/>
      <c r="G197" s="253"/>
      <c r="H197" s="253"/>
      <c r="I197" s="253"/>
      <c r="J197" s="253"/>
      <c r="K197" s="253"/>
      <c r="L197" s="253"/>
      <c r="M197" s="253"/>
      <c r="N197" s="253"/>
      <c r="O197" s="253"/>
      <c r="P197" s="253"/>
      <c r="Q197" s="253"/>
    </row>
    <row r="198" spans="1:17">
      <c r="A198" s="252" t="s">
        <v>750</v>
      </c>
      <c r="B198" s="252"/>
      <c r="C198" s="252"/>
      <c r="D198" s="252"/>
      <c r="E198" s="252"/>
      <c r="F198" s="252"/>
      <c r="G198" s="252"/>
      <c r="H198" s="252"/>
      <c r="I198" s="252"/>
      <c r="J198" s="252"/>
      <c r="K198" s="252"/>
      <c r="L198" s="252"/>
      <c r="M198" s="252"/>
      <c r="N198" s="252"/>
      <c r="O198" s="252"/>
      <c r="P198" s="252"/>
      <c r="Q198" s="252"/>
    </row>
    <row r="199" spans="1:17">
      <c r="A199" s="252" t="s">
        <v>751</v>
      </c>
      <c r="B199" s="252"/>
      <c r="C199" s="252"/>
      <c r="D199" s="252"/>
      <c r="E199" s="252"/>
      <c r="F199" s="252"/>
      <c r="G199" s="252"/>
      <c r="H199" s="252"/>
      <c r="I199" s="252"/>
      <c r="J199" s="252"/>
      <c r="K199" s="252"/>
      <c r="L199" s="252"/>
      <c r="M199" s="252"/>
      <c r="N199" s="252"/>
      <c r="O199" s="252" t="s">
        <v>424</v>
      </c>
      <c r="P199" s="252"/>
      <c r="Q199" s="252"/>
    </row>
    <row r="202" spans="1:17">
      <c r="A202" s="146" t="s">
        <v>769</v>
      </c>
      <c r="B202" s="146"/>
      <c r="C202" s="146"/>
      <c r="D202" s="146"/>
      <c r="E202" s="146"/>
      <c r="F202" s="146"/>
      <c r="G202" s="146"/>
      <c r="H202" s="146"/>
      <c r="I202" s="146"/>
      <c r="J202" s="146"/>
      <c r="K202" s="146"/>
      <c r="L202" s="146"/>
      <c r="M202" s="146"/>
      <c r="N202" s="256"/>
      <c r="O202" s="750" t="s">
        <v>759</v>
      </c>
      <c r="P202" s="750"/>
      <c r="Q202" s="750"/>
    </row>
    <row r="203" spans="1:17">
      <c r="A203" s="254" t="s">
        <v>770</v>
      </c>
      <c r="B203" s="253"/>
      <c r="C203" s="253"/>
      <c r="D203" s="253"/>
      <c r="E203" s="253"/>
      <c r="F203" s="253"/>
      <c r="G203" s="253"/>
      <c r="H203" s="253"/>
      <c r="I203" s="253"/>
      <c r="J203" s="253"/>
      <c r="K203" s="253"/>
      <c r="L203" s="253"/>
      <c r="M203" s="253"/>
      <c r="N203" s="253"/>
      <c r="O203" s="253"/>
      <c r="P203" s="253"/>
      <c r="Q203" s="253"/>
    </row>
    <row r="204" spans="1:17">
      <c r="A204" s="252" t="s">
        <v>771</v>
      </c>
      <c r="B204" s="252"/>
      <c r="C204" s="252"/>
      <c r="D204" s="252"/>
      <c r="E204" s="252"/>
      <c r="F204" s="252"/>
      <c r="G204" s="252"/>
      <c r="H204" s="252"/>
      <c r="I204" s="252"/>
      <c r="J204" s="252"/>
      <c r="K204" s="252"/>
      <c r="L204" s="252"/>
      <c r="M204" s="252"/>
      <c r="N204" s="252"/>
      <c r="O204" s="252"/>
      <c r="P204" s="252"/>
      <c r="Q204" s="252"/>
    </row>
    <row r="205" spans="1:17">
      <c r="A205" s="252" t="s">
        <v>772</v>
      </c>
      <c r="B205" s="252"/>
      <c r="C205" s="252"/>
      <c r="D205" s="252"/>
      <c r="E205" s="252"/>
      <c r="F205" s="252"/>
      <c r="G205" s="252"/>
      <c r="H205" s="252"/>
      <c r="I205" s="252"/>
      <c r="J205" s="252"/>
      <c r="K205" s="252"/>
      <c r="L205" s="252"/>
      <c r="M205" s="252"/>
      <c r="N205" s="252"/>
      <c r="O205" s="252"/>
      <c r="P205" s="252"/>
      <c r="Q205" s="252"/>
    </row>
    <row r="206" spans="1:17">
      <c r="A206" s="252" t="s">
        <v>773</v>
      </c>
      <c r="B206" s="252"/>
      <c r="C206" s="252"/>
      <c r="D206" s="252"/>
      <c r="E206" s="252"/>
      <c r="F206" s="252"/>
      <c r="G206" s="252"/>
      <c r="H206" s="252"/>
      <c r="I206" s="252"/>
      <c r="J206" s="252"/>
      <c r="K206" s="252"/>
      <c r="L206" s="252"/>
      <c r="M206" s="252"/>
      <c r="N206" s="252"/>
      <c r="O206" s="252"/>
      <c r="P206" s="252"/>
      <c r="Q206" s="252"/>
    </row>
    <row r="207" spans="1:17">
      <c r="A207" s="252"/>
      <c r="B207" s="252"/>
      <c r="C207" s="252"/>
      <c r="D207" s="252"/>
      <c r="E207" s="252"/>
      <c r="F207" s="252"/>
      <c r="G207" s="252"/>
      <c r="H207" s="252"/>
      <c r="I207" s="252"/>
      <c r="J207" s="252"/>
      <c r="K207" s="252"/>
      <c r="L207" s="252"/>
      <c r="M207" s="252"/>
      <c r="N207" s="252"/>
      <c r="O207" s="252"/>
      <c r="P207" s="252"/>
      <c r="Q207" s="252"/>
    </row>
    <row r="208" spans="1:17">
      <c r="A208" s="254" t="s">
        <v>774</v>
      </c>
      <c r="B208" s="253"/>
      <c r="C208" s="253"/>
      <c r="D208" s="253"/>
      <c r="E208" s="253"/>
      <c r="F208" s="253"/>
      <c r="G208" s="253"/>
      <c r="H208" s="253"/>
      <c r="I208" s="253"/>
      <c r="J208" s="253"/>
      <c r="K208" s="253"/>
      <c r="L208" s="253"/>
      <c r="M208" s="253"/>
      <c r="N208" s="253"/>
      <c r="O208" s="253"/>
      <c r="P208" s="253"/>
      <c r="Q208" s="253"/>
    </row>
    <row r="209" spans="1:17">
      <c r="A209" s="252" t="s">
        <v>818</v>
      </c>
      <c r="B209" s="252"/>
      <c r="C209" s="252"/>
      <c r="D209" s="252"/>
      <c r="E209" s="252"/>
      <c r="F209" s="252"/>
      <c r="G209" s="252"/>
      <c r="H209" s="252"/>
      <c r="I209" s="252"/>
      <c r="J209" s="252"/>
      <c r="K209" s="252"/>
      <c r="L209" s="252"/>
      <c r="M209" s="252"/>
      <c r="N209" s="252"/>
      <c r="O209" s="252" t="s">
        <v>762</v>
      </c>
      <c r="P209" s="252" t="s">
        <v>763</v>
      </c>
      <c r="Q209" s="252"/>
    </row>
    <row r="210" spans="1:17">
      <c r="A210" s="252" t="s">
        <v>819</v>
      </c>
      <c r="B210" s="252"/>
      <c r="C210" s="252"/>
      <c r="D210" s="252"/>
      <c r="E210" s="252"/>
      <c r="F210" s="252"/>
      <c r="G210" s="252"/>
      <c r="H210" s="252"/>
      <c r="I210" s="252"/>
      <c r="J210" s="252"/>
      <c r="K210" s="252"/>
      <c r="L210" s="252"/>
      <c r="M210" s="252"/>
      <c r="N210" s="252"/>
      <c r="O210" s="252" t="s">
        <v>762</v>
      </c>
      <c r="P210" s="252" t="s">
        <v>763</v>
      </c>
      <c r="Q210" s="252"/>
    </row>
    <row r="211" spans="1:17">
      <c r="A211" s="252"/>
      <c r="B211" s="252"/>
      <c r="C211" s="252"/>
      <c r="D211" s="252"/>
      <c r="E211" s="252"/>
      <c r="F211" s="252"/>
      <c r="G211" s="252"/>
      <c r="H211" s="252"/>
      <c r="I211" s="252"/>
      <c r="J211" s="252"/>
      <c r="K211" s="252"/>
      <c r="L211" s="252"/>
      <c r="M211" s="252"/>
      <c r="N211" s="252"/>
      <c r="O211" s="252"/>
      <c r="P211" s="252"/>
      <c r="Q211" s="252"/>
    </row>
    <row r="212" spans="1:17">
      <c r="A212" s="254" t="s">
        <v>781</v>
      </c>
      <c r="B212" s="254"/>
      <c r="C212" s="254"/>
      <c r="D212" s="254"/>
      <c r="E212" s="254"/>
      <c r="F212" s="254"/>
      <c r="G212" s="254"/>
      <c r="H212" s="254"/>
      <c r="I212" s="254"/>
      <c r="J212" s="254"/>
      <c r="K212" s="254"/>
      <c r="L212" s="254"/>
      <c r="M212" s="254"/>
      <c r="N212" s="254"/>
      <c r="O212" s="254"/>
      <c r="P212" s="254"/>
      <c r="Q212" s="254"/>
    </row>
    <row r="213" spans="1:17">
      <c r="A213" s="252" t="s">
        <v>782</v>
      </c>
      <c r="B213" s="252"/>
      <c r="C213" s="252"/>
      <c r="D213" s="252"/>
      <c r="E213" s="252"/>
      <c r="F213" s="252"/>
      <c r="G213" s="252"/>
      <c r="H213" s="252"/>
      <c r="I213" s="252"/>
      <c r="J213" s="252"/>
      <c r="K213" s="252"/>
      <c r="L213" s="252"/>
      <c r="M213" s="252"/>
      <c r="N213" s="252"/>
      <c r="O213" s="252" t="s">
        <v>762</v>
      </c>
      <c r="P213" s="252" t="s">
        <v>763</v>
      </c>
      <c r="Q213" s="252"/>
    </row>
    <row r="214" spans="1:17">
      <c r="A214" s="252"/>
      <c r="B214" s="252"/>
      <c r="C214" s="252"/>
      <c r="D214" s="252"/>
      <c r="E214" s="252"/>
      <c r="F214" s="252"/>
      <c r="G214" s="252"/>
      <c r="H214" s="252"/>
      <c r="I214" s="252"/>
      <c r="J214" s="252"/>
      <c r="K214" s="252"/>
      <c r="L214" s="252"/>
      <c r="M214" s="252"/>
      <c r="N214" s="252"/>
      <c r="O214" s="252"/>
      <c r="P214" s="252"/>
      <c r="Q214" s="252"/>
    </row>
    <row r="217" spans="1:17">
      <c r="A217" s="146" t="s">
        <v>791</v>
      </c>
      <c r="B217" s="146"/>
      <c r="C217" s="146"/>
      <c r="D217" s="146"/>
      <c r="E217" s="146"/>
      <c r="F217" s="146"/>
      <c r="G217" s="146"/>
      <c r="H217" s="146"/>
      <c r="I217" s="146"/>
      <c r="J217" s="146"/>
      <c r="K217" s="146"/>
      <c r="L217" s="146"/>
      <c r="M217" s="146"/>
      <c r="N217" s="256"/>
      <c r="O217" s="750" t="s">
        <v>759</v>
      </c>
      <c r="P217" s="750"/>
      <c r="Q217" s="750"/>
    </row>
    <row r="218" spans="1:17">
      <c r="A218" s="254" t="s">
        <v>757</v>
      </c>
      <c r="B218" s="253"/>
      <c r="C218" s="253"/>
      <c r="D218" s="253"/>
      <c r="E218" s="253"/>
      <c r="F218" s="253"/>
      <c r="G218" s="253"/>
      <c r="H218" s="253"/>
      <c r="I218" s="253"/>
      <c r="J218" s="253"/>
      <c r="K218" s="253"/>
      <c r="L218" s="253"/>
      <c r="M218" s="253"/>
      <c r="N218" s="253"/>
      <c r="O218" s="253"/>
      <c r="P218" s="253"/>
      <c r="Q218" s="253"/>
    </row>
    <row r="219" spans="1:17">
      <c r="A219" s="252" t="s">
        <v>792</v>
      </c>
      <c r="B219" s="252"/>
      <c r="C219" s="252"/>
      <c r="D219" s="252"/>
      <c r="E219" s="252"/>
      <c r="F219" s="252"/>
      <c r="G219" s="252"/>
      <c r="H219" s="252"/>
      <c r="I219" s="252"/>
      <c r="J219" s="252"/>
      <c r="K219" s="252"/>
      <c r="L219" s="252"/>
      <c r="M219" s="252"/>
      <c r="N219" s="252"/>
      <c r="O219" s="252"/>
      <c r="P219" s="252"/>
      <c r="Q219" s="252"/>
    </row>
    <row r="220" spans="1:17">
      <c r="A220" s="252" t="s">
        <v>793</v>
      </c>
      <c r="B220" s="252"/>
      <c r="C220" s="252"/>
      <c r="D220" s="252"/>
      <c r="E220" s="252"/>
      <c r="F220" s="252"/>
      <c r="G220" s="252"/>
      <c r="H220" s="252"/>
      <c r="I220" s="252"/>
      <c r="J220" s="252"/>
      <c r="K220" s="252"/>
      <c r="L220" s="252"/>
      <c r="M220" s="252"/>
      <c r="N220" s="252"/>
      <c r="O220" s="252" t="s">
        <v>762</v>
      </c>
      <c r="P220" s="252" t="s">
        <v>763</v>
      </c>
      <c r="Q220" s="252"/>
    </row>
    <row r="221" spans="1:17">
      <c r="A221" s="252" t="s">
        <v>794</v>
      </c>
      <c r="B221" s="252"/>
      <c r="C221" s="252"/>
      <c r="D221" s="252"/>
      <c r="E221" s="252"/>
      <c r="F221" s="252"/>
      <c r="G221" s="252"/>
      <c r="H221" s="252"/>
      <c r="I221" s="252"/>
      <c r="J221" s="252"/>
      <c r="K221" s="252"/>
      <c r="L221" s="252"/>
      <c r="M221" s="252"/>
      <c r="N221" s="252"/>
      <c r="O221" s="252" t="s">
        <v>762</v>
      </c>
      <c r="P221" s="252" t="s">
        <v>763</v>
      </c>
      <c r="Q221" s="252"/>
    </row>
    <row r="222" spans="1:17">
      <c r="A222" s="252"/>
      <c r="B222" s="252"/>
      <c r="C222" s="252"/>
      <c r="D222" s="252"/>
      <c r="E222" s="252"/>
      <c r="F222" s="252"/>
      <c r="G222" s="252"/>
      <c r="H222" s="252"/>
      <c r="I222" s="252"/>
      <c r="J222" s="252"/>
      <c r="K222" s="252"/>
      <c r="L222" s="252"/>
      <c r="M222" s="252"/>
      <c r="N222" s="252"/>
      <c r="O222" s="252"/>
      <c r="P222" s="252"/>
      <c r="Q222" s="252"/>
    </row>
    <row r="223" spans="1:17">
      <c r="A223" s="252" t="s">
        <v>795</v>
      </c>
      <c r="B223" s="252"/>
      <c r="C223" s="252"/>
      <c r="D223" s="252"/>
      <c r="E223" s="252"/>
      <c r="F223" s="252"/>
      <c r="G223" s="252"/>
      <c r="H223" s="252"/>
      <c r="I223" s="252"/>
      <c r="J223" s="252"/>
      <c r="K223" s="252"/>
      <c r="L223" s="252"/>
      <c r="M223" s="252"/>
      <c r="N223" s="252"/>
      <c r="O223" s="252"/>
      <c r="P223" s="252"/>
      <c r="Q223" s="252"/>
    </row>
    <row r="224" spans="1:17">
      <c r="A224" s="252" t="s">
        <v>796</v>
      </c>
      <c r="B224" s="252"/>
      <c r="C224" s="252"/>
      <c r="D224" s="252"/>
      <c r="E224" s="252"/>
      <c r="F224" s="252"/>
      <c r="G224" s="252"/>
      <c r="H224" s="252"/>
      <c r="I224" s="252"/>
      <c r="J224" s="252"/>
      <c r="K224" s="252"/>
      <c r="L224" s="252"/>
      <c r="M224" s="252"/>
      <c r="N224" s="252"/>
      <c r="O224" s="252" t="s">
        <v>797</v>
      </c>
      <c r="P224" s="252" t="s">
        <v>798</v>
      </c>
      <c r="Q224" s="252"/>
    </row>
    <row r="225" spans="1:17">
      <c r="A225" s="252" t="s">
        <v>799</v>
      </c>
      <c r="B225" s="252"/>
      <c r="C225" s="252"/>
      <c r="D225" s="252"/>
      <c r="E225" s="252"/>
      <c r="F225" s="252"/>
      <c r="G225" s="252"/>
      <c r="H225" s="252"/>
      <c r="I225" s="252"/>
      <c r="J225" s="252"/>
      <c r="K225" s="252"/>
      <c r="L225" s="252"/>
      <c r="M225" s="252"/>
      <c r="N225" s="252"/>
      <c r="O225" s="252" t="s">
        <v>797</v>
      </c>
      <c r="P225" s="252" t="s">
        <v>798</v>
      </c>
      <c r="Q225" s="252"/>
    </row>
    <row r="226" spans="1:17">
      <c r="A226" s="252"/>
      <c r="B226" s="252"/>
      <c r="C226" s="252"/>
      <c r="D226" s="252"/>
      <c r="E226" s="252"/>
      <c r="F226" s="252"/>
      <c r="G226" s="252"/>
      <c r="H226" s="252"/>
      <c r="I226" s="252"/>
      <c r="J226" s="252"/>
      <c r="K226" s="252"/>
      <c r="L226" s="252"/>
      <c r="M226" s="252"/>
      <c r="N226" s="252"/>
      <c r="O226" s="252"/>
      <c r="P226" s="252"/>
      <c r="Q226" s="252"/>
    </row>
    <row r="227" spans="1:17">
      <c r="A227" s="252" t="s">
        <v>800</v>
      </c>
      <c r="B227" s="252"/>
      <c r="C227" s="252"/>
      <c r="D227" s="252"/>
      <c r="E227" s="252"/>
      <c r="F227" s="252"/>
      <c r="G227" s="252"/>
      <c r="H227" s="252"/>
      <c r="I227" s="252"/>
      <c r="J227" s="252"/>
      <c r="K227" s="252"/>
      <c r="L227" s="252"/>
      <c r="M227" s="252"/>
      <c r="N227" s="252"/>
      <c r="O227" s="252"/>
      <c r="P227" s="252"/>
      <c r="Q227" s="252"/>
    </row>
    <row r="228" spans="1:17">
      <c r="A228" s="252"/>
      <c r="B228" s="252"/>
      <c r="C228" s="252"/>
      <c r="D228" s="252"/>
      <c r="E228" s="252"/>
      <c r="F228" s="252"/>
      <c r="G228" s="252"/>
      <c r="H228" s="252"/>
      <c r="I228" s="252"/>
      <c r="J228" s="252"/>
      <c r="K228" s="252"/>
      <c r="L228" s="252"/>
      <c r="M228" s="252"/>
      <c r="N228" s="252"/>
      <c r="O228" s="252" t="s">
        <v>801</v>
      </c>
      <c r="P228" s="252" t="s">
        <v>802</v>
      </c>
      <c r="Q228" s="252"/>
    </row>
    <row r="229" spans="1:17">
      <c r="A229" s="252"/>
      <c r="B229" s="252"/>
      <c r="C229" s="252"/>
      <c r="D229" s="252"/>
      <c r="E229" s="252"/>
      <c r="F229" s="252"/>
      <c r="G229" s="252"/>
      <c r="H229" s="252"/>
      <c r="I229" s="252"/>
      <c r="J229" s="252"/>
      <c r="K229" s="252"/>
      <c r="L229" s="252"/>
      <c r="M229" s="252"/>
      <c r="N229" s="252"/>
      <c r="O229" s="252"/>
      <c r="P229" s="252"/>
      <c r="Q229" s="252"/>
    </row>
    <row r="230" spans="1:17">
      <c r="A230" s="252"/>
      <c r="B230" s="252"/>
      <c r="C230" s="252"/>
      <c r="D230" s="252"/>
      <c r="E230" s="252"/>
      <c r="F230" s="252"/>
      <c r="G230" s="252"/>
      <c r="H230" s="252"/>
      <c r="I230" s="252"/>
      <c r="J230" s="252"/>
      <c r="K230" s="252"/>
      <c r="L230" s="252"/>
      <c r="M230" s="252"/>
      <c r="N230" s="252"/>
      <c r="O230" s="252"/>
      <c r="P230" s="252"/>
      <c r="Q230" s="252"/>
    </row>
    <row r="233" spans="1:17">
      <c r="A233" s="146" t="s">
        <v>790</v>
      </c>
      <c r="B233" s="146"/>
      <c r="C233" s="146"/>
      <c r="D233" s="146"/>
      <c r="E233" s="146"/>
      <c r="F233" s="146"/>
      <c r="G233" s="146"/>
      <c r="H233" s="146"/>
      <c r="I233" s="146"/>
      <c r="J233" s="146"/>
      <c r="K233" s="146"/>
      <c r="L233" s="146"/>
      <c r="M233" s="146"/>
      <c r="N233" s="256"/>
      <c r="O233" s="750" t="s">
        <v>759</v>
      </c>
      <c r="P233" s="750"/>
      <c r="Q233" s="750"/>
    </row>
    <row r="234" spans="1:17">
      <c r="A234" s="254" t="s">
        <v>770</v>
      </c>
      <c r="B234" s="253"/>
      <c r="C234" s="253"/>
      <c r="D234" s="253"/>
      <c r="E234" s="253"/>
      <c r="F234" s="253"/>
      <c r="G234" s="253"/>
      <c r="H234" s="253"/>
      <c r="I234" s="253"/>
      <c r="J234" s="253"/>
      <c r="K234" s="253"/>
      <c r="L234" s="253"/>
      <c r="M234" s="253"/>
      <c r="N234" s="253"/>
      <c r="O234" s="253"/>
      <c r="P234" s="253"/>
      <c r="Q234" s="253"/>
    </row>
    <row r="235" spans="1:17">
      <c r="A235" s="252" t="s">
        <v>803</v>
      </c>
      <c r="B235" s="252"/>
      <c r="C235" s="252"/>
      <c r="D235" s="252"/>
      <c r="E235" s="252"/>
      <c r="F235" s="252"/>
      <c r="G235" s="252"/>
      <c r="H235" s="252"/>
      <c r="I235" s="252"/>
      <c r="J235" s="252"/>
      <c r="K235" s="252"/>
      <c r="L235" s="252"/>
      <c r="M235" s="252"/>
      <c r="N235" s="252"/>
      <c r="O235" s="252" t="s">
        <v>805</v>
      </c>
      <c r="P235" s="252"/>
      <c r="Q235" s="252"/>
    </row>
    <row r="236" spans="1:17">
      <c r="A236" s="252" t="s">
        <v>804</v>
      </c>
      <c r="B236" s="252"/>
      <c r="C236" s="252"/>
      <c r="D236" s="252"/>
      <c r="E236" s="252"/>
      <c r="F236" s="252"/>
      <c r="G236" s="252"/>
      <c r="H236" s="252"/>
      <c r="I236" s="252"/>
      <c r="J236" s="252"/>
      <c r="K236" s="252"/>
      <c r="L236" s="252"/>
      <c r="M236" s="252"/>
      <c r="N236" s="252"/>
      <c r="O236" s="252" t="s">
        <v>806</v>
      </c>
      <c r="P236" s="252"/>
      <c r="Q236" s="252"/>
    </row>
    <row r="237" spans="1:17">
      <c r="A237" s="252"/>
      <c r="B237" s="252"/>
      <c r="C237" s="252"/>
      <c r="D237" s="252"/>
      <c r="E237" s="252"/>
      <c r="F237" s="252"/>
      <c r="G237" s="252"/>
      <c r="H237" s="252"/>
      <c r="I237" s="252"/>
      <c r="J237" s="252"/>
      <c r="K237" s="252"/>
      <c r="L237" s="252"/>
      <c r="M237" s="252"/>
      <c r="N237" s="252"/>
      <c r="O237" s="252"/>
      <c r="P237" s="252"/>
      <c r="Q237" s="252"/>
    </row>
    <row r="238" spans="1:17">
      <c r="A238" s="254" t="s">
        <v>807</v>
      </c>
      <c r="B238" s="253"/>
      <c r="C238" s="253"/>
      <c r="D238" s="253"/>
      <c r="E238" s="253"/>
      <c r="F238" s="253"/>
      <c r="G238" s="253"/>
      <c r="H238" s="253"/>
      <c r="I238" s="253"/>
      <c r="J238" s="253"/>
      <c r="K238" s="253"/>
      <c r="L238" s="253"/>
      <c r="M238" s="253"/>
      <c r="N238" s="253"/>
      <c r="O238" s="253"/>
      <c r="P238" s="253"/>
      <c r="Q238" s="253"/>
    </row>
    <row r="239" spans="1:17">
      <c r="A239" s="252" t="s">
        <v>808</v>
      </c>
      <c r="B239" s="252"/>
      <c r="C239" s="252"/>
      <c r="D239" s="252"/>
      <c r="E239" s="252"/>
      <c r="F239" s="252"/>
      <c r="G239" s="252"/>
      <c r="H239" s="252"/>
      <c r="I239" s="252"/>
      <c r="J239" s="252"/>
      <c r="K239" s="252"/>
      <c r="L239" s="252"/>
      <c r="M239" s="252"/>
      <c r="N239" s="252"/>
      <c r="O239" s="252" t="s">
        <v>809</v>
      </c>
      <c r="P239" s="252"/>
      <c r="Q239" s="252"/>
    </row>
    <row r="240" spans="1:17">
      <c r="A240" s="252" t="s">
        <v>810</v>
      </c>
      <c r="B240" s="252"/>
      <c r="C240" s="252"/>
      <c r="D240" s="252"/>
      <c r="E240" s="252"/>
      <c r="F240" s="252"/>
      <c r="G240" s="252"/>
      <c r="H240" s="252"/>
      <c r="I240" s="252"/>
      <c r="J240" s="252"/>
      <c r="K240" s="252"/>
      <c r="L240" s="252"/>
      <c r="M240" s="252"/>
      <c r="N240" s="252"/>
      <c r="O240" s="252"/>
      <c r="P240" s="252"/>
      <c r="Q240" s="252"/>
    </row>
    <row r="241" spans="1:17">
      <c r="A241" s="252"/>
      <c r="B241" s="252"/>
      <c r="C241" s="252"/>
      <c r="D241" s="252"/>
      <c r="E241" s="252"/>
      <c r="F241" s="252"/>
      <c r="G241" s="252"/>
      <c r="H241" s="252"/>
      <c r="I241" s="252"/>
      <c r="J241" s="252"/>
      <c r="K241" s="252"/>
      <c r="L241" s="252"/>
      <c r="M241" s="252"/>
      <c r="N241" s="252"/>
      <c r="O241" s="252"/>
      <c r="P241" s="252"/>
      <c r="Q241" s="252"/>
    </row>
    <row r="244" spans="1:17">
      <c r="A244" s="146" t="s">
        <v>830</v>
      </c>
      <c r="B244" s="146"/>
      <c r="C244" s="146"/>
      <c r="D244" s="146"/>
      <c r="E244" s="146"/>
      <c r="F244" s="146"/>
      <c r="G244" s="146"/>
      <c r="H244" s="146"/>
      <c r="I244" s="146"/>
      <c r="J244" s="146"/>
      <c r="K244" s="146"/>
      <c r="L244" s="146"/>
      <c r="M244" s="146"/>
      <c r="N244" s="256"/>
      <c r="O244" s="750" t="s">
        <v>759</v>
      </c>
      <c r="P244" s="750"/>
      <c r="Q244" s="750"/>
    </row>
    <row r="245" spans="1:17">
      <c r="A245" s="254" t="s">
        <v>98</v>
      </c>
      <c r="B245" s="253"/>
      <c r="C245" s="253"/>
      <c r="D245" s="253"/>
      <c r="E245" s="253"/>
      <c r="F245" s="253"/>
      <c r="G245" s="253"/>
      <c r="H245" s="253"/>
      <c r="I245" s="253"/>
      <c r="J245" s="253"/>
      <c r="K245" s="253"/>
      <c r="L245" s="253"/>
      <c r="M245" s="253"/>
      <c r="N245" s="253"/>
      <c r="O245" s="253"/>
      <c r="P245" s="253"/>
      <c r="Q245" s="253"/>
    </row>
    <row r="246" spans="1:17">
      <c r="A246" s="252" t="s">
        <v>833</v>
      </c>
      <c r="B246" s="252"/>
      <c r="C246" s="252"/>
      <c r="D246" s="252"/>
      <c r="E246" s="252"/>
      <c r="F246" s="252"/>
      <c r="G246" s="252"/>
      <c r="H246" s="252"/>
      <c r="I246" s="252"/>
      <c r="J246" s="252"/>
      <c r="K246" s="252"/>
      <c r="L246" s="252"/>
      <c r="M246" s="252"/>
      <c r="N246" s="252"/>
      <c r="O246" s="252" t="s">
        <v>834</v>
      </c>
      <c r="P246" s="252" t="s">
        <v>835</v>
      </c>
      <c r="Q246" s="252"/>
    </row>
    <row r="247" spans="1:17">
      <c r="A247" s="252" t="s">
        <v>867</v>
      </c>
      <c r="B247" s="252"/>
      <c r="C247" s="252"/>
      <c r="D247" s="252"/>
      <c r="E247" s="252"/>
      <c r="F247" s="252"/>
      <c r="G247" s="252"/>
      <c r="H247" s="252"/>
      <c r="I247" s="252"/>
      <c r="J247" s="252"/>
      <c r="K247" s="252"/>
      <c r="L247" s="252"/>
      <c r="M247" s="252"/>
      <c r="N247" s="252"/>
      <c r="O247" s="252" t="s">
        <v>762</v>
      </c>
      <c r="P247" s="252" t="s">
        <v>869</v>
      </c>
      <c r="Q247" s="252"/>
    </row>
    <row r="248" spans="1:17">
      <c r="A248" s="252" t="s">
        <v>866</v>
      </c>
      <c r="B248" s="252"/>
      <c r="C248" s="252"/>
      <c r="D248" s="252"/>
      <c r="E248" s="252"/>
      <c r="F248" s="252"/>
      <c r="G248" s="252"/>
      <c r="H248" s="252"/>
      <c r="I248" s="252"/>
      <c r="J248" s="252"/>
      <c r="K248" s="252"/>
      <c r="L248" s="252"/>
      <c r="M248" s="252"/>
      <c r="N248" s="252"/>
      <c r="O248" s="252" t="s">
        <v>801</v>
      </c>
      <c r="P248" s="252" t="s">
        <v>802</v>
      </c>
      <c r="Q248" s="252"/>
    </row>
    <row r="249" spans="1:17">
      <c r="A249" s="252" t="s">
        <v>868</v>
      </c>
      <c r="B249" s="252"/>
      <c r="C249" s="252"/>
      <c r="D249" s="252"/>
      <c r="E249" s="252"/>
      <c r="F249" s="252"/>
      <c r="G249" s="252"/>
      <c r="H249" s="252"/>
      <c r="I249" s="252"/>
      <c r="J249" s="252"/>
      <c r="K249" s="252"/>
      <c r="L249" s="252"/>
      <c r="M249" s="252"/>
      <c r="N249" s="252"/>
      <c r="O249" s="252" t="s">
        <v>767</v>
      </c>
      <c r="P249" s="252" t="s">
        <v>883</v>
      </c>
      <c r="Q249" s="252"/>
    </row>
    <row r="250" spans="1:17">
      <c r="A250" s="252"/>
      <c r="B250" s="252"/>
      <c r="C250" s="252"/>
      <c r="D250" s="252"/>
      <c r="E250" s="252"/>
      <c r="F250" s="252"/>
      <c r="G250" s="252"/>
      <c r="H250" s="252"/>
      <c r="I250" s="252"/>
      <c r="J250" s="252"/>
      <c r="K250" s="252"/>
      <c r="L250" s="252"/>
      <c r="M250" s="252"/>
      <c r="N250" s="252"/>
      <c r="O250" s="252"/>
      <c r="P250" s="252"/>
      <c r="Q250" s="252"/>
    </row>
    <row r="251" spans="1:17">
      <c r="A251" s="254" t="s">
        <v>865</v>
      </c>
      <c r="B251" s="253"/>
      <c r="C251" s="253"/>
      <c r="D251" s="253"/>
      <c r="E251" s="253"/>
      <c r="F251" s="253"/>
      <c r="G251" s="253"/>
      <c r="H251" s="253"/>
      <c r="I251" s="253"/>
      <c r="J251" s="253"/>
      <c r="K251" s="253"/>
      <c r="L251" s="253"/>
      <c r="M251" s="253"/>
      <c r="N251" s="253"/>
      <c r="O251" s="253"/>
      <c r="P251" s="253"/>
      <c r="Q251" s="253"/>
    </row>
    <row r="252" spans="1:17">
      <c r="A252" s="252"/>
      <c r="B252" s="252"/>
      <c r="C252" s="252"/>
      <c r="D252" s="252"/>
      <c r="E252" s="252"/>
      <c r="F252" s="252"/>
      <c r="G252" s="252"/>
      <c r="H252" s="252"/>
      <c r="I252" s="252"/>
      <c r="J252" s="252"/>
      <c r="K252" s="252"/>
      <c r="L252" s="252"/>
      <c r="M252" s="252"/>
      <c r="N252" s="252"/>
      <c r="O252" s="252"/>
      <c r="P252" s="252"/>
      <c r="Q252" s="252"/>
    </row>
    <row r="255" spans="1:17">
      <c r="A255" s="146" t="s">
        <v>870</v>
      </c>
      <c r="B255" s="146"/>
      <c r="C255" s="146"/>
      <c r="D255" s="146"/>
      <c r="E255" s="146"/>
      <c r="F255" s="146"/>
      <c r="G255" s="146"/>
      <c r="H255" s="146"/>
      <c r="I255" s="146"/>
      <c r="J255" s="146"/>
      <c r="K255" s="146"/>
      <c r="L255" s="146"/>
      <c r="M255" s="146"/>
      <c r="N255" s="256"/>
      <c r="O255" s="750" t="s">
        <v>759</v>
      </c>
      <c r="P255" s="750"/>
      <c r="Q255" s="750"/>
    </row>
    <row r="256" spans="1:17">
      <c r="A256" s="254" t="s">
        <v>98</v>
      </c>
      <c r="B256" s="253"/>
      <c r="C256" s="253"/>
      <c r="D256" s="253"/>
      <c r="E256" s="253"/>
      <c r="F256" s="253"/>
      <c r="G256" s="253"/>
      <c r="H256" s="253"/>
      <c r="I256" s="253"/>
      <c r="J256" s="253"/>
      <c r="K256" s="253"/>
      <c r="L256" s="253"/>
      <c r="M256" s="253"/>
      <c r="N256" s="253"/>
      <c r="O256" s="253"/>
      <c r="P256" s="253"/>
      <c r="Q256" s="253"/>
    </row>
    <row r="257" spans="1:17">
      <c r="A257" s="252" t="s">
        <v>884</v>
      </c>
      <c r="B257" s="252"/>
      <c r="C257" s="252"/>
      <c r="D257" s="252"/>
      <c r="E257" s="252"/>
      <c r="F257" s="252"/>
      <c r="G257" s="252"/>
      <c r="H257" s="252"/>
      <c r="I257" s="252"/>
      <c r="J257" s="252"/>
      <c r="K257" s="252"/>
      <c r="L257" s="252"/>
      <c r="M257" s="252"/>
      <c r="N257" s="252"/>
      <c r="O257" s="252" t="s">
        <v>885</v>
      </c>
      <c r="P257" s="252"/>
      <c r="Q257" s="252"/>
    </row>
    <row r="258" spans="1:17">
      <c r="A258" s="252"/>
      <c r="B258" s="252"/>
      <c r="C258" s="252"/>
      <c r="D258" s="252"/>
      <c r="E258" s="252"/>
      <c r="F258" s="252"/>
      <c r="G258" s="252"/>
      <c r="H258" s="252"/>
      <c r="I258" s="252"/>
      <c r="J258" s="252"/>
      <c r="K258" s="252"/>
      <c r="L258" s="252"/>
      <c r="M258" s="252"/>
      <c r="N258" s="252"/>
      <c r="O258" s="252"/>
      <c r="P258" s="252"/>
      <c r="Q258" s="252"/>
    </row>
    <row r="259" spans="1:17">
      <c r="A259" s="252"/>
      <c r="B259" s="252"/>
      <c r="C259" s="252"/>
      <c r="D259" s="252"/>
      <c r="E259" s="252"/>
      <c r="F259" s="252"/>
      <c r="G259" s="252"/>
      <c r="H259" s="252"/>
      <c r="I259" s="252"/>
      <c r="J259" s="252"/>
      <c r="K259" s="252"/>
      <c r="L259" s="252"/>
      <c r="M259" s="252"/>
      <c r="N259" s="252"/>
      <c r="O259" s="252"/>
      <c r="P259" s="252"/>
      <c r="Q259" s="252"/>
    </row>
    <row r="260" spans="1:17">
      <c r="A260" s="252"/>
      <c r="B260" s="252"/>
      <c r="C260" s="252"/>
      <c r="D260" s="252"/>
      <c r="E260" s="252"/>
      <c r="F260" s="252"/>
      <c r="G260" s="252"/>
      <c r="H260" s="252"/>
      <c r="I260" s="252"/>
      <c r="J260" s="252"/>
      <c r="K260" s="252"/>
      <c r="L260" s="252"/>
      <c r="M260" s="252"/>
      <c r="N260" s="252"/>
      <c r="O260" s="252"/>
      <c r="P260" s="252"/>
      <c r="Q260" s="252"/>
    </row>
    <row r="261" spans="1:17">
      <c r="A261" s="252"/>
      <c r="B261" s="252"/>
      <c r="C261" s="252"/>
      <c r="D261" s="252"/>
      <c r="E261" s="252"/>
      <c r="F261" s="252"/>
      <c r="G261" s="252"/>
      <c r="H261" s="252"/>
      <c r="I261" s="252"/>
      <c r="J261" s="252"/>
      <c r="K261" s="252"/>
      <c r="L261" s="252"/>
      <c r="M261" s="252"/>
      <c r="N261" s="252"/>
      <c r="O261" s="252"/>
      <c r="P261" s="252"/>
      <c r="Q261" s="252"/>
    </row>
    <row r="262" spans="1:17">
      <c r="A262" s="254" t="s">
        <v>865</v>
      </c>
      <c r="B262" s="253"/>
      <c r="C262" s="253"/>
      <c r="D262" s="253"/>
      <c r="E262" s="253"/>
      <c r="F262" s="253"/>
      <c r="G262" s="253"/>
      <c r="H262" s="253"/>
      <c r="I262" s="253"/>
      <c r="J262" s="253"/>
      <c r="K262" s="253"/>
      <c r="L262" s="253"/>
      <c r="M262" s="253"/>
      <c r="N262" s="253"/>
      <c r="O262" s="253"/>
      <c r="P262" s="253"/>
      <c r="Q262" s="253"/>
    </row>
    <row r="263" spans="1:17">
      <c r="A263" s="252" t="s">
        <v>1026</v>
      </c>
      <c r="B263" s="252"/>
      <c r="C263" s="252"/>
      <c r="D263" s="252"/>
      <c r="E263" s="252"/>
      <c r="F263" s="252"/>
      <c r="G263" s="252"/>
      <c r="H263" s="252"/>
      <c r="I263" s="252"/>
      <c r="J263" s="252"/>
      <c r="K263" s="252"/>
      <c r="L263" s="252"/>
      <c r="M263" s="252"/>
      <c r="N263" s="252"/>
      <c r="O263" s="252" t="s">
        <v>890</v>
      </c>
      <c r="P263" s="252"/>
      <c r="Q263" s="252"/>
    </row>
    <row r="264" spans="1:17">
      <c r="A264" s="252" t="s">
        <v>887</v>
      </c>
      <c r="B264" s="252"/>
      <c r="C264" s="252"/>
      <c r="D264" s="252"/>
      <c r="E264" s="252"/>
      <c r="F264" s="252"/>
      <c r="G264" s="252"/>
      <c r="H264" s="252"/>
      <c r="I264" s="252"/>
      <c r="J264" s="252"/>
      <c r="K264" s="252"/>
      <c r="L264" s="252"/>
      <c r="M264" s="252"/>
      <c r="N264" s="252"/>
      <c r="O264" s="252" t="s">
        <v>888</v>
      </c>
      <c r="P264" s="252"/>
      <c r="Q264" s="252"/>
    </row>
    <row r="267" spans="1:17">
      <c r="A267" s="146" t="s">
        <v>908</v>
      </c>
      <c r="B267" s="146"/>
      <c r="C267" s="146"/>
      <c r="D267" s="146"/>
      <c r="E267" s="146"/>
      <c r="F267" s="146"/>
      <c r="G267" s="146"/>
      <c r="H267" s="146"/>
      <c r="I267" s="146"/>
      <c r="J267" s="146"/>
      <c r="K267" s="146"/>
      <c r="L267" s="146"/>
      <c r="M267" s="146"/>
      <c r="N267" s="256"/>
      <c r="O267" s="750" t="s">
        <v>759</v>
      </c>
      <c r="P267" s="750"/>
      <c r="Q267" s="750"/>
    </row>
    <row r="268" spans="1:17">
      <c r="A268" s="254" t="s">
        <v>865</v>
      </c>
      <c r="B268" s="253"/>
      <c r="C268" s="253"/>
      <c r="D268" s="253"/>
      <c r="E268" s="253"/>
      <c r="F268" s="253"/>
      <c r="G268" s="253"/>
      <c r="H268" s="253"/>
      <c r="I268" s="253"/>
      <c r="J268" s="253"/>
      <c r="K268" s="253"/>
      <c r="L268" s="253"/>
      <c r="M268" s="253"/>
      <c r="N268" s="253"/>
      <c r="O268" s="253"/>
      <c r="P268" s="253"/>
      <c r="Q268" s="253"/>
    </row>
    <row r="269" spans="1:17">
      <c r="A269" s="252" t="s">
        <v>909</v>
      </c>
      <c r="B269" s="252"/>
      <c r="C269" s="252"/>
      <c r="D269" s="252"/>
      <c r="E269" s="252"/>
      <c r="F269" s="252"/>
      <c r="G269" s="252"/>
      <c r="H269" s="252"/>
      <c r="I269" s="252"/>
      <c r="J269" s="252"/>
      <c r="K269" s="252"/>
      <c r="L269" s="252"/>
      <c r="M269" s="252"/>
      <c r="N269" s="252"/>
      <c r="O269" s="252" t="s">
        <v>911</v>
      </c>
      <c r="P269" s="252"/>
      <c r="Q269" s="252"/>
    </row>
    <row r="270" spans="1:17">
      <c r="A270" s="252" t="s">
        <v>912</v>
      </c>
      <c r="B270" s="252"/>
      <c r="C270" s="252"/>
      <c r="D270" s="252"/>
      <c r="E270" s="252"/>
      <c r="F270" s="252"/>
      <c r="G270" s="252"/>
      <c r="H270" s="252"/>
      <c r="I270" s="252"/>
      <c r="J270" s="252"/>
      <c r="K270" s="252"/>
      <c r="L270" s="252"/>
      <c r="M270" s="252"/>
      <c r="N270" s="252"/>
      <c r="O270" s="252" t="s">
        <v>910</v>
      </c>
      <c r="P270" s="252"/>
      <c r="Q270" s="252"/>
    </row>
    <row r="271" spans="1:17">
      <c r="A271" s="252" t="s">
        <v>913</v>
      </c>
      <c r="B271" s="252"/>
      <c r="C271" s="252"/>
      <c r="D271" s="252"/>
      <c r="E271" s="252"/>
      <c r="F271" s="252"/>
      <c r="G271" s="252"/>
      <c r="H271" s="252"/>
      <c r="I271" s="252"/>
      <c r="J271" s="252"/>
      <c r="K271" s="252"/>
      <c r="L271" s="252"/>
      <c r="M271" s="252"/>
      <c r="N271" s="252"/>
      <c r="O271" s="252" t="s">
        <v>916</v>
      </c>
      <c r="P271" s="252" t="s">
        <v>802</v>
      </c>
      <c r="Q271" s="252"/>
    </row>
    <row r="272" spans="1:17">
      <c r="A272" s="252" t="s">
        <v>914</v>
      </c>
      <c r="B272" s="252"/>
      <c r="C272" s="252"/>
      <c r="D272" s="252"/>
      <c r="E272" s="252"/>
      <c r="F272" s="252"/>
      <c r="G272" s="252"/>
      <c r="H272" s="252"/>
      <c r="I272" s="252"/>
      <c r="J272" s="252"/>
      <c r="K272" s="252"/>
      <c r="L272" s="252"/>
      <c r="M272" s="252"/>
      <c r="N272" s="252"/>
      <c r="O272" s="252" t="s">
        <v>917</v>
      </c>
      <c r="P272" s="252"/>
      <c r="Q272" s="252"/>
    </row>
    <row r="273" spans="1:17">
      <c r="A273" s="252" t="s">
        <v>915</v>
      </c>
      <c r="B273" s="252"/>
      <c r="C273" s="252"/>
      <c r="D273" s="252"/>
      <c r="E273" s="252"/>
      <c r="F273" s="252"/>
      <c r="G273" s="252"/>
      <c r="H273" s="252"/>
      <c r="I273" s="252"/>
      <c r="J273" s="252"/>
      <c r="K273" s="252"/>
      <c r="L273" s="252"/>
      <c r="M273" s="252"/>
      <c r="N273" s="252"/>
      <c r="O273" s="252" t="s">
        <v>918</v>
      </c>
      <c r="P273" s="252"/>
      <c r="Q273" s="252"/>
    </row>
    <row r="274" spans="1:17">
      <c r="A274" s="252" t="s">
        <v>919</v>
      </c>
      <c r="B274" s="252"/>
      <c r="C274" s="252"/>
      <c r="D274" s="252"/>
      <c r="E274" s="252"/>
      <c r="F274" s="252"/>
      <c r="G274" s="252"/>
      <c r="H274" s="252"/>
      <c r="I274" s="252"/>
      <c r="J274" s="252"/>
      <c r="K274" s="252"/>
      <c r="L274" s="252"/>
      <c r="M274" s="252"/>
      <c r="N274" s="252"/>
      <c r="O274" s="252" t="s">
        <v>917</v>
      </c>
      <c r="P274" s="252"/>
      <c r="Q274" s="252"/>
    </row>
    <row r="277" spans="1:17">
      <c r="A277" s="146" t="s">
        <v>895</v>
      </c>
      <c r="B277" s="146"/>
      <c r="C277" s="146"/>
      <c r="D277" s="146"/>
      <c r="E277" s="146"/>
      <c r="F277" s="146"/>
      <c r="G277" s="146"/>
      <c r="H277" s="146"/>
      <c r="I277" s="146"/>
      <c r="J277" s="146"/>
      <c r="K277" s="146"/>
      <c r="L277" s="146"/>
      <c r="M277" s="146"/>
      <c r="N277" s="256"/>
      <c r="O277" s="750" t="s">
        <v>759</v>
      </c>
      <c r="P277" s="750"/>
      <c r="Q277" s="750"/>
    </row>
    <row r="278" spans="1:17">
      <c r="A278" s="254" t="s">
        <v>98</v>
      </c>
      <c r="B278" s="253"/>
      <c r="C278" s="253"/>
      <c r="D278" s="253"/>
      <c r="E278" s="253"/>
      <c r="F278" s="253"/>
      <c r="G278" s="253"/>
      <c r="H278" s="253"/>
      <c r="I278" s="253"/>
      <c r="J278" s="253"/>
      <c r="K278" s="253"/>
      <c r="L278" s="253"/>
      <c r="M278" s="253"/>
      <c r="N278" s="253"/>
      <c r="O278" s="253"/>
      <c r="P278" s="253"/>
      <c r="Q278" s="253"/>
    </row>
    <row r="279" spans="1:17">
      <c r="A279" s="252" t="s">
        <v>920</v>
      </c>
      <c r="B279" s="252"/>
      <c r="C279" s="252"/>
      <c r="D279" s="252"/>
      <c r="E279" s="252"/>
      <c r="F279" s="252"/>
      <c r="G279" s="252"/>
      <c r="H279" s="252"/>
      <c r="I279" s="252"/>
      <c r="J279" s="252"/>
      <c r="K279" s="252"/>
      <c r="L279" s="252"/>
      <c r="M279" s="252"/>
      <c r="N279" s="252"/>
      <c r="O279" s="252" t="s">
        <v>917</v>
      </c>
      <c r="P279" s="252"/>
      <c r="Q279" s="252"/>
    </row>
    <row r="280" spans="1:17">
      <c r="A280" s="252"/>
      <c r="B280" s="252"/>
      <c r="C280" s="252"/>
      <c r="D280" s="252"/>
      <c r="E280" s="252"/>
      <c r="F280" s="252"/>
      <c r="G280" s="252"/>
      <c r="H280" s="252"/>
      <c r="I280" s="252"/>
      <c r="J280" s="252"/>
      <c r="K280" s="252"/>
      <c r="L280" s="252"/>
      <c r="M280" s="252"/>
      <c r="N280" s="252"/>
      <c r="O280" s="252"/>
      <c r="P280" s="252"/>
      <c r="Q280" s="252"/>
    </row>
    <row r="281" spans="1:17">
      <c r="A281" s="252"/>
      <c r="B281" s="252"/>
      <c r="C281" s="252"/>
      <c r="D281" s="252"/>
      <c r="E281" s="252"/>
      <c r="F281" s="252"/>
      <c r="G281" s="252"/>
      <c r="H281" s="252"/>
      <c r="I281" s="252"/>
      <c r="J281" s="252"/>
      <c r="K281" s="252"/>
      <c r="L281" s="252"/>
      <c r="M281" s="252"/>
      <c r="N281" s="252"/>
      <c r="O281" s="252"/>
      <c r="P281" s="252"/>
      <c r="Q281" s="252"/>
    </row>
    <row r="282" spans="1:17">
      <c r="A282" s="254" t="s">
        <v>865</v>
      </c>
      <c r="B282" s="253"/>
      <c r="C282" s="253"/>
      <c r="D282" s="253"/>
      <c r="E282" s="253"/>
      <c r="F282" s="253"/>
      <c r="G282" s="253"/>
      <c r="H282" s="253"/>
      <c r="I282" s="253"/>
      <c r="J282" s="253"/>
      <c r="K282" s="253"/>
      <c r="L282" s="253"/>
      <c r="M282" s="253"/>
      <c r="N282" s="253"/>
      <c r="O282" s="253"/>
      <c r="P282" s="253"/>
      <c r="Q282" s="253"/>
    </row>
    <row r="283" spans="1:17">
      <c r="A283" s="252" t="s">
        <v>921</v>
      </c>
      <c r="B283" s="252"/>
      <c r="C283" s="252"/>
      <c r="D283" s="252"/>
      <c r="E283" s="252"/>
      <c r="F283" s="252"/>
      <c r="G283" s="252"/>
      <c r="H283" s="252"/>
      <c r="I283" s="252"/>
      <c r="J283" s="252"/>
      <c r="K283" s="252"/>
      <c r="L283" s="252"/>
      <c r="M283" s="252"/>
      <c r="N283" s="252"/>
      <c r="O283" s="252" t="s">
        <v>917</v>
      </c>
      <c r="P283" s="252"/>
      <c r="Q283" s="252"/>
    </row>
    <row r="284" spans="1:17">
      <c r="A284" s="252" t="s">
        <v>922</v>
      </c>
      <c r="B284" s="252"/>
      <c r="C284" s="252"/>
      <c r="D284" s="252"/>
      <c r="E284" s="252"/>
      <c r="F284" s="252"/>
      <c r="G284" s="252"/>
      <c r="H284" s="252"/>
      <c r="I284" s="252"/>
      <c r="J284" s="252"/>
      <c r="K284" s="252"/>
      <c r="L284" s="252"/>
      <c r="M284" s="252"/>
      <c r="N284" s="252"/>
      <c r="O284" s="252" t="s">
        <v>923</v>
      </c>
      <c r="P284" s="252"/>
      <c r="Q284" s="252"/>
    </row>
    <row r="285" spans="1:17">
      <c r="A285" s="252" t="s">
        <v>924</v>
      </c>
      <c r="B285" s="252"/>
      <c r="C285" s="252"/>
      <c r="D285" s="252"/>
      <c r="E285" s="252"/>
      <c r="F285" s="252"/>
      <c r="G285" s="252"/>
      <c r="H285" s="252"/>
      <c r="I285" s="252"/>
      <c r="J285" s="252"/>
      <c r="K285" s="252"/>
      <c r="L285" s="252"/>
      <c r="M285" s="252"/>
      <c r="N285" s="252"/>
      <c r="O285" s="252" t="s">
        <v>916</v>
      </c>
      <c r="P285" s="252" t="s">
        <v>802</v>
      </c>
      <c r="Q285" s="252"/>
    </row>
    <row r="286" spans="1:17">
      <c r="A286" s="252" t="s">
        <v>925</v>
      </c>
      <c r="B286" s="252"/>
      <c r="C286" s="252"/>
      <c r="D286" s="252"/>
      <c r="E286" s="252"/>
      <c r="F286" s="252"/>
      <c r="G286" s="252"/>
      <c r="H286" s="252"/>
      <c r="I286" s="252"/>
      <c r="J286" s="252"/>
      <c r="K286" s="252"/>
      <c r="L286" s="252"/>
      <c r="M286" s="252"/>
      <c r="N286" s="252"/>
      <c r="O286" s="252" t="s">
        <v>916</v>
      </c>
      <c r="P286" s="252" t="s">
        <v>802</v>
      </c>
      <c r="Q286" s="252"/>
    </row>
    <row r="287" spans="1:17">
      <c r="A287" s="252" t="s">
        <v>926</v>
      </c>
      <c r="B287" s="252"/>
      <c r="C287" s="252"/>
      <c r="D287" s="252"/>
      <c r="E287" s="252"/>
      <c r="F287" s="252"/>
      <c r="G287" s="252"/>
      <c r="H287" s="252"/>
      <c r="I287" s="252"/>
      <c r="J287" s="252"/>
      <c r="K287" s="252"/>
      <c r="L287" s="252"/>
      <c r="M287" s="252"/>
      <c r="N287" s="252"/>
      <c r="O287" s="252" t="s">
        <v>916</v>
      </c>
      <c r="P287" s="252" t="s">
        <v>802</v>
      </c>
      <c r="Q287" s="252"/>
    </row>
    <row r="288" spans="1:17">
      <c r="A288" s="252" t="s">
        <v>927</v>
      </c>
      <c r="B288" s="252"/>
      <c r="C288" s="252"/>
      <c r="D288" s="252"/>
      <c r="E288" s="252"/>
      <c r="F288" s="252"/>
      <c r="G288" s="252"/>
      <c r="H288" s="252"/>
      <c r="I288" s="252"/>
      <c r="J288" s="252"/>
      <c r="K288" s="252"/>
      <c r="L288" s="252"/>
      <c r="M288" s="252"/>
      <c r="N288" s="252"/>
      <c r="O288" s="252" t="s">
        <v>928</v>
      </c>
      <c r="P288" s="252"/>
      <c r="Q288" s="252"/>
    </row>
    <row r="291" spans="1:17">
      <c r="A291" s="146" t="s">
        <v>929</v>
      </c>
      <c r="B291" s="146"/>
      <c r="C291" s="146"/>
      <c r="D291" s="146"/>
      <c r="E291" s="146"/>
      <c r="F291" s="146"/>
      <c r="G291" s="146"/>
      <c r="H291" s="146"/>
      <c r="I291" s="146"/>
      <c r="J291" s="146"/>
      <c r="K291" s="146"/>
      <c r="L291" s="146"/>
      <c r="M291" s="146"/>
      <c r="N291" s="256"/>
      <c r="O291" s="750" t="s">
        <v>759</v>
      </c>
      <c r="P291" s="750"/>
      <c r="Q291" s="750"/>
    </row>
    <row r="292" spans="1:17">
      <c r="A292" s="254" t="s">
        <v>98</v>
      </c>
      <c r="B292" s="253"/>
      <c r="C292" s="253"/>
      <c r="D292" s="253"/>
      <c r="E292" s="253"/>
      <c r="F292" s="253"/>
      <c r="G292" s="253"/>
      <c r="H292" s="253"/>
      <c r="I292" s="253"/>
      <c r="J292" s="253"/>
      <c r="K292" s="253"/>
      <c r="L292" s="253"/>
      <c r="M292" s="253"/>
      <c r="N292" s="253"/>
      <c r="O292" s="253"/>
      <c r="P292" s="253"/>
      <c r="Q292" s="253"/>
    </row>
    <row r="293" spans="1:17">
      <c r="A293" s="252" t="s">
        <v>930</v>
      </c>
      <c r="B293" s="252"/>
      <c r="C293" s="252"/>
      <c r="D293" s="252"/>
      <c r="E293" s="252"/>
      <c r="F293" s="252"/>
      <c r="G293" s="252"/>
      <c r="H293" s="252"/>
      <c r="I293" s="252"/>
      <c r="J293" s="252"/>
      <c r="K293" s="252"/>
      <c r="L293" s="252"/>
      <c r="M293" s="252"/>
      <c r="N293" s="252"/>
      <c r="O293" s="252" t="s">
        <v>1033</v>
      </c>
      <c r="P293" s="252"/>
      <c r="Q293" s="252"/>
    </row>
    <row r="294" spans="1:17">
      <c r="A294" s="252" t="s">
        <v>1034</v>
      </c>
      <c r="B294" s="252"/>
      <c r="C294" s="252"/>
      <c r="D294" s="252"/>
      <c r="E294" s="252"/>
      <c r="F294" s="252"/>
      <c r="G294" s="252"/>
      <c r="H294" s="252"/>
      <c r="I294" s="252"/>
      <c r="J294" s="252"/>
      <c r="K294" s="252"/>
      <c r="L294" s="252"/>
      <c r="M294" s="252"/>
      <c r="N294" s="252"/>
      <c r="O294" s="252" t="s">
        <v>917</v>
      </c>
      <c r="P294" s="252"/>
      <c r="Q294" s="252"/>
    </row>
    <row r="295" spans="1:17">
      <c r="A295" s="252" t="s">
        <v>1035</v>
      </c>
      <c r="B295" s="252"/>
      <c r="C295" s="252"/>
      <c r="D295" s="252"/>
      <c r="E295" s="252"/>
      <c r="F295" s="252"/>
      <c r="G295" s="252"/>
      <c r="H295" s="252"/>
      <c r="I295" s="252"/>
      <c r="J295" s="252"/>
      <c r="K295" s="252"/>
      <c r="L295" s="252"/>
      <c r="M295" s="252"/>
      <c r="N295" s="252"/>
      <c r="O295" s="252" t="s">
        <v>917</v>
      </c>
      <c r="P295" s="252"/>
      <c r="Q295" s="252"/>
    </row>
    <row r="296" spans="1:17">
      <c r="A296" s="252"/>
      <c r="B296" s="252"/>
      <c r="C296" s="252"/>
      <c r="D296" s="252"/>
      <c r="E296" s="252"/>
      <c r="F296" s="252"/>
      <c r="G296" s="252"/>
      <c r="H296" s="252"/>
      <c r="I296" s="252"/>
      <c r="J296" s="252"/>
      <c r="K296" s="252"/>
      <c r="L296" s="252"/>
      <c r="M296" s="252"/>
      <c r="N296" s="252"/>
      <c r="O296" s="252"/>
      <c r="P296" s="252"/>
      <c r="Q296" s="252"/>
    </row>
    <row r="297" spans="1:17">
      <c r="A297" s="254" t="s">
        <v>865</v>
      </c>
      <c r="B297" s="253"/>
      <c r="C297" s="253"/>
      <c r="D297" s="253"/>
      <c r="E297" s="253"/>
      <c r="F297" s="253"/>
      <c r="G297" s="253"/>
      <c r="H297" s="253"/>
      <c r="I297" s="253"/>
      <c r="J297" s="253"/>
      <c r="K297" s="253"/>
      <c r="L297" s="253"/>
      <c r="M297" s="253"/>
      <c r="N297" s="253"/>
      <c r="O297" s="253"/>
      <c r="P297" s="253"/>
      <c r="Q297" s="253"/>
    </row>
    <row r="298" spans="1:17">
      <c r="A298" s="252"/>
      <c r="B298" s="252"/>
      <c r="C298" s="252"/>
      <c r="D298" s="252"/>
      <c r="E298" s="252"/>
      <c r="F298" s="252"/>
      <c r="G298" s="252"/>
      <c r="H298" s="252"/>
      <c r="I298" s="252"/>
      <c r="J298" s="252"/>
      <c r="K298" s="252"/>
      <c r="L298" s="252"/>
      <c r="M298" s="252"/>
      <c r="N298" s="252"/>
      <c r="O298" s="252"/>
      <c r="P298" s="252"/>
      <c r="Q298" s="252"/>
    </row>
    <row r="301" spans="1:17">
      <c r="A301" s="146" t="s">
        <v>1032</v>
      </c>
      <c r="B301" s="146"/>
      <c r="C301" s="146"/>
      <c r="D301" s="146"/>
      <c r="E301" s="146"/>
      <c r="F301" s="146"/>
      <c r="G301" s="146"/>
      <c r="H301" s="146"/>
      <c r="I301" s="146"/>
      <c r="J301" s="146"/>
      <c r="K301" s="146"/>
      <c r="L301" s="146"/>
      <c r="M301" s="146"/>
      <c r="N301" s="256"/>
      <c r="O301" s="750" t="s">
        <v>759</v>
      </c>
      <c r="P301" s="750"/>
      <c r="Q301" s="750"/>
    </row>
    <row r="302" spans="1:17">
      <c r="A302" s="254" t="s">
        <v>98</v>
      </c>
      <c r="B302" s="253"/>
      <c r="C302" s="253"/>
      <c r="D302" s="253"/>
      <c r="E302" s="253"/>
      <c r="F302" s="253"/>
      <c r="G302" s="253"/>
      <c r="H302" s="253"/>
      <c r="I302" s="253"/>
      <c r="J302" s="253"/>
      <c r="K302" s="253"/>
      <c r="L302" s="253"/>
      <c r="M302" s="253"/>
      <c r="N302" s="253"/>
      <c r="O302" s="253"/>
      <c r="P302" s="253"/>
      <c r="Q302" s="253"/>
    </row>
    <row r="303" spans="1:17">
      <c r="A303" s="252" t="s">
        <v>1045</v>
      </c>
      <c r="B303" s="252"/>
      <c r="C303" s="252"/>
      <c r="D303" s="252"/>
      <c r="E303" s="252"/>
      <c r="F303" s="252"/>
      <c r="G303" s="252"/>
      <c r="H303" s="252"/>
      <c r="I303" s="252"/>
      <c r="J303" s="252"/>
      <c r="K303" s="252"/>
      <c r="L303" s="252"/>
      <c r="M303" s="252"/>
      <c r="N303" s="252"/>
      <c r="O303" s="252" t="s">
        <v>1033</v>
      </c>
      <c r="P303" s="252"/>
      <c r="Q303" s="252"/>
    </row>
    <row r="304" spans="1:17">
      <c r="A304" s="252" t="s">
        <v>1046</v>
      </c>
      <c r="B304" s="252"/>
      <c r="C304" s="252"/>
      <c r="D304" s="252"/>
      <c r="E304" s="252"/>
      <c r="F304" s="252"/>
      <c r="G304" s="252"/>
      <c r="H304" s="252"/>
      <c r="I304" s="252"/>
      <c r="J304" s="252"/>
      <c r="K304" s="252"/>
      <c r="L304" s="252"/>
      <c r="M304" s="252"/>
      <c r="N304" s="252"/>
      <c r="O304" s="252" t="s">
        <v>917</v>
      </c>
      <c r="P304" s="252"/>
      <c r="Q304" s="252"/>
    </row>
    <row r="305" spans="1:17">
      <c r="A305" s="252" t="s">
        <v>1049</v>
      </c>
      <c r="B305" s="252"/>
      <c r="C305" s="252"/>
      <c r="D305" s="252"/>
      <c r="E305" s="252"/>
      <c r="F305" s="252"/>
      <c r="G305" s="252"/>
      <c r="H305" s="252"/>
      <c r="I305" s="252"/>
      <c r="J305" s="252"/>
      <c r="K305" s="252"/>
      <c r="L305" s="252"/>
      <c r="M305" s="252"/>
      <c r="N305" s="252"/>
      <c r="O305" s="252" t="s">
        <v>1033</v>
      </c>
      <c r="P305" s="252"/>
      <c r="Q305" s="252"/>
    </row>
    <row r="306" spans="1:17">
      <c r="A306" s="252" t="s">
        <v>1050</v>
      </c>
      <c r="B306" s="252"/>
      <c r="C306" s="252"/>
      <c r="D306" s="252"/>
      <c r="E306" s="252"/>
      <c r="F306" s="252"/>
      <c r="G306" s="252"/>
      <c r="H306" s="252"/>
      <c r="I306" s="252"/>
      <c r="J306" s="252"/>
      <c r="K306" s="252"/>
      <c r="L306" s="252"/>
      <c r="M306" s="252"/>
      <c r="N306" s="252"/>
      <c r="O306" s="252" t="s">
        <v>1051</v>
      </c>
      <c r="P306" s="252"/>
      <c r="Q306" s="252"/>
    </row>
    <row r="307" spans="1:17">
      <c r="A307" s="252"/>
      <c r="B307" s="252"/>
      <c r="C307" s="252"/>
      <c r="D307" s="252"/>
      <c r="E307" s="252"/>
      <c r="F307" s="252"/>
      <c r="G307" s="252"/>
      <c r="H307" s="252"/>
      <c r="I307" s="252"/>
      <c r="J307" s="252"/>
      <c r="K307" s="252"/>
      <c r="L307" s="252"/>
      <c r="M307" s="252"/>
      <c r="N307" s="252"/>
      <c r="O307" s="252"/>
      <c r="P307" s="252"/>
      <c r="Q307" s="252"/>
    </row>
    <row r="308" spans="1:17">
      <c r="A308" s="254" t="s">
        <v>865</v>
      </c>
      <c r="B308" s="253"/>
      <c r="C308" s="253"/>
      <c r="D308" s="253"/>
      <c r="E308" s="253"/>
      <c r="F308" s="253"/>
      <c r="G308" s="253"/>
      <c r="H308" s="253"/>
      <c r="I308" s="253"/>
      <c r="J308" s="253"/>
      <c r="K308" s="253"/>
      <c r="L308" s="253"/>
      <c r="M308" s="253"/>
      <c r="N308" s="253"/>
      <c r="O308" s="253"/>
      <c r="P308" s="253"/>
      <c r="Q308" s="253"/>
    </row>
    <row r="309" spans="1:17">
      <c r="A309" s="252"/>
      <c r="B309" s="252"/>
      <c r="C309" s="252"/>
      <c r="D309" s="252"/>
      <c r="E309" s="252"/>
      <c r="F309" s="252"/>
      <c r="G309" s="252"/>
      <c r="H309" s="252"/>
      <c r="I309" s="252"/>
      <c r="J309" s="252"/>
      <c r="K309" s="252"/>
      <c r="L309" s="252"/>
      <c r="M309" s="252"/>
      <c r="N309" s="252"/>
      <c r="O309" s="252"/>
      <c r="P309" s="252"/>
      <c r="Q309" s="252"/>
    </row>
    <row r="312" spans="1:17">
      <c r="A312" s="146" t="s">
        <v>1057</v>
      </c>
      <c r="B312" s="146"/>
      <c r="C312" s="146"/>
      <c r="D312" s="146"/>
      <c r="E312" s="146"/>
      <c r="F312" s="146"/>
      <c r="G312" s="146"/>
      <c r="H312" s="146"/>
      <c r="I312" s="146"/>
      <c r="J312" s="146"/>
      <c r="K312" s="146"/>
      <c r="L312" s="146"/>
      <c r="M312" s="146"/>
      <c r="N312" s="256"/>
      <c r="O312" s="750" t="s">
        <v>759</v>
      </c>
      <c r="P312" s="750"/>
      <c r="Q312" s="750"/>
    </row>
    <row r="313" spans="1:17">
      <c r="A313" s="254" t="s">
        <v>98</v>
      </c>
      <c r="B313" s="253"/>
      <c r="C313" s="253"/>
      <c r="D313" s="253"/>
      <c r="E313" s="253"/>
      <c r="F313" s="253"/>
      <c r="G313" s="253"/>
      <c r="H313" s="253"/>
      <c r="I313" s="253"/>
      <c r="J313" s="253"/>
      <c r="K313" s="253"/>
      <c r="L313" s="253"/>
      <c r="M313" s="253"/>
      <c r="N313" s="253"/>
      <c r="O313" s="253"/>
      <c r="P313" s="253"/>
      <c r="Q313" s="253"/>
    </row>
    <row r="314" spans="1:17">
      <c r="A314" s="252" t="s">
        <v>1059</v>
      </c>
      <c r="B314" s="252"/>
      <c r="C314" s="252"/>
      <c r="D314" s="252"/>
      <c r="E314" s="252"/>
      <c r="F314" s="252"/>
      <c r="G314" s="252"/>
      <c r="H314" s="252"/>
      <c r="I314" s="252"/>
      <c r="J314" s="252"/>
      <c r="K314" s="252"/>
      <c r="L314" s="252"/>
      <c r="M314" s="252"/>
      <c r="N314" s="252"/>
      <c r="O314" s="252" t="s">
        <v>1060</v>
      </c>
      <c r="P314" s="252"/>
      <c r="Q314" s="252"/>
    </row>
    <row r="315" spans="1:17">
      <c r="A315" s="252"/>
      <c r="B315" s="252"/>
      <c r="C315" s="252"/>
      <c r="D315" s="252"/>
      <c r="E315" s="252"/>
      <c r="F315" s="252"/>
      <c r="G315" s="252"/>
      <c r="H315" s="252"/>
      <c r="I315" s="252"/>
      <c r="J315" s="252"/>
      <c r="K315" s="252"/>
      <c r="L315" s="252"/>
      <c r="M315" s="252"/>
      <c r="N315" s="252"/>
      <c r="O315" s="252"/>
      <c r="P315" s="252"/>
      <c r="Q315" s="252"/>
    </row>
    <row r="316" spans="1:17">
      <c r="A316" s="254" t="s">
        <v>865</v>
      </c>
      <c r="B316" s="253"/>
      <c r="C316" s="253"/>
      <c r="D316" s="253"/>
      <c r="E316" s="253"/>
      <c r="F316" s="253"/>
      <c r="G316" s="253"/>
      <c r="H316" s="253"/>
      <c r="I316" s="253"/>
      <c r="J316" s="253"/>
      <c r="K316" s="253"/>
      <c r="L316" s="253"/>
      <c r="M316" s="253"/>
      <c r="N316" s="253"/>
      <c r="O316" s="253"/>
      <c r="P316" s="253"/>
      <c r="Q316" s="253"/>
    </row>
    <row r="317" spans="1:17">
      <c r="A317" s="252"/>
      <c r="B317" s="252"/>
      <c r="C317" s="252"/>
      <c r="D317" s="252"/>
      <c r="E317" s="252"/>
      <c r="F317" s="252"/>
      <c r="G317" s="252"/>
      <c r="H317" s="252"/>
      <c r="I317" s="252"/>
      <c r="J317" s="252"/>
      <c r="K317" s="252"/>
      <c r="L317" s="252"/>
      <c r="M317" s="252"/>
      <c r="N317" s="252"/>
      <c r="O317" s="252"/>
      <c r="P317" s="252"/>
      <c r="Q317" s="252"/>
    </row>
    <row r="320" spans="1:17">
      <c r="A320" s="146" t="s">
        <v>1069</v>
      </c>
      <c r="B320" s="146"/>
      <c r="C320" s="146"/>
      <c r="D320" s="146"/>
      <c r="E320" s="146"/>
      <c r="F320" s="146"/>
      <c r="G320" s="146"/>
      <c r="H320" s="146"/>
      <c r="I320" s="146"/>
      <c r="J320" s="146"/>
      <c r="K320" s="146"/>
      <c r="L320" s="146"/>
      <c r="M320" s="146"/>
      <c r="N320" s="256"/>
      <c r="O320" s="750" t="s">
        <v>759</v>
      </c>
      <c r="P320" s="750"/>
      <c r="Q320" s="750"/>
    </row>
    <row r="321" spans="1:17">
      <c r="A321" s="254" t="s">
        <v>98</v>
      </c>
      <c r="B321" s="253"/>
      <c r="C321" s="253"/>
      <c r="D321" s="253"/>
      <c r="E321" s="253"/>
      <c r="F321" s="253"/>
      <c r="G321" s="253"/>
      <c r="H321" s="253"/>
      <c r="I321" s="253"/>
      <c r="J321" s="253"/>
      <c r="K321" s="253"/>
      <c r="L321" s="253"/>
      <c r="M321" s="253"/>
      <c r="N321" s="253"/>
      <c r="O321" s="253"/>
      <c r="P321" s="253"/>
      <c r="Q321" s="253"/>
    </row>
    <row r="322" spans="1:17">
      <c r="A322" s="252" t="s">
        <v>1101</v>
      </c>
      <c r="B322" s="252"/>
      <c r="C322" s="252"/>
      <c r="D322" s="252"/>
      <c r="E322" s="252"/>
      <c r="F322" s="252"/>
      <c r="G322" s="252"/>
      <c r="H322" s="252"/>
      <c r="I322" s="252"/>
      <c r="J322" s="252"/>
      <c r="K322" s="252"/>
      <c r="L322" s="252"/>
      <c r="M322" s="252"/>
      <c r="N322" s="252"/>
      <c r="O322" s="252"/>
      <c r="P322" s="252"/>
      <c r="Q322" s="252"/>
    </row>
    <row r="323" spans="1:17">
      <c r="A323" s="252"/>
      <c r="B323" s="252"/>
      <c r="C323" s="252"/>
      <c r="D323" s="252"/>
      <c r="E323" s="252"/>
      <c r="F323" s="252"/>
      <c r="G323" s="252"/>
      <c r="H323" s="252"/>
      <c r="I323" s="252"/>
      <c r="J323" s="252"/>
      <c r="K323" s="252"/>
      <c r="L323" s="252"/>
      <c r="M323" s="252"/>
      <c r="N323" s="252"/>
      <c r="O323" s="252"/>
      <c r="P323" s="252"/>
      <c r="Q323" s="252"/>
    </row>
    <row r="324" spans="1:17">
      <c r="A324" s="254" t="s">
        <v>865</v>
      </c>
      <c r="B324" s="253"/>
      <c r="C324" s="253"/>
      <c r="D324" s="253"/>
      <c r="E324" s="253"/>
      <c r="F324" s="253"/>
      <c r="G324" s="253"/>
      <c r="H324" s="253"/>
      <c r="I324" s="253"/>
      <c r="J324" s="253"/>
      <c r="K324" s="253"/>
      <c r="L324" s="253"/>
      <c r="M324" s="253"/>
      <c r="N324" s="253"/>
      <c r="O324" s="253"/>
      <c r="P324" s="253"/>
      <c r="Q324" s="253"/>
    </row>
    <row r="325" spans="1:17">
      <c r="A325" s="252"/>
      <c r="B325" s="252"/>
      <c r="C325" s="252"/>
      <c r="D325" s="252"/>
      <c r="E325" s="252"/>
      <c r="F325" s="252"/>
      <c r="G325" s="252"/>
      <c r="H325" s="252"/>
      <c r="I325" s="252"/>
      <c r="J325" s="252"/>
      <c r="K325" s="252"/>
      <c r="L325" s="252"/>
      <c r="M325" s="252"/>
      <c r="N325" s="252"/>
      <c r="O325" s="252"/>
      <c r="P325" s="252"/>
      <c r="Q325" s="252"/>
    </row>
    <row r="328" spans="1:17">
      <c r="A328" s="146" t="s">
        <v>1161</v>
      </c>
      <c r="B328" s="146"/>
      <c r="C328" s="146"/>
      <c r="D328" s="146"/>
      <c r="E328" s="146"/>
      <c r="F328" s="146"/>
      <c r="G328" s="146"/>
      <c r="H328" s="146"/>
      <c r="I328" s="146"/>
      <c r="J328" s="146"/>
      <c r="K328" s="146"/>
      <c r="L328" s="146"/>
      <c r="M328" s="146"/>
      <c r="N328" s="256"/>
      <c r="O328" s="750" t="s">
        <v>759</v>
      </c>
      <c r="P328" s="750"/>
      <c r="Q328" s="750"/>
    </row>
    <row r="329" spans="1:17">
      <c r="A329" s="254" t="s">
        <v>98</v>
      </c>
      <c r="B329" s="253"/>
      <c r="C329" s="253"/>
      <c r="D329" s="253"/>
      <c r="E329" s="253"/>
      <c r="F329" s="253"/>
      <c r="G329" s="253"/>
      <c r="H329" s="253"/>
      <c r="I329" s="253"/>
      <c r="J329" s="253"/>
      <c r="K329" s="253"/>
      <c r="L329" s="253"/>
      <c r="M329" s="253"/>
      <c r="N329" s="253"/>
      <c r="O329" s="253"/>
      <c r="P329" s="253"/>
      <c r="Q329" s="253"/>
    </row>
    <row r="330" spans="1:17">
      <c r="A330" s="252" t="s">
        <v>1162</v>
      </c>
      <c r="B330" s="252"/>
      <c r="C330" s="252"/>
      <c r="D330" s="252"/>
      <c r="E330" s="252"/>
      <c r="F330" s="252"/>
      <c r="G330" s="252"/>
      <c r="H330" s="252"/>
      <c r="I330" s="252"/>
      <c r="J330" s="252"/>
      <c r="K330" s="252"/>
      <c r="L330" s="252"/>
      <c r="M330" s="252"/>
      <c r="N330" s="252"/>
      <c r="O330" s="252" t="s">
        <v>1060</v>
      </c>
      <c r="P330" s="252"/>
      <c r="Q330" s="252"/>
    </row>
    <row r="331" spans="1:17">
      <c r="A331" s="252" t="s">
        <v>1163</v>
      </c>
      <c r="B331" s="252"/>
      <c r="C331" s="252"/>
      <c r="D331" s="252"/>
      <c r="E331" s="252"/>
      <c r="F331" s="252"/>
      <c r="G331" s="252"/>
      <c r="H331" s="252"/>
      <c r="I331" s="252"/>
      <c r="J331" s="252"/>
      <c r="K331" s="252"/>
      <c r="L331" s="252"/>
      <c r="M331" s="252"/>
      <c r="N331" s="252"/>
      <c r="O331" s="252" t="s">
        <v>1164</v>
      </c>
      <c r="P331" s="252"/>
      <c r="Q331" s="252"/>
    </row>
    <row r="332" spans="1:17">
      <c r="A332" s="254" t="s">
        <v>865</v>
      </c>
      <c r="B332" s="253"/>
      <c r="C332" s="253"/>
      <c r="D332" s="253"/>
      <c r="E332" s="253"/>
      <c r="F332" s="253"/>
      <c r="G332" s="253"/>
      <c r="H332" s="253"/>
      <c r="I332" s="253"/>
      <c r="J332" s="253"/>
      <c r="K332" s="253"/>
      <c r="L332" s="253"/>
      <c r="M332" s="253"/>
      <c r="N332" s="253"/>
      <c r="O332" s="253"/>
      <c r="P332" s="253"/>
      <c r="Q332" s="253"/>
    </row>
    <row r="333" spans="1:17">
      <c r="A333" s="252"/>
      <c r="B333" s="252"/>
      <c r="C333" s="252"/>
      <c r="D333" s="252"/>
      <c r="E333" s="252"/>
      <c r="F333" s="252"/>
      <c r="G333" s="252"/>
      <c r="H333" s="252"/>
      <c r="I333" s="252"/>
      <c r="J333" s="252"/>
      <c r="K333" s="252"/>
      <c r="L333" s="252"/>
      <c r="M333" s="252"/>
      <c r="N333" s="252"/>
      <c r="O333" s="252"/>
      <c r="P333" s="252"/>
      <c r="Q333" s="252"/>
    </row>
  </sheetData>
  <mergeCells count="19">
    <mergeCell ref="A29:A30"/>
    <mergeCell ref="B29:B32"/>
    <mergeCell ref="C29:C30"/>
    <mergeCell ref="D29:D30"/>
    <mergeCell ref="O217:Q217"/>
    <mergeCell ref="O202:Q202"/>
    <mergeCell ref="O175:Q175"/>
    <mergeCell ref="E29:E30"/>
    <mergeCell ref="O328:Q328"/>
    <mergeCell ref="O320:Q320"/>
    <mergeCell ref="O312:Q312"/>
    <mergeCell ref="O301:Q301"/>
    <mergeCell ref="B26:B28"/>
    <mergeCell ref="O233:Q233"/>
    <mergeCell ref="O291:Q291"/>
    <mergeCell ref="O267:Q267"/>
    <mergeCell ref="O277:Q277"/>
    <mergeCell ref="O255:Q255"/>
    <mergeCell ref="O244:Q244"/>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039BA-9708-4E5A-8A28-BA1158D2B9D8}">
  <sheetPr codeName="Sheet3"/>
  <dimension ref="A1:AE403"/>
  <sheetViews>
    <sheetView topLeftCell="J74" zoomScale="99" zoomScaleNormal="99" workbookViewId="0">
      <selection activeCell="N90" sqref="N90"/>
    </sheetView>
  </sheetViews>
  <sheetFormatPr defaultColWidth="11.5546875" defaultRowHeight="13.2"/>
  <cols>
    <col min="1" max="1" width="26" customWidth="1"/>
    <col min="2" max="2" width="25.88671875" customWidth="1"/>
    <col min="3" max="3" width="27.88671875" customWidth="1"/>
    <col min="4" max="4" width="25.6640625" customWidth="1"/>
    <col min="5" max="5" width="26.6640625" customWidth="1"/>
    <col min="6" max="6" width="25.88671875" customWidth="1"/>
    <col min="7" max="7" width="39.33203125" customWidth="1"/>
    <col min="8" max="8" width="48" customWidth="1"/>
    <col min="9" max="9" width="38.88671875" customWidth="1"/>
    <col min="10" max="10" width="47.5546875" customWidth="1"/>
    <col min="11" max="11" width="25.88671875" bestFit="1" customWidth="1"/>
    <col min="12" max="12" width="22.109375" bestFit="1" customWidth="1"/>
    <col min="13" max="13" width="25.88671875" bestFit="1" customWidth="1"/>
    <col min="14" max="14" width="25.33203125" customWidth="1"/>
    <col min="15" max="15" width="25.6640625" bestFit="1" customWidth="1"/>
    <col min="16" max="16" width="25.44140625" customWidth="1"/>
    <col min="17" max="17" width="25.88671875" bestFit="1" customWidth="1"/>
    <col min="18" max="19" width="34.33203125" customWidth="1"/>
    <col min="20" max="20" width="34.44140625" style="303" customWidth="1"/>
    <col min="21" max="21" width="18.33203125" style="303" customWidth="1"/>
    <col min="22" max="22" width="17.33203125" style="303" customWidth="1"/>
    <col min="23" max="23" width="16.5546875" customWidth="1"/>
    <col min="24" max="24" width="18.109375" customWidth="1"/>
    <col min="25" max="25" width="16.44140625" customWidth="1"/>
    <col min="26" max="26" width="18.6640625" customWidth="1"/>
    <col min="27" max="27" width="19.88671875" customWidth="1"/>
    <col min="28" max="28" width="17.6640625" customWidth="1"/>
    <col min="29" max="29" width="18.109375" customWidth="1"/>
    <col min="30" max="30" width="14.33203125" customWidth="1"/>
    <col min="31" max="31" width="13.88671875" customWidth="1"/>
  </cols>
  <sheetData>
    <row r="1" spans="1:25">
      <c r="T1"/>
      <c r="W1" s="303"/>
    </row>
    <row r="2" spans="1:25">
      <c r="T2"/>
      <c r="W2" s="303"/>
    </row>
    <row r="3" spans="1:25" ht="13.8">
      <c r="B3" s="72" t="s">
        <v>226</v>
      </c>
      <c r="T3"/>
      <c r="U3"/>
      <c r="W3" s="303"/>
      <c r="X3" s="303"/>
    </row>
    <row r="4" spans="1:25">
      <c r="S4" s="160"/>
      <c r="T4"/>
      <c r="U4"/>
      <c r="V4"/>
      <c r="W4" s="303"/>
      <c r="X4" s="303"/>
      <c r="Y4" s="303"/>
    </row>
    <row r="5" spans="1:25">
      <c r="A5" t="s">
        <v>1072</v>
      </c>
      <c r="B5" t="s">
        <v>1073</v>
      </c>
      <c r="C5" s="71" t="s">
        <v>227</v>
      </c>
      <c r="D5" s="71" t="s">
        <v>25</v>
      </c>
      <c r="E5" s="71" t="s">
        <v>29</v>
      </c>
      <c r="F5" s="71" t="s">
        <v>290</v>
      </c>
      <c r="G5" t="s">
        <v>81</v>
      </c>
      <c r="H5" t="s">
        <v>87</v>
      </c>
      <c r="I5" t="s">
        <v>442</v>
      </c>
      <c r="J5" t="s">
        <v>940</v>
      </c>
      <c r="K5" t="s">
        <v>470</v>
      </c>
      <c r="L5" t="s">
        <v>471</v>
      </c>
      <c r="M5" t="s">
        <v>660</v>
      </c>
      <c r="N5" t="s">
        <v>871</v>
      </c>
      <c r="O5" t="s">
        <v>937</v>
      </c>
      <c r="P5" t="s">
        <v>939</v>
      </c>
      <c r="Q5" t="s">
        <v>244</v>
      </c>
      <c r="S5" t="s">
        <v>853</v>
      </c>
      <c r="T5"/>
      <c r="W5" s="303"/>
    </row>
    <row r="6" spans="1:25" ht="26.4">
      <c r="A6" s="273" t="s">
        <v>1146</v>
      </c>
      <c r="B6" s="273" t="s">
        <v>1146</v>
      </c>
      <c r="C6" t="s">
        <v>239</v>
      </c>
      <c r="D6" t="s">
        <v>26</v>
      </c>
      <c r="E6" t="s">
        <v>287</v>
      </c>
      <c r="F6" t="s">
        <v>83</v>
      </c>
      <c r="G6" t="s">
        <v>64</v>
      </c>
      <c r="H6" t="s">
        <v>64</v>
      </c>
      <c r="I6" t="s">
        <v>580</v>
      </c>
      <c r="J6" t="s">
        <v>64</v>
      </c>
      <c r="K6" t="s">
        <v>64</v>
      </c>
      <c r="L6">
        <v>1</v>
      </c>
      <c r="M6" s="174" t="s">
        <v>942</v>
      </c>
      <c r="N6" t="s">
        <v>872</v>
      </c>
      <c r="O6" t="s">
        <v>938</v>
      </c>
      <c r="P6" t="s">
        <v>64</v>
      </c>
      <c r="Q6" t="s">
        <v>247</v>
      </c>
      <c r="S6">
        <f>IF(  COUNTIFS(Dropdowns!C26:C31, Parameter_Template!G14) +COUNTIF(Dropdowns!D10:D11, Parameter_Template!G15)&gt;0, 1, 0)</f>
        <v>1</v>
      </c>
      <c r="T6"/>
      <c r="W6" s="303"/>
    </row>
    <row r="7" spans="1:25">
      <c r="A7" s="501" t="s">
        <v>1075</v>
      </c>
      <c r="B7" s="501" t="s">
        <v>1075</v>
      </c>
      <c r="C7" t="s">
        <v>231</v>
      </c>
      <c r="D7" t="s">
        <v>27</v>
      </c>
      <c r="E7" t="s">
        <v>288</v>
      </c>
      <c r="F7" t="s">
        <v>84</v>
      </c>
      <c r="G7" t="s">
        <v>65</v>
      </c>
      <c r="H7" t="s">
        <v>65</v>
      </c>
      <c r="I7" t="s">
        <v>624</v>
      </c>
      <c r="J7" t="s">
        <v>65</v>
      </c>
      <c r="K7" t="s">
        <v>65</v>
      </c>
      <c r="L7">
        <v>2</v>
      </c>
      <c r="M7" t="s">
        <v>656</v>
      </c>
      <c r="N7" t="s">
        <v>873</v>
      </c>
      <c r="O7" t="s">
        <v>249</v>
      </c>
      <c r="P7" t="s">
        <v>65</v>
      </c>
      <c r="Q7" t="s">
        <v>245</v>
      </c>
      <c r="T7"/>
      <c r="W7" s="303"/>
    </row>
    <row r="8" spans="1:25">
      <c r="A8" s="502" t="s">
        <v>1074</v>
      </c>
      <c r="B8" s="502" t="s">
        <v>1074</v>
      </c>
      <c r="C8" t="s">
        <v>232</v>
      </c>
      <c r="D8" t="s">
        <v>28</v>
      </c>
      <c r="E8" t="s">
        <v>32</v>
      </c>
      <c r="F8" t="s">
        <v>85</v>
      </c>
      <c r="G8" t="s">
        <v>340</v>
      </c>
      <c r="I8" t="s">
        <v>662</v>
      </c>
      <c r="L8">
        <v>3</v>
      </c>
      <c r="M8" t="s">
        <v>658</v>
      </c>
      <c r="Q8" t="s">
        <v>246</v>
      </c>
      <c r="T8"/>
      <c r="W8" s="303"/>
    </row>
    <row r="9" spans="1:25">
      <c r="A9" t="s">
        <v>1102</v>
      </c>
      <c r="B9" t="s">
        <v>1102</v>
      </c>
      <c r="C9" t="s">
        <v>233</v>
      </c>
      <c r="D9" t="s">
        <v>932</v>
      </c>
      <c r="F9" t="s">
        <v>89</v>
      </c>
      <c r="I9" t="s">
        <v>629</v>
      </c>
      <c r="M9" t="s">
        <v>657</v>
      </c>
      <c r="R9" s="284"/>
      <c r="S9" t="s">
        <v>860</v>
      </c>
      <c r="T9"/>
      <c r="U9"/>
      <c r="W9" s="303"/>
      <c r="X9" s="303"/>
    </row>
    <row r="10" spans="1:25">
      <c r="C10" t="s">
        <v>234</v>
      </c>
      <c r="D10" t="s">
        <v>849</v>
      </c>
      <c r="I10" t="s">
        <v>775</v>
      </c>
      <c r="M10" s="174" t="s">
        <v>659</v>
      </c>
      <c r="R10" s="160"/>
      <c r="S10" t="b">
        <f>IF(  COUNTIFS(Dropdowns!C26:C31, Parameter_Template!G14) &gt;0, TRUE, FALSE)</f>
        <v>0</v>
      </c>
      <c r="T10"/>
      <c r="U10"/>
      <c r="W10" s="303"/>
      <c r="X10" s="303"/>
    </row>
    <row r="11" spans="1:25">
      <c r="C11" t="s">
        <v>235</v>
      </c>
      <c r="D11" t="s">
        <v>850</v>
      </c>
      <c r="I11" t="s">
        <v>811</v>
      </c>
      <c r="R11" s="284"/>
      <c r="T11"/>
      <c r="U11"/>
      <c r="W11" s="303"/>
      <c r="X11" s="303"/>
    </row>
    <row r="12" spans="1:25">
      <c r="C12" t="s">
        <v>236</v>
      </c>
      <c r="D12" t="s">
        <v>229</v>
      </c>
      <c r="R12" s="160"/>
      <c r="T12"/>
      <c r="U12"/>
      <c r="W12" s="303"/>
      <c r="X12" s="303"/>
    </row>
    <row r="13" spans="1:25">
      <c r="C13" t="s">
        <v>237</v>
      </c>
      <c r="D13" t="s">
        <v>356</v>
      </c>
      <c r="R13" s="284"/>
      <c r="T13"/>
      <c r="U13"/>
      <c r="W13" s="303"/>
      <c r="X13" s="303"/>
    </row>
    <row r="14" spans="1:25">
      <c r="C14" s="285" t="s">
        <v>725</v>
      </c>
      <c r="D14" t="s">
        <v>898</v>
      </c>
      <c r="R14" s="160"/>
      <c r="T14"/>
      <c r="U14"/>
      <c r="W14" s="303"/>
      <c r="X14" s="303"/>
    </row>
    <row r="15" spans="1:25">
      <c r="C15" t="s">
        <v>296</v>
      </c>
      <c r="D15" t="s">
        <v>899</v>
      </c>
      <c r="R15" s="284"/>
      <c r="T15"/>
      <c r="U15"/>
      <c r="W15" s="303"/>
      <c r="X15" s="303"/>
    </row>
    <row r="16" spans="1:25">
      <c r="C16" t="s">
        <v>297</v>
      </c>
      <c r="D16" t="s">
        <v>1047</v>
      </c>
      <c r="R16" s="160"/>
      <c r="T16"/>
      <c r="U16"/>
      <c r="W16" s="303"/>
      <c r="X16" s="303"/>
    </row>
    <row r="17" spans="3:24">
      <c r="C17" t="s">
        <v>298</v>
      </c>
      <c r="D17" t="s">
        <v>1048</v>
      </c>
      <c r="E17" s="286"/>
      <c r="R17" s="284"/>
      <c r="T17"/>
      <c r="U17"/>
      <c r="W17" s="303"/>
      <c r="X17" s="303"/>
    </row>
    <row r="18" spans="3:24">
      <c r="C18" t="s">
        <v>299</v>
      </c>
      <c r="R18" s="284"/>
      <c r="T18"/>
      <c r="U18"/>
      <c r="W18" s="303"/>
      <c r="X18" s="303"/>
    </row>
    <row r="19" spans="3:24">
      <c r="C19" t="s">
        <v>300</v>
      </c>
      <c r="R19" s="160"/>
      <c r="T19"/>
      <c r="U19"/>
      <c r="W19" s="303"/>
      <c r="X19" s="303"/>
    </row>
    <row r="20" spans="3:24">
      <c r="C20" t="s">
        <v>301</v>
      </c>
      <c r="R20" s="284"/>
      <c r="T20"/>
      <c r="U20"/>
      <c r="W20" s="303"/>
      <c r="X20" s="303"/>
    </row>
    <row r="21" spans="3:24">
      <c r="C21" t="s">
        <v>302</v>
      </c>
      <c r="R21" s="160"/>
      <c r="T21"/>
      <c r="U21"/>
      <c r="W21" s="303"/>
      <c r="X21" s="303"/>
    </row>
    <row r="22" spans="3:24">
      <c r="C22" t="s">
        <v>303</v>
      </c>
      <c r="R22" s="161"/>
      <c r="T22"/>
      <c r="U22"/>
      <c r="W22" s="303"/>
      <c r="X22" s="303"/>
    </row>
    <row r="23" spans="3:24">
      <c r="C23" t="s">
        <v>876</v>
      </c>
      <c r="R23" s="178"/>
      <c r="T23"/>
      <c r="U23"/>
      <c r="W23" s="303"/>
      <c r="X23" s="303"/>
    </row>
    <row r="24" spans="3:24">
      <c r="C24" t="s">
        <v>877</v>
      </c>
      <c r="R24" s="178"/>
      <c r="T24"/>
      <c r="U24"/>
      <c r="W24" s="303"/>
      <c r="X24" s="303"/>
    </row>
    <row r="25" spans="3:24">
      <c r="C25" t="s">
        <v>878</v>
      </c>
      <c r="R25" s="178"/>
      <c r="T25"/>
      <c r="U25"/>
      <c r="W25" s="303"/>
      <c r="X25" s="303"/>
    </row>
    <row r="26" spans="3:24">
      <c r="C26" t="s">
        <v>843</v>
      </c>
      <c r="R26" s="178"/>
      <c r="T26"/>
      <c r="U26"/>
      <c r="W26" s="303"/>
      <c r="X26" s="303"/>
    </row>
    <row r="27" spans="3:24">
      <c r="C27" t="s">
        <v>844</v>
      </c>
      <c r="R27" s="5"/>
      <c r="T27"/>
      <c r="U27"/>
      <c r="W27" s="303"/>
      <c r="X27" s="303"/>
    </row>
    <row r="28" spans="3:24">
      <c r="C28" t="s">
        <v>845</v>
      </c>
      <c r="R28" s="5"/>
      <c r="T28"/>
      <c r="U28"/>
      <c r="W28" s="303"/>
      <c r="X28" s="303"/>
    </row>
    <row r="29" spans="3:24">
      <c r="C29" t="s">
        <v>846</v>
      </c>
      <c r="R29" s="5"/>
      <c r="T29"/>
      <c r="U29"/>
      <c r="W29" s="303"/>
      <c r="X29" s="303"/>
    </row>
    <row r="30" spans="3:24">
      <c r="C30" t="s">
        <v>847</v>
      </c>
      <c r="R30" s="5"/>
      <c r="T30"/>
      <c r="U30"/>
      <c r="W30" s="303"/>
      <c r="X30" s="303"/>
    </row>
    <row r="31" spans="3:24">
      <c r="C31" t="s">
        <v>848</v>
      </c>
      <c r="R31" s="5"/>
      <c r="T31"/>
      <c r="U31"/>
      <c r="W31" s="303"/>
      <c r="X31" s="303"/>
    </row>
    <row r="32" spans="3:24">
      <c r="C32" t="s">
        <v>249</v>
      </c>
      <c r="R32" s="5"/>
      <c r="T32"/>
      <c r="U32"/>
      <c r="W32" s="303"/>
      <c r="X32" s="303"/>
    </row>
    <row r="33" spans="1:29">
      <c r="R33" s="5"/>
      <c r="T33"/>
      <c r="U33"/>
      <c r="W33" s="303"/>
      <c r="X33" s="303"/>
    </row>
    <row r="34" spans="1:29">
      <c r="T34"/>
      <c r="U34"/>
      <c r="W34" s="303"/>
      <c r="X34" s="303"/>
    </row>
    <row r="36" spans="1:29">
      <c r="A36" t="s">
        <v>238</v>
      </c>
      <c r="R36" s="303"/>
      <c r="S36" s="303"/>
      <c r="U36"/>
      <c r="V36"/>
    </row>
    <row r="37" spans="1:29">
      <c r="A37" t="s">
        <v>239</v>
      </c>
      <c r="B37" t="s">
        <v>231</v>
      </c>
      <c r="C37" t="s">
        <v>232</v>
      </c>
      <c r="D37" t="s">
        <v>233</v>
      </c>
      <c r="E37" t="s">
        <v>234</v>
      </c>
      <c r="F37" t="s">
        <v>235</v>
      </c>
      <c r="G37" t="s">
        <v>236</v>
      </c>
      <c r="H37" t="s">
        <v>237</v>
      </c>
      <c r="I37" t="s">
        <v>296</v>
      </c>
      <c r="J37" t="s">
        <v>297</v>
      </c>
      <c r="K37" t="s">
        <v>298</v>
      </c>
      <c r="L37" t="s">
        <v>299</v>
      </c>
      <c r="M37" t="s">
        <v>725</v>
      </c>
      <c r="N37" t="s">
        <v>300</v>
      </c>
      <c r="O37" t="s">
        <v>301</v>
      </c>
      <c r="P37" t="s">
        <v>302</v>
      </c>
      <c r="Q37" t="s">
        <v>303</v>
      </c>
      <c r="R37" s="45" t="s">
        <v>876</v>
      </c>
      <c r="S37" s="45" t="s">
        <v>877</v>
      </c>
      <c r="T37" s="45" t="s">
        <v>878</v>
      </c>
      <c r="U37" t="s">
        <v>843</v>
      </c>
      <c r="V37" t="s">
        <v>844</v>
      </c>
      <c r="W37" t="s">
        <v>845</v>
      </c>
      <c r="X37" t="s">
        <v>846</v>
      </c>
      <c r="Y37" t="s">
        <v>847</v>
      </c>
      <c r="Z37" t="s">
        <v>848</v>
      </c>
      <c r="AA37" s="250" t="s">
        <v>249</v>
      </c>
      <c r="AC37" s="487" t="s">
        <v>1066</v>
      </c>
    </row>
    <row r="38" spans="1:29">
      <c r="A38" s="285" t="s">
        <v>26</v>
      </c>
      <c r="B38" s="285" t="s">
        <v>26</v>
      </c>
      <c r="C38" s="285" t="s">
        <v>26</v>
      </c>
      <c r="D38" s="285" t="s">
        <v>26</v>
      </c>
      <c r="E38" s="285" t="s">
        <v>26</v>
      </c>
      <c r="F38" s="285" t="s">
        <v>26</v>
      </c>
      <c r="G38" s="285" t="s">
        <v>26</v>
      </c>
      <c r="H38" s="285" t="s">
        <v>229</v>
      </c>
      <c r="I38" s="285" t="s">
        <v>26</v>
      </c>
      <c r="J38" s="285" t="s">
        <v>26</v>
      </c>
      <c r="K38" s="285" t="s">
        <v>26</v>
      </c>
      <c r="L38" s="285" t="s">
        <v>26</v>
      </c>
      <c r="M38" s="285" t="s">
        <v>26</v>
      </c>
      <c r="N38" s="285" t="s">
        <v>26</v>
      </c>
      <c r="O38" s="285" t="s">
        <v>26</v>
      </c>
      <c r="P38" s="285" t="s">
        <v>26</v>
      </c>
      <c r="Q38" s="285" t="s">
        <v>26</v>
      </c>
      <c r="R38" s="285" t="s">
        <v>26</v>
      </c>
      <c r="S38" s="285" t="s">
        <v>26</v>
      </c>
      <c r="T38" s="285" t="s">
        <v>26</v>
      </c>
      <c r="U38" s="285" t="s">
        <v>498</v>
      </c>
      <c r="V38" s="285" t="s">
        <v>498</v>
      </c>
      <c r="W38" s="285" t="s">
        <v>498</v>
      </c>
      <c r="X38" s="285" t="s">
        <v>498</v>
      </c>
      <c r="Y38" s="285" t="s">
        <v>498</v>
      </c>
      <c r="Z38" s="285" t="s">
        <v>498</v>
      </c>
      <c r="AA38" s="285" t="s">
        <v>26</v>
      </c>
      <c r="AC38" t="str" cm="1">
        <f t="array" aca="1" ref="AC38:AC47" ca="1">_xlfn._xlws.FILTER(INDIRECT("tab_actuation["&amp;Parameter_Template!$G$14&amp;"]"),INDIRECT("tab_actuation["&amp;Parameter_Template!$G$14&amp;"]")&lt;&gt;"")</f>
        <v>Vacuum Booster</v>
      </c>
    </row>
    <row r="39" spans="1:29">
      <c r="A39" s="287" t="s">
        <v>27</v>
      </c>
      <c r="B39" s="287" t="s">
        <v>27</v>
      </c>
      <c r="C39" s="287" t="s">
        <v>27</v>
      </c>
      <c r="D39" s="287" t="s">
        <v>27</v>
      </c>
      <c r="E39" s="287" t="s">
        <v>27</v>
      </c>
      <c r="F39" s="287" t="s">
        <v>27</v>
      </c>
      <c r="G39" s="287" t="s">
        <v>356</v>
      </c>
      <c r="H39" s="287"/>
      <c r="I39" s="287" t="s">
        <v>28</v>
      </c>
      <c r="J39" s="287" t="s">
        <v>28</v>
      </c>
      <c r="K39" s="287" t="s">
        <v>28</v>
      </c>
      <c r="L39" s="287" t="s">
        <v>28</v>
      </c>
      <c r="M39" s="287" t="s">
        <v>28</v>
      </c>
      <c r="N39" s="287" t="s">
        <v>28</v>
      </c>
      <c r="O39" s="287" t="s">
        <v>28</v>
      </c>
      <c r="P39" s="287" t="s">
        <v>28</v>
      </c>
      <c r="Q39" s="287" t="s">
        <v>28</v>
      </c>
      <c r="R39" s="287" t="s">
        <v>356</v>
      </c>
      <c r="S39" s="287" t="s">
        <v>356</v>
      </c>
      <c r="T39" s="287" t="s">
        <v>356</v>
      </c>
      <c r="U39" s="287"/>
      <c r="V39" s="287"/>
      <c r="W39" s="287"/>
      <c r="X39" s="287"/>
      <c r="Y39" s="287"/>
      <c r="Z39" s="287"/>
      <c r="AA39" s="287" t="s">
        <v>27</v>
      </c>
      <c r="AC39" t="str">
        <f ca="1"/>
        <v>iBoosterGen2</v>
      </c>
    </row>
    <row r="40" spans="1:29">
      <c r="A40" s="285" t="s">
        <v>28</v>
      </c>
      <c r="B40" s="285" t="s">
        <v>28</v>
      </c>
      <c r="C40" s="285" t="s">
        <v>28</v>
      </c>
      <c r="D40" s="285" t="s">
        <v>28</v>
      </c>
      <c r="E40" s="285" t="s">
        <v>28</v>
      </c>
      <c r="F40" s="285" t="s">
        <v>28</v>
      </c>
      <c r="G40" s="285"/>
      <c r="H40" s="285"/>
      <c r="I40" s="285" t="s">
        <v>932</v>
      </c>
      <c r="J40" s="285" t="s">
        <v>932</v>
      </c>
      <c r="K40" s="285" t="s">
        <v>932</v>
      </c>
      <c r="L40" s="285" t="s">
        <v>932</v>
      </c>
      <c r="M40" s="285" t="s">
        <v>932</v>
      </c>
      <c r="N40" s="285" t="s">
        <v>932</v>
      </c>
      <c r="O40" s="285" t="s">
        <v>932</v>
      </c>
      <c r="P40" s="285" t="s">
        <v>1047</v>
      </c>
      <c r="Q40" s="285" t="s">
        <v>1047</v>
      </c>
      <c r="R40" s="285" t="s">
        <v>850</v>
      </c>
      <c r="S40" s="285" t="s">
        <v>850</v>
      </c>
      <c r="T40" s="285" t="s">
        <v>850</v>
      </c>
      <c r="U40" s="285"/>
      <c r="V40" s="285"/>
      <c r="W40" s="285"/>
      <c r="X40" s="285"/>
      <c r="Y40" s="285"/>
      <c r="Z40" s="285"/>
      <c r="AA40" s="285" t="s">
        <v>28</v>
      </c>
      <c r="AC40" t="str">
        <f ca="1"/>
        <v>iBoosterGen2evo</v>
      </c>
    </row>
    <row r="41" spans="1:29">
      <c r="A41" s="287" t="s">
        <v>932</v>
      </c>
      <c r="B41" s="287" t="s">
        <v>932</v>
      </c>
      <c r="C41" s="287" t="s">
        <v>1047</v>
      </c>
      <c r="D41" s="287" t="s">
        <v>932</v>
      </c>
      <c r="E41" s="287" t="s">
        <v>932</v>
      </c>
      <c r="F41" s="287" t="s">
        <v>1047</v>
      </c>
      <c r="G41" s="287"/>
      <c r="H41" s="287"/>
      <c r="I41" s="287" t="s">
        <v>1047</v>
      </c>
      <c r="J41" s="287" t="s">
        <v>1047</v>
      </c>
      <c r="K41" s="287" t="s">
        <v>1047</v>
      </c>
      <c r="L41" s="287" t="s">
        <v>1047</v>
      </c>
      <c r="M41" s="287" t="s">
        <v>1047</v>
      </c>
      <c r="N41" s="287" t="s">
        <v>1047</v>
      </c>
      <c r="O41" s="287" t="s">
        <v>1047</v>
      </c>
      <c r="P41" s="287" t="s">
        <v>1048</v>
      </c>
      <c r="Q41" s="287" t="s">
        <v>1048</v>
      </c>
      <c r="R41" s="287" t="s">
        <v>850</v>
      </c>
      <c r="S41" s="287" t="s">
        <v>850</v>
      </c>
      <c r="T41" s="287" t="s">
        <v>850</v>
      </c>
      <c r="U41" s="287"/>
      <c r="V41" s="287"/>
      <c r="W41" s="287"/>
      <c r="X41" s="287"/>
      <c r="Y41" s="287"/>
      <c r="Z41" s="287"/>
      <c r="AA41" s="287" t="s">
        <v>932</v>
      </c>
      <c r="AC41" t="str">
        <f ca="1"/>
        <v>competitor coupled electrical actuation</v>
      </c>
    </row>
    <row r="42" spans="1:29">
      <c r="A42" s="285" t="s">
        <v>1047</v>
      </c>
      <c r="B42" s="285" t="s">
        <v>1047</v>
      </c>
      <c r="C42" s="285" t="s">
        <v>1048</v>
      </c>
      <c r="D42" s="285" t="s">
        <v>1047</v>
      </c>
      <c r="E42" s="285"/>
      <c r="F42" s="285" t="s">
        <v>1048</v>
      </c>
      <c r="G42" s="285"/>
      <c r="H42" s="285"/>
      <c r="I42" s="285" t="s">
        <v>1048</v>
      </c>
      <c r="J42" s="285" t="s">
        <v>1048</v>
      </c>
      <c r="K42" s="285" t="s">
        <v>1048</v>
      </c>
      <c r="L42" s="285" t="s">
        <v>1048</v>
      </c>
      <c r="M42" s="285" t="s">
        <v>1048</v>
      </c>
      <c r="N42" s="285" t="s">
        <v>1048</v>
      </c>
      <c r="O42" s="285" t="s">
        <v>1048</v>
      </c>
      <c r="P42" s="285" t="s">
        <v>283</v>
      </c>
      <c r="Q42" s="285"/>
      <c r="R42" s="285"/>
      <c r="S42" s="285"/>
      <c r="T42" s="285"/>
      <c r="U42" s="285"/>
      <c r="V42" s="285"/>
      <c r="W42" s="285"/>
      <c r="X42" s="285"/>
      <c r="Y42" s="285"/>
      <c r="Z42" s="285"/>
      <c r="AA42" s="285" t="s">
        <v>229</v>
      </c>
      <c r="AC42" t="str">
        <f ca="1"/>
        <v>competitor decoupled electrical actuation</v>
      </c>
    </row>
    <row r="43" spans="1:29">
      <c r="A43" s="287" t="s">
        <v>1048</v>
      </c>
      <c r="B43" s="287" t="s">
        <v>1048</v>
      </c>
      <c r="C43" s="287" t="s">
        <v>283</v>
      </c>
      <c r="D43" s="287" t="s">
        <v>1048</v>
      </c>
      <c r="E43" s="287"/>
      <c r="F43" s="287"/>
      <c r="G43" s="287"/>
      <c r="H43" s="287"/>
      <c r="I43" s="287" t="s">
        <v>849</v>
      </c>
      <c r="J43" s="287"/>
      <c r="K43" s="287" t="s">
        <v>849</v>
      </c>
      <c r="L43" s="287"/>
      <c r="M43" s="287" t="s">
        <v>849</v>
      </c>
      <c r="N43" s="287" t="s">
        <v>849</v>
      </c>
      <c r="O43" s="287"/>
      <c r="P43" s="287"/>
      <c r="Q43" s="287"/>
      <c r="R43" s="287"/>
      <c r="S43" s="287"/>
      <c r="T43" s="287"/>
      <c r="U43" s="287"/>
      <c r="V43" s="287"/>
      <c r="W43" s="287"/>
      <c r="X43" s="287"/>
      <c r="Y43" s="287"/>
      <c r="Z43" s="287"/>
      <c r="AA43" s="287" t="s">
        <v>356</v>
      </c>
      <c r="AC43" t="str">
        <f ca="1"/>
        <v>DPB Size M</v>
      </c>
    </row>
    <row r="44" spans="1:29">
      <c r="A44" s="285" t="s">
        <v>283</v>
      </c>
      <c r="B44" s="285" t="s">
        <v>283</v>
      </c>
      <c r="C44" s="285"/>
      <c r="D44" s="285"/>
      <c r="E44" s="285"/>
      <c r="F44" s="285"/>
      <c r="G44" s="285"/>
      <c r="H44" s="285"/>
      <c r="I44" s="285" t="s">
        <v>850</v>
      </c>
      <c r="J44" s="285"/>
      <c r="K44" s="285" t="s">
        <v>850</v>
      </c>
      <c r="L44" s="285"/>
      <c r="M44" s="285" t="s">
        <v>850</v>
      </c>
      <c r="N44" s="285" t="s">
        <v>850</v>
      </c>
      <c r="O44" s="285"/>
      <c r="P44" s="285"/>
      <c r="Q44" s="285"/>
      <c r="R44" s="285"/>
      <c r="S44" s="285"/>
      <c r="T44" s="285"/>
      <c r="U44" s="285"/>
      <c r="V44" s="285"/>
      <c r="W44" s="285"/>
      <c r="X44" s="285"/>
      <c r="Y44" s="285"/>
      <c r="Z44" s="285"/>
      <c r="AA44" s="285" t="s">
        <v>283</v>
      </c>
      <c r="AC44" t="str">
        <f ca="1"/>
        <v>DPB Size L</v>
      </c>
    </row>
    <row r="45" spans="1:29" s="61" customFormat="1">
      <c r="A45" s="447"/>
      <c r="B45" s="447"/>
      <c r="C45" s="447"/>
      <c r="D45" s="447"/>
      <c r="E45" s="447"/>
      <c r="F45" s="447"/>
      <c r="G45" s="447"/>
      <c r="H45" s="447"/>
      <c r="I45" s="447" t="s">
        <v>898</v>
      </c>
      <c r="J45" s="447"/>
      <c r="K45" s="447" t="s">
        <v>898</v>
      </c>
      <c r="L45" s="447"/>
      <c r="M45" s="447" t="s">
        <v>283</v>
      </c>
      <c r="N45" s="447" t="s">
        <v>898</v>
      </c>
      <c r="O45" s="447"/>
      <c r="P45" s="447"/>
      <c r="Q45" s="447"/>
      <c r="R45" s="447"/>
      <c r="S45" s="447"/>
      <c r="T45" s="447"/>
      <c r="U45" s="447"/>
      <c r="V45" s="447"/>
      <c r="W45" s="447"/>
      <c r="X45" s="447"/>
      <c r="Y45" s="447"/>
      <c r="Z45" s="447"/>
      <c r="AA45" s="447"/>
      <c r="AC45" s="61" t="str">
        <f ca="1"/>
        <v>BWA Size S</v>
      </c>
    </row>
    <row r="46" spans="1:29" s="61" customFormat="1">
      <c r="A46" s="285"/>
      <c r="B46" s="285"/>
      <c r="C46" s="285"/>
      <c r="D46" s="285"/>
      <c r="E46" s="285"/>
      <c r="F46" s="285"/>
      <c r="G46" s="285"/>
      <c r="H46" s="285"/>
      <c r="I46" s="285" t="s">
        <v>899</v>
      </c>
      <c r="J46" s="285"/>
      <c r="K46" s="285" t="s">
        <v>899</v>
      </c>
      <c r="L46" s="285"/>
      <c r="M46" s="285"/>
      <c r="N46" s="285" t="s">
        <v>899</v>
      </c>
      <c r="O46" s="285"/>
      <c r="P46" s="285"/>
      <c r="Q46" s="285"/>
      <c r="R46" s="459"/>
      <c r="S46" s="459"/>
      <c r="T46" s="459"/>
      <c r="U46" s="285"/>
      <c r="V46" s="285"/>
      <c r="W46" s="285"/>
      <c r="X46" s="285"/>
      <c r="Y46" s="285"/>
      <c r="Z46" s="285"/>
      <c r="AA46" s="285"/>
      <c r="AC46" s="61" t="str">
        <f ca="1"/>
        <v>BWA Size M</v>
      </c>
    </row>
    <row r="47" spans="1:29">
      <c r="A47" s="458"/>
      <c r="B47" s="458"/>
      <c r="C47" s="458"/>
      <c r="D47" s="458"/>
      <c r="E47" s="458"/>
      <c r="F47" s="458"/>
      <c r="G47" s="458"/>
      <c r="H47" s="458"/>
      <c r="I47" s="458" t="s">
        <v>283</v>
      </c>
      <c r="J47" s="458"/>
      <c r="K47" s="458" t="s">
        <v>283</v>
      </c>
      <c r="L47" s="458"/>
      <c r="M47" s="458"/>
      <c r="N47" s="458" t="s">
        <v>283</v>
      </c>
      <c r="O47" s="458"/>
      <c r="P47" s="458"/>
      <c r="Q47" s="458"/>
      <c r="R47" s="458"/>
      <c r="S47" s="458"/>
      <c r="T47" s="458"/>
      <c r="U47" s="458"/>
      <c r="V47" s="458"/>
      <c r="W47" s="458"/>
      <c r="X47" s="458"/>
      <c r="Y47" s="458"/>
      <c r="Z47" s="458"/>
      <c r="AA47" s="458"/>
      <c r="AC47" t="str">
        <f ca="1"/>
        <v>boosterless</v>
      </c>
    </row>
    <row r="48" spans="1:29">
      <c r="B48" s="330"/>
      <c r="C48" s="330"/>
      <c r="D48" s="330"/>
      <c r="E48" s="330"/>
      <c r="F48" s="330"/>
      <c r="G48" s="330"/>
      <c r="H48" s="330"/>
      <c r="I48" s="330"/>
      <c r="J48" s="330"/>
      <c r="K48" s="330"/>
      <c r="L48" s="330"/>
      <c r="M48" s="330"/>
      <c r="N48" s="330"/>
      <c r="O48" s="330"/>
      <c r="P48" s="330"/>
      <c r="Q48" s="330"/>
      <c r="R48" s="303"/>
      <c r="S48" s="303"/>
      <c r="U48"/>
      <c r="V48"/>
      <c r="X48" s="330"/>
      <c r="Z48" s="330"/>
      <c r="AA48" s="330"/>
    </row>
    <row r="49" spans="1:29">
      <c r="A49" t="s">
        <v>504</v>
      </c>
      <c r="R49" s="303"/>
      <c r="S49" s="303"/>
      <c r="U49"/>
      <c r="V49"/>
    </row>
    <row r="50" spans="1:29">
      <c r="A50" t="s">
        <v>239</v>
      </c>
      <c r="B50" t="s">
        <v>231</v>
      </c>
      <c r="C50" t="s">
        <v>232</v>
      </c>
      <c r="D50" t="s">
        <v>233</v>
      </c>
      <c r="E50" t="s">
        <v>234</v>
      </c>
      <c r="F50" t="s">
        <v>235</v>
      </c>
      <c r="G50" t="s">
        <v>236</v>
      </c>
      <c r="H50" t="s">
        <v>237</v>
      </c>
      <c r="I50" t="s">
        <v>296</v>
      </c>
      <c r="J50" t="s">
        <v>297</v>
      </c>
      <c r="K50" t="s">
        <v>298</v>
      </c>
      <c r="L50" t="s">
        <v>299</v>
      </c>
      <c r="M50" t="s">
        <v>725</v>
      </c>
      <c r="N50" t="s">
        <v>300</v>
      </c>
      <c r="O50" t="s">
        <v>301</v>
      </c>
      <c r="P50" t="s">
        <v>302</v>
      </c>
      <c r="Q50" t="s">
        <v>303</v>
      </c>
      <c r="R50" s="45" t="s">
        <v>876</v>
      </c>
      <c r="S50" s="45" t="s">
        <v>877</v>
      </c>
      <c r="T50" s="45" t="s">
        <v>878</v>
      </c>
      <c r="U50" t="s">
        <v>843</v>
      </c>
      <c r="V50" t="s">
        <v>844</v>
      </c>
      <c r="W50" t="s">
        <v>845</v>
      </c>
      <c r="X50" t="s">
        <v>846</v>
      </c>
      <c r="Y50" t="s">
        <v>847</v>
      </c>
      <c r="Z50" t="s">
        <v>848</v>
      </c>
      <c r="AA50" t="s">
        <v>849</v>
      </c>
      <c r="AB50" t="s">
        <v>850</v>
      </c>
      <c r="AC50" s="250" t="s">
        <v>249</v>
      </c>
    </row>
    <row r="51" spans="1:29">
      <c r="A51" s="285" t="s">
        <v>65</v>
      </c>
      <c r="B51" s="285" t="s">
        <v>65</v>
      </c>
      <c r="C51" s="285" t="s">
        <v>65</v>
      </c>
      <c r="D51" s="285" t="s">
        <v>65</v>
      </c>
      <c r="E51" s="285" t="s">
        <v>65</v>
      </c>
      <c r="F51" s="285" t="s">
        <v>65</v>
      </c>
      <c r="G51" s="285" t="s">
        <v>65</v>
      </c>
      <c r="H51" s="285" t="s">
        <v>65</v>
      </c>
      <c r="I51" s="285" t="s">
        <v>65</v>
      </c>
      <c r="J51" s="285" t="s">
        <v>65</v>
      </c>
      <c r="K51" s="285" t="s">
        <v>65</v>
      </c>
      <c r="L51" s="285" t="s">
        <v>65</v>
      </c>
      <c r="M51" s="285" t="s">
        <v>65</v>
      </c>
      <c r="N51" s="285" t="s">
        <v>65</v>
      </c>
      <c r="O51" s="285" t="s">
        <v>65</v>
      </c>
      <c r="P51" s="285" t="s">
        <v>65</v>
      </c>
      <c r="Q51" t="s">
        <v>65</v>
      </c>
      <c r="R51" s="61" t="s">
        <v>65</v>
      </c>
      <c r="S51" s="61" t="s">
        <v>65</v>
      </c>
      <c r="T51" s="61" t="s">
        <v>65</v>
      </c>
      <c r="U51" t="s">
        <v>64</v>
      </c>
      <c r="V51" t="s">
        <v>64</v>
      </c>
      <c r="W51" t="s">
        <v>64</v>
      </c>
      <c r="X51" t="s">
        <v>64</v>
      </c>
      <c r="Y51" s="285" t="s">
        <v>64</v>
      </c>
      <c r="Z51" s="285" t="s">
        <v>64</v>
      </c>
      <c r="AA51" s="285" t="s">
        <v>851</v>
      </c>
      <c r="AB51" s="285" t="s">
        <v>64</v>
      </c>
      <c r="AC51" t="s">
        <v>65</v>
      </c>
    </row>
    <row r="52" spans="1:29">
      <c r="A52" s="289"/>
      <c r="B52" s="289"/>
      <c r="C52" s="289"/>
      <c r="D52" s="289"/>
      <c r="E52" s="289"/>
      <c r="F52" s="289"/>
      <c r="G52" s="289"/>
      <c r="H52" s="289"/>
      <c r="I52" s="289"/>
      <c r="J52" s="289"/>
      <c r="K52" s="289"/>
      <c r="L52" s="289"/>
      <c r="M52" s="289"/>
      <c r="N52" s="289"/>
      <c r="O52" s="289"/>
      <c r="P52" s="289"/>
      <c r="R52" s="303"/>
      <c r="S52" s="303"/>
      <c r="U52" t="s">
        <v>65</v>
      </c>
      <c r="V52" t="s">
        <v>65</v>
      </c>
      <c r="W52" t="s">
        <v>65</v>
      </c>
      <c r="X52" t="s">
        <v>65</v>
      </c>
      <c r="Y52" s="289" t="s">
        <v>65</v>
      </c>
      <c r="Z52" s="289" t="s">
        <v>65</v>
      </c>
      <c r="AA52" s="289" t="s">
        <v>65</v>
      </c>
      <c r="AB52" s="289" t="s">
        <v>65</v>
      </c>
    </row>
    <row r="53" spans="1:29">
      <c r="R53" s="303"/>
      <c r="S53" s="303"/>
      <c r="U53"/>
      <c r="V53"/>
    </row>
    <row r="54" spans="1:29">
      <c r="R54" s="303"/>
      <c r="S54" s="303"/>
      <c r="U54"/>
      <c r="V54"/>
    </row>
    <row r="55" spans="1:29">
      <c r="R55" s="303"/>
      <c r="S55" s="303"/>
      <c r="U55"/>
      <c r="V55"/>
    </row>
    <row r="56" spans="1:29">
      <c r="A56" t="s">
        <v>29</v>
      </c>
      <c r="R56" s="303"/>
      <c r="S56" s="303"/>
      <c r="U56"/>
      <c r="V56"/>
    </row>
    <row r="57" spans="1:29">
      <c r="A57" t="s">
        <v>239</v>
      </c>
      <c r="B57" t="s">
        <v>231</v>
      </c>
      <c r="C57" t="s">
        <v>232</v>
      </c>
      <c r="D57" t="s">
        <v>233</v>
      </c>
      <c r="E57" t="s">
        <v>234</v>
      </c>
      <c r="F57" t="s">
        <v>235</v>
      </c>
      <c r="G57" t="s">
        <v>236</v>
      </c>
      <c r="H57" t="s">
        <v>237</v>
      </c>
      <c r="I57" t="s">
        <v>296</v>
      </c>
      <c r="J57" t="s">
        <v>297</v>
      </c>
      <c r="K57" t="s">
        <v>298</v>
      </c>
      <c r="L57" t="s">
        <v>299</v>
      </c>
      <c r="M57" t="s">
        <v>725</v>
      </c>
      <c r="N57" t="s">
        <v>300</v>
      </c>
      <c r="O57" t="s">
        <v>301</v>
      </c>
      <c r="P57" t="s">
        <v>302</v>
      </c>
      <c r="Q57" t="s">
        <v>303</v>
      </c>
      <c r="R57" s="45" t="s">
        <v>876</v>
      </c>
      <c r="S57" s="45" t="s">
        <v>877</v>
      </c>
      <c r="T57" s="45" t="s">
        <v>878</v>
      </c>
      <c r="U57" t="s">
        <v>843</v>
      </c>
      <c r="V57" t="s">
        <v>844</v>
      </c>
      <c r="W57" t="s">
        <v>845</v>
      </c>
      <c r="X57" t="s">
        <v>846</v>
      </c>
      <c r="Y57" t="s">
        <v>847</v>
      </c>
      <c r="Z57" t="s">
        <v>848</v>
      </c>
      <c r="AA57" t="s">
        <v>849</v>
      </c>
      <c r="AB57" t="s">
        <v>850</v>
      </c>
      <c r="AC57" s="250" t="s">
        <v>249</v>
      </c>
    </row>
    <row r="58" spans="1:29">
      <c r="A58" t="s">
        <v>30</v>
      </c>
      <c r="B58" t="s">
        <v>30</v>
      </c>
      <c r="C58" t="s">
        <v>30</v>
      </c>
      <c r="D58" t="s">
        <v>30</v>
      </c>
      <c r="F58" t="s">
        <v>30</v>
      </c>
      <c r="G58" t="s">
        <v>31</v>
      </c>
      <c r="H58" t="s">
        <v>31</v>
      </c>
      <c r="I58" t="s">
        <v>30</v>
      </c>
      <c r="J58" t="s">
        <v>30</v>
      </c>
      <c r="K58" t="s">
        <v>30</v>
      </c>
      <c r="L58" t="s">
        <v>30</v>
      </c>
      <c r="M58" t="s">
        <v>30</v>
      </c>
      <c r="N58" t="s">
        <v>30</v>
      </c>
      <c r="O58" t="s">
        <v>30</v>
      </c>
      <c r="P58" t="s">
        <v>30</v>
      </c>
      <c r="Q58" t="s">
        <v>30</v>
      </c>
      <c r="R58" s="61" t="s">
        <v>30</v>
      </c>
      <c r="S58" s="61" t="s">
        <v>30</v>
      </c>
      <c r="T58" s="61" t="s">
        <v>30</v>
      </c>
      <c r="U58" t="s">
        <v>30</v>
      </c>
      <c r="V58" t="s">
        <v>30</v>
      </c>
      <c r="W58" t="s">
        <v>30</v>
      </c>
      <c r="X58" t="s">
        <v>30</v>
      </c>
      <c r="Y58" t="s">
        <v>30</v>
      </c>
      <c r="Z58" t="s">
        <v>30</v>
      </c>
      <c r="AA58" t="s">
        <v>30</v>
      </c>
      <c r="AB58" t="s">
        <v>30</v>
      </c>
      <c r="AC58" t="s">
        <v>30</v>
      </c>
    </row>
    <row r="59" spans="1:29">
      <c r="A59" t="s">
        <v>31</v>
      </c>
      <c r="B59" t="s">
        <v>31</v>
      </c>
      <c r="C59" t="s">
        <v>31</v>
      </c>
      <c r="E59" t="s">
        <v>31</v>
      </c>
      <c r="I59" t="s">
        <v>31</v>
      </c>
      <c r="K59" t="s">
        <v>31</v>
      </c>
      <c r="M59" t="s">
        <v>31</v>
      </c>
      <c r="N59" t="s">
        <v>31</v>
      </c>
      <c r="P59" t="s">
        <v>31</v>
      </c>
      <c r="R59" s="61" t="s">
        <v>31</v>
      </c>
      <c r="S59" s="61" t="s">
        <v>31</v>
      </c>
      <c r="T59" s="61" t="s">
        <v>31</v>
      </c>
      <c r="U59" t="s">
        <v>31</v>
      </c>
      <c r="V59" t="s">
        <v>31</v>
      </c>
      <c r="W59" t="s">
        <v>31</v>
      </c>
      <c r="X59" t="s">
        <v>31</v>
      </c>
      <c r="Y59" t="s">
        <v>31</v>
      </c>
      <c r="Z59" t="s">
        <v>31</v>
      </c>
      <c r="AA59" t="s">
        <v>31</v>
      </c>
      <c r="AB59" t="s">
        <v>31</v>
      </c>
      <c r="AC59" t="s">
        <v>31</v>
      </c>
    </row>
    <row r="60" spans="1:29">
      <c r="R60" s="303"/>
      <c r="S60" s="303"/>
      <c r="U60"/>
      <c r="V60"/>
    </row>
    <row r="61" spans="1:29">
      <c r="R61" s="303"/>
      <c r="S61" s="303"/>
      <c r="U61"/>
      <c r="V61"/>
    </row>
    <row r="62" spans="1:29">
      <c r="A62" t="s">
        <v>479</v>
      </c>
      <c r="R62" s="303"/>
      <c r="S62" s="303"/>
      <c r="U62"/>
      <c r="V62"/>
    </row>
    <row r="63" spans="1:29">
      <c r="A63" t="s">
        <v>239</v>
      </c>
      <c r="B63" t="s">
        <v>231</v>
      </c>
      <c r="C63" t="s">
        <v>232</v>
      </c>
      <c r="D63" t="s">
        <v>233</v>
      </c>
      <c r="E63" t="s">
        <v>234</v>
      </c>
      <c r="F63" t="s">
        <v>235</v>
      </c>
      <c r="G63" t="s">
        <v>236</v>
      </c>
      <c r="H63" t="s">
        <v>237</v>
      </c>
      <c r="I63" t="s">
        <v>296</v>
      </c>
      <c r="J63" t="s">
        <v>297</v>
      </c>
      <c r="K63" t="s">
        <v>298</v>
      </c>
      <c r="L63" t="s">
        <v>299</v>
      </c>
      <c r="M63" t="s">
        <v>725</v>
      </c>
      <c r="N63" t="s">
        <v>300</v>
      </c>
      <c r="O63" t="s">
        <v>301</v>
      </c>
      <c r="P63" t="s">
        <v>302</v>
      </c>
      <c r="Q63" t="s">
        <v>303</v>
      </c>
      <c r="R63" s="45" t="s">
        <v>876</v>
      </c>
      <c r="S63" s="45" t="s">
        <v>877</v>
      </c>
      <c r="T63" s="45" t="s">
        <v>878</v>
      </c>
      <c r="U63" t="s">
        <v>843</v>
      </c>
      <c r="V63" t="s">
        <v>844</v>
      </c>
      <c r="W63" t="s">
        <v>845</v>
      </c>
      <c r="X63" t="s">
        <v>846</v>
      </c>
      <c r="Y63" t="s">
        <v>847</v>
      </c>
      <c r="Z63" t="s">
        <v>848</v>
      </c>
      <c r="AA63" t="s">
        <v>849</v>
      </c>
      <c r="AB63" t="s">
        <v>850</v>
      </c>
      <c r="AC63" s="250" t="s">
        <v>249</v>
      </c>
    </row>
    <row r="64" spans="1:29">
      <c r="A64" t="s">
        <v>64</v>
      </c>
      <c r="B64" t="s">
        <v>64</v>
      </c>
      <c r="C64" t="s">
        <v>64</v>
      </c>
      <c r="D64" t="s">
        <v>64</v>
      </c>
      <c r="E64" t="s">
        <v>64</v>
      </c>
      <c r="F64" t="s">
        <v>64</v>
      </c>
      <c r="I64" t="s">
        <v>64</v>
      </c>
      <c r="J64" t="s">
        <v>64</v>
      </c>
      <c r="K64" t="s">
        <v>64</v>
      </c>
      <c r="L64" t="s">
        <v>64</v>
      </c>
      <c r="M64" t="s">
        <v>64</v>
      </c>
      <c r="N64" t="s">
        <v>64</v>
      </c>
      <c r="O64" t="s">
        <v>64</v>
      </c>
      <c r="P64" t="s">
        <v>64</v>
      </c>
      <c r="Q64" t="s">
        <v>64</v>
      </c>
      <c r="R64" s="61" t="s">
        <v>64</v>
      </c>
      <c r="S64" s="61" t="s">
        <v>64</v>
      </c>
      <c r="T64" s="61" t="s">
        <v>64</v>
      </c>
      <c r="U64"/>
      <c r="V64"/>
    </row>
    <row r="65" spans="1:29">
      <c r="A65" t="s">
        <v>65</v>
      </c>
      <c r="B65" t="s">
        <v>65</v>
      </c>
      <c r="C65" t="s">
        <v>65</v>
      </c>
      <c r="D65" t="s">
        <v>65</v>
      </c>
      <c r="E65" t="s">
        <v>65</v>
      </c>
      <c r="F65" t="s">
        <v>65</v>
      </c>
      <c r="I65" t="s">
        <v>65</v>
      </c>
      <c r="J65" t="s">
        <v>65</v>
      </c>
      <c r="K65" t="s">
        <v>65</v>
      </c>
      <c r="L65" t="s">
        <v>65</v>
      </c>
      <c r="M65" t="s">
        <v>65</v>
      </c>
      <c r="N65" t="s">
        <v>65</v>
      </c>
      <c r="O65" t="s">
        <v>65</v>
      </c>
      <c r="P65" t="s">
        <v>65</v>
      </c>
      <c r="Q65" t="s">
        <v>65</v>
      </c>
      <c r="R65" s="61" t="s">
        <v>65</v>
      </c>
      <c r="S65" s="61" t="s">
        <v>65</v>
      </c>
      <c r="T65" s="61" t="s">
        <v>65</v>
      </c>
      <c r="U65"/>
      <c r="V65"/>
    </row>
    <row r="66" spans="1:29">
      <c r="R66" s="303"/>
      <c r="S66" s="303"/>
      <c r="U66"/>
      <c r="V66"/>
    </row>
    <row r="67" spans="1:29">
      <c r="R67" s="303"/>
      <c r="S67" s="303"/>
      <c r="U67"/>
      <c r="V67"/>
    </row>
    <row r="68" spans="1:29">
      <c r="A68" t="s">
        <v>241</v>
      </c>
      <c r="R68" s="303"/>
      <c r="S68" s="303"/>
      <c r="U68"/>
      <c r="V68"/>
    </row>
    <row r="69" spans="1:29">
      <c r="A69" t="s">
        <v>239</v>
      </c>
      <c r="B69" t="s">
        <v>231</v>
      </c>
      <c r="C69" t="s">
        <v>232</v>
      </c>
      <c r="D69" t="s">
        <v>233</v>
      </c>
      <c r="E69" t="s">
        <v>234</v>
      </c>
      <c r="F69" t="s">
        <v>235</v>
      </c>
      <c r="G69" t="s">
        <v>236</v>
      </c>
      <c r="H69" t="s">
        <v>237</v>
      </c>
      <c r="I69" t="s">
        <v>296</v>
      </c>
      <c r="J69" t="s">
        <v>297</v>
      </c>
      <c r="K69" t="s">
        <v>298</v>
      </c>
      <c r="L69" t="s">
        <v>299</v>
      </c>
      <c r="M69" t="s">
        <v>725</v>
      </c>
      <c r="N69" t="s">
        <v>300</v>
      </c>
      <c r="O69" t="s">
        <v>301</v>
      </c>
      <c r="P69" t="s">
        <v>302</v>
      </c>
      <c r="Q69" t="s">
        <v>303</v>
      </c>
      <c r="R69" s="45" t="s">
        <v>876</v>
      </c>
      <c r="S69" s="45" t="s">
        <v>877</v>
      </c>
      <c r="T69" s="45" t="s">
        <v>878</v>
      </c>
      <c r="U69" t="s">
        <v>843</v>
      </c>
      <c r="V69" t="s">
        <v>844</v>
      </c>
      <c r="W69" t="s">
        <v>845</v>
      </c>
      <c r="X69" t="s">
        <v>846</v>
      </c>
      <c r="Y69" t="s">
        <v>847</v>
      </c>
      <c r="Z69" t="s">
        <v>848</v>
      </c>
      <c r="AA69" t="s">
        <v>849</v>
      </c>
      <c r="AB69" t="s">
        <v>850</v>
      </c>
      <c r="AC69" s="250" t="s">
        <v>249</v>
      </c>
    </row>
    <row r="70" spans="1:29">
      <c r="A70" t="s">
        <v>64</v>
      </c>
      <c r="B70" t="s">
        <v>64</v>
      </c>
      <c r="C70" t="s">
        <v>64</v>
      </c>
      <c r="D70" t="s">
        <v>64</v>
      </c>
      <c r="E70" t="s">
        <v>64</v>
      </c>
      <c r="F70" t="s">
        <v>64</v>
      </c>
      <c r="G70" t="s">
        <v>64</v>
      </c>
      <c r="H70" t="s">
        <v>64</v>
      </c>
      <c r="I70" t="s">
        <v>64</v>
      </c>
      <c r="J70" t="s">
        <v>64</v>
      </c>
      <c r="K70" t="s">
        <v>64</v>
      </c>
      <c r="L70" t="s">
        <v>64</v>
      </c>
      <c r="M70" t="s">
        <v>64</v>
      </c>
      <c r="N70" t="s">
        <v>64</v>
      </c>
      <c r="O70" t="s">
        <v>64</v>
      </c>
      <c r="P70" t="s">
        <v>64</v>
      </c>
      <c r="Q70" t="s">
        <v>64</v>
      </c>
      <c r="R70" s="61" t="s">
        <v>64</v>
      </c>
      <c r="S70" s="61" t="s">
        <v>64</v>
      </c>
      <c r="T70" s="61" t="s">
        <v>64</v>
      </c>
      <c r="U70" t="s">
        <v>64</v>
      </c>
      <c r="V70" t="s">
        <v>64</v>
      </c>
      <c r="W70" t="s">
        <v>64</v>
      </c>
      <c r="X70" t="s">
        <v>64</v>
      </c>
      <c r="Y70" t="s">
        <v>64</v>
      </c>
      <c r="Z70" t="s">
        <v>64</v>
      </c>
      <c r="AA70" t="s">
        <v>64</v>
      </c>
      <c r="AB70" t="s">
        <v>64</v>
      </c>
      <c r="AC70" t="s">
        <v>64</v>
      </c>
    </row>
    <row r="71" spans="1:29">
      <c r="A71" t="s">
        <v>65</v>
      </c>
      <c r="B71" t="s">
        <v>65</v>
      </c>
      <c r="C71" t="s">
        <v>65</v>
      </c>
      <c r="D71" t="s">
        <v>65</v>
      </c>
      <c r="E71" t="s">
        <v>65</v>
      </c>
      <c r="F71" t="s">
        <v>65</v>
      </c>
      <c r="G71" t="s">
        <v>65</v>
      </c>
      <c r="H71" t="s">
        <v>65</v>
      </c>
      <c r="I71" t="s">
        <v>65</v>
      </c>
      <c r="J71" t="s">
        <v>65</v>
      </c>
      <c r="K71" t="s">
        <v>65</v>
      </c>
      <c r="L71" t="s">
        <v>65</v>
      </c>
      <c r="M71" t="s">
        <v>65</v>
      </c>
      <c r="N71" t="s">
        <v>65</v>
      </c>
      <c r="O71" t="s">
        <v>65</v>
      </c>
      <c r="P71" t="s">
        <v>65</v>
      </c>
      <c r="Q71" t="s">
        <v>65</v>
      </c>
      <c r="R71" s="61" t="s">
        <v>65</v>
      </c>
      <c r="S71" s="61" t="s">
        <v>65</v>
      </c>
      <c r="T71" s="61" t="s">
        <v>65</v>
      </c>
      <c r="U71" t="s">
        <v>65</v>
      </c>
      <c r="V71" t="s">
        <v>65</v>
      </c>
      <c r="W71" t="s">
        <v>65</v>
      </c>
      <c r="X71" t="s">
        <v>65</v>
      </c>
      <c r="Y71" t="s">
        <v>65</v>
      </c>
      <c r="Z71" t="s">
        <v>65</v>
      </c>
      <c r="AA71" t="s">
        <v>65</v>
      </c>
      <c r="AB71" t="s">
        <v>65</v>
      </c>
      <c r="AC71" t="s">
        <v>65</v>
      </c>
    </row>
    <row r="72" spans="1:29">
      <c r="R72" s="303"/>
      <c r="S72" s="303"/>
      <c r="U72"/>
      <c r="V72"/>
    </row>
    <row r="73" spans="1:29">
      <c r="R73" s="303"/>
      <c r="S73" s="303"/>
      <c r="U73"/>
      <c r="V73"/>
    </row>
    <row r="74" spans="1:29">
      <c r="A74" t="s">
        <v>546</v>
      </c>
      <c r="R74" s="303"/>
      <c r="S74" s="303"/>
      <c r="U74"/>
      <c r="V74"/>
    </row>
    <row r="75" spans="1:29">
      <c r="A75" t="s">
        <v>239</v>
      </c>
      <c r="B75" t="s">
        <v>231</v>
      </c>
      <c r="C75" t="s">
        <v>232</v>
      </c>
      <c r="D75" t="s">
        <v>233</v>
      </c>
      <c r="E75" t="s">
        <v>234</v>
      </c>
      <c r="F75" t="s">
        <v>235</v>
      </c>
      <c r="G75" t="s">
        <v>236</v>
      </c>
      <c r="H75" t="s">
        <v>237</v>
      </c>
      <c r="I75" t="s">
        <v>296</v>
      </c>
      <c r="J75" t="s">
        <v>297</v>
      </c>
      <c r="K75" t="s">
        <v>298</v>
      </c>
      <c r="L75" t="s">
        <v>299</v>
      </c>
      <c r="M75" t="s">
        <v>725</v>
      </c>
      <c r="N75" t="s">
        <v>300</v>
      </c>
      <c r="O75" t="s">
        <v>301</v>
      </c>
      <c r="P75" t="s">
        <v>302</v>
      </c>
      <c r="Q75" t="s">
        <v>303</v>
      </c>
      <c r="R75" s="45" t="s">
        <v>876</v>
      </c>
      <c r="S75" s="45" t="s">
        <v>877</v>
      </c>
      <c r="T75" s="45" t="s">
        <v>878</v>
      </c>
      <c r="U75" t="s">
        <v>843</v>
      </c>
      <c r="V75" t="s">
        <v>844</v>
      </c>
      <c r="W75" t="s">
        <v>845</v>
      </c>
      <c r="X75" t="s">
        <v>846</v>
      </c>
      <c r="Y75" t="s">
        <v>847</v>
      </c>
      <c r="Z75" t="s">
        <v>848</v>
      </c>
      <c r="AA75" t="s">
        <v>849</v>
      </c>
      <c r="AB75" t="s">
        <v>850</v>
      </c>
      <c r="AC75" s="250" t="s">
        <v>249</v>
      </c>
    </row>
    <row r="76" spans="1:29">
      <c r="A76" t="s">
        <v>64</v>
      </c>
      <c r="B76" t="s">
        <v>64</v>
      </c>
      <c r="C76" t="s">
        <v>64</v>
      </c>
      <c r="D76" t="s">
        <v>64</v>
      </c>
      <c r="E76" t="s">
        <v>64</v>
      </c>
      <c r="F76" t="s">
        <v>64</v>
      </c>
      <c r="G76" t="s">
        <v>64</v>
      </c>
      <c r="H76" t="s">
        <v>64</v>
      </c>
      <c r="I76" t="s">
        <v>64</v>
      </c>
      <c r="J76" t="s">
        <v>64</v>
      </c>
      <c r="K76" t="s">
        <v>64</v>
      </c>
      <c r="L76" t="s">
        <v>64</v>
      </c>
      <c r="M76" t="s">
        <v>64</v>
      </c>
      <c r="N76" t="s">
        <v>64</v>
      </c>
      <c r="O76" t="s">
        <v>64</v>
      </c>
      <c r="P76" t="s">
        <v>64</v>
      </c>
      <c r="Q76" t="s">
        <v>64</v>
      </c>
      <c r="R76" s="61" t="s">
        <v>64</v>
      </c>
      <c r="S76" s="61" t="s">
        <v>64</v>
      </c>
      <c r="T76" s="61" t="s">
        <v>64</v>
      </c>
      <c r="U76" t="s">
        <v>64</v>
      </c>
      <c r="V76" t="s">
        <v>64</v>
      </c>
      <c r="W76" t="s">
        <v>64</v>
      </c>
      <c r="X76" t="s">
        <v>64</v>
      </c>
      <c r="Y76" t="s">
        <v>64</v>
      </c>
      <c r="Z76" t="s">
        <v>64</v>
      </c>
      <c r="AA76" t="s">
        <v>64</v>
      </c>
      <c r="AB76" t="s">
        <v>64</v>
      </c>
      <c r="AC76" t="s">
        <v>64</v>
      </c>
    </row>
    <row r="77" spans="1:29">
      <c r="A77" t="s">
        <v>65</v>
      </c>
      <c r="B77" t="s">
        <v>65</v>
      </c>
      <c r="C77" t="s">
        <v>65</v>
      </c>
      <c r="D77" t="s">
        <v>65</v>
      </c>
      <c r="E77" t="s">
        <v>65</v>
      </c>
      <c r="F77" t="s">
        <v>65</v>
      </c>
      <c r="G77" t="s">
        <v>65</v>
      </c>
      <c r="H77" t="s">
        <v>65</v>
      </c>
      <c r="I77" t="s">
        <v>65</v>
      </c>
      <c r="J77" t="s">
        <v>65</v>
      </c>
      <c r="K77" t="s">
        <v>65</v>
      </c>
      <c r="L77" t="s">
        <v>65</v>
      </c>
      <c r="M77" t="s">
        <v>65</v>
      </c>
      <c r="N77" t="s">
        <v>65</v>
      </c>
      <c r="O77" t="s">
        <v>65</v>
      </c>
      <c r="P77" t="s">
        <v>65</v>
      </c>
      <c r="Q77" t="s">
        <v>65</v>
      </c>
      <c r="R77" s="61" t="s">
        <v>65</v>
      </c>
      <c r="S77" s="61" t="s">
        <v>65</v>
      </c>
      <c r="T77" s="61" t="s">
        <v>65</v>
      </c>
      <c r="U77" t="s">
        <v>65</v>
      </c>
      <c r="V77" t="s">
        <v>65</v>
      </c>
      <c r="W77" t="s">
        <v>65</v>
      </c>
      <c r="X77" t="s">
        <v>65</v>
      </c>
      <c r="Y77" t="s">
        <v>65</v>
      </c>
      <c r="Z77" t="s">
        <v>65</v>
      </c>
      <c r="AA77" t="s">
        <v>65</v>
      </c>
      <c r="AB77" t="s">
        <v>65</v>
      </c>
      <c r="AC77" t="s">
        <v>65</v>
      </c>
    </row>
    <row r="78" spans="1:29">
      <c r="R78" s="303"/>
      <c r="S78" s="303"/>
      <c r="U78"/>
      <c r="V78"/>
    </row>
    <row r="79" spans="1:29">
      <c r="R79" s="303"/>
      <c r="S79" s="303"/>
      <c r="U79"/>
      <c r="V79"/>
    </row>
    <row r="80" spans="1:29">
      <c r="A80" t="s">
        <v>304</v>
      </c>
      <c r="R80" s="303"/>
      <c r="S80" s="303"/>
      <c r="U80"/>
      <c r="V80"/>
    </row>
    <row r="81" spans="1:29">
      <c r="A81" t="s">
        <v>239</v>
      </c>
      <c r="B81" t="s">
        <v>231</v>
      </c>
      <c r="C81" t="s">
        <v>232</v>
      </c>
      <c r="D81" t="s">
        <v>233</v>
      </c>
      <c r="E81" t="s">
        <v>234</v>
      </c>
      <c r="F81" t="s">
        <v>235</v>
      </c>
      <c r="G81" t="s">
        <v>236</v>
      </c>
      <c r="H81" t="s">
        <v>237</v>
      </c>
      <c r="I81" t="s">
        <v>296</v>
      </c>
      <c r="J81" t="s">
        <v>297</v>
      </c>
      <c r="K81" t="s">
        <v>298</v>
      </c>
      <c r="L81" t="s">
        <v>299</v>
      </c>
      <c r="M81" t="s">
        <v>725</v>
      </c>
      <c r="N81" t="s">
        <v>300</v>
      </c>
      <c r="O81" t="s">
        <v>301</v>
      </c>
      <c r="P81" t="s">
        <v>302</v>
      </c>
      <c r="Q81" t="s">
        <v>303</v>
      </c>
      <c r="R81" s="45" t="s">
        <v>876</v>
      </c>
      <c r="S81" s="45" t="s">
        <v>877</v>
      </c>
      <c r="T81" s="45" t="s">
        <v>878</v>
      </c>
      <c r="U81" t="s">
        <v>843</v>
      </c>
      <c r="V81" t="s">
        <v>844</v>
      </c>
      <c r="W81" s="250" t="s">
        <v>845</v>
      </c>
      <c r="X81" t="s">
        <v>846</v>
      </c>
      <c r="Y81" t="s">
        <v>847</v>
      </c>
      <c r="Z81" t="s">
        <v>848</v>
      </c>
      <c r="AA81" t="s">
        <v>849</v>
      </c>
      <c r="AB81" t="s">
        <v>850</v>
      </c>
      <c r="AC81" t="s">
        <v>249</v>
      </c>
    </row>
    <row r="82" spans="1:29">
      <c r="A82" t="s">
        <v>305</v>
      </c>
      <c r="B82" t="s">
        <v>305</v>
      </c>
      <c r="I82" t="s">
        <v>305</v>
      </c>
      <c r="K82" t="s">
        <v>305</v>
      </c>
      <c r="M82" t="s">
        <v>305</v>
      </c>
      <c r="N82" t="s">
        <v>305</v>
      </c>
      <c r="P82" t="s">
        <v>305</v>
      </c>
      <c r="R82" s="303"/>
      <c r="S82" s="303"/>
      <c r="U82"/>
      <c r="V82"/>
    </row>
    <row r="83" spans="1:29">
      <c r="A83" t="s">
        <v>306</v>
      </c>
      <c r="B83" t="s">
        <v>306</v>
      </c>
      <c r="I83" t="s">
        <v>306</v>
      </c>
      <c r="K83" t="s">
        <v>306</v>
      </c>
      <c r="M83" t="s">
        <v>306</v>
      </c>
      <c r="N83" t="s">
        <v>306</v>
      </c>
      <c r="P83" t="s">
        <v>306</v>
      </c>
      <c r="R83" s="303"/>
      <c r="S83" s="303"/>
      <c r="U83"/>
      <c r="V83"/>
    </row>
    <row r="84" spans="1:29">
      <c r="A84" t="s">
        <v>307</v>
      </c>
      <c r="B84" t="s">
        <v>307</v>
      </c>
      <c r="I84" t="s">
        <v>307</v>
      </c>
      <c r="K84" t="s">
        <v>307</v>
      </c>
      <c r="M84" t="s">
        <v>307</v>
      </c>
      <c r="N84" t="s">
        <v>307</v>
      </c>
      <c r="P84" t="s">
        <v>307</v>
      </c>
      <c r="R84" s="303"/>
      <c r="S84" s="303"/>
      <c r="U84"/>
      <c r="V84"/>
    </row>
    <row r="85" spans="1:29">
      <c r="R85" s="303"/>
      <c r="S85" s="303"/>
      <c r="U85"/>
      <c r="V85"/>
    </row>
    <row r="86" spans="1:29">
      <c r="A86" t="s">
        <v>901</v>
      </c>
      <c r="R86" s="303"/>
      <c r="S86" s="303"/>
      <c r="U86"/>
      <c r="V86"/>
    </row>
    <row r="87" spans="1:29">
      <c r="A87" t="s">
        <v>239</v>
      </c>
      <c r="B87" t="s">
        <v>231</v>
      </c>
      <c r="C87" t="s">
        <v>232</v>
      </c>
      <c r="D87" t="s">
        <v>233</v>
      </c>
      <c r="E87" t="s">
        <v>234</v>
      </c>
      <c r="F87" t="s">
        <v>235</v>
      </c>
      <c r="G87" t="s">
        <v>236</v>
      </c>
      <c r="H87" t="s">
        <v>237</v>
      </c>
      <c r="I87" t="s">
        <v>296</v>
      </c>
      <c r="J87" t="s">
        <v>297</v>
      </c>
      <c r="K87" t="s">
        <v>298</v>
      </c>
      <c r="L87" t="s">
        <v>299</v>
      </c>
      <c r="M87" t="s">
        <v>725</v>
      </c>
      <c r="N87" t="s">
        <v>300</v>
      </c>
      <c r="O87" t="s">
        <v>301</v>
      </c>
      <c r="P87" t="s">
        <v>302</v>
      </c>
      <c r="Q87" t="s">
        <v>303</v>
      </c>
      <c r="R87" s="45" t="s">
        <v>876</v>
      </c>
      <c r="S87" s="45" t="s">
        <v>877</v>
      </c>
      <c r="T87" s="45" t="s">
        <v>878</v>
      </c>
      <c r="U87" t="s">
        <v>843</v>
      </c>
      <c r="V87" t="s">
        <v>844</v>
      </c>
      <c r="W87" t="s">
        <v>845</v>
      </c>
      <c r="X87" t="s">
        <v>846</v>
      </c>
      <c r="Y87" t="s">
        <v>847</v>
      </c>
      <c r="Z87" t="s">
        <v>848</v>
      </c>
      <c r="AA87" t="s">
        <v>849</v>
      </c>
      <c r="AB87" t="s">
        <v>850</v>
      </c>
      <c r="AC87" s="250" t="s">
        <v>249</v>
      </c>
    </row>
    <row r="88" spans="1:29">
      <c r="A88" t="s">
        <v>903</v>
      </c>
      <c r="B88" t="s">
        <v>903</v>
      </c>
      <c r="C88" t="s">
        <v>903</v>
      </c>
      <c r="D88" t="s">
        <v>903</v>
      </c>
      <c r="E88" t="s">
        <v>903</v>
      </c>
      <c r="F88" t="s">
        <v>903</v>
      </c>
      <c r="G88" t="s">
        <v>903</v>
      </c>
      <c r="H88" t="s">
        <v>903</v>
      </c>
      <c r="I88" t="s">
        <v>903</v>
      </c>
      <c r="J88" t="s">
        <v>903</v>
      </c>
      <c r="K88" t="s">
        <v>903</v>
      </c>
      <c r="L88" t="s">
        <v>903</v>
      </c>
      <c r="M88" t="s">
        <v>903</v>
      </c>
      <c r="N88" t="s">
        <v>903</v>
      </c>
      <c r="O88" t="s">
        <v>903</v>
      </c>
      <c r="P88" t="s">
        <v>903</v>
      </c>
      <c r="Q88" t="s">
        <v>903</v>
      </c>
      <c r="R88" t="s">
        <v>903</v>
      </c>
      <c r="S88" t="s">
        <v>903</v>
      </c>
      <c r="T88" t="s">
        <v>903</v>
      </c>
      <c r="U88" t="s">
        <v>903</v>
      </c>
      <c r="V88" t="s">
        <v>903</v>
      </c>
      <c r="W88" t="s">
        <v>903</v>
      </c>
      <c r="X88" t="s">
        <v>903</v>
      </c>
      <c r="Y88" t="s">
        <v>903</v>
      </c>
      <c r="Z88" t="s">
        <v>903</v>
      </c>
      <c r="AA88" t="s">
        <v>903</v>
      </c>
      <c r="AB88" t="s">
        <v>903</v>
      </c>
      <c r="AC88" t="s">
        <v>903</v>
      </c>
    </row>
    <row r="89" spans="1:29">
      <c r="N89" t="s">
        <v>904</v>
      </c>
      <c r="R89" s="303"/>
      <c r="S89" s="303"/>
      <c r="U89"/>
      <c r="V89"/>
    </row>
    <row r="90" spans="1:29">
      <c r="R90" s="303"/>
      <c r="S90" s="303"/>
      <c r="U90"/>
      <c r="V90"/>
    </row>
    <row r="91" spans="1:29">
      <c r="A91" t="s">
        <v>1108</v>
      </c>
    </row>
    <row r="92" spans="1:29">
      <c r="A92" t="s">
        <v>239</v>
      </c>
      <c r="B92" t="s">
        <v>231</v>
      </c>
      <c r="C92" t="s">
        <v>232</v>
      </c>
      <c r="D92" t="s">
        <v>233</v>
      </c>
      <c r="E92" t="s">
        <v>234</v>
      </c>
      <c r="F92" t="s">
        <v>235</v>
      </c>
      <c r="G92" t="s">
        <v>236</v>
      </c>
      <c r="H92" t="s">
        <v>237</v>
      </c>
      <c r="I92" t="s">
        <v>296</v>
      </c>
      <c r="J92" t="s">
        <v>297</v>
      </c>
      <c r="K92" t="s">
        <v>298</v>
      </c>
      <c r="L92" t="s">
        <v>299</v>
      </c>
      <c r="M92" t="s">
        <v>725</v>
      </c>
      <c r="N92" t="s">
        <v>300</v>
      </c>
      <c r="O92" t="s">
        <v>301</v>
      </c>
      <c r="P92" t="s">
        <v>302</v>
      </c>
      <c r="Q92" t="s">
        <v>303</v>
      </c>
      <c r="R92" s="45" t="s">
        <v>876</v>
      </c>
      <c r="S92" s="45" t="s">
        <v>877</v>
      </c>
      <c r="T92" s="45" t="s">
        <v>878</v>
      </c>
      <c r="U92" t="s">
        <v>843</v>
      </c>
      <c r="V92" t="s">
        <v>844</v>
      </c>
      <c r="W92" t="s">
        <v>845</v>
      </c>
      <c r="X92" t="s">
        <v>846</v>
      </c>
      <c r="Y92" t="s">
        <v>847</v>
      </c>
      <c r="Z92" t="s">
        <v>848</v>
      </c>
      <c r="AA92" t="s">
        <v>849</v>
      </c>
      <c r="AB92" t="s">
        <v>850</v>
      </c>
      <c r="AC92" s="250" t="s">
        <v>249</v>
      </c>
    </row>
    <row r="93" spans="1:29">
      <c r="A93" t="s">
        <v>1104</v>
      </c>
      <c r="B93" t="s">
        <v>1104</v>
      </c>
      <c r="C93" t="s">
        <v>1104</v>
      </c>
      <c r="D93" t="s">
        <v>1104</v>
      </c>
      <c r="E93" t="s">
        <v>1104</v>
      </c>
      <c r="F93" t="s">
        <v>1104</v>
      </c>
      <c r="G93" t="s">
        <v>1104</v>
      </c>
      <c r="H93" t="s">
        <v>1104</v>
      </c>
      <c r="I93" t="s">
        <v>1104</v>
      </c>
      <c r="J93" t="s">
        <v>1104</v>
      </c>
      <c r="K93" t="s">
        <v>1104</v>
      </c>
      <c r="L93" t="s">
        <v>1104</v>
      </c>
      <c r="M93" t="s">
        <v>1104</v>
      </c>
      <c r="N93" t="s">
        <v>1104</v>
      </c>
      <c r="O93" t="s">
        <v>1104</v>
      </c>
      <c r="P93" t="s">
        <v>1104</v>
      </c>
      <c r="Q93" t="s">
        <v>1104</v>
      </c>
      <c r="R93" t="s">
        <v>1104</v>
      </c>
      <c r="S93" t="s">
        <v>1104</v>
      </c>
      <c r="T93" t="s">
        <v>1104</v>
      </c>
      <c r="U93" t="s">
        <v>1104</v>
      </c>
      <c r="V93" t="s">
        <v>1104</v>
      </c>
      <c r="W93" t="s">
        <v>1104</v>
      </c>
      <c r="X93" t="s">
        <v>1104</v>
      </c>
      <c r="Y93" t="s">
        <v>1104</v>
      </c>
      <c r="Z93" t="s">
        <v>1104</v>
      </c>
      <c r="AA93" t="s">
        <v>1104</v>
      </c>
      <c r="AB93" t="s">
        <v>1104</v>
      </c>
      <c r="AC93" t="s">
        <v>1104</v>
      </c>
    </row>
    <row r="94" spans="1:29">
      <c r="A94" t="s">
        <v>1109</v>
      </c>
      <c r="B94" t="s">
        <v>1109</v>
      </c>
      <c r="C94" t="s">
        <v>1109</v>
      </c>
      <c r="D94" t="s">
        <v>1109</v>
      </c>
      <c r="E94" t="s">
        <v>1109</v>
      </c>
      <c r="F94" t="s">
        <v>1109</v>
      </c>
      <c r="G94" t="s">
        <v>1109</v>
      </c>
      <c r="H94" t="s">
        <v>1109</v>
      </c>
      <c r="I94" t="s">
        <v>1109</v>
      </c>
      <c r="J94" t="s">
        <v>1109</v>
      </c>
      <c r="K94" t="s">
        <v>1109</v>
      </c>
      <c r="L94" t="s">
        <v>1109</v>
      </c>
      <c r="M94" t="s">
        <v>1109</v>
      </c>
      <c r="N94" t="s">
        <v>1109</v>
      </c>
      <c r="O94" t="s">
        <v>1109</v>
      </c>
      <c r="P94" t="s">
        <v>1109</v>
      </c>
      <c r="Q94" t="s">
        <v>1109</v>
      </c>
      <c r="R94" t="s">
        <v>1109</v>
      </c>
      <c r="S94" t="s">
        <v>1109</v>
      </c>
      <c r="T94" t="s">
        <v>1109</v>
      </c>
      <c r="U94" t="s">
        <v>1109</v>
      </c>
      <c r="V94" t="s">
        <v>1109</v>
      </c>
      <c r="W94" t="s">
        <v>1109</v>
      </c>
      <c r="X94" t="s">
        <v>1109</v>
      </c>
      <c r="Y94" t="s">
        <v>1109</v>
      </c>
      <c r="Z94" t="s">
        <v>1109</v>
      </c>
      <c r="AA94" t="s">
        <v>1109</v>
      </c>
      <c r="AB94" t="s">
        <v>1109</v>
      </c>
      <c r="AC94" t="s">
        <v>1109</v>
      </c>
    </row>
    <row r="95" spans="1:29">
      <c r="A95" t="s">
        <v>1105</v>
      </c>
      <c r="B95" t="s">
        <v>1105</v>
      </c>
      <c r="C95" t="s">
        <v>1105</v>
      </c>
      <c r="D95" t="s">
        <v>1105</v>
      </c>
      <c r="E95" t="s">
        <v>1105</v>
      </c>
      <c r="F95" t="s">
        <v>1105</v>
      </c>
      <c r="G95" t="s">
        <v>1105</v>
      </c>
      <c r="H95" t="s">
        <v>1105</v>
      </c>
      <c r="I95" t="s">
        <v>1105</v>
      </c>
      <c r="J95" t="s">
        <v>1105</v>
      </c>
      <c r="K95" t="s">
        <v>1105</v>
      </c>
      <c r="L95" t="s">
        <v>1105</v>
      </c>
      <c r="M95" t="s">
        <v>1105</v>
      </c>
      <c r="N95" t="s">
        <v>1105</v>
      </c>
      <c r="O95" t="s">
        <v>1105</v>
      </c>
      <c r="P95" t="s">
        <v>1105</v>
      </c>
      <c r="Q95" t="s">
        <v>1105</v>
      </c>
      <c r="R95" t="s">
        <v>1105</v>
      </c>
      <c r="S95" t="s">
        <v>1105</v>
      </c>
      <c r="T95" t="s">
        <v>1105</v>
      </c>
      <c r="U95" t="s">
        <v>1105</v>
      </c>
      <c r="V95" t="s">
        <v>1105</v>
      </c>
      <c r="W95" t="s">
        <v>1105</v>
      </c>
      <c r="X95" t="s">
        <v>1105</v>
      </c>
      <c r="Y95" t="s">
        <v>1105</v>
      </c>
      <c r="Z95" t="s">
        <v>1105</v>
      </c>
      <c r="AA95" t="s">
        <v>1105</v>
      </c>
      <c r="AB95" t="s">
        <v>1105</v>
      </c>
      <c r="AC95" t="s">
        <v>1105</v>
      </c>
    </row>
    <row r="96" spans="1:29">
      <c r="A96" t="s">
        <v>1106</v>
      </c>
      <c r="B96" t="s">
        <v>1106</v>
      </c>
      <c r="C96" t="s">
        <v>1106</v>
      </c>
      <c r="D96" t="s">
        <v>1106</v>
      </c>
      <c r="E96" t="s">
        <v>1106</v>
      </c>
      <c r="F96" t="s">
        <v>1106</v>
      </c>
      <c r="G96" t="s">
        <v>1106</v>
      </c>
      <c r="H96" t="s">
        <v>1106</v>
      </c>
      <c r="I96" t="s">
        <v>1106</v>
      </c>
      <c r="J96" t="s">
        <v>1106</v>
      </c>
      <c r="K96" t="s">
        <v>1106</v>
      </c>
      <c r="L96" t="s">
        <v>1106</v>
      </c>
      <c r="M96" t="s">
        <v>1106</v>
      </c>
      <c r="N96" t="s">
        <v>1106</v>
      </c>
      <c r="O96" t="s">
        <v>1106</v>
      </c>
      <c r="P96" t="s">
        <v>1106</v>
      </c>
      <c r="Q96" t="s">
        <v>1106</v>
      </c>
      <c r="R96" t="s">
        <v>1106</v>
      </c>
      <c r="S96" t="s">
        <v>1106</v>
      </c>
      <c r="T96" t="s">
        <v>1106</v>
      </c>
      <c r="U96" t="s">
        <v>1106</v>
      </c>
      <c r="V96" t="s">
        <v>1106</v>
      </c>
      <c r="W96" t="s">
        <v>1106</v>
      </c>
      <c r="X96" t="s">
        <v>1106</v>
      </c>
      <c r="Y96" t="s">
        <v>1106</v>
      </c>
      <c r="Z96" t="s">
        <v>1106</v>
      </c>
      <c r="AA96" t="s">
        <v>1106</v>
      </c>
      <c r="AB96" t="s">
        <v>1106</v>
      </c>
      <c r="AC96" t="s">
        <v>1106</v>
      </c>
    </row>
    <row r="97" spans="1:29">
      <c r="A97" t="s">
        <v>1107</v>
      </c>
      <c r="B97" t="s">
        <v>1107</v>
      </c>
      <c r="C97" t="s">
        <v>1107</v>
      </c>
      <c r="D97" t="s">
        <v>1107</v>
      </c>
      <c r="E97" t="s">
        <v>1107</v>
      </c>
      <c r="F97" t="s">
        <v>1107</v>
      </c>
      <c r="G97" t="s">
        <v>1107</v>
      </c>
      <c r="H97" t="s">
        <v>1107</v>
      </c>
      <c r="I97" t="s">
        <v>1107</v>
      </c>
      <c r="J97" t="s">
        <v>1107</v>
      </c>
      <c r="K97" t="s">
        <v>1107</v>
      </c>
      <c r="L97" t="s">
        <v>1107</v>
      </c>
      <c r="M97" t="s">
        <v>1107</v>
      </c>
      <c r="N97" t="s">
        <v>1107</v>
      </c>
      <c r="O97" t="s">
        <v>1107</v>
      </c>
      <c r="P97" t="s">
        <v>1107</v>
      </c>
      <c r="Q97" t="s">
        <v>1107</v>
      </c>
      <c r="R97" t="s">
        <v>1107</v>
      </c>
      <c r="S97" t="s">
        <v>1107</v>
      </c>
      <c r="T97" t="s">
        <v>1107</v>
      </c>
      <c r="U97" t="s">
        <v>1107</v>
      </c>
      <c r="V97" t="s">
        <v>1107</v>
      </c>
      <c r="W97" t="s">
        <v>1107</v>
      </c>
      <c r="X97" t="s">
        <v>1107</v>
      </c>
      <c r="Y97" t="s">
        <v>1107</v>
      </c>
      <c r="Z97" t="s">
        <v>1107</v>
      </c>
      <c r="AA97" t="s">
        <v>1107</v>
      </c>
      <c r="AB97" t="s">
        <v>1107</v>
      </c>
      <c r="AC97" t="s">
        <v>1107</v>
      </c>
    </row>
    <row r="98" spans="1:29">
      <c r="T98"/>
      <c r="U98"/>
      <c r="V98"/>
    </row>
    <row r="99" spans="1:29">
      <c r="A99" t="s">
        <v>1080</v>
      </c>
      <c r="T99"/>
      <c r="U99"/>
      <c r="V99"/>
    </row>
    <row r="100" spans="1:29">
      <c r="A100" t="s">
        <v>239</v>
      </c>
      <c r="B100" t="s">
        <v>231</v>
      </c>
      <c r="C100" t="s">
        <v>232</v>
      </c>
      <c r="D100" t="s">
        <v>233</v>
      </c>
      <c r="E100" t="s">
        <v>234</v>
      </c>
      <c r="F100" t="s">
        <v>235</v>
      </c>
      <c r="G100" t="s">
        <v>236</v>
      </c>
      <c r="H100" t="s">
        <v>237</v>
      </c>
      <c r="I100" t="s">
        <v>296</v>
      </c>
      <c r="J100" t="s">
        <v>297</v>
      </c>
      <c r="K100" t="s">
        <v>298</v>
      </c>
      <c r="L100" t="s">
        <v>299</v>
      </c>
      <c r="M100" t="s">
        <v>725</v>
      </c>
      <c r="N100" t="s">
        <v>300</v>
      </c>
      <c r="O100" t="s">
        <v>301</v>
      </c>
      <c r="P100" t="s">
        <v>302</v>
      </c>
      <c r="Q100" t="s">
        <v>303</v>
      </c>
      <c r="R100" s="45" t="s">
        <v>876</v>
      </c>
      <c r="S100" s="45" t="s">
        <v>877</v>
      </c>
      <c r="T100" s="45" t="s">
        <v>878</v>
      </c>
      <c r="U100" t="s">
        <v>843</v>
      </c>
      <c r="V100" t="s">
        <v>844</v>
      </c>
      <c r="W100" t="s">
        <v>845</v>
      </c>
      <c r="X100" t="s">
        <v>846</v>
      </c>
      <c r="Y100" t="s">
        <v>847</v>
      </c>
      <c r="Z100" t="s">
        <v>848</v>
      </c>
      <c r="AA100" t="s">
        <v>849</v>
      </c>
      <c r="AB100" t="s">
        <v>850</v>
      </c>
      <c r="AC100" s="250" t="s">
        <v>249</v>
      </c>
    </row>
    <row r="101" spans="1:29">
      <c r="A101" t="s">
        <v>1114</v>
      </c>
      <c r="B101" t="s">
        <v>1114</v>
      </c>
      <c r="C101" t="s">
        <v>1114</v>
      </c>
      <c r="D101" t="s">
        <v>1114</v>
      </c>
      <c r="E101" t="s">
        <v>1114</v>
      </c>
      <c r="F101" t="s">
        <v>1114</v>
      </c>
      <c r="G101" t="s">
        <v>1114</v>
      </c>
      <c r="H101" t="s">
        <v>1114</v>
      </c>
      <c r="I101" t="s">
        <v>1114</v>
      </c>
      <c r="J101" t="s">
        <v>1114</v>
      </c>
      <c r="K101" t="s">
        <v>1114</v>
      </c>
      <c r="L101" t="s">
        <v>1114</v>
      </c>
      <c r="M101" t="s">
        <v>1114</v>
      </c>
      <c r="N101" t="s">
        <v>1114</v>
      </c>
      <c r="O101" t="s">
        <v>1114</v>
      </c>
      <c r="P101" t="s">
        <v>1114</v>
      </c>
      <c r="Q101" t="s">
        <v>1114</v>
      </c>
      <c r="R101" t="s">
        <v>1114</v>
      </c>
      <c r="S101" t="s">
        <v>1114</v>
      </c>
      <c r="T101" t="s">
        <v>1114</v>
      </c>
      <c r="U101" t="s">
        <v>1114</v>
      </c>
      <c r="V101" t="s">
        <v>1114</v>
      </c>
      <c r="W101" t="s">
        <v>1114</v>
      </c>
      <c r="X101" t="s">
        <v>1114</v>
      </c>
      <c r="Y101" t="s">
        <v>1114</v>
      </c>
      <c r="Z101" t="s">
        <v>1114</v>
      </c>
      <c r="AA101" t="s">
        <v>1114</v>
      </c>
      <c r="AB101" t="s">
        <v>1114</v>
      </c>
      <c r="AC101" t="s">
        <v>1114</v>
      </c>
    </row>
    <row r="102" spans="1:29">
      <c r="A102" t="s">
        <v>1115</v>
      </c>
      <c r="B102" t="s">
        <v>1115</v>
      </c>
      <c r="C102" t="s">
        <v>1115</v>
      </c>
      <c r="D102" t="s">
        <v>1115</v>
      </c>
      <c r="E102" t="s">
        <v>1115</v>
      </c>
      <c r="F102" t="s">
        <v>1115</v>
      </c>
      <c r="G102" t="s">
        <v>1115</v>
      </c>
      <c r="H102" t="s">
        <v>1115</v>
      </c>
      <c r="I102" t="s">
        <v>1115</v>
      </c>
      <c r="J102" t="s">
        <v>1115</v>
      </c>
      <c r="K102" t="s">
        <v>1115</v>
      </c>
      <c r="L102" t="s">
        <v>1115</v>
      </c>
      <c r="M102" t="s">
        <v>1115</v>
      </c>
      <c r="N102" t="s">
        <v>1115</v>
      </c>
      <c r="O102" t="s">
        <v>1115</v>
      </c>
      <c r="P102" t="s">
        <v>1115</v>
      </c>
      <c r="Q102" t="s">
        <v>1115</v>
      </c>
      <c r="R102" t="s">
        <v>1115</v>
      </c>
      <c r="S102" t="s">
        <v>1115</v>
      </c>
      <c r="T102" t="s">
        <v>1115</v>
      </c>
      <c r="U102" t="s">
        <v>1115</v>
      </c>
      <c r="V102" t="s">
        <v>1115</v>
      </c>
      <c r="W102" t="s">
        <v>1115</v>
      </c>
      <c r="X102" t="s">
        <v>1115</v>
      </c>
      <c r="Y102" t="s">
        <v>1115</v>
      </c>
      <c r="Z102" t="s">
        <v>1115</v>
      </c>
      <c r="AA102" t="s">
        <v>1115</v>
      </c>
      <c r="AB102" t="s">
        <v>1115</v>
      </c>
      <c r="AC102" t="s">
        <v>1115</v>
      </c>
    </row>
    <row r="103" spans="1:29">
      <c r="R103" s="303"/>
      <c r="S103" s="303"/>
      <c r="U103"/>
      <c r="V103"/>
    </row>
    <row r="104" spans="1:29">
      <c r="A104" t="s">
        <v>1081</v>
      </c>
      <c r="R104" s="303"/>
      <c r="S104" s="303"/>
      <c r="U104"/>
      <c r="V104"/>
    </row>
    <row r="105" spans="1:29">
      <c r="A105" t="s">
        <v>239</v>
      </c>
      <c r="B105" t="s">
        <v>231</v>
      </c>
      <c r="C105" t="s">
        <v>232</v>
      </c>
      <c r="D105" t="s">
        <v>233</v>
      </c>
      <c r="E105" t="s">
        <v>234</v>
      </c>
      <c r="F105" t="s">
        <v>235</v>
      </c>
      <c r="G105" t="s">
        <v>236</v>
      </c>
      <c r="H105" t="s">
        <v>237</v>
      </c>
      <c r="I105" t="s">
        <v>296</v>
      </c>
      <c r="J105" t="s">
        <v>297</v>
      </c>
      <c r="K105" t="s">
        <v>298</v>
      </c>
      <c r="L105" t="s">
        <v>299</v>
      </c>
      <c r="M105" t="s">
        <v>725</v>
      </c>
      <c r="N105" t="s">
        <v>300</v>
      </c>
      <c r="O105" t="s">
        <v>301</v>
      </c>
      <c r="P105" t="s">
        <v>302</v>
      </c>
      <c r="Q105" t="s">
        <v>303</v>
      </c>
      <c r="R105" s="45" t="s">
        <v>876</v>
      </c>
      <c r="S105" s="45" t="s">
        <v>877</v>
      </c>
      <c r="T105" s="45" t="s">
        <v>878</v>
      </c>
      <c r="U105" t="s">
        <v>843</v>
      </c>
      <c r="V105" t="s">
        <v>844</v>
      </c>
      <c r="W105" t="s">
        <v>845</v>
      </c>
      <c r="X105" t="s">
        <v>846</v>
      </c>
      <c r="Y105" t="s">
        <v>847</v>
      </c>
      <c r="Z105" t="s">
        <v>848</v>
      </c>
      <c r="AA105" t="s">
        <v>849</v>
      </c>
      <c r="AB105" t="s">
        <v>850</v>
      </c>
      <c r="AC105" s="250" t="s">
        <v>249</v>
      </c>
    </row>
    <row r="106" spans="1:29">
      <c r="A106" t="s">
        <v>368</v>
      </c>
      <c r="B106" t="s">
        <v>368</v>
      </c>
      <c r="C106" t="s">
        <v>368</v>
      </c>
      <c r="D106" t="s">
        <v>368</v>
      </c>
      <c r="E106" t="s">
        <v>368</v>
      </c>
      <c r="F106" t="s">
        <v>368</v>
      </c>
      <c r="G106" t="s">
        <v>368</v>
      </c>
      <c r="H106" t="s">
        <v>368</v>
      </c>
      <c r="I106" t="s">
        <v>368</v>
      </c>
      <c r="J106" t="s">
        <v>368</v>
      </c>
      <c r="K106" t="s">
        <v>368</v>
      </c>
      <c r="L106" t="s">
        <v>368</v>
      </c>
      <c r="M106" t="s">
        <v>368</v>
      </c>
      <c r="N106" t="s">
        <v>368</v>
      </c>
      <c r="O106" t="s">
        <v>368</v>
      </c>
      <c r="P106" t="s">
        <v>368</v>
      </c>
      <c r="Q106" t="s">
        <v>368</v>
      </c>
      <c r="R106" t="s">
        <v>368</v>
      </c>
      <c r="S106" t="s">
        <v>368</v>
      </c>
      <c r="T106" t="s">
        <v>368</v>
      </c>
      <c r="U106" t="s">
        <v>368</v>
      </c>
      <c r="V106" t="s">
        <v>368</v>
      </c>
      <c r="W106" t="s">
        <v>368</v>
      </c>
      <c r="X106" t="s">
        <v>368</v>
      </c>
      <c r="Y106" t="s">
        <v>368</v>
      </c>
      <c r="Z106" t="s">
        <v>368</v>
      </c>
      <c r="AA106" t="s">
        <v>368</v>
      </c>
      <c r="AB106" t="s">
        <v>368</v>
      </c>
      <c r="AC106" t="s">
        <v>368</v>
      </c>
    </row>
    <row r="107" spans="1:29">
      <c r="A107" t="s">
        <v>1116</v>
      </c>
      <c r="B107" t="s">
        <v>1116</v>
      </c>
      <c r="C107" t="s">
        <v>1116</v>
      </c>
      <c r="D107" t="s">
        <v>1116</v>
      </c>
      <c r="E107" t="s">
        <v>1116</v>
      </c>
      <c r="F107" t="s">
        <v>1116</v>
      </c>
      <c r="G107" t="s">
        <v>1116</v>
      </c>
      <c r="H107" t="s">
        <v>1116</v>
      </c>
      <c r="I107" t="s">
        <v>1116</v>
      </c>
      <c r="J107" t="s">
        <v>1116</v>
      </c>
      <c r="K107" t="s">
        <v>1116</v>
      </c>
      <c r="L107" t="s">
        <v>1116</v>
      </c>
      <c r="M107" t="s">
        <v>1116</v>
      </c>
      <c r="N107" t="s">
        <v>1116</v>
      </c>
      <c r="O107" t="s">
        <v>1116</v>
      </c>
      <c r="P107" t="s">
        <v>1116</v>
      </c>
      <c r="Q107" t="s">
        <v>1116</v>
      </c>
      <c r="R107" t="s">
        <v>1116</v>
      </c>
      <c r="S107" t="s">
        <v>1116</v>
      </c>
      <c r="T107" t="s">
        <v>1116</v>
      </c>
      <c r="U107" t="s">
        <v>1116</v>
      </c>
      <c r="V107" t="s">
        <v>1116</v>
      </c>
      <c r="W107" t="s">
        <v>1116</v>
      </c>
      <c r="X107" t="s">
        <v>1116</v>
      </c>
      <c r="Y107" t="s">
        <v>1116</v>
      </c>
      <c r="Z107" t="s">
        <v>1116</v>
      </c>
      <c r="AA107" t="s">
        <v>1116</v>
      </c>
      <c r="AB107" t="s">
        <v>1116</v>
      </c>
      <c r="AC107" t="s">
        <v>1116</v>
      </c>
    </row>
    <row r="108" spans="1:29">
      <c r="T108"/>
      <c r="U108"/>
      <c r="V108"/>
    </row>
    <row r="109" spans="1:29">
      <c r="A109" t="s">
        <v>146</v>
      </c>
      <c r="R109" s="303"/>
      <c r="S109" s="303"/>
      <c r="U109"/>
      <c r="V109"/>
    </row>
    <row r="110" spans="1:29">
      <c r="A110" t="s">
        <v>239</v>
      </c>
      <c r="B110" t="s">
        <v>231</v>
      </c>
      <c r="C110" t="s">
        <v>232</v>
      </c>
      <c r="D110" t="s">
        <v>233</v>
      </c>
      <c r="E110" t="s">
        <v>234</v>
      </c>
      <c r="F110" t="s">
        <v>235</v>
      </c>
      <c r="G110" t="s">
        <v>236</v>
      </c>
      <c r="H110" t="s">
        <v>237</v>
      </c>
      <c r="I110" t="s">
        <v>296</v>
      </c>
      <c r="J110" t="s">
        <v>297</v>
      </c>
      <c r="K110" t="s">
        <v>298</v>
      </c>
      <c r="L110" t="s">
        <v>299</v>
      </c>
      <c r="M110" t="s">
        <v>725</v>
      </c>
      <c r="N110" t="s">
        <v>300</v>
      </c>
      <c r="O110" t="s">
        <v>301</v>
      </c>
      <c r="P110" t="s">
        <v>302</v>
      </c>
      <c r="Q110" t="s">
        <v>303</v>
      </c>
      <c r="R110" s="45" t="s">
        <v>876</v>
      </c>
      <c r="S110" s="45" t="s">
        <v>877</v>
      </c>
      <c r="T110" s="45" t="s">
        <v>878</v>
      </c>
      <c r="U110" t="s">
        <v>843</v>
      </c>
      <c r="V110" t="s">
        <v>844</v>
      </c>
      <c r="W110" t="s">
        <v>845</v>
      </c>
      <c r="X110" t="s">
        <v>846</v>
      </c>
      <c r="Y110" t="s">
        <v>847</v>
      </c>
      <c r="Z110" t="s">
        <v>848</v>
      </c>
      <c r="AA110" t="s">
        <v>849</v>
      </c>
      <c r="AB110" t="s">
        <v>850</v>
      </c>
      <c r="AC110" s="250" t="s">
        <v>249</v>
      </c>
    </row>
    <row r="111" spans="1:29">
      <c r="A111" s="287" t="s">
        <v>840</v>
      </c>
      <c r="B111" s="287" t="s">
        <v>840</v>
      </c>
      <c r="C111" s="287" t="s">
        <v>841</v>
      </c>
      <c r="D111" s="287" t="s">
        <v>840</v>
      </c>
      <c r="E111" s="287" t="s">
        <v>840</v>
      </c>
      <c r="F111" s="287" t="s">
        <v>841</v>
      </c>
      <c r="G111" s="287" t="s">
        <v>842</v>
      </c>
      <c r="H111" s="287" t="s">
        <v>842</v>
      </c>
      <c r="I111" s="287" t="s">
        <v>840</v>
      </c>
      <c r="J111" s="287" t="s">
        <v>840</v>
      </c>
      <c r="K111" s="287" t="s">
        <v>840</v>
      </c>
      <c r="L111" s="287" t="s">
        <v>840</v>
      </c>
      <c r="M111" s="287" t="s">
        <v>840</v>
      </c>
      <c r="N111" s="290" t="s">
        <v>841</v>
      </c>
      <c r="O111" s="290" t="s">
        <v>841</v>
      </c>
      <c r="P111" s="290" t="s">
        <v>841</v>
      </c>
      <c r="Q111" s="290" t="s">
        <v>841</v>
      </c>
      <c r="R111" s="443" t="s">
        <v>841</v>
      </c>
      <c r="S111" s="443" t="s">
        <v>841</v>
      </c>
      <c r="T111" s="443" t="s">
        <v>841</v>
      </c>
      <c r="U111" s="291" t="s">
        <v>842</v>
      </c>
      <c r="V111" s="291" t="s">
        <v>842</v>
      </c>
      <c r="W111" s="291" t="s">
        <v>842</v>
      </c>
      <c r="X111" s="291" t="s">
        <v>842</v>
      </c>
      <c r="Y111" s="291" t="s">
        <v>842</v>
      </c>
      <c r="Z111" s="291" t="s">
        <v>842</v>
      </c>
      <c r="AA111" s="291"/>
      <c r="AB111" s="291"/>
      <c r="AC111" s="287"/>
    </row>
    <row r="112" spans="1:29">
      <c r="A112" s="285" t="s">
        <v>841</v>
      </c>
      <c r="B112" s="285" t="s">
        <v>841</v>
      </c>
      <c r="C112" s="285" t="s">
        <v>842</v>
      </c>
      <c r="D112" s="285" t="s">
        <v>841</v>
      </c>
      <c r="E112" s="285" t="s">
        <v>841</v>
      </c>
      <c r="F112" s="285" t="s">
        <v>842</v>
      </c>
      <c r="G112" s="285"/>
      <c r="H112" s="285"/>
      <c r="I112" s="285" t="s">
        <v>841</v>
      </c>
      <c r="J112" s="285" t="s">
        <v>841</v>
      </c>
      <c r="K112" s="285" t="s">
        <v>841</v>
      </c>
      <c r="L112" s="285" t="s">
        <v>841</v>
      </c>
      <c r="M112" s="285" t="s">
        <v>841</v>
      </c>
      <c r="N112" s="292" t="s">
        <v>842</v>
      </c>
      <c r="O112" s="292" t="s">
        <v>842</v>
      </c>
      <c r="P112" s="292" t="s">
        <v>842</v>
      </c>
      <c r="Q112" s="292" t="s">
        <v>842</v>
      </c>
      <c r="R112" s="442" t="s">
        <v>842</v>
      </c>
      <c r="S112" s="442" t="s">
        <v>842</v>
      </c>
      <c r="T112" s="442" t="s">
        <v>842</v>
      </c>
      <c r="U112" s="285" t="s">
        <v>841</v>
      </c>
      <c r="V112" s="285" t="s">
        <v>841</v>
      </c>
      <c r="W112" s="285" t="s">
        <v>841</v>
      </c>
      <c r="X112" s="285" t="s">
        <v>841</v>
      </c>
      <c r="Y112" s="285" t="s">
        <v>841</v>
      </c>
      <c r="Z112" s="285" t="s">
        <v>841</v>
      </c>
      <c r="AA112" s="285"/>
      <c r="AB112" s="285"/>
      <c r="AC112" s="285"/>
    </row>
    <row r="113" spans="1:29">
      <c r="A113" s="287" t="s">
        <v>842</v>
      </c>
      <c r="B113" s="287" t="s">
        <v>842</v>
      </c>
      <c r="C113" s="287"/>
      <c r="D113" s="287" t="s">
        <v>842</v>
      </c>
      <c r="E113" s="287" t="s">
        <v>842</v>
      </c>
      <c r="F113" s="287"/>
      <c r="G113" s="287"/>
      <c r="H113" s="287"/>
      <c r="I113" s="287" t="s">
        <v>842</v>
      </c>
      <c r="J113" s="287" t="s">
        <v>842</v>
      </c>
      <c r="K113" s="287" t="s">
        <v>842</v>
      </c>
      <c r="L113" s="287" t="s">
        <v>842</v>
      </c>
      <c r="M113" s="287" t="s">
        <v>842</v>
      </c>
      <c r="N113" s="287"/>
      <c r="O113" s="287"/>
      <c r="P113" s="287"/>
      <c r="Q113" s="287"/>
      <c r="R113" s="305"/>
      <c r="S113" s="305"/>
      <c r="T113" s="305"/>
      <c r="U113" s="287"/>
      <c r="V113" s="287"/>
      <c r="W113" s="287"/>
      <c r="X113" s="287"/>
      <c r="Y113" s="287"/>
      <c r="Z113" s="287"/>
      <c r="AA113" s="288"/>
      <c r="AB113" s="288"/>
      <c r="AC113" s="287"/>
    </row>
    <row r="114" spans="1:29">
      <c r="A114" s="285"/>
      <c r="B114" s="285"/>
      <c r="C114" s="285"/>
      <c r="D114" s="285"/>
      <c r="E114" s="285"/>
      <c r="F114" s="285"/>
      <c r="G114" s="285"/>
      <c r="H114" s="285"/>
      <c r="I114" s="285"/>
      <c r="J114" s="285"/>
      <c r="K114" s="285"/>
      <c r="L114" s="285"/>
      <c r="M114" s="285"/>
      <c r="N114" s="292"/>
      <c r="O114" s="292"/>
      <c r="P114" s="292"/>
      <c r="Q114" s="292"/>
      <c r="R114" s="304"/>
      <c r="S114" s="304"/>
      <c r="T114" s="304"/>
      <c r="U114" s="285"/>
      <c r="V114" s="285"/>
      <c r="W114" s="285"/>
      <c r="X114" s="285"/>
      <c r="Y114" s="285"/>
      <c r="Z114" s="285"/>
      <c r="AA114" s="285"/>
      <c r="AB114" s="285"/>
      <c r="AC114" s="285"/>
    </row>
    <row r="115" spans="1:29">
      <c r="A115" s="287"/>
      <c r="B115" s="287"/>
      <c r="C115" s="287"/>
      <c r="D115" s="287"/>
      <c r="E115" s="287"/>
      <c r="F115" s="287"/>
      <c r="G115" s="287"/>
      <c r="H115" s="287"/>
      <c r="I115" s="287"/>
      <c r="J115" s="287"/>
      <c r="K115" s="287"/>
      <c r="L115" s="287"/>
      <c r="M115" s="287"/>
      <c r="N115" s="289"/>
      <c r="O115" s="289"/>
      <c r="P115" s="289"/>
      <c r="Q115" s="289"/>
      <c r="R115" s="306"/>
      <c r="S115" s="306"/>
      <c r="T115" s="306"/>
      <c r="U115" s="287"/>
      <c r="V115" s="287"/>
      <c r="W115" s="287"/>
      <c r="X115" s="287"/>
      <c r="Y115" s="287"/>
      <c r="Z115" s="287"/>
      <c r="AA115" s="293"/>
      <c r="AB115" s="293"/>
      <c r="AC115" s="287"/>
    </row>
    <row r="116" spans="1:29">
      <c r="R116" s="303"/>
      <c r="S116" s="303"/>
      <c r="U116"/>
      <c r="V116"/>
    </row>
    <row r="117" spans="1:29">
      <c r="R117" s="303"/>
      <c r="S117" s="303"/>
      <c r="U117"/>
      <c r="V117"/>
    </row>
    <row r="118" spans="1:29">
      <c r="A118" t="s">
        <v>147</v>
      </c>
      <c r="R118" s="303"/>
      <c r="S118" s="303"/>
      <c r="U118"/>
      <c r="V118"/>
    </row>
    <row r="119" spans="1:29">
      <c r="A119" t="s">
        <v>239</v>
      </c>
      <c r="B119" t="s">
        <v>231</v>
      </c>
      <c r="C119" t="s">
        <v>232</v>
      </c>
      <c r="D119" t="s">
        <v>233</v>
      </c>
      <c r="E119" t="s">
        <v>234</v>
      </c>
      <c r="F119" t="s">
        <v>235</v>
      </c>
      <c r="G119" t="s">
        <v>236</v>
      </c>
      <c r="H119" t="s">
        <v>237</v>
      </c>
      <c r="I119" t="s">
        <v>296</v>
      </c>
      <c r="J119" t="s">
        <v>297</v>
      </c>
      <c r="K119" t="s">
        <v>298</v>
      </c>
      <c r="L119" t="s">
        <v>299</v>
      </c>
      <c r="M119" t="s">
        <v>725</v>
      </c>
      <c r="N119" t="s">
        <v>300</v>
      </c>
      <c r="O119" t="s">
        <v>301</v>
      </c>
      <c r="P119" t="s">
        <v>302</v>
      </c>
      <c r="Q119" t="s">
        <v>303</v>
      </c>
      <c r="R119" s="45" t="s">
        <v>876</v>
      </c>
      <c r="S119" s="45" t="s">
        <v>877</v>
      </c>
      <c r="T119" s="45" t="s">
        <v>878</v>
      </c>
      <c r="U119" t="s">
        <v>843</v>
      </c>
      <c r="V119" t="s">
        <v>844</v>
      </c>
      <c r="W119" t="s">
        <v>845</v>
      </c>
      <c r="X119" t="s">
        <v>846</v>
      </c>
      <c r="Y119" t="s">
        <v>847</v>
      </c>
      <c r="Z119" t="s">
        <v>848</v>
      </c>
      <c r="AA119" t="s">
        <v>849</v>
      </c>
      <c r="AB119" t="s">
        <v>850</v>
      </c>
      <c r="AC119" s="250" t="s">
        <v>249</v>
      </c>
    </row>
    <row r="120" spans="1:29">
      <c r="A120" s="285" t="s">
        <v>839</v>
      </c>
      <c r="B120" s="285" t="s">
        <v>839</v>
      </c>
      <c r="C120" s="285" t="s">
        <v>839</v>
      </c>
      <c r="D120" s="285" t="s">
        <v>839</v>
      </c>
      <c r="E120" s="285" t="s">
        <v>839</v>
      </c>
      <c r="F120" s="285" t="s">
        <v>839</v>
      </c>
      <c r="G120" s="285" t="s">
        <v>839</v>
      </c>
      <c r="H120" s="285" t="s">
        <v>842</v>
      </c>
      <c r="I120" s="285" t="s">
        <v>839</v>
      </c>
      <c r="J120" s="285" t="s">
        <v>839</v>
      </c>
      <c r="K120" s="285" t="s">
        <v>839</v>
      </c>
      <c r="L120" s="285" t="s">
        <v>839</v>
      </c>
      <c r="M120" s="294" t="s">
        <v>839</v>
      </c>
      <c r="N120" s="294" t="s">
        <v>839</v>
      </c>
      <c r="O120" s="294" t="s">
        <v>839</v>
      </c>
      <c r="P120" s="294" t="s">
        <v>839</v>
      </c>
      <c r="Q120" s="294" t="s">
        <v>839</v>
      </c>
      <c r="R120" s="440" t="s">
        <v>840</v>
      </c>
      <c r="S120" s="440" t="s">
        <v>840</v>
      </c>
      <c r="T120" s="440" t="s">
        <v>840</v>
      </c>
      <c r="U120" s="294" t="s">
        <v>842</v>
      </c>
      <c r="V120" s="294" t="s">
        <v>842</v>
      </c>
      <c r="W120" s="294" t="s">
        <v>842</v>
      </c>
      <c r="X120" s="294" t="s">
        <v>842</v>
      </c>
      <c r="Y120" s="294" t="s">
        <v>842</v>
      </c>
      <c r="Z120" s="294" t="s">
        <v>842</v>
      </c>
      <c r="AA120" s="294"/>
      <c r="AB120" s="294"/>
      <c r="AC120" s="285"/>
    </row>
    <row r="121" spans="1:29">
      <c r="A121" s="287" t="s">
        <v>840</v>
      </c>
      <c r="B121" s="287" t="s">
        <v>840</v>
      </c>
      <c r="C121" s="287" t="s">
        <v>840</v>
      </c>
      <c r="D121" s="287" t="s">
        <v>840</v>
      </c>
      <c r="E121" s="287" t="s">
        <v>840</v>
      </c>
      <c r="F121" s="287" t="s">
        <v>840</v>
      </c>
      <c r="G121" s="287" t="s">
        <v>840</v>
      </c>
      <c r="H121" s="287"/>
      <c r="I121" s="287" t="s">
        <v>840</v>
      </c>
      <c r="J121" s="287" t="s">
        <v>840</v>
      </c>
      <c r="K121" s="287" t="s">
        <v>840</v>
      </c>
      <c r="L121" s="287" t="s">
        <v>840</v>
      </c>
      <c r="M121" s="287" t="s">
        <v>840</v>
      </c>
      <c r="N121" s="287" t="s">
        <v>840</v>
      </c>
      <c r="O121" s="287" t="s">
        <v>840</v>
      </c>
      <c r="P121" s="287" t="s">
        <v>840</v>
      </c>
      <c r="Q121" s="287" t="s">
        <v>840</v>
      </c>
      <c r="R121" s="441" t="s">
        <v>841</v>
      </c>
      <c r="S121" s="441" t="s">
        <v>841</v>
      </c>
      <c r="T121" s="441" t="s">
        <v>841</v>
      </c>
      <c r="U121" s="287" t="s">
        <v>841</v>
      </c>
      <c r="V121" s="287" t="s">
        <v>841</v>
      </c>
      <c r="W121" s="287" t="s">
        <v>841</v>
      </c>
      <c r="X121" s="287" t="s">
        <v>841</v>
      </c>
      <c r="Y121" s="287" t="s">
        <v>841</v>
      </c>
      <c r="Z121" s="287" t="s">
        <v>841</v>
      </c>
      <c r="AA121" s="287"/>
      <c r="AB121" s="287"/>
      <c r="AC121" s="287"/>
    </row>
    <row r="122" spans="1:29">
      <c r="A122" s="285" t="s">
        <v>841</v>
      </c>
      <c r="B122" s="285" t="s">
        <v>841</v>
      </c>
      <c r="C122" s="285" t="s">
        <v>841</v>
      </c>
      <c r="D122" s="285" t="s">
        <v>841</v>
      </c>
      <c r="E122" s="285" t="s">
        <v>841</v>
      </c>
      <c r="F122" s="285" t="s">
        <v>841</v>
      </c>
      <c r="G122" s="285" t="s">
        <v>841</v>
      </c>
      <c r="H122" s="285"/>
      <c r="I122" s="285" t="s">
        <v>841</v>
      </c>
      <c r="J122" s="285" t="s">
        <v>841</v>
      </c>
      <c r="K122" s="285" t="s">
        <v>841</v>
      </c>
      <c r="L122" s="285" t="s">
        <v>841</v>
      </c>
      <c r="M122" s="292" t="s">
        <v>841</v>
      </c>
      <c r="N122" s="292" t="s">
        <v>841</v>
      </c>
      <c r="O122" s="292" t="s">
        <v>841</v>
      </c>
      <c r="P122" s="292" t="s">
        <v>841</v>
      </c>
      <c r="Q122" s="292" t="s">
        <v>841</v>
      </c>
      <c r="R122" s="442" t="s">
        <v>842</v>
      </c>
      <c r="S122" s="442" t="s">
        <v>842</v>
      </c>
      <c r="T122" s="442" t="s">
        <v>842</v>
      </c>
      <c r="U122" s="285"/>
      <c r="V122" s="285"/>
      <c r="W122" s="285"/>
      <c r="X122" s="285"/>
      <c r="Y122" s="285"/>
      <c r="Z122" s="285"/>
      <c r="AA122" s="292"/>
      <c r="AB122" s="292"/>
      <c r="AC122" s="285"/>
    </row>
    <row r="123" spans="1:29">
      <c r="A123" s="287"/>
      <c r="B123" s="287" t="s">
        <v>842</v>
      </c>
      <c r="C123" s="287"/>
      <c r="D123" s="287"/>
      <c r="E123" s="287" t="s">
        <v>842</v>
      </c>
      <c r="F123" s="287"/>
      <c r="G123" s="287" t="s">
        <v>842</v>
      </c>
      <c r="H123" s="287"/>
      <c r="I123" s="287" t="s">
        <v>842</v>
      </c>
      <c r="J123" s="287" t="s">
        <v>842</v>
      </c>
      <c r="K123" s="287" t="s">
        <v>842</v>
      </c>
      <c r="L123" s="287" t="s">
        <v>842</v>
      </c>
      <c r="M123" s="287"/>
      <c r="N123" s="287" t="s">
        <v>842</v>
      </c>
      <c r="O123" s="287" t="s">
        <v>842</v>
      </c>
      <c r="P123" s="287" t="s">
        <v>842</v>
      </c>
      <c r="Q123" s="287" t="s">
        <v>842</v>
      </c>
      <c r="R123" s="305"/>
      <c r="S123" s="305"/>
      <c r="T123" s="305"/>
      <c r="U123" s="287"/>
      <c r="V123" s="287"/>
      <c r="W123" s="287"/>
      <c r="X123" s="287"/>
      <c r="Y123" s="287"/>
      <c r="Z123" s="287"/>
      <c r="AA123" s="287"/>
      <c r="AB123" s="287"/>
      <c r="AC123" s="287"/>
    </row>
    <row r="124" spans="1:29">
      <c r="A124" s="285"/>
      <c r="B124" s="285"/>
      <c r="C124" s="285"/>
      <c r="D124" s="285"/>
      <c r="E124" s="285"/>
      <c r="F124" s="285"/>
      <c r="G124" s="285"/>
      <c r="H124" s="285"/>
      <c r="I124" s="285"/>
      <c r="J124" s="285"/>
      <c r="K124" s="285"/>
      <c r="L124" s="285"/>
      <c r="M124" s="292"/>
      <c r="N124" s="292"/>
      <c r="O124" s="292"/>
      <c r="P124" s="292"/>
      <c r="Q124" s="292"/>
      <c r="R124" s="304"/>
      <c r="S124" s="304"/>
      <c r="T124" s="304"/>
      <c r="U124" s="285"/>
      <c r="V124" s="285"/>
      <c r="W124" s="285"/>
      <c r="X124" s="285"/>
      <c r="Y124" s="285"/>
      <c r="Z124" s="285"/>
      <c r="AA124" s="292"/>
      <c r="AB124" s="292"/>
      <c r="AC124" s="285"/>
    </row>
    <row r="125" spans="1:29">
      <c r="A125" s="287"/>
      <c r="B125" s="287"/>
      <c r="C125" s="287"/>
      <c r="D125" s="287"/>
      <c r="E125" s="287"/>
      <c r="F125" s="287"/>
      <c r="G125" s="287"/>
      <c r="H125" s="287"/>
      <c r="I125" s="287"/>
      <c r="J125" s="287"/>
      <c r="K125" s="287"/>
      <c r="L125" s="287"/>
      <c r="M125" s="289"/>
      <c r="N125" s="289"/>
      <c r="O125" s="289"/>
      <c r="P125" s="289"/>
      <c r="Q125" s="289"/>
      <c r="R125" s="306"/>
      <c r="S125" s="306"/>
      <c r="T125" s="306"/>
      <c r="U125" s="289"/>
      <c r="V125" s="289"/>
      <c r="W125" s="289"/>
      <c r="X125" s="289"/>
      <c r="Y125" s="289"/>
      <c r="Z125" s="289"/>
      <c r="AA125" s="289"/>
      <c r="AB125" s="289"/>
      <c r="AC125" s="287"/>
    </row>
    <row r="126" spans="1:29">
      <c r="R126" s="303"/>
      <c r="S126" s="303"/>
      <c r="U126"/>
      <c r="V126"/>
    </row>
    <row r="127" spans="1:29">
      <c r="R127" s="303"/>
      <c r="S127" s="303"/>
      <c r="U127"/>
      <c r="V127"/>
    </row>
    <row r="128" spans="1:29">
      <c r="A128" t="s">
        <v>667</v>
      </c>
      <c r="R128" s="303"/>
      <c r="S128" s="303"/>
      <c r="U128"/>
      <c r="V128"/>
    </row>
    <row r="129" spans="1:29">
      <c r="A129" t="s">
        <v>239</v>
      </c>
      <c r="B129" t="s">
        <v>231</v>
      </c>
      <c r="C129" t="s">
        <v>232</v>
      </c>
      <c r="D129" t="s">
        <v>233</v>
      </c>
      <c r="E129" t="s">
        <v>234</v>
      </c>
      <c r="F129" t="s">
        <v>235</v>
      </c>
      <c r="G129" t="s">
        <v>236</v>
      </c>
      <c r="H129" t="s">
        <v>237</v>
      </c>
      <c r="I129" t="s">
        <v>296</v>
      </c>
      <c r="J129" t="s">
        <v>297</v>
      </c>
      <c r="K129" t="s">
        <v>298</v>
      </c>
      <c r="L129" t="s">
        <v>299</v>
      </c>
      <c r="M129" t="s">
        <v>725</v>
      </c>
      <c r="N129" t="s">
        <v>300</v>
      </c>
      <c r="O129" t="s">
        <v>301</v>
      </c>
      <c r="P129" t="s">
        <v>302</v>
      </c>
      <c r="Q129" t="s">
        <v>303</v>
      </c>
      <c r="R129" s="45" t="s">
        <v>876</v>
      </c>
      <c r="S129" s="45" t="s">
        <v>877</v>
      </c>
      <c r="T129" s="45" t="s">
        <v>878</v>
      </c>
      <c r="U129" t="s">
        <v>843</v>
      </c>
      <c r="V129" t="s">
        <v>844</v>
      </c>
      <c r="W129" t="s">
        <v>845</v>
      </c>
      <c r="X129" t="s">
        <v>846</v>
      </c>
      <c r="Y129" t="s">
        <v>847</v>
      </c>
      <c r="Z129" t="s">
        <v>848</v>
      </c>
      <c r="AA129" t="s">
        <v>849</v>
      </c>
      <c r="AB129" t="s">
        <v>850</v>
      </c>
      <c r="AC129" s="250" t="s">
        <v>249</v>
      </c>
    </row>
    <row r="130" spans="1:29">
      <c r="A130" t="s">
        <v>854</v>
      </c>
      <c r="B130" t="s">
        <v>854</v>
      </c>
      <c r="C130" t="s">
        <v>854</v>
      </c>
      <c r="D130" t="s">
        <v>854</v>
      </c>
      <c r="E130" t="s">
        <v>854</v>
      </c>
      <c r="F130" t="s">
        <v>854</v>
      </c>
      <c r="G130" t="s">
        <v>857</v>
      </c>
      <c r="H130" t="s">
        <v>858</v>
      </c>
      <c r="I130" t="s">
        <v>854</v>
      </c>
      <c r="J130" t="s">
        <v>854</v>
      </c>
      <c r="K130" t="s">
        <v>854</v>
      </c>
      <c r="L130" t="s">
        <v>854</v>
      </c>
      <c r="M130" t="s">
        <v>854</v>
      </c>
      <c r="N130" t="s">
        <v>854</v>
      </c>
      <c r="O130" t="s">
        <v>854</v>
      </c>
      <c r="P130" t="s">
        <v>854</v>
      </c>
      <c r="Q130" t="s">
        <v>854</v>
      </c>
      <c r="R130" s="61" t="s">
        <v>858</v>
      </c>
      <c r="S130" s="61" t="s">
        <v>858</v>
      </c>
      <c r="T130" s="61" t="s">
        <v>858</v>
      </c>
      <c r="U130" t="s">
        <v>856</v>
      </c>
      <c r="V130" t="s">
        <v>856</v>
      </c>
      <c r="W130" t="s">
        <v>856</v>
      </c>
      <c r="X130" t="s">
        <v>856</v>
      </c>
      <c r="Y130" t="s">
        <v>856</v>
      </c>
      <c r="Z130" t="s">
        <v>856</v>
      </c>
    </row>
    <row r="131" spans="1:29">
      <c r="A131" t="s">
        <v>855</v>
      </c>
      <c r="B131" t="s">
        <v>855</v>
      </c>
      <c r="C131" t="s">
        <v>855</v>
      </c>
      <c r="D131" t="s">
        <v>855</v>
      </c>
      <c r="E131" t="s">
        <v>855</v>
      </c>
      <c r="F131" t="s">
        <v>855</v>
      </c>
      <c r="G131" t="s">
        <v>858</v>
      </c>
      <c r="I131" t="s">
        <v>855</v>
      </c>
      <c r="J131" t="s">
        <v>855</v>
      </c>
      <c r="K131" t="s">
        <v>855</v>
      </c>
      <c r="L131" t="s">
        <v>855</v>
      </c>
      <c r="M131" t="s">
        <v>855</v>
      </c>
      <c r="N131" t="s">
        <v>855</v>
      </c>
      <c r="O131" t="s">
        <v>855</v>
      </c>
      <c r="P131" t="s">
        <v>855</v>
      </c>
      <c r="Q131" t="s">
        <v>855</v>
      </c>
      <c r="R131" s="303"/>
      <c r="S131" s="303"/>
      <c r="U131" t="s">
        <v>857</v>
      </c>
      <c r="V131" t="s">
        <v>857</v>
      </c>
      <c r="W131" t="s">
        <v>857</v>
      </c>
      <c r="X131" t="s">
        <v>857</v>
      </c>
      <c r="Y131" t="s">
        <v>857</v>
      </c>
      <c r="Z131" t="s">
        <v>857</v>
      </c>
    </row>
    <row r="132" spans="1:29">
      <c r="A132" t="s">
        <v>856</v>
      </c>
      <c r="B132" t="s">
        <v>856</v>
      </c>
      <c r="C132" t="s">
        <v>856</v>
      </c>
      <c r="D132" t="s">
        <v>856</v>
      </c>
      <c r="E132" t="s">
        <v>856</v>
      </c>
      <c r="F132" t="s">
        <v>856</v>
      </c>
      <c r="I132" t="s">
        <v>856</v>
      </c>
      <c r="J132" t="s">
        <v>856</v>
      </c>
      <c r="K132" t="s">
        <v>856</v>
      </c>
      <c r="L132" t="s">
        <v>856</v>
      </c>
      <c r="M132" t="s">
        <v>856</v>
      </c>
      <c r="N132" t="s">
        <v>856</v>
      </c>
      <c r="O132" t="s">
        <v>856</v>
      </c>
      <c r="P132" t="s">
        <v>856</v>
      </c>
      <c r="Q132" t="s">
        <v>856</v>
      </c>
      <c r="R132" s="303"/>
      <c r="S132" s="303"/>
      <c r="U132"/>
      <c r="V132" t="s">
        <v>858</v>
      </c>
      <c r="W132" t="s">
        <v>858</v>
      </c>
    </row>
    <row r="133" spans="1:29">
      <c r="A133" t="s">
        <v>857</v>
      </c>
      <c r="B133" t="s">
        <v>857</v>
      </c>
      <c r="C133" t="s">
        <v>857</v>
      </c>
      <c r="D133" t="s">
        <v>857</v>
      </c>
      <c r="E133" t="s">
        <v>857</v>
      </c>
      <c r="F133" t="s">
        <v>857</v>
      </c>
      <c r="I133" t="s">
        <v>857</v>
      </c>
      <c r="J133" t="s">
        <v>857</v>
      </c>
      <c r="K133" t="s">
        <v>857</v>
      </c>
      <c r="L133" t="s">
        <v>857</v>
      </c>
      <c r="M133" t="s">
        <v>857</v>
      </c>
      <c r="N133" t="s">
        <v>857</v>
      </c>
      <c r="O133" t="s">
        <v>857</v>
      </c>
      <c r="P133" t="s">
        <v>857</v>
      </c>
      <c r="Q133" t="s">
        <v>857</v>
      </c>
      <c r="R133" s="303"/>
      <c r="S133" s="303"/>
      <c r="U133"/>
      <c r="V133"/>
    </row>
    <row r="134" spans="1:29">
      <c r="C134" t="s">
        <v>858</v>
      </c>
      <c r="E134" t="s">
        <v>858</v>
      </c>
      <c r="F134" t="s">
        <v>858</v>
      </c>
      <c r="R134" s="303"/>
      <c r="S134" s="303"/>
      <c r="U134"/>
      <c r="V134"/>
    </row>
    <row r="135" spans="1:29">
      <c r="R135" s="303"/>
      <c r="S135" s="303"/>
      <c r="U135"/>
      <c r="V135"/>
    </row>
    <row r="136" spans="1:29">
      <c r="R136" s="303"/>
      <c r="S136" s="303"/>
      <c r="U136"/>
      <c r="V136"/>
    </row>
    <row r="137" spans="1:29">
      <c r="A137" t="s">
        <v>485</v>
      </c>
      <c r="R137" s="303"/>
      <c r="S137" s="303"/>
      <c r="U137"/>
      <c r="V137"/>
    </row>
    <row r="138" spans="1:29">
      <c r="A138" t="s">
        <v>239</v>
      </c>
      <c r="B138" t="s">
        <v>231</v>
      </c>
      <c r="C138" t="s">
        <v>232</v>
      </c>
      <c r="D138" t="s">
        <v>233</v>
      </c>
      <c r="E138" t="s">
        <v>234</v>
      </c>
      <c r="F138" t="s">
        <v>235</v>
      </c>
      <c r="G138" t="s">
        <v>236</v>
      </c>
      <c r="H138" t="s">
        <v>237</v>
      </c>
      <c r="I138" t="s">
        <v>296</v>
      </c>
      <c r="J138" t="s">
        <v>297</v>
      </c>
      <c r="K138" t="s">
        <v>298</v>
      </c>
      <c r="L138" t="s">
        <v>299</v>
      </c>
      <c r="M138" t="s">
        <v>725</v>
      </c>
      <c r="N138" t="s">
        <v>300</v>
      </c>
      <c r="O138" t="s">
        <v>301</v>
      </c>
      <c r="P138" t="s">
        <v>302</v>
      </c>
      <c r="Q138" t="s">
        <v>303</v>
      </c>
      <c r="R138" s="45" t="s">
        <v>876</v>
      </c>
      <c r="S138" s="45" t="s">
        <v>877</v>
      </c>
      <c r="T138" s="45" t="s">
        <v>878</v>
      </c>
      <c r="U138" t="s">
        <v>875</v>
      </c>
      <c r="V138" t="s">
        <v>844</v>
      </c>
      <c r="W138" t="s">
        <v>845</v>
      </c>
      <c r="X138" t="s">
        <v>846</v>
      </c>
      <c r="Y138" t="s">
        <v>847</v>
      </c>
      <c r="Z138" t="s">
        <v>848</v>
      </c>
      <c r="AA138" t="s">
        <v>849</v>
      </c>
      <c r="AB138" t="s">
        <v>850</v>
      </c>
      <c r="AC138" s="250" t="s">
        <v>249</v>
      </c>
    </row>
    <row r="139" spans="1:29">
      <c r="A139" t="s">
        <v>855</v>
      </c>
      <c r="B139" t="s">
        <v>855</v>
      </c>
      <c r="C139" t="s">
        <v>855</v>
      </c>
      <c r="D139" t="s">
        <v>855</v>
      </c>
      <c r="E139" t="s">
        <v>855</v>
      </c>
      <c r="F139" t="s">
        <v>855</v>
      </c>
      <c r="G139" t="s">
        <v>855</v>
      </c>
      <c r="H139" t="s">
        <v>858</v>
      </c>
      <c r="I139" t="s">
        <v>854</v>
      </c>
      <c r="J139" t="s">
        <v>855</v>
      </c>
      <c r="K139" t="s">
        <v>854</v>
      </c>
      <c r="L139" t="s">
        <v>855</v>
      </c>
      <c r="M139" t="s">
        <v>854</v>
      </c>
      <c r="N139" t="s">
        <v>854</v>
      </c>
      <c r="O139" t="s">
        <v>855</v>
      </c>
      <c r="P139" t="s">
        <v>854</v>
      </c>
      <c r="Q139" t="s">
        <v>855</v>
      </c>
      <c r="R139" s="61" t="s">
        <v>857</v>
      </c>
      <c r="S139" s="61" t="s">
        <v>857</v>
      </c>
      <c r="T139" s="61" t="s">
        <v>858</v>
      </c>
      <c r="U139" t="s">
        <v>855</v>
      </c>
      <c r="V139" t="s">
        <v>855</v>
      </c>
      <c r="W139" t="s">
        <v>855</v>
      </c>
      <c r="X139" t="s">
        <v>856</v>
      </c>
      <c r="Y139" t="s">
        <v>856</v>
      </c>
      <c r="Z139" t="s">
        <v>856</v>
      </c>
    </row>
    <row r="140" spans="1:29">
      <c r="A140" t="s">
        <v>856</v>
      </c>
      <c r="B140" t="s">
        <v>856</v>
      </c>
      <c r="C140" t="s">
        <v>856</v>
      </c>
      <c r="D140" t="s">
        <v>856</v>
      </c>
      <c r="E140" t="s">
        <v>856</v>
      </c>
      <c r="F140" t="s">
        <v>856</v>
      </c>
      <c r="G140" t="s">
        <v>856</v>
      </c>
      <c r="I140" t="s">
        <v>855</v>
      </c>
      <c r="J140" t="s">
        <v>856</v>
      </c>
      <c r="K140" t="s">
        <v>855</v>
      </c>
      <c r="L140" t="s">
        <v>856</v>
      </c>
      <c r="M140" t="s">
        <v>855</v>
      </c>
      <c r="N140" t="s">
        <v>855</v>
      </c>
      <c r="O140" t="s">
        <v>856</v>
      </c>
      <c r="P140" t="s">
        <v>855</v>
      </c>
      <c r="Q140" t="s">
        <v>856</v>
      </c>
      <c r="R140" s="61" t="s">
        <v>858</v>
      </c>
      <c r="S140" s="61" t="s">
        <v>858</v>
      </c>
      <c r="T140" s="61"/>
      <c r="U140" t="s">
        <v>856</v>
      </c>
      <c r="V140" t="s">
        <v>856</v>
      </c>
      <c r="W140" t="s">
        <v>856</v>
      </c>
      <c r="X140" t="s">
        <v>857</v>
      </c>
      <c r="Y140" t="s">
        <v>857</v>
      </c>
      <c r="Z140" t="s">
        <v>857</v>
      </c>
    </row>
    <row r="141" spans="1:29">
      <c r="A141" t="s">
        <v>857</v>
      </c>
      <c r="B141" t="s">
        <v>857</v>
      </c>
      <c r="C141" t="s">
        <v>857</v>
      </c>
      <c r="D141" t="s">
        <v>859</v>
      </c>
      <c r="E141" t="s">
        <v>857</v>
      </c>
      <c r="F141" t="s">
        <v>859</v>
      </c>
      <c r="G141" t="s">
        <v>857</v>
      </c>
      <c r="I141" t="s">
        <v>856</v>
      </c>
      <c r="J141" t="s">
        <v>859</v>
      </c>
      <c r="K141" t="s">
        <v>856</v>
      </c>
      <c r="L141" t="s">
        <v>859</v>
      </c>
      <c r="M141" t="s">
        <v>856</v>
      </c>
      <c r="N141" t="s">
        <v>856</v>
      </c>
      <c r="O141" t="s">
        <v>859</v>
      </c>
      <c r="P141" t="s">
        <v>856</v>
      </c>
      <c r="Q141" t="s">
        <v>859</v>
      </c>
      <c r="R141" s="303"/>
      <c r="S141" s="303"/>
      <c r="U141" t="s">
        <v>857</v>
      </c>
      <c r="V141" t="s">
        <v>857</v>
      </c>
      <c r="W141" t="s">
        <v>857</v>
      </c>
    </row>
    <row r="142" spans="1:29">
      <c r="D142" t="s">
        <v>857</v>
      </c>
      <c r="F142" t="s">
        <v>857</v>
      </c>
      <c r="G142" t="s">
        <v>858</v>
      </c>
      <c r="I142" t="s">
        <v>857</v>
      </c>
      <c r="K142" t="s">
        <v>857</v>
      </c>
      <c r="M142" t="s">
        <v>857</v>
      </c>
      <c r="N142" t="s">
        <v>857</v>
      </c>
      <c r="P142" t="s">
        <v>859</v>
      </c>
      <c r="R142" s="303"/>
      <c r="S142" s="303"/>
      <c r="U142"/>
      <c r="V142"/>
    </row>
    <row r="143" spans="1:29">
      <c r="P143" t="s">
        <v>857</v>
      </c>
      <c r="R143" s="303"/>
      <c r="S143" s="303"/>
      <c r="U143"/>
      <c r="V143"/>
    </row>
    <row r="144" spans="1:29">
      <c r="R144" s="303"/>
      <c r="S144" s="303"/>
      <c r="U144"/>
      <c r="V144"/>
    </row>
    <row r="145" spans="1:29">
      <c r="R145" s="303"/>
      <c r="S145" s="303"/>
      <c r="U145"/>
      <c r="V145"/>
    </row>
    <row r="146" spans="1:29">
      <c r="R146" s="303"/>
      <c r="S146" s="303"/>
      <c r="U146"/>
      <c r="V146"/>
    </row>
    <row r="147" spans="1:29">
      <c r="A147" t="s">
        <v>244</v>
      </c>
      <c r="R147" s="303"/>
      <c r="S147" s="303"/>
      <c r="U147"/>
      <c r="V147"/>
    </row>
    <row r="148" spans="1:29">
      <c r="A148" t="s">
        <v>239</v>
      </c>
      <c r="B148" t="s">
        <v>231</v>
      </c>
      <c r="C148" t="s">
        <v>232</v>
      </c>
      <c r="D148" t="s">
        <v>233</v>
      </c>
      <c r="E148" t="s">
        <v>234</v>
      </c>
      <c r="F148" t="s">
        <v>235</v>
      </c>
      <c r="G148" t="s">
        <v>236</v>
      </c>
      <c r="H148" t="s">
        <v>237</v>
      </c>
      <c r="I148" t="s">
        <v>296</v>
      </c>
      <c r="J148" t="s">
        <v>297</v>
      </c>
      <c r="K148" t="s">
        <v>298</v>
      </c>
      <c r="L148" t="s">
        <v>299</v>
      </c>
      <c r="M148" t="s">
        <v>725</v>
      </c>
      <c r="N148" t="s">
        <v>300</v>
      </c>
      <c r="O148" t="s">
        <v>301</v>
      </c>
      <c r="P148" t="s">
        <v>302</v>
      </c>
      <c r="Q148" t="s">
        <v>303</v>
      </c>
      <c r="R148" s="45" t="s">
        <v>876</v>
      </c>
      <c r="S148" s="45" t="s">
        <v>877</v>
      </c>
      <c r="T148" s="45" t="s">
        <v>878</v>
      </c>
      <c r="U148" t="s">
        <v>843</v>
      </c>
      <c r="V148" t="s">
        <v>844</v>
      </c>
      <c r="W148" t="s">
        <v>845</v>
      </c>
      <c r="X148" t="s">
        <v>846</v>
      </c>
      <c r="Y148" t="s">
        <v>847</v>
      </c>
      <c r="Z148" t="s">
        <v>848</v>
      </c>
      <c r="AA148" t="s">
        <v>849</v>
      </c>
      <c r="AB148" t="s">
        <v>654</v>
      </c>
      <c r="AC148" s="250" t="s">
        <v>249</v>
      </c>
    </row>
    <row r="149" spans="1:29">
      <c r="A149" t="s">
        <v>247</v>
      </c>
      <c r="B149" t="s">
        <v>247</v>
      </c>
      <c r="C149" t="s">
        <v>247</v>
      </c>
      <c r="D149" t="s">
        <v>247</v>
      </c>
      <c r="E149" t="s">
        <v>247</v>
      </c>
      <c r="F149" t="s">
        <v>247</v>
      </c>
      <c r="G149" t="s">
        <v>247</v>
      </c>
      <c r="H149" t="s">
        <v>247</v>
      </c>
      <c r="I149" t="s">
        <v>247</v>
      </c>
      <c r="J149" t="s">
        <v>247</v>
      </c>
      <c r="K149" t="s">
        <v>247</v>
      </c>
      <c r="L149" t="s">
        <v>247</v>
      </c>
      <c r="M149" t="s">
        <v>247</v>
      </c>
      <c r="N149" t="s">
        <v>247</v>
      </c>
      <c r="O149" t="s">
        <v>247</v>
      </c>
      <c r="P149" t="s">
        <v>247</v>
      </c>
      <c r="Q149" t="s">
        <v>247</v>
      </c>
      <c r="R149" s="61" t="s">
        <v>247</v>
      </c>
      <c r="S149" s="61" t="s">
        <v>247</v>
      </c>
      <c r="T149" s="61" t="s">
        <v>247</v>
      </c>
      <c r="U149" t="s">
        <v>247</v>
      </c>
      <c r="V149" t="s">
        <v>247</v>
      </c>
      <c r="W149" t="s">
        <v>247</v>
      </c>
      <c r="X149" t="s">
        <v>247</v>
      </c>
      <c r="Y149" t="s">
        <v>247</v>
      </c>
      <c r="Z149" t="s">
        <v>247</v>
      </c>
      <c r="AA149" t="s">
        <v>247</v>
      </c>
      <c r="AB149" t="s">
        <v>247</v>
      </c>
      <c r="AC149" t="s">
        <v>247</v>
      </c>
    </row>
    <row r="150" spans="1:29">
      <c r="A150" t="s">
        <v>245</v>
      </c>
      <c r="B150" t="s">
        <v>245</v>
      </c>
      <c r="C150" t="s">
        <v>245</v>
      </c>
      <c r="D150" t="s">
        <v>245</v>
      </c>
      <c r="E150" t="s">
        <v>245</v>
      </c>
      <c r="F150" t="s">
        <v>245</v>
      </c>
      <c r="G150" t="s">
        <v>245</v>
      </c>
      <c r="H150" t="s">
        <v>245</v>
      </c>
      <c r="I150" t="s">
        <v>245</v>
      </c>
      <c r="J150" t="s">
        <v>245</v>
      </c>
      <c r="K150" t="s">
        <v>245</v>
      </c>
      <c r="L150" t="s">
        <v>245</v>
      </c>
      <c r="M150" t="s">
        <v>245</v>
      </c>
      <c r="N150" t="s">
        <v>245</v>
      </c>
      <c r="O150" t="s">
        <v>245</v>
      </c>
      <c r="P150" t="s">
        <v>245</v>
      </c>
      <c r="Q150" t="s">
        <v>245</v>
      </c>
      <c r="R150" s="61" t="s">
        <v>245</v>
      </c>
      <c r="S150" s="61" t="s">
        <v>245</v>
      </c>
      <c r="T150" s="61" t="s">
        <v>245</v>
      </c>
      <c r="U150" t="s">
        <v>245</v>
      </c>
      <c r="V150" t="s">
        <v>245</v>
      </c>
      <c r="W150" t="s">
        <v>245</v>
      </c>
      <c r="X150" t="s">
        <v>245</v>
      </c>
      <c r="Y150" t="s">
        <v>245</v>
      </c>
      <c r="Z150" t="s">
        <v>245</v>
      </c>
      <c r="AA150" t="s">
        <v>245</v>
      </c>
      <c r="AB150" t="s">
        <v>245</v>
      </c>
      <c r="AC150" t="s">
        <v>245</v>
      </c>
    </row>
    <row r="151" spans="1:29">
      <c r="A151" t="s">
        <v>246</v>
      </c>
      <c r="B151" t="s">
        <v>246</v>
      </c>
      <c r="C151" t="s">
        <v>246</v>
      </c>
      <c r="D151" t="s">
        <v>246</v>
      </c>
      <c r="E151" t="s">
        <v>246</v>
      </c>
      <c r="F151" t="s">
        <v>246</v>
      </c>
      <c r="G151" t="s">
        <v>246</v>
      </c>
      <c r="H151" t="s">
        <v>246</v>
      </c>
      <c r="I151" t="s">
        <v>246</v>
      </c>
      <c r="J151" t="s">
        <v>246</v>
      </c>
      <c r="K151" t="s">
        <v>246</v>
      </c>
      <c r="L151" t="s">
        <v>246</v>
      </c>
      <c r="M151" t="s">
        <v>246</v>
      </c>
      <c r="N151" t="s">
        <v>246</v>
      </c>
      <c r="O151" t="s">
        <v>246</v>
      </c>
      <c r="P151" t="s">
        <v>246</v>
      </c>
      <c r="Q151" t="s">
        <v>246</v>
      </c>
      <c r="R151" s="61" t="s">
        <v>246</v>
      </c>
      <c r="S151" s="61" t="s">
        <v>246</v>
      </c>
      <c r="T151" s="61" t="s">
        <v>246</v>
      </c>
      <c r="U151" t="s">
        <v>246</v>
      </c>
      <c r="V151" t="s">
        <v>246</v>
      </c>
      <c r="W151" t="s">
        <v>246</v>
      </c>
      <c r="X151" t="s">
        <v>246</v>
      </c>
      <c r="Y151" t="s">
        <v>246</v>
      </c>
      <c r="Z151" t="s">
        <v>246</v>
      </c>
      <c r="AA151" t="s">
        <v>246</v>
      </c>
      <c r="AB151" t="s">
        <v>246</v>
      </c>
      <c r="AC151" t="s">
        <v>246</v>
      </c>
    </row>
    <row r="152" spans="1:29">
      <c r="R152" s="303"/>
      <c r="S152" s="303"/>
      <c r="U152"/>
      <c r="V152"/>
    </row>
    <row r="153" spans="1:29">
      <c r="R153" s="303"/>
      <c r="S153" s="303"/>
      <c r="U153"/>
      <c r="V153"/>
    </row>
    <row r="154" spans="1:29">
      <c r="A154" t="s">
        <v>141</v>
      </c>
      <c r="R154" s="303"/>
      <c r="S154" s="303"/>
      <c r="U154"/>
      <c r="V154"/>
    </row>
    <row r="155" spans="1:29">
      <c r="A155" t="s">
        <v>239</v>
      </c>
      <c r="B155" t="s">
        <v>231</v>
      </c>
      <c r="C155" t="s">
        <v>232</v>
      </c>
      <c r="D155" t="s">
        <v>233</v>
      </c>
      <c r="E155" t="s">
        <v>234</v>
      </c>
      <c r="F155" t="s">
        <v>235</v>
      </c>
      <c r="G155" t="s">
        <v>236</v>
      </c>
      <c r="H155" t="s">
        <v>237</v>
      </c>
      <c r="I155" t="s">
        <v>296</v>
      </c>
      <c r="J155" t="s">
        <v>297</v>
      </c>
      <c r="K155" t="s">
        <v>298</v>
      </c>
      <c r="L155" t="s">
        <v>299</v>
      </c>
      <c r="M155" t="s">
        <v>725</v>
      </c>
      <c r="N155" t="s">
        <v>300</v>
      </c>
      <c r="O155" t="s">
        <v>301</v>
      </c>
      <c r="P155" t="s">
        <v>302</v>
      </c>
      <c r="Q155" t="s">
        <v>303</v>
      </c>
      <c r="R155" s="45" t="s">
        <v>876</v>
      </c>
      <c r="S155" s="45" t="s">
        <v>877</v>
      </c>
      <c r="T155" s="45" t="s">
        <v>878</v>
      </c>
      <c r="U155" t="s">
        <v>843</v>
      </c>
      <c r="V155" t="s">
        <v>844</v>
      </c>
      <c r="W155" s="250" t="s">
        <v>845</v>
      </c>
      <c r="X155" s="250" t="s">
        <v>846</v>
      </c>
      <c r="Y155" s="250" t="s">
        <v>847</v>
      </c>
      <c r="Z155" s="250" t="s">
        <v>848</v>
      </c>
      <c r="AA155" s="250" t="s">
        <v>849</v>
      </c>
      <c r="AB155" s="250" t="s">
        <v>850</v>
      </c>
      <c r="AC155" s="250" t="s">
        <v>249</v>
      </c>
    </row>
    <row r="156" spans="1:29">
      <c r="A156" t="s">
        <v>64</v>
      </c>
      <c r="B156" t="s">
        <v>64</v>
      </c>
      <c r="C156" t="s">
        <v>64</v>
      </c>
      <c r="D156" t="s">
        <v>64</v>
      </c>
      <c r="E156" t="s">
        <v>64</v>
      </c>
      <c r="F156" t="s">
        <v>64</v>
      </c>
      <c r="G156" t="s">
        <v>64</v>
      </c>
      <c r="H156" t="s">
        <v>64</v>
      </c>
      <c r="I156" t="s">
        <v>473</v>
      </c>
      <c r="J156" t="s">
        <v>473</v>
      </c>
      <c r="K156" t="s">
        <v>473</v>
      </c>
      <c r="L156" t="s">
        <v>473</v>
      </c>
      <c r="M156" t="s">
        <v>473</v>
      </c>
      <c r="N156" t="s">
        <v>473</v>
      </c>
      <c r="O156" t="s">
        <v>473</v>
      </c>
      <c r="P156" t="s">
        <v>65</v>
      </c>
      <c r="Q156" t="s">
        <v>65</v>
      </c>
      <c r="R156" s="61" t="s">
        <v>473</v>
      </c>
      <c r="S156" s="61" t="s">
        <v>473</v>
      </c>
      <c r="T156" s="61" t="s">
        <v>65</v>
      </c>
      <c r="U156"/>
      <c r="V156"/>
      <c r="AC156" t="s">
        <v>64</v>
      </c>
    </row>
    <row r="157" spans="1:29">
      <c r="A157" t="s">
        <v>65</v>
      </c>
      <c r="B157" t="s">
        <v>65</v>
      </c>
      <c r="C157" t="s">
        <v>65</v>
      </c>
      <c r="D157" t="s">
        <v>65</v>
      </c>
      <c r="E157" t="s">
        <v>65</v>
      </c>
      <c r="F157" t="s">
        <v>65</v>
      </c>
      <c r="G157" t="s">
        <v>65</v>
      </c>
      <c r="H157" t="s">
        <v>65</v>
      </c>
      <c r="I157" t="s">
        <v>474</v>
      </c>
      <c r="J157" t="s">
        <v>474</v>
      </c>
      <c r="K157" t="s">
        <v>474</v>
      </c>
      <c r="L157" t="s">
        <v>474</v>
      </c>
      <c r="M157" t="s">
        <v>474</v>
      </c>
      <c r="N157" t="s">
        <v>474</v>
      </c>
      <c r="O157" t="s">
        <v>474</v>
      </c>
      <c r="R157" s="61" t="s">
        <v>474</v>
      </c>
      <c r="S157" s="61" t="s">
        <v>474</v>
      </c>
      <c r="T157" s="61"/>
      <c r="U157"/>
      <c r="V157"/>
      <c r="AC157" t="s">
        <v>65</v>
      </c>
    </row>
    <row r="158" spans="1:29">
      <c r="I158" t="s">
        <v>65</v>
      </c>
      <c r="J158" t="s">
        <v>65</v>
      </c>
      <c r="K158" t="s">
        <v>65</v>
      </c>
      <c r="L158" t="s">
        <v>65</v>
      </c>
      <c r="M158" t="s">
        <v>65</v>
      </c>
      <c r="N158" t="s">
        <v>65</v>
      </c>
      <c r="O158" t="s">
        <v>65</v>
      </c>
      <c r="R158" s="61" t="s">
        <v>65</v>
      </c>
      <c r="S158" s="61" t="s">
        <v>65</v>
      </c>
      <c r="T158" s="61"/>
      <c r="U158"/>
      <c r="V158"/>
    </row>
    <row r="159" spans="1:29">
      <c r="R159" s="303"/>
      <c r="S159" s="303"/>
      <c r="U159"/>
      <c r="V159"/>
    </row>
    <row r="160" spans="1:29">
      <c r="R160" s="303"/>
      <c r="S160" s="303"/>
      <c r="U160"/>
      <c r="V160"/>
    </row>
    <row r="161" spans="1:31">
      <c r="A161" t="s">
        <v>308</v>
      </c>
      <c r="R161" s="303"/>
      <c r="S161" s="303"/>
      <c r="U161"/>
      <c r="V161"/>
    </row>
    <row r="162" spans="1:31">
      <c r="A162" t="s">
        <v>239</v>
      </c>
      <c r="B162" t="s">
        <v>231</v>
      </c>
      <c r="C162" t="s">
        <v>232</v>
      </c>
      <c r="D162" t="s">
        <v>233</v>
      </c>
      <c r="E162" t="s">
        <v>234</v>
      </c>
      <c r="F162" t="s">
        <v>235</v>
      </c>
      <c r="G162" t="s">
        <v>236</v>
      </c>
      <c r="H162" t="s">
        <v>237</v>
      </c>
      <c r="I162" t="s">
        <v>296</v>
      </c>
      <c r="J162" t="s">
        <v>297</v>
      </c>
      <c r="K162" t="s">
        <v>298</v>
      </c>
      <c r="L162" t="s">
        <v>299</v>
      </c>
      <c r="M162" t="s">
        <v>725</v>
      </c>
      <c r="N162" t="s">
        <v>300</v>
      </c>
      <c r="O162" t="s">
        <v>301</v>
      </c>
      <c r="P162" t="s">
        <v>302</v>
      </c>
      <c r="Q162" t="s">
        <v>303</v>
      </c>
      <c r="R162" s="45" t="s">
        <v>876</v>
      </c>
      <c r="S162" s="45" t="s">
        <v>877</v>
      </c>
      <c r="T162" s="45" t="s">
        <v>878</v>
      </c>
      <c r="U162" t="s">
        <v>843</v>
      </c>
      <c r="V162" t="s">
        <v>844</v>
      </c>
      <c r="W162" s="250" t="s">
        <v>845</v>
      </c>
      <c r="X162" s="250" t="s">
        <v>846</v>
      </c>
      <c r="Y162" s="250" t="s">
        <v>847</v>
      </c>
      <c r="Z162" s="250" t="s">
        <v>848</v>
      </c>
      <c r="AA162" s="250" t="s">
        <v>849</v>
      </c>
      <c r="AB162" s="250" t="s">
        <v>850</v>
      </c>
      <c r="AC162" s="250" t="s">
        <v>249</v>
      </c>
    </row>
    <row r="163" spans="1:31">
      <c r="I163" t="s">
        <v>64</v>
      </c>
      <c r="J163" t="s">
        <v>64</v>
      </c>
      <c r="K163" t="s">
        <v>64</v>
      </c>
      <c r="L163" t="s">
        <v>64</v>
      </c>
      <c r="M163" t="s">
        <v>64</v>
      </c>
      <c r="N163" t="s">
        <v>64</v>
      </c>
      <c r="O163" t="s">
        <v>64</v>
      </c>
      <c r="P163" t="s">
        <v>64</v>
      </c>
      <c r="Q163" t="s">
        <v>64</v>
      </c>
      <c r="R163" s="61" t="s">
        <v>64</v>
      </c>
      <c r="S163" s="61" t="s">
        <v>64</v>
      </c>
      <c r="T163" s="61" t="s">
        <v>64</v>
      </c>
      <c r="U163"/>
      <c r="V163"/>
    </row>
    <row r="164" spans="1:31">
      <c r="I164" t="s">
        <v>65</v>
      </c>
      <c r="J164" t="s">
        <v>65</v>
      </c>
      <c r="K164" t="s">
        <v>65</v>
      </c>
      <c r="L164" t="s">
        <v>65</v>
      </c>
      <c r="M164" t="s">
        <v>65</v>
      </c>
      <c r="N164" t="s">
        <v>65</v>
      </c>
      <c r="O164" t="s">
        <v>65</v>
      </c>
      <c r="P164" t="s">
        <v>65</v>
      </c>
      <c r="Q164" t="s">
        <v>65</v>
      </c>
      <c r="R164" s="61" t="s">
        <v>65</v>
      </c>
      <c r="S164" s="61" t="s">
        <v>65</v>
      </c>
      <c r="T164" s="61" t="s">
        <v>65</v>
      </c>
      <c r="U164"/>
      <c r="V164"/>
    </row>
    <row r="165" spans="1:31">
      <c r="R165" s="303"/>
      <c r="S165" s="303"/>
      <c r="U165"/>
      <c r="V165"/>
    </row>
    <row r="166" spans="1:31">
      <c r="R166" s="303"/>
      <c r="S166" s="303"/>
      <c r="U166"/>
      <c r="V166"/>
    </row>
    <row r="167" spans="1:31">
      <c r="A167" t="s">
        <v>133</v>
      </c>
      <c r="R167" s="303"/>
      <c r="S167" s="303"/>
      <c r="U167"/>
      <c r="V167"/>
    </row>
    <row r="168" spans="1:31">
      <c r="A168" t="s">
        <v>239</v>
      </c>
      <c r="B168" t="s">
        <v>231</v>
      </c>
      <c r="C168" t="s">
        <v>232</v>
      </c>
      <c r="D168" t="s">
        <v>233</v>
      </c>
      <c r="E168" t="s">
        <v>234</v>
      </c>
      <c r="F168" t="s">
        <v>235</v>
      </c>
      <c r="G168" t="s">
        <v>236</v>
      </c>
      <c r="H168" t="s">
        <v>237</v>
      </c>
      <c r="I168" t="s">
        <v>296</v>
      </c>
      <c r="J168" t="s">
        <v>297</v>
      </c>
      <c r="K168" t="s">
        <v>298</v>
      </c>
      <c r="L168" t="s">
        <v>299</v>
      </c>
      <c r="M168" t="s">
        <v>725</v>
      </c>
      <c r="N168" t="s">
        <v>300</v>
      </c>
      <c r="O168" t="s">
        <v>301</v>
      </c>
      <c r="P168" t="s">
        <v>302</v>
      </c>
      <c r="Q168" t="s">
        <v>303</v>
      </c>
      <c r="R168" s="45" t="s">
        <v>876</v>
      </c>
      <c r="S168" s="45" t="s">
        <v>877</v>
      </c>
      <c r="T168" s="45" t="s">
        <v>878</v>
      </c>
      <c r="U168" t="s">
        <v>843</v>
      </c>
      <c r="V168" t="s">
        <v>844</v>
      </c>
      <c r="W168" t="s">
        <v>845</v>
      </c>
      <c r="X168" t="s">
        <v>846</v>
      </c>
      <c r="Y168" t="s">
        <v>847</v>
      </c>
      <c r="Z168" t="s">
        <v>848</v>
      </c>
      <c r="AA168" t="s">
        <v>849</v>
      </c>
      <c r="AB168" t="s">
        <v>850</v>
      </c>
      <c r="AC168" s="250" t="s">
        <v>249</v>
      </c>
      <c r="AE168" s="487" t="s">
        <v>1066</v>
      </c>
    </row>
    <row r="169" spans="1:31">
      <c r="A169" t="s">
        <v>142</v>
      </c>
      <c r="B169" t="s">
        <v>139</v>
      </c>
      <c r="C169" t="s">
        <v>222</v>
      </c>
      <c r="D169" t="s">
        <v>139</v>
      </c>
      <c r="E169" t="s">
        <v>134</v>
      </c>
      <c r="F169" t="s">
        <v>222</v>
      </c>
      <c r="G169" t="s">
        <v>240</v>
      </c>
      <c r="H169" t="s">
        <v>240</v>
      </c>
      <c r="I169" t="s">
        <v>310</v>
      </c>
      <c r="J169" t="s">
        <v>310</v>
      </c>
      <c r="K169" t="s">
        <v>311</v>
      </c>
      <c r="L169" t="s">
        <v>311</v>
      </c>
      <c r="M169" t="s">
        <v>724</v>
      </c>
      <c r="N169" t="s">
        <v>463</v>
      </c>
      <c r="O169" t="s">
        <v>463</v>
      </c>
      <c r="P169" t="s">
        <v>464</v>
      </c>
      <c r="Q169" t="s">
        <v>464</v>
      </c>
      <c r="R169" s="61" t="s">
        <v>311</v>
      </c>
      <c r="S169" s="61" t="s">
        <v>463</v>
      </c>
      <c r="T169" s="61" t="s">
        <v>464</v>
      </c>
      <c r="U169" t="s">
        <v>862</v>
      </c>
      <c r="V169" t="s">
        <v>863</v>
      </c>
      <c r="W169" t="s">
        <v>862</v>
      </c>
      <c r="X169" t="s">
        <v>425</v>
      </c>
      <c r="Y169" t="s">
        <v>852</v>
      </c>
      <c r="Z169" t="s">
        <v>429</v>
      </c>
      <c r="AA169" t="s">
        <v>420</v>
      </c>
      <c r="AB169" t="s">
        <v>429</v>
      </c>
      <c r="AC169" t="s">
        <v>139</v>
      </c>
      <c r="AE169" t="str" cm="1">
        <f t="array" aca="1" ref="AE169" ca="1">_xlfn._xlws.FILTER(INDIRECT("tab_ESP_Motor["&amp;Parameter_Template!$G$14&amp;"]"),INDIRECT("tab_ESP_Motor["&amp;Parameter_Template!$G$14&amp;"]")&lt;&gt;"")</f>
        <v>MD2</v>
      </c>
    </row>
    <row r="170" spans="1:31">
      <c r="B170" t="s">
        <v>140</v>
      </c>
      <c r="D170" t="s">
        <v>140</v>
      </c>
      <c r="R170" s="303"/>
      <c r="S170" s="303"/>
      <c r="U170"/>
      <c r="V170"/>
      <c r="AC170" t="s">
        <v>140</v>
      </c>
    </row>
    <row r="171" spans="1:31">
      <c r="B171" t="s">
        <v>135</v>
      </c>
      <c r="D171" t="s">
        <v>135</v>
      </c>
      <c r="R171" s="303"/>
      <c r="S171" s="303"/>
      <c r="U171"/>
      <c r="V171"/>
      <c r="AC171" t="s">
        <v>134</v>
      </c>
    </row>
    <row r="172" spans="1:31">
      <c r="B172" t="s">
        <v>143</v>
      </c>
      <c r="R172" s="303"/>
      <c r="S172" s="303"/>
      <c r="U172"/>
      <c r="V172"/>
      <c r="AC172" t="s">
        <v>135</v>
      </c>
    </row>
    <row r="173" spans="1:31">
      <c r="B173" t="s">
        <v>136</v>
      </c>
      <c r="R173" s="303"/>
      <c r="S173" s="303"/>
      <c r="U173"/>
      <c r="V173"/>
      <c r="AC173" t="s">
        <v>143</v>
      </c>
    </row>
    <row r="174" spans="1:31">
      <c r="B174" t="s">
        <v>217</v>
      </c>
      <c r="R174" s="303"/>
      <c r="S174" s="303"/>
      <c r="U174"/>
      <c r="V174"/>
      <c r="AC174" t="s">
        <v>136</v>
      </c>
    </row>
    <row r="175" spans="1:31">
      <c r="B175" t="s">
        <v>137</v>
      </c>
      <c r="R175" s="303"/>
      <c r="S175" s="303"/>
      <c r="U175"/>
      <c r="V175"/>
      <c r="AC175" t="s">
        <v>217</v>
      </c>
    </row>
    <row r="176" spans="1:31">
      <c r="R176" s="303"/>
      <c r="S176" s="303"/>
      <c r="U176"/>
      <c r="V176"/>
      <c r="AC176" t="s">
        <v>142</v>
      </c>
    </row>
    <row r="177" spans="1:29">
      <c r="R177" s="303"/>
      <c r="S177" s="303"/>
      <c r="U177"/>
      <c r="V177"/>
      <c r="AC177" t="s">
        <v>137</v>
      </c>
    </row>
    <row r="178" spans="1:29">
      <c r="R178" s="303"/>
      <c r="S178" s="303"/>
      <c r="U178"/>
      <c r="V178"/>
      <c r="AC178" t="s">
        <v>222</v>
      </c>
    </row>
    <row r="179" spans="1:29">
      <c r="R179" s="303"/>
      <c r="S179" s="303"/>
      <c r="U179"/>
      <c r="V179"/>
    </row>
    <row r="180" spans="1:29">
      <c r="R180" s="303"/>
      <c r="S180" s="303"/>
      <c r="U180"/>
      <c r="V180"/>
    </row>
    <row r="181" spans="1:29">
      <c r="A181" t="s">
        <v>1065</v>
      </c>
      <c r="B181" s="757"/>
      <c r="C181" s="757"/>
      <c r="D181" s="757"/>
      <c r="E181" s="757"/>
      <c r="F181" s="757"/>
      <c r="G181" s="757"/>
      <c r="H181" s="757"/>
      <c r="I181" s="757"/>
      <c r="J181" s="757"/>
      <c r="R181" s="303"/>
      <c r="S181" s="303"/>
      <c r="U181"/>
      <c r="V181"/>
    </row>
    <row r="182" spans="1:29">
      <c r="A182" t="s">
        <v>843</v>
      </c>
      <c r="B182" t="s">
        <v>844</v>
      </c>
      <c r="C182" t="s">
        <v>845</v>
      </c>
      <c r="D182" t="s">
        <v>846</v>
      </c>
      <c r="E182" t="s">
        <v>847</v>
      </c>
      <c r="F182" t="s">
        <v>848</v>
      </c>
      <c r="H182" s="487" t="s">
        <v>1066</v>
      </c>
      <c r="T182"/>
      <c r="U182"/>
      <c r="V182"/>
    </row>
    <row r="183" spans="1:29">
      <c r="A183">
        <v>19.05</v>
      </c>
      <c r="B183">
        <v>19.05</v>
      </c>
      <c r="C183">
        <v>19.05</v>
      </c>
      <c r="D183">
        <v>19.05</v>
      </c>
      <c r="E183">
        <v>19.05</v>
      </c>
      <c r="F183">
        <v>19.05</v>
      </c>
      <c r="H183" t="e" cm="1">
        <f t="array" aca="1" ref="H183" ca="1">_xlfn._xlws.FILTER(INDIRECT("tab_TMC_Diameter["&amp;Parameter_Template!$G$14&amp;"]"),INDIRECT("tab_TMC_Diameter["&amp;Parameter_Template!$G$14&amp;"]")&lt;&gt;"")</f>
        <v>#REF!</v>
      </c>
      <c r="T183"/>
      <c r="U183"/>
      <c r="V183"/>
    </row>
    <row r="184" spans="1:29">
      <c r="A184">
        <v>20.64</v>
      </c>
      <c r="B184">
        <v>20.64</v>
      </c>
      <c r="C184">
        <v>20.64</v>
      </c>
      <c r="D184">
        <v>20.64</v>
      </c>
      <c r="E184">
        <v>20.64</v>
      </c>
      <c r="F184">
        <v>20.64</v>
      </c>
      <c r="T184"/>
      <c r="U184"/>
      <c r="V184"/>
    </row>
    <row r="185" spans="1:29">
      <c r="A185">
        <v>22.2</v>
      </c>
      <c r="B185">
        <v>22.2</v>
      </c>
      <c r="C185">
        <v>22.2</v>
      </c>
      <c r="D185">
        <v>22.2</v>
      </c>
      <c r="E185">
        <v>22.2</v>
      </c>
      <c r="F185">
        <v>22.2</v>
      </c>
      <c r="T185"/>
      <c r="U185"/>
      <c r="V185"/>
    </row>
    <row r="186" spans="1:29">
      <c r="T186"/>
      <c r="U186"/>
      <c r="V186"/>
    </row>
    <row r="187" spans="1:29">
      <c r="R187" s="303"/>
      <c r="S187" s="303"/>
      <c r="U187"/>
      <c r="V187"/>
    </row>
    <row r="188" spans="1:29">
      <c r="R188" s="303"/>
      <c r="S188" s="303"/>
      <c r="U188"/>
      <c r="V188"/>
    </row>
    <row r="189" spans="1:29">
      <c r="A189" s="303" t="s">
        <v>1064</v>
      </c>
      <c r="R189" s="303"/>
      <c r="S189" s="303"/>
      <c r="U189"/>
      <c r="V189"/>
    </row>
    <row r="190" spans="1:29">
      <c r="A190" t="s">
        <v>26</v>
      </c>
      <c r="B190" t="s">
        <v>27</v>
      </c>
      <c r="C190" t="s">
        <v>228</v>
      </c>
      <c r="D190" t="s">
        <v>934</v>
      </c>
      <c r="E190" t="s">
        <v>849</v>
      </c>
      <c r="F190" t="s">
        <v>850</v>
      </c>
      <c r="G190" t="s">
        <v>229</v>
      </c>
      <c r="H190" t="s">
        <v>356</v>
      </c>
      <c r="I190" t="s">
        <v>898</v>
      </c>
      <c r="J190" t="s">
        <v>899</v>
      </c>
      <c r="K190" t="s">
        <v>1047</v>
      </c>
      <c r="L190" t="s">
        <v>1048</v>
      </c>
      <c r="N190" s="487" t="s">
        <v>1066</v>
      </c>
      <c r="S190" s="303"/>
      <c r="V190"/>
    </row>
    <row r="191" spans="1:29">
      <c r="A191">
        <v>19.05</v>
      </c>
      <c r="B191">
        <v>20.64</v>
      </c>
      <c r="C191">
        <v>20.64</v>
      </c>
      <c r="D191">
        <v>20.64</v>
      </c>
      <c r="E191">
        <v>19.05</v>
      </c>
      <c r="F191">
        <v>19.05</v>
      </c>
      <c r="G191">
        <v>50.8</v>
      </c>
      <c r="H191">
        <v>41.28</v>
      </c>
      <c r="I191">
        <v>23.81</v>
      </c>
      <c r="J191">
        <v>25.4</v>
      </c>
      <c r="K191">
        <v>19.05</v>
      </c>
      <c r="L191">
        <v>19.05</v>
      </c>
      <c r="N191" cm="1">
        <f t="array" aca="1" ref="N191:N193" ca="1">_xlfn._xlws.FILTER(INDIRECT("tab_TMC_Diameter_ACT["&amp;Parameter_Template!$G$15&amp;"]"),INDIRECT("tab_TMC_Diameter_ACT["&amp;Parameter_Template!$G$15&amp;"]")&lt;&gt;"")</f>
        <v>19.05</v>
      </c>
      <c r="S191" s="303"/>
      <c r="V191"/>
    </row>
    <row r="192" spans="1:29">
      <c r="A192">
        <v>20.64</v>
      </c>
      <c r="B192">
        <v>22.2</v>
      </c>
      <c r="C192">
        <v>22.2</v>
      </c>
      <c r="D192">
        <v>22.2</v>
      </c>
      <c r="E192">
        <v>20.64</v>
      </c>
      <c r="F192">
        <v>20.64</v>
      </c>
      <c r="I192">
        <v>25.4</v>
      </c>
      <c r="J192">
        <v>27</v>
      </c>
      <c r="K192">
        <v>20.64</v>
      </c>
      <c r="L192">
        <v>20.64</v>
      </c>
      <c r="N192">
        <f ca="1"/>
        <v>20.64</v>
      </c>
      <c r="S192" s="303"/>
      <c r="V192"/>
    </row>
    <row r="193" spans="1:29">
      <c r="A193">
        <v>22.2</v>
      </c>
      <c r="B193">
        <v>23.81</v>
      </c>
      <c r="C193">
        <v>23.81</v>
      </c>
      <c r="D193">
        <v>23.81</v>
      </c>
      <c r="E193">
        <v>22.2</v>
      </c>
      <c r="F193">
        <v>22.2</v>
      </c>
      <c r="K193">
        <v>22.2</v>
      </c>
      <c r="L193">
        <v>22.2</v>
      </c>
      <c r="N193">
        <f ca="1"/>
        <v>22.2</v>
      </c>
      <c r="S193" s="303"/>
      <c r="V193"/>
    </row>
    <row r="194" spans="1:29">
      <c r="A194">
        <v>23.81</v>
      </c>
      <c r="B194">
        <v>25.4</v>
      </c>
      <c r="C194">
        <v>25.4</v>
      </c>
      <c r="D194">
        <v>25.4</v>
      </c>
      <c r="K194">
        <v>23.81</v>
      </c>
      <c r="L194">
        <v>23.81</v>
      </c>
      <c r="S194" s="303"/>
      <c r="V194"/>
    </row>
    <row r="195" spans="1:29">
      <c r="A195">
        <v>25.4</v>
      </c>
      <c r="B195">
        <v>27</v>
      </c>
      <c r="C195">
        <v>27</v>
      </c>
      <c r="D195">
        <v>27</v>
      </c>
      <c r="K195">
        <v>25.4</v>
      </c>
      <c r="L195">
        <v>25.4</v>
      </c>
      <c r="S195" s="303"/>
      <c r="V195"/>
    </row>
    <row r="196" spans="1:29">
      <c r="A196">
        <v>27</v>
      </c>
      <c r="B196">
        <v>28.57</v>
      </c>
      <c r="C196">
        <v>28.57</v>
      </c>
      <c r="D196">
        <v>28.57</v>
      </c>
      <c r="K196">
        <v>27</v>
      </c>
      <c r="L196">
        <v>27</v>
      </c>
      <c r="S196" s="303"/>
      <c r="V196"/>
    </row>
    <row r="197" spans="1:29">
      <c r="A197">
        <v>28.57</v>
      </c>
      <c r="K197">
        <v>28.57</v>
      </c>
      <c r="L197">
        <v>28.57</v>
      </c>
      <c r="S197" s="303"/>
      <c r="V197"/>
    </row>
    <row r="198" spans="1:29">
      <c r="A198">
        <v>30.16</v>
      </c>
      <c r="K198">
        <v>30.16</v>
      </c>
      <c r="L198">
        <v>30.16</v>
      </c>
      <c r="S198" s="303"/>
      <c r="V198"/>
    </row>
    <row r="199" spans="1:29">
      <c r="A199">
        <v>31.75</v>
      </c>
      <c r="K199">
        <v>31.75</v>
      </c>
      <c r="L199">
        <v>31.75</v>
      </c>
      <c r="S199" s="303"/>
      <c r="V199"/>
    </row>
    <row r="200" spans="1:29">
      <c r="A200">
        <v>33.340000000000003</v>
      </c>
      <c r="K200">
        <v>33.340000000000003</v>
      </c>
      <c r="L200">
        <v>33.340000000000003</v>
      </c>
      <c r="S200" s="303"/>
      <c r="V200"/>
    </row>
    <row r="201" spans="1:29">
      <c r="A201">
        <v>34.93</v>
      </c>
      <c r="K201">
        <v>34.93</v>
      </c>
      <c r="L201">
        <v>34.93</v>
      </c>
      <c r="S201" s="303"/>
      <c r="V201"/>
    </row>
    <row r="202" spans="1:29">
      <c r="A202">
        <v>38.1</v>
      </c>
      <c r="K202">
        <v>38.1</v>
      </c>
      <c r="L202">
        <v>38.1</v>
      </c>
      <c r="S202" s="303"/>
      <c r="V202"/>
    </row>
    <row r="203" spans="1:29">
      <c r="A203">
        <v>41.28</v>
      </c>
      <c r="K203">
        <v>41.28</v>
      </c>
      <c r="L203">
        <v>41.28</v>
      </c>
      <c r="S203" s="303"/>
      <c r="V203"/>
    </row>
    <row r="204" spans="1:29">
      <c r="A204">
        <v>50.8</v>
      </c>
      <c r="K204">
        <v>50.8</v>
      </c>
      <c r="L204">
        <v>50.8</v>
      </c>
      <c r="S204" s="303"/>
      <c r="V204"/>
    </row>
    <row r="205" spans="1:29">
      <c r="R205" s="303"/>
      <c r="S205" s="303"/>
      <c r="U205"/>
      <c r="V205"/>
    </row>
    <row r="206" spans="1:29">
      <c r="R206" s="303"/>
      <c r="S206" s="303"/>
      <c r="U206"/>
      <c r="V206"/>
    </row>
    <row r="207" spans="1:29">
      <c r="A207" t="s">
        <v>499</v>
      </c>
      <c r="R207" s="303"/>
      <c r="S207" s="303"/>
      <c r="U207"/>
      <c r="V207"/>
    </row>
    <row r="208" spans="1:29" ht="13.8" thickBot="1">
      <c r="A208" t="s">
        <v>239</v>
      </c>
      <c r="B208" t="s">
        <v>231</v>
      </c>
      <c r="C208" t="s">
        <v>232</v>
      </c>
      <c r="D208" t="s">
        <v>233</v>
      </c>
      <c r="E208" t="s">
        <v>234</v>
      </c>
      <c r="F208" t="s">
        <v>235</v>
      </c>
      <c r="G208" t="s">
        <v>236</v>
      </c>
      <c r="H208" t="s">
        <v>237</v>
      </c>
      <c r="I208" t="s">
        <v>296</v>
      </c>
      <c r="J208" t="s">
        <v>297</v>
      </c>
      <c r="K208" t="s">
        <v>298</v>
      </c>
      <c r="L208" t="s">
        <v>299</v>
      </c>
      <c r="M208" t="s">
        <v>725</v>
      </c>
      <c r="N208" t="s">
        <v>300</v>
      </c>
      <c r="O208" t="s">
        <v>301</v>
      </c>
      <c r="P208" t="s">
        <v>302</v>
      </c>
      <c r="Q208" t="s">
        <v>303</v>
      </c>
      <c r="R208" s="45" t="s">
        <v>876</v>
      </c>
      <c r="S208" s="45" t="s">
        <v>877</v>
      </c>
      <c r="T208" s="45" t="s">
        <v>878</v>
      </c>
      <c r="U208" t="s">
        <v>843</v>
      </c>
      <c r="V208" t="s">
        <v>844</v>
      </c>
      <c r="W208" s="251" t="s">
        <v>845</v>
      </c>
      <c r="X208" s="251" t="s">
        <v>846</v>
      </c>
      <c r="Y208" s="251" t="s">
        <v>847</v>
      </c>
      <c r="Z208" s="251" t="s">
        <v>848</v>
      </c>
      <c r="AA208" s="251" t="s">
        <v>849</v>
      </c>
      <c r="AB208" s="251" t="s">
        <v>850</v>
      </c>
      <c r="AC208" s="251" t="s">
        <v>249</v>
      </c>
    </row>
    <row r="209" spans="1:29" ht="13.8" thickTop="1">
      <c r="A209" t="s">
        <v>500</v>
      </c>
      <c r="B209" t="s">
        <v>500</v>
      </c>
      <c r="C209" t="s">
        <v>500</v>
      </c>
      <c r="D209" t="s">
        <v>500</v>
      </c>
      <c r="E209" t="s">
        <v>500</v>
      </c>
      <c r="F209" t="s">
        <v>500</v>
      </c>
      <c r="G209" t="s">
        <v>500</v>
      </c>
      <c r="H209" t="s">
        <v>500</v>
      </c>
      <c r="I209" t="s">
        <v>500</v>
      </c>
      <c r="J209" t="s">
        <v>500</v>
      </c>
      <c r="K209" t="s">
        <v>500</v>
      </c>
      <c r="L209" t="s">
        <v>500</v>
      </c>
      <c r="M209" t="s">
        <v>500</v>
      </c>
      <c r="N209" t="s">
        <v>500</v>
      </c>
      <c r="O209" t="s">
        <v>500</v>
      </c>
      <c r="P209" t="s">
        <v>500</v>
      </c>
      <c r="Q209" t="s">
        <v>500</v>
      </c>
      <c r="R209" s="61" t="s">
        <v>500</v>
      </c>
      <c r="S209" s="61" t="s">
        <v>500</v>
      </c>
      <c r="T209" s="61" t="s">
        <v>500</v>
      </c>
      <c r="U209"/>
      <c r="V209"/>
    </row>
    <row r="210" spans="1:29">
      <c r="A210" t="s">
        <v>501</v>
      </c>
      <c r="B210" t="s">
        <v>501</v>
      </c>
      <c r="C210" t="s">
        <v>501</v>
      </c>
      <c r="D210" t="s">
        <v>501</v>
      </c>
      <c r="E210" t="s">
        <v>501</v>
      </c>
      <c r="F210" t="s">
        <v>501</v>
      </c>
      <c r="G210" t="s">
        <v>501</v>
      </c>
      <c r="H210" t="s">
        <v>501</v>
      </c>
      <c r="I210" t="s">
        <v>501</v>
      </c>
      <c r="J210" t="s">
        <v>501</v>
      </c>
      <c r="K210" t="s">
        <v>501</v>
      </c>
      <c r="L210" t="s">
        <v>501</v>
      </c>
      <c r="M210" t="s">
        <v>501</v>
      </c>
      <c r="N210" t="s">
        <v>501</v>
      </c>
      <c r="O210" t="s">
        <v>501</v>
      </c>
      <c r="P210" t="s">
        <v>501</v>
      </c>
      <c r="Q210" t="s">
        <v>501</v>
      </c>
      <c r="R210" s="61" t="s">
        <v>501</v>
      </c>
      <c r="S210" s="61" t="s">
        <v>501</v>
      </c>
      <c r="T210" s="61" t="s">
        <v>501</v>
      </c>
      <c r="U210"/>
      <c r="V210"/>
    </row>
    <row r="211" spans="1:29">
      <c r="A211" t="s">
        <v>502</v>
      </c>
      <c r="B211" t="s">
        <v>502</v>
      </c>
      <c r="C211" t="s">
        <v>502</v>
      </c>
      <c r="D211" t="s">
        <v>502</v>
      </c>
      <c r="E211" t="s">
        <v>502</v>
      </c>
      <c r="F211" t="s">
        <v>502</v>
      </c>
      <c r="G211" t="s">
        <v>502</v>
      </c>
      <c r="H211" t="s">
        <v>502</v>
      </c>
      <c r="R211" s="303"/>
      <c r="S211" s="303"/>
      <c r="U211"/>
      <c r="V211"/>
    </row>
    <row r="212" spans="1:29">
      <c r="R212" s="303"/>
      <c r="S212" s="303"/>
      <c r="U212"/>
      <c r="V212"/>
    </row>
    <row r="213" spans="1:29">
      <c r="R213" s="303"/>
      <c r="S213" s="303"/>
      <c r="U213"/>
      <c r="V213"/>
    </row>
    <row r="214" spans="1:29">
      <c r="A214" t="s">
        <v>900</v>
      </c>
      <c r="R214" s="303"/>
      <c r="S214" s="303"/>
      <c r="U214"/>
      <c r="V214"/>
    </row>
    <row r="215" spans="1:29" ht="13.8" thickBot="1">
      <c r="A215" t="s">
        <v>239</v>
      </c>
      <c r="B215" t="s">
        <v>231</v>
      </c>
      <c r="C215" t="s">
        <v>232</v>
      </c>
      <c r="D215" t="s">
        <v>233</v>
      </c>
      <c r="E215" t="s">
        <v>234</v>
      </c>
      <c r="F215" t="s">
        <v>235</v>
      </c>
      <c r="G215" t="s">
        <v>236</v>
      </c>
      <c r="H215" t="s">
        <v>237</v>
      </c>
      <c r="I215" t="s">
        <v>296</v>
      </c>
      <c r="J215" t="s">
        <v>297</v>
      </c>
      <c r="K215" t="s">
        <v>298</v>
      </c>
      <c r="L215" t="s">
        <v>299</v>
      </c>
      <c r="M215" t="s">
        <v>725</v>
      </c>
      <c r="N215" t="s">
        <v>300</v>
      </c>
      <c r="O215" t="s">
        <v>301</v>
      </c>
      <c r="P215" t="s">
        <v>302</v>
      </c>
      <c r="Q215" t="s">
        <v>303</v>
      </c>
      <c r="R215" s="45" t="s">
        <v>876</v>
      </c>
      <c r="S215" s="45" t="s">
        <v>877</v>
      </c>
      <c r="T215" s="45" t="s">
        <v>878</v>
      </c>
      <c r="U215" t="s">
        <v>843</v>
      </c>
      <c r="V215" t="s">
        <v>844</v>
      </c>
      <c r="W215" s="251" t="s">
        <v>845</v>
      </c>
      <c r="X215" s="251" t="s">
        <v>846</v>
      </c>
      <c r="Y215" s="251" t="s">
        <v>847</v>
      </c>
      <c r="Z215" s="251" t="s">
        <v>848</v>
      </c>
      <c r="AA215" s="251" t="s">
        <v>849</v>
      </c>
      <c r="AB215" s="251" t="s">
        <v>850</v>
      </c>
      <c r="AC215" s="251" t="s">
        <v>249</v>
      </c>
    </row>
    <row r="216" spans="1:29" ht="13.8" thickTop="1">
      <c r="A216" t="s">
        <v>896</v>
      </c>
      <c r="B216" t="s">
        <v>896</v>
      </c>
      <c r="C216" t="s">
        <v>896</v>
      </c>
      <c r="D216" t="s">
        <v>896</v>
      </c>
      <c r="E216" t="s">
        <v>896</v>
      </c>
      <c r="F216" t="s">
        <v>896</v>
      </c>
      <c r="G216" t="s">
        <v>896</v>
      </c>
      <c r="H216" t="s">
        <v>896</v>
      </c>
      <c r="I216" t="s">
        <v>897</v>
      </c>
      <c r="J216" t="s">
        <v>897</v>
      </c>
      <c r="K216" t="s">
        <v>897</v>
      </c>
      <c r="L216" t="s">
        <v>897</v>
      </c>
      <c r="M216" t="s">
        <v>897</v>
      </c>
      <c r="N216" t="s">
        <v>897</v>
      </c>
      <c r="O216" t="s">
        <v>897</v>
      </c>
      <c r="P216" t="s">
        <v>897</v>
      </c>
      <c r="Q216" t="s">
        <v>897</v>
      </c>
      <c r="R216" s="61" t="s">
        <v>897</v>
      </c>
      <c r="S216" s="61" t="s">
        <v>897</v>
      </c>
      <c r="T216" s="61" t="s">
        <v>897</v>
      </c>
      <c r="U216"/>
      <c r="V216"/>
    </row>
    <row r="217" spans="1:29">
      <c r="A217" t="s">
        <v>897</v>
      </c>
      <c r="B217" t="s">
        <v>897</v>
      </c>
      <c r="D217" t="s">
        <v>897</v>
      </c>
      <c r="R217" s="303"/>
      <c r="S217" s="303"/>
      <c r="U217"/>
      <c r="V217"/>
    </row>
    <row r="218" spans="1:29">
      <c r="R218" s="303"/>
      <c r="S218" s="303"/>
      <c r="U218"/>
      <c r="V218"/>
    </row>
    <row r="219" spans="1:29">
      <c r="R219" s="303"/>
      <c r="S219" s="303"/>
      <c r="U219"/>
      <c r="V219"/>
    </row>
    <row r="220" spans="1:29">
      <c r="A220" t="s">
        <v>503</v>
      </c>
      <c r="R220" s="303"/>
      <c r="S220" s="303"/>
      <c r="U220"/>
      <c r="V220"/>
    </row>
    <row r="221" spans="1:29" ht="13.8" thickBot="1">
      <c r="A221" t="s">
        <v>239</v>
      </c>
      <c r="B221" t="s">
        <v>231</v>
      </c>
      <c r="C221" t="s">
        <v>232</v>
      </c>
      <c r="D221" t="s">
        <v>233</v>
      </c>
      <c r="E221" t="s">
        <v>234</v>
      </c>
      <c r="F221" t="s">
        <v>235</v>
      </c>
      <c r="G221" t="s">
        <v>236</v>
      </c>
      <c r="H221" t="s">
        <v>237</v>
      </c>
      <c r="I221" t="s">
        <v>296</v>
      </c>
      <c r="J221" t="s">
        <v>297</v>
      </c>
      <c r="K221" t="s">
        <v>298</v>
      </c>
      <c r="L221" t="s">
        <v>299</v>
      </c>
      <c r="M221" t="s">
        <v>725</v>
      </c>
      <c r="N221" t="s">
        <v>300</v>
      </c>
      <c r="O221" t="s">
        <v>301</v>
      </c>
      <c r="P221" t="s">
        <v>302</v>
      </c>
      <c r="Q221" t="s">
        <v>303</v>
      </c>
      <c r="R221" s="45" t="s">
        <v>876</v>
      </c>
      <c r="S221" s="45" t="s">
        <v>877</v>
      </c>
      <c r="T221" s="45" t="s">
        <v>878</v>
      </c>
      <c r="U221" t="s">
        <v>843</v>
      </c>
      <c r="V221" t="s">
        <v>844</v>
      </c>
      <c r="W221" s="251" t="s">
        <v>845</v>
      </c>
      <c r="X221" s="251" t="s">
        <v>846</v>
      </c>
      <c r="Y221" s="251" t="s">
        <v>847</v>
      </c>
      <c r="Z221" s="251" t="s">
        <v>848</v>
      </c>
      <c r="AA221" s="251" t="s">
        <v>849</v>
      </c>
      <c r="AB221" s="251" t="s">
        <v>850</v>
      </c>
      <c r="AC221" s="251" t="s">
        <v>249</v>
      </c>
    </row>
    <row r="222" spans="1:29" ht="13.8" thickTop="1">
      <c r="A222" t="s">
        <v>64</v>
      </c>
      <c r="B222" t="s">
        <v>64</v>
      </c>
      <c r="C222" t="s">
        <v>64</v>
      </c>
      <c r="D222" t="s">
        <v>64</v>
      </c>
      <c r="E222" t="s">
        <v>64</v>
      </c>
      <c r="F222" t="s">
        <v>64</v>
      </c>
      <c r="G222" t="s">
        <v>64</v>
      </c>
      <c r="H222" t="s">
        <v>64</v>
      </c>
      <c r="I222" t="s">
        <v>64</v>
      </c>
      <c r="J222" t="s">
        <v>64</v>
      </c>
      <c r="K222" t="s">
        <v>64</v>
      </c>
      <c r="L222" t="s">
        <v>64</v>
      </c>
      <c r="M222" t="s">
        <v>64</v>
      </c>
      <c r="N222" t="s">
        <v>64</v>
      </c>
      <c r="O222" t="s">
        <v>64</v>
      </c>
      <c r="P222" t="s">
        <v>64</v>
      </c>
      <c r="Q222" t="s">
        <v>64</v>
      </c>
      <c r="R222" t="s">
        <v>64</v>
      </c>
      <c r="S222" t="s">
        <v>64</v>
      </c>
      <c r="T222" t="s">
        <v>64</v>
      </c>
      <c r="U222"/>
      <c r="V222"/>
    </row>
    <row r="223" spans="1:29">
      <c r="A223" t="s">
        <v>65</v>
      </c>
      <c r="B223" t="s">
        <v>65</v>
      </c>
      <c r="C223" t="s">
        <v>65</v>
      </c>
      <c r="D223" t="s">
        <v>65</v>
      </c>
      <c r="E223" t="s">
        <v>65</v>
      </c>
      <c r="F223" t="s">
        <v>65</v>
      </c>
      <c r="G223" t="s">
        <v>65</v>
      </c>
      <c r="H223" t="s">
        <v>65</v>
      </c>
      <c r="I223" t="s">
        <v>65</v>
      </c>
      <c r="J223" t="s">
        <v>65</v>
      </c>
      <c r="K223" t="s">
        <v>65</v>
      </c>
      <c r="L223" t="s">
        <v>65</v>
      </c>
      <c r="M223" t="s">
        <v>65</v>
      </c>
      <c r="N223" t="s">
        <v>65</v>
      </c>
      <c r="O223" t="s">
        <v>65</v>
      </c>
      <c r="P223" t="s">
        <v>65</v>
      </c>
      <c r="Q223" t="s">
        <v>65</v>
      </c>
      <c r="R223" t="s">
        <v>65</v>
      </c>
      <c r="S223" t="s">
        <v>65</v>
      </c>
      <c r="T223" t="s">
        <v>65</v>
      </c>
      <c r="U223"/>
      <c r="V223"/>
    </row>
    <row r="224" spans="1:29">
      <c r="R224" s="303"/>
      <c r="S224" s="303"/>
      <c r="U224"/>
      <c r="V224"/>
    </row>
    <row r="225" spans="1:29">
      <c r="R225" s="303"/>
      <c r="S225" s="303"/>
      <c r="U225"/>
      <c r="V225"/>
    </row>
    <row r="226" spans="1:29">
      <c r="A226" t="s">
        <v>906</v>
      </c>
      <c r="R226" s="303"/>
      <c r="S226" s="303"/>
      <c r="U226"/>
      <c r="V226"/>
    </row>
    <row r="227" spans="1:29">
      <c r="A227" t="s">
        <v>906</v>
      </c>
      <c r="T227"/>
      <c r="U227"/>
      <c r="V227"/>
    </row>
    <row r="228" spans="1:29">
      <c r="A228">
        <v>275</v>
      </c>
      <c r="T228"/>
      <c r="U228"/>
      <c r="V228"/>
    </row>
    <row r="229" spans="1:29">
      <c r="A229">
        <v>600</v>
      </c>
      <c r="T229"/>
      <c r="U229"/>
      <c r="V229"/>
    </row>
    <row r="230" spans="1:29">
      <c r="A230" t="s">
        <v>907</v>
      </c>
      <c r="T230"/>
      <c r="U230"/>
      <c r="V230"/>
    </row>
    <row r="231" spans="1:29">
      <c r="T231"/>
      <c r="U231"/>
      <c r="V231"/>
    </row>
    <row r="232" spans="1:29">
      <c r="A232" t="s">
        <v>1117</v>
      </c>
      <c r="R232" s="303"/>
      <c r="S232" s="303"/>
      <c r="U232"/>
      <c r="V232"/>
    </row>
    <row r="233" spans="1:29">
      <c r="A233" t="s">
        <v>239</v>
      </c>
      <c r="B233" t="s">
        <v>231</v>
      </c>
      <c r="C233" t="s">
        <v>232</v>
      </c>
      <c r="D233" t="s">
        <v>233</v>
      </c>
      <c r="E233" t="s">
        <v>234</v>
      </c>
      <c r="F233" t="s">
        <v>235</v>
      </c>
      <c r="G233" t="s">
        <v>236</v>
      </c>
      <c r="H233" t="s">
        <v>237</v>
      </c>
      <c r="I233" t="s">
        <v>296</v>
      </c>
      <c r="J233" t="s">
        <v>297</v>
      </c>
      <c r="K233" t="s">
        <v>298</v>
      </c>
      <c r="L233" t="s">
        <v>299</v>
      </c>
      <c r="M233" t="s">
        <v>725</v>
      </c>
      <c r="N233" t="s">
        <v>300</v>
      </c>
      <c r="O233" t="s">
        <v>301</v>
      </c>
      <c r="P233" t="s">
        <v>302</v>
      </c>
      <c r="Q233" t="s">
        <v>303</v>
      </c>
      <c r="R233" s="45" t="s">
        <v>876</v>
      </c>
      <c r="S233" s="45" t="s">
        <v>877</v>
      </c>
      <c r="T233" s="45" t="s">
        <v>878</v>
      </c>
      <c r="U233" t="s">
        <v>843</v>
      </c>
      <c r="V233" t="s">
        <v>844</v>
      </c>
      <c r="W233" t="s">
        <v>845</v>
      </c>
      <c r="X233" t="s">
        <v>846</v>
      </c>
      <c r="Y233" t="s">
        <v>847</v>
      </c>
      <c r="Z233" t="s">
        <v>848</v>
      </c>
      <c r="AA233" t="s">
        <v>849</v>
      </c>
      <c r="AB233" t="s">
        <v>850</v>
      </c>
      <c r="AC233" s="250" t="s">
        <v>249</v>
      </c>
    </row>
    <row r="234" spans="1:29">
      <c r="A234" t="s">
        <v>1118</v>
      </c>
      <c r="B234" t="s">
        <v>1118</v>
      </c>
      <c r="C234" t="s">
        <v>1118</v>
      </c>
      <c r="D234" t="s">
        <v>1118</v>
      </c>
      <c r="E234" t="s">
        <v>1118</v>
      </c>
      <c r="F234" t="s">
        <v>1118</v>
      </c>
      <c r="G234" t="s">
        <v>1118</v>
      </c>
      <c r="H234" t="s">
        <v>1118</v>
      </c>
      <c r="I234" t="s">
        <v>1118</v>
      </c>
      <c r="J234" t="s">
        <v>1118</v>
      </c>
      <c r="K234" t="s">
        <v>1118</v>
      </c>
      <c r="L234" t="s">
        <v>1118</v>
      </c>
      <c r="M234" t="s">
        <v>1118</v>
      </c>
      <c r="N234" t="s">
        <v>1118</v>
      </c>
      <c r="O234" t="s">
        <v>1118</v>
      </c>
      <c r="P234" t="s">
        <v>1118</v>
      </c>
      <c r="Q234" t="s">
        <v>1118</v>
      </c>
      <c r="R234" t="s">
        <v>1118</v>
      </c>
      <c r="S234" t="s">
        <v>1118</v>
      </c>
      <c r="T234" t="s">
        <v>1118</v>
      </c>
      <c r="U234" t="s">
        <v>1118</v>
      </c>
      <c r="V234" t="s">
        <v>1118</v>
      </c>
      <c r="W234" t="s">
        <v>1118</v>
      </c>
      <c r="X234" t="s">
        <v>1118</v>
      </c>
      <c r="Y234" t="s">
        <v>1118</v>
      </c>
      <c r="Z234" t="s">
        <v>1118</v>
      </c>
      <c r="AA234" t="s">
        <v>1118</v>
      </c>
      <c r="AB234" t="s">
        <v>1118</v>
      </c>
      <c r="AC234" t="s">
        <v>1118</v>
      </c>
    </row>
    <row r="235" spans="1:29">
      <c r="A235" t="s">
        <v>1119</v>
      </c>
      <c r="B235" t="s">
        <v>1119</v>
      </c>
      <c r="C235" t="s">
        <v>1119</v>
      </c>
      <c r="D235" t="s">
        <v>1119</v>
      </c>
      <c r="E235" t="s">
        <v>1119</v>
      </c>
      <c r="F235" t="s">
        <v>1119</v>
      </c>
      <c r="G235" t="s">
        <v>1119</v>
      </c>
      <c r="H235" t="s">
        <v>1119</v>
      </c>
      <c r="I235" t="s">
        <v>1119</v>
      </c>
      <c r="J235" t="s">
        <v>1119</v>
      </c>
      <c r="K235" t="s">
        <v>1119</v>
      </c>
      <c r="L235" t="s">
        <v>1119</v>
      </c>
      <c r="M235" t="s">
        <v>1119</v>
      </c>
      <c r="N235" t="s">
        <v>1119</v>
      </c>
      <c r="O235" t="s">
        <v>1119</v>
      </c>
      <c r="P235" t="s">
        <v>1119</v>
      </c>
      <c r="Q235" t="s">
        <v>1119</v>
      </c>
      <c r="R235" t="s">
        <v>1119</v>
      </c>
      <c r="S235" t="s">
        <v>1119</v>
      </c>
      <c r="T235" t="s">
        <v>1119</v>
      </c>
      <c r="U235" t="s">
        <v>1119</v>
      </c>
      <c r="V235" t="s">
        <v>1119</v>
      </c>
      <c r="W235" t="s">
        <v>1119</v>
      </c>
      <c r="X235" t="s">
        <v>1119</v>
      </c>
      <c r="Y235" t="s">
        <v>1119</v>
      </c>
      <c r="Z235" t="s">
        <v>1119</v>
      </c>
      <c r="AA235" t="s">
        <v>1119</v>
      </c>
      <c r="AB235" t="s">
        <v>1119</v>
      </c>
      <c r="AC235" t="s">
        <v>1119</v>
      </c>
    </row>
    <row r="236" spans="1:29">
      <c r="A236" t="s">
        <v>1120</v>
      </c>
      <c r="B236" t="s">
        <v>1120</v>
      </c>
      <c r="C236" t="s">
        <v>1120</v>
      </c>
      <c r="D236" t="s">
        <v>1120</v>
      </c>
      <c r="E236" t="s">
        <v>1120</v>
      </c>
      <c r="F236" t="s">
        <v>1120</v>
      </c>
      <c r="G236" t="s">
        <v>1120</v>
      </c>
      <c r="H236" t="s">
        <v>1120</v>
      </c>
      <c r="I236" t="s">
        <v>1120</v>
      </c>
      <c r="J236" t="s">
        <v>1120</v>
      </c>
      <c r="K236" t="s">
        <v>1120</v>
      </c>
      <c r="L236" t="s">
        <v>1120</v>
      </c>
      <c r="M236" t="s">
        <v>1120</v>
      </c>
      <c r="N236" t="s">
        <v>1120</v>
      </c>
      <c r="O236" t="s">
        <v>1120</v>
      </c>
      <c r="P236" t="s">
        <v>1120</v>
      </c>
      <c r="Q236" t="s">
        <v>1120</v>
      </c>
      <c r="R236" t="s">
        <v>1120</v>
      </c>
      <c r="S236" t="s">
        <v>1120</v>
      </c>
      <c r="T236" t="s">
        <v>1120</v>
      </c>
      <c r="U236" t="s">
        <v>1120</v>
      </c>
      <c r="V236" t="s">
        <v>1120</v>
      </c>
      <c r="W236" t="s">
        <v>1120</v>
      </c>
      <c r="X236" t="s">
        <v>1120</v>
      </c>
      <c r="Y236" t="s">
        <v>1120</v>
      </c>
      <c r="Z236" t="s">
        <v>1120</v>
      </c>
      <c r="AA236" t="s">
        <v>1120</v>
      </c>
      <c r="AB236" t="s">
        <v>1120</v>
      </c>
      <c r="AC236" t="s">
        <v>1120</v>
      </c>
    </row>
    <row r="237" spans="1:29">
      <c r="T237"/>
      <c r="U237"/>
      <c r="V237"/>
    </row>
    <row r="238" spans="1:29">
      <c r="A238" t="s">
        <v>1138</v>
      </c>
      <c r="T238"/>
      <c r="U238"/>
      <c r="V238"/>
    </row>
    <row r="239" spans="1:29">
      <c r="A239" t="s">
        <v>239</v>
      </c>
      <c r="B239" t="s">
        <v>231</v>
      </c>
      <c r="C239" t="s">
        <v>232</v>
      </c>
      <c r="D239" t="s">
        <v>233</v>
      </c>
      <c r="E239" t="s">
        <v>234</v>
      </c>
      <c r="F239" t="s">
        <v>235</v>
      </c>
      <c r="G239" t="s">
        <v>236</v>
      </c>
      <c r="H239" t="s">
        <v>237</v>
      </c>
      <c r="I239" t="s">
        <v>296</v>
      </c>
      <c r="J239" t="s">
        <v>297</v>
      </c>
      <c r="K239" t="s">
        <v>298</v>
      </c>
      <c r="L239" t="s">
        <v>299</v>
      </c>
      <c r="M239" t="s">
        <v>725</v>
      </c>
      <c r="N239" t="s">
        <v>300</v>
      </c>
      <c r="O239" t="s">
        <v>301</v>
      </c>
      <c r="P239" t="s">
        <v>302</v>
      </c>
      <c r="Q239" t="s">
        <v>303</v>
      </c>
      <c r="R239" s="45" t="s">
        <v>876</v>
      </c>
      <c r="S239" s="45" t="s">
        <v>877</v>
      </c>
      <c r="T239" s="45" t="s">
        <v>878</v>
      </c>
      <c r="U239" t="s">
        <v>843</v>
      </c>
      <c r="V239" t="s">
        <v>844</v>
      </c>
      <c r="W239" t="s">
        <v>845</v>
      </c>
      <c r="X239" t="s">
        <v>846</v>
      </c>
      <c r="Y239" t="s">
        <v>847</v>
      </c>
      <c r="Z239" t="s">
        <v>848</v>
      </c>
      <c r="AA239" t="s">
        <v>849</v>
      </c>
      <c r="AB239" t="s">
        <v>850</v>
      </c>
      <c r="AC239" s="250" t="s">
        <v>249</v>
      </c>
    </row>
    <row r="240" spans="1:29">
      <c r="A240" t="s">
        <v>1136</v>
      </c>
      <c r="B240" t="s">
        <v>1136</v>
      </c>
      <c r="C240" t="s">
        <v>1136</v>
      </c>
      <c r="D240" t="s">
        <v>1136</v>
      </c>
      <c r="E240" t="s">
        <v>1136</v>
      </c>
      <c r="F240" t="s">
        <v>1136</v>
      </c>
      <c r="G240" t="s">
        <v>1136</v>
      </c>
      <c r="H240" t="s">
        <v>1136</v>
      </c>
      <c r="I240" t="s">
        <v>1136</v>
      </c>
      <c r="J240" t="s">
        <v>1136</v>
      </c>
      <c r="K240" t="s">
        <v>1136</v>
      </c>
      <c r="L240" t="s">
        <v>1136</v>
      </c>
      <c r="M240" t="s">
        <v>1136</v>
      </c>
      <c r="N240" t="s">
        <v>1136</v>
      </c>
      <c r="O240" t="s">
        <v>1136</v>
      </c>
      <c r="P240" t="s">
        <v>1136</v>
      </c>
      <c r="Q240" t="s">
        <v>1136</v>
      </c>
      <c r="R240" t="s">
        <v>1136</v>
      </c>
      <c r="S240" t="s">
        <v>1136</v>
      </c>
      <c r="T240" t="s">
        <v>1136</v>
      </c>
      <c r="U240" t="s">
        <v>1136</v>
      </c>
      <c r="V240" t="s">
        <v>1136</v>
      </c>
      <c r="W240" t="s">
        <v>1136</v>
      </c>
      <c r="X240" t="s">
        <v>1136</v>
      </c>
      <c r="Y240" t="s">
        <v>1136</v>
      </c>
      <c r="Z240" t="s">
        <v>1136</v>
      </c>
      <c r="AA240" t="s">
        <v>1136</v>
      </c>
      <c r="AB240" t="s">
        <v>1136</v>
      </c>
      <c r="AC240" t="s">
        <v>1136</v>
      </c>
    </row>
    <row r="241" spans="1:29">
      <c r="A241" t="s">
        <v>1137</v>
      </c>
      <c r="B241" t="s">
        <v>1137</v>
      </c>
      <c r="C241" t="s">
        <v>1137</v>
      </c>
      <c r="D241" t="s">
        <v>1137</v>
      </c>
      <c r="E241" t="s">
        <v>1137</v>
      </c>
      <c r="F241" t="s">
        <v>1137</v>
      </c>
      <c r="G241" t="s">
        <v>1137</v>
      </c>
      <c r="H241" t="s">
        <v>1137</v>
      </c>
      <c r="I241" t="s">
        <v>1137</v>
      </c>
      <c r="J241" t="s">
        <v>1137</v>
      </c>
      <c r="K241" t="s">
        <v>1137</v>
      </c>
      <c r="L241" t="s">
        <v>1137</v>
      </c>
      <c r="M241" t="s">
        <v>1137</v>
      </c>
      <c r="N241" t="s">
        <v>1137</v>
      </c>
      <c r="O241" t="s">
        <v>1137</v>
      </c>
      <c r="P241" t="s">
        <v>1137</v>
      </c>
      <c r="Q241" t="s">
        <v>1137</v>
      </c>
      <c r="R241" t="s">
        <v>1137</v>
      </c>
      <c r="S241" t="s">
        <v>1137</v>
      </c>
      <c r="T241" t="s">
        <v>1137</v>
      </c>
      <c r="U241" t="s">
        <v>1137</v>
      </c>
      <c r="V241" t="s">
        <v>1137</v>
      </c>
      <c r="W241" t="s">
        <v>1137</v>
      </c>
      <c r="X241" t="s">
        <v>1137</v>
      </c>
      <c r="Y241" t="s">
        <v>1137</v>
      </c>
      <c r="Z241" t="s">
        <v>1137</v>
      </c>
      <c r="AA241" t="s">
        <v>1137</v>
      </c>
      <c r="AB241" t="s">
        <v>1137</v>
      </c>
      <c r="AC241" t="s">
        <v>1137</v>
      </c>
    </row>
    <row r="242" spans="1:29">
      <c r="T242"/>
      <c r="U242"/>
      <c r="V242"/>
    </row>
    <row r="243" spans="1:29">
      <c r="T243"/>
      <c r="U243"/>
      <c r="V243"/>
    </row>
    <row r="244" spans="1:29">
      <c r="A244" t="s">
        <v>269</v>
      </c>
      <c r="R244" s="303"/>
      <c r="S244" s="303"/>
      <c r="U244"/>
      <c r="V244"/>
    </row>
    <row r="245" spans="1:29">
      <c r="A245" t="s">
        <v>239</v>
      </c>
      <c r="B245" t="s">
        <v>231</v>
      </c>
      <c r="C245" t="s">
        <v>232</v>
      </c>
      <c r="D245" t="s">
        <v>233</v>
      </c>
      <c r="E245" t="s">
        <v>234</v>
      </c>
      <c r="F245" t="s">
        <v>235</v>
      </c>
      <c r="G245" t="s">
        <v>236</v>
      </c>
      <c r="H245" t="s">
        <v>237</v>
      </c>
      <c r="I245" t="s">
        <v>296</v>
      </c>
      <c r="J245" t="s">
        <v>297</v>
      </c>
      <c r="K245" t="s">
        <v>298</v>
      </c>
      <c r="L245" t="s">
        <v>299</v>
      </c>
      <c r="M245" t="s">
        <v>725</v>
      </c>
      <c r="N245" t="s">
        <v>300</v>
      </c>
      <c r="O245" t="s">
        <v>301</v>
      </c>
      <c r="P245" t="s">
        <v>302</v>
      </c>
      <c r="Q245" t="s">
        <v>303</v>
      </c>
      <c r="R245" s="45" t="s">
        <v>876</v>
      </c>
      <c r="S245" s="45" t="s">
        <v>877</v>
      </c>
      <c r="T245" s="45" t="s">
        <v>878</v>
      </c>
      <c r="U245" t="s">
        <v>843</v>
      </c>
      <c r="V245" t="s">
        <v>844</v>
      </c>
      <c r="W245" s="250" t="s">
        <v>845</v>
      </c>
      <c r="X245" t="s">
        <v>846</v>
      </c>
      <c r="Y245" t="s">
        <v>847</v>
      </c>
      <c r="Z245" t="s">
        <v>848</v>
      </c>
      <c r="AA245" t="s">
        <v>849</v>
      </c>
      <c r="AB245" t="s">
        <v>850</v>
      </c>
      <c r="AC245" t="s">
        <v>249</v>
      </c>
    </row>
    <row r="246" spans="1:29">
      <c r="D246" t="s">
        <v>64</v>
      </c>
      <c r="E246" t="s">
        <v>64</v>
      </c>
      <c r="F246" t="s">
        <v>64</v>
      </c>
      <c r="J246" t="s">
        <v>64</v>
      </c>
      <c r="L246" t="s">
        <v>64</v>
      </c>
      <c r="O246" t="s">
        <v>64</v>
      </c>
      <c r="Q246" t="s">
        <v>64</v>
      </c>
      <c r="R246" s="303"/>
      <c r="S246" s="303"/>
      <c r="U246" t="s">
        <v>64</v>
      </c>
      <c r="V246" t="s">
        <v>64</v>
      </c>
      <c r="W246" t="s">
        <v>64</v>
      </c>
      <c r="X246" t="s">
        <v>64</v>
      </c>
      <c r="Y246" t="s">
        <v>64</v>
      </c>
      <c r="Z246" t="s">
        <v>64</v>
      </c>
      <c r="AA246" t="s">
        <v>64</v>
      </c>
      <c r="AB246" t="s">
        <v>64</v>
      </c>
      <c r="AC246" t="s">
        <v>64</v>
      </c>
    </row>
    <row r="247" spans="1:29">
      <c r="D247" t="s">
        <v>65</v>
      </c>
      <c r="E247" t="s">
        <v>65</v>
      </c>
      <c r="F247" t="s">
        <v>65</v>
      </c>
      <c r="J247" t="s">
        <v>65</v>
      </c>
      <c r="L247" t="s">
        <v>65</v>
      </c>
      <c r="O247" t="s">
        <v>65</v>
      </c>
      <c r="Q247" t="s">
        <v>65</v>
      </c>
      <c r="R247" s="303"/>
      <c r="S247" s="303"/>
      <c r="U247" t="s">
        <v>65</v>
      </c>
      <c r="V247" t="s">
        <v>65</v>
      </c>
      <c r="W247" t="s">
        <v>65</v>
      </c>
      <c r="X247" t="s">
        <v>65</v>
      </c>
      <c r="Y247" t="s">
        <v>65</v>
      </c>
      <c r="Z247" t="s">
        <v>65</v>
      </c>
      <c r="AA247" t="s">
        <v>65</v>
      </c>
      <c r="AB247" t="s">
        <v>65</v>
      </c>
      <c r="AC247" t="s">
        <v>65</v>
      </c>
    </row>
    <row r="248" spans="1:29">
      <c r="R248" s="303"/>
      <c r="S248" s="303"/>
      <c r="U248"/>
      <c r="V248"/>
    </row>
    <row r="249" spans="1:29">
      <c r="R249" s="303"/>
      <c r="S249" s="303"/>
      <c r="U249"/>
      <c r="V249"/>
    </row>
    <row r="250" spans="1:29">
      <c r="A250" t="s">
        <v>270</v>
      </c>
      <c r="R250" s="303"/>
      <c r="S250" s="303"/>
      <c r="U250"/>
      <c r="V250"/>
    </row>
    <row r="251" spans="1:29">
      <c r="A251" t="s">
        <v>239</v>
      </c>
      <c r="B251" t="s">
        <v>231</v>
      </c>
      <c r="C251" t="s">
        <v>232</v>
      </c>
      <c r="D251" t="s">
        <v>233</v>
      </c>
      <c r="E251" t="s">
        <v>234</v>
      </c>
      <c r="F251" t="s">
        <v>235</v>
      </c>
      <c r="G251" t="s">
        <v>236</v>
      </c>
      <c r="H251" t="s">
        <v>237</v>
      </c>
      <c r="I251" t="s">
        <v>296</v>
      </c>
      <c r="J251" t="s">
        <v>297</v>
      </c>
      <c r="K251" t="s">
        <v>298</v>
      </c>
      <c r="L251" t="s">
        <v>299</v>
      </c>
      <c r="M251" t="s">
        <v>725</v>
      </c>
      <c r="N251" t="s">
        <v>300</v>
      </c>
      <c r="O251" t="s">
        <v>301</v>
      </c>
      <c r="P251" t="s">
        <v>302</v>
      </c>
      <c r="Q251" t="s">
        <v>303</v>
      </c>
      <c r="R251" s="45" t="s">
        <v>876</v>
      </c>
      <c r="S251" s="45" t="s">
        <v>877</v>
      </c>
      <c r="T251" s="45" t="s">
        <v>878</v>
      </c>
      <c r="U251" t="s">
        <v>843</v>
      </c>
      <c r="V251" t="s">
        <v>844</v>
      </c>
      <c r="W251" s="250" t="s">
        <v>845</v>
      </c>
      <c r="X251" t="s">
        <v>846</v>
      </c>
      <c r="Y251" t="s">
        <v>847</v>
      </c>
      <c r="Z251" t="s">
        <v>848</v>
      </c>
      <c r="AA251" t="s">
        <v>849</v>
      </c>
      <c r="AB251" t="s">
        <v>850</v>
      </c>
      <c r="AC251" t="s">
        <v>249</v>
      </c>
    </row>
    <row r="252" spans="1:29">
      <c r="D252" t="s">
        <v>64</v>
      </c>
      <c r="E252" t="s">
        <v>64</v>
      </c>
      <c r="F252" t="s">
        <v>64</v>
      </c>
      <c r="J252" t="s">
        <v>64</v>
      </c>
      <c r="L252" t="s">
        <v>64</v>
      </c>
      <c r="O252" t="s">
        <v>64</v>
      </c>
      <c r="Q252" t="s">
        <v>64</v>
      </c>
      <c r="R252" s="303"/>
      <c r="S252" s="303"/>
      <c r="U252" t="s">
        <v>64</v>
      </c>
      <c r="V252" t="s">
        <v>64</v>
      </c>
      <c r="W252" t="s">
        <v>64</v>
      </c>
      <c r="X252" t="s">
        <v>64</v>
      </c>
      <c r="Y252" t="s">
        <v>64</v>
      </c>
      <c r="Z252" t="s">
        <v>64</v>
      </c>
      <c r="AA252" t="s">
        <v>64</v>
      </c>
      <c r="AB252" t="s">
        <v>64</v>
      </c>
      <c r="AC252" t="s">
        <v>64</v>
      </c>
    </row>
    <row r="253" spans="1:29">
      <c r="D253" t="s">
        <v>65</v>
      </c>
      <c r="E253" t="s">
        <v>65</v>
      </c>
      <c r="F253" t="s">
        <v>65</v>
      </c>
      <c r="J253" t="s">
        <v>65</v>
      </c>
      <c r="L253" t="s">
        <v>65</v>
      </c>
      <c r="O253" t="s">
        <v>65</v>
      </c>
      <c r="Q253" t="s">
        <v>65</v>
      </c>
      <c r="R253" s="303"/>
      <c r="S253" s="303"/>
      <c r="U253" t="s">
        <v>65</v>
      </c>
      <c r="V253" t="s">
        <v>65</v>
      </c>
      <c r="W253" t="s">
        <v>65</v>
      </c>
      <c r="X253" t="s">
        <v>65</v>
      </c>
      <c r="Y253" t="s">
        <v>65</v>
      </c>
      <c r="Z253" t="s">
        <v>65</v>
      </c>
      <c r="AA253" t="s">
        <v>65</v>
      </c>
      <c r="AB253" t="s">
        <v>65</v>
      </c>
      <c r="AC253" t="s">
        <v>65</v>
      </c>
    </row>
    <row r="254" spans="1:29">
      <c r="R254" s="303"/>
      <c r="S254" s="303"/>
      <c r="U254"/>
      <c r="V254"/>
    </row>
    <row r="255" spans="1:29">
      <c r="R255" s="303"/>
      <c r="S255" s="303"/>
      <c r="U255"/>
      <c r="V255"/>
    </row>
    <row r="256" spans="1:29">
      <c r="A256" t="s">
        <v>293</v>
      </c>
      <c r="R256" s="303"/>
      <c r="S256" s="303"/>
      <c r="U256"/>
      <c r="V256"/>
    </row>
    <row r="257" spans="1:29">
      <c r="A257" t="s">
        <v>239</v>
      </c>
      <c r="B257" t="s">
        <v>231</v>
      </c>
      <c r="C257" t="s">
        <v>232</v>
      </c>
      <c r="D257" t="s">
        <v>233</v>
      </c>
      <c r="E257" t="s">
        <v>234</v>
      </c>
      <c r="F257" t="s">
        <v>235</v>
      </c>
      <c r="G257" t="s">
        <v>236</v>
      </c>
      <c r="H257" t="s">
        <v>237</v>
      </c>
      <c r="I257" t="s">
        <v>296</v>
      </c>
      <c r="J257" t="s">
        <v>297</v>
      </c>
      <c r="K257" t="s">
        <v>298</v>
      </c>
      <c r="L257" t="s">
        <v>299</v>
      </c>
      <c r="M257" t="s">
        <v>725</v>
      </c>
      <c r="N257" t="s">
        <v>300</v>
      </c>
      <c r="O257" t="s">
        <v>301</v>
      </c>
      <c r="P257" t="s">
        <v>302</v>
      </c>
      <c r="Q257" t="s">
        <v>303</v>
      </c>
      <c r="R257" s="45" t="s">
        <v>876</v>
      </c>
      <c r="S257" s="45" t="s">
        <v>877</v>
      </c>
      <c r="T257" s="45" t="s">
        <v>878</v>
      </c>
      <c r="U257" t="s">
        <v>843</v>
      </c>
      <c r="V257" t="s">
        <v>844</v>
      </c>
      <c r="W257" s="250" t="s">
        <v>845</v>
      </c>
      <c r="X257" s="250" t="s">
        <v>846</v>
      </c>
      <c r="Y257" s="250" t="s">
        <v>847</v>
      </c>
      <c r="Z257" s="250" t="s">
        <v>848</v>
      </c>
      <c r="AA257" s="250" t="s">
        <v>849</v>
      </c>
      <c r="AB257" s="250" t="s">
        <v>850</v>
      </c>
      <c r="AC257" s="250" t="s">
        <v>249</v>
      </c>
    </row>
    <row r="258" spans="1:29">
      <c r="D258" t="s">
        <v>294</v>
      </c>
      <c r="F258" t="s">
        <v>294</v>
      </c>
      <c r="J258" t="s">
        <v>294</v>
      </c>
      <c r="L258" t="s">
        <v>294</v>
      </c>
      <c r="O258" t="s">
        <v>294</v>
      </c>
      <c r="R258" s="303"/>
      <c r="S258" s="303"/>
      <c r="U258" t="s">
        <v>294</v>
      </c>
      <c r="V258" t="s">
        <v>294</v>
      </c>
      <c r="W258" t="s">
        <v>294</v>
      </c>
      <c r="X258" t="s">
        <v>294</v>
      </c>
      <c r="Y258" t="s">
        <v>294</v>
      </c>
      <c r="Z258" t="s">
        <v>294</v>
      </c>
      <c r="AA258" t="s">
        <v>294</v>
      </c>
      <c r="AB258" t="s">
        <v>294</v>
      </c>
      <c r="AC258" t="s">
        <v>294</v>
      </c>
    </row>
    <row r="259" spans="1:29">
      <c r="R259" s="303"/>
      <c r="S259" s="303"/>
      <c r="U259" t="s">
        <v>295</v>
      </c>
      <c r="V259" t="s">
        <v>295</v>
      </c>
      <c r="W259" t="s">
        <v>295</v>
      </c>
      <c r="X259" t="s">
        <v>295</v>
      </c>
      <c r="Y259" t="s">
        <v>295</v>
      </c>
      <c r="Z259" t="s">
        <v>295</v>
      </c>
      <c r="AA259" t="s">
        <v>295</v>
      </c>
      <c r="AB259" t="s">
        <v>295</v>
      </c>
      <c r="AC259" t="s">
        <v>295</v>
      </c>
    </row>
    <row r="260" spans="1:29">
      <c r="R260" s="303"/>
      <c r="S260" s="303"/>
      <c r="U260"/>
      <c r="V260"/>
    </row>
    <row r="261" spans="1:29">
      <c r="R261" s="303"/>
      <c r="S261" s="303"/>
      <c r="U261"/>
      <c r="V261"/>
    </row>
    <row r="262" spans="1:29">
      <c r="A262" t="s">
        <v>125</v>
      </c>
      <c r="R262" s="303"/>
      <c r="S262" s="303"/>
      <c r="U262"/>
      <c r="V262"/>
    </row>
    <row r="263" spans="1:29" ht="13.8" thickBot="1">
      <c r="A263" t="s">
        <v>239</v>
      </c>
      <c r="B263" t="s">
        <v>231</v>
      </c>
      <c r="C263" t="s">
        <v>232</v>
      </c>
      <c r="D263" t="s">
        <v>233</v>
      </c>
      <c r="E263" t="s">
        <v>234</v>
      </c>
      <c r="F263" t="s">
        <v>235</v>
      </c>
      <c r="G263" t="s">
        <v>236</v>
      </c>
      <c r="H263" t="s">
        <v>237</v>
      </c>
      <c r="I263" t="s">
        <v>296</v>
      </c>
      <c r="J263" t="s">
        <v>297</v>
      </c>
      <c r="K263" t="s">
        <v>298</v>
      </c>
      <c r="L263" t="s">
        <v>299</v>
      </c>
      <c r="M263" t="s">
        <v>725</v>
      </c>
      <c r="N263" t="s">
        <v>300</v>
      </c>
      <c r="O263" t="s">
        <v>301</v>
      </c>
      <c r="P263" t="s">
        <v>302</v>
      </c>
      <c r="Q263" t="s">
        <v>303</v>
      </c>
      <c r="R263" s="45" t="s">
        <v>876</v>
      </c>
      <c r="S263" s="45" t="s">
        <v>877</v>
      </c>
      <c r="T263" s="45" t="s">
        <v>878</v>
      </c>
      <c r="U263" t="s">
        <v>843</v>
      </c>
      <c r="V263" t="s">
        <v>844</v>
      </c>
      <c r="W263" s="251" t="s">
        <v>845</v>
      </c>
      <c r="X263" s="250" t="s">
        <v>846</v>
      </c>
      <c r="Y263" s="250" t="s">
        <v>847</v>
      </c>
      <c r="Z263" s="250" t="s">
        <v>848</v>
      </c>
      <c r="AA263" s="250" t="s">
        <v>849</v>
      </c>
      <c r="AB263" s="250" t="s">
        <v>850</v>
      </c>
      <c r="AC263" s="250" t="s">
        <v>249</v>
      </c>
    </row>
    <row r="264" spans="1:29" ht="13.8" thickTop="1">
      <c r="A264">
        <v>2</v>
      </c>
      <c r="B264">
        <v>2</v>
      </c>
      <c r="C264">
        <v>2</v>
      </c>
      <c r="D264">
        <v>3</v>
      </c>
      <c r="E264">
        <v>3</v>
      </c>
      <c r="F264">
        <v>3</v>
      </c>
      <c r="G264">
        <v>3</v>
      </c>
      <c r="H264">
        <v>16</v>
      </c>
      <c r="I264">
        <v>3</v>
      </c>
      <c r="J264">
        <v>3</v>
      </c>
      <c r="K264">
        <v>3</v>
      </c>
      <c r="L264">
        <v>3</v>
      </c>
      <c r="M264">
        <v>3</v>
      </c>
      <c r="N264">
        <v>3</v>
      </c>
      <c r="O264">
        <v>3</v>
      </c>
      <c r="P264">
        <v>3</v>
      </c>
      <c r="Q264">
        <v>3</v>
      </c>
      <c r="R264" s="61">
        <v>5.5</v>
      </c>
      <c r="S264" s="61">
        <v>5.5</v>
      </c>
      <c r="T264" s="61">
        <v>5.5</v>
      </c>
      <c r="U264">
        <v>3</v>
      </c>
      <c r="V264">
        <v>3</v>
      </c>
      <c r="W264">
        <v>3</v>
      </c>
      <c r="X264">
        <v>3</v>
      </c>
      <c r="Y264">
        <v>3</v>
      </c>
      <c r="Z264">
        <v>3</v>
      </c>
      <c r="AA264">
        <v>3</v>
      </c>
      <c r="AB264">
        <v>3</v>
      </c>
      <c r="AC264">
        <v>3</v>
      </c>
    </row>
    <row r="265" spans="1:29">
      <c r="A265">
        <v>3</v>
      </c>
      <c r="B265">
        <v>3</v>
      </c>
      <c r="C265">
        <v>3</v>
      </c>
      <c r="D265">
        <v>5.5</v>
      </c>
      <c r="E265">
        <v>5.5</v>
      </c>
      <c r="F265">
        <v>5.5</v>
      </c>
      <c r="G265">
        <v>5.5</v>
      </c>
      <c r="I265">
        <v>5.5</v>
      </c>
      <c r="J265">
        <v>5.5</v>
      </c>
      <c r="K265">
        <v>5.5</v>
      </c>
      <c r="L265">
        <v>5.5</v>
      </c>
      <c r="M265">
        <v>5.5</v>
      </c>
      <c r="N265">
        <v>5.5</v>
      </c>
      <c r="O265">
        <v>5.5</v>
      </c>
      <c r="P265">
        <v>5.5</v>
      </c>
      <c r="Q265">
        <v>5.5</v>
      </c>
      <c r="R265" s="61">
        <v>8</v>
      </c>
      <c r="S265" s="61">
        <v>8</v>
      </c>
      <c r="T265" s="61">
        <v>8</v>
      </c>
      <c r="U265">
        <v>5.5</v>
      </c>
      <c r="V265">
        <v>5.5</v>
      </c>
      <c r="W265">
        <v>5.5</v>
      </c>
      <c r="X265">
        <v>5.5</v>
      </c>
      <c r="Y265">
        <v>5.5</v>
      </c>
      <c r="Z265">
        <v>5.5</v>
      </c>
      <c r="AA265">
        <v>5.5</v>
      </c>
      <c r="AB265">
        <v>5.5</v>
      </c>
      <c r="AC265">
        <v>5.5</v>
      </c>
    </row>
    <row r="266" spans="1:29">
      <c r="A266">
        <v>5.5</v>
      </c>
      <c r="B266">
        <v>5.5</v>
      </c>
      <c r="C266">
        <v>5.5</v>
      </c>
      <c r="E266">
        <v>8</v>
      </c>
      <c r="G266">
        <v>8</v>
      </c>
      <c r="I266">
        <v>8</v>
      </c>
      <c r="K266">
        <v>8</v>
      </c>
      <c r="M266">
        <v>8</v>
      </c>
      <c r="N266">
        <v>8</v>
      </c>
      <c r="P266">
        <v>8</v>
      </c>
      <c r="R266" s="61">
        <v>10.5</v>
      </c>
      <c r="S266" s="61">
        <v>10.5</v>
      </c>
      <c r="T266" s="61"/>
      <c r="U266">
        <v>8</v>
      </c>
      <c r="V266">
        <v>8</v>
      </c>
      <c r="W266">
        <v>8</v>
      </c>
      <c r="X266">
        <v>8</v>
      </c>
      <c r="Y266">
        <v>8</v>
      </c>
      <c r="Z266">
        <v>8</v>
      </c>
      <c r="AA266">
        <v>8</v>
      </c>
      <c r="AB266">
        <v>8</v>
      </c>
      <c r="AC266">
        <v>8</v>
      </c>
    </row>
    <row r="267" spans="1:29">
      <c r="A267">
        <v>8</v>
      </c>
      <c r="B267">
        <v>8</v>
      </c>
      <c r="C267">
        <v>8</v>
      </c>
      <c r="E267">
        <v>10.5</v>
      </c>
      <c r="G267">
        <v>10.5</v>
      </c>
      <c r="I267">
        <v>10.5</v>
      </c>
      <c r="K267">
        <v>10.5</v>
      </c>
      <c r="M267">
        <v>10.5</v>
      </c>
      <c r="N267">
        <v>10.5</v>
      </c>
      <c r="P267">
        <v>10.5</v>
      </c>
      <c r="R267" s="303"/>
      <c r="S267" s="303"/>
      <c r="U267">
        <v>10.5</v>
      </c>
      <c r="V267">
        <v>10.5</v>
      </c>
      <c r="W267">
        <v>10.5</v>
      </c>
      <c r="X267">
        <v>10.5</v>
      </c>
      <c r="Y267">
        <v>10.5</v>
      </c>
      <c r="Z267">
        <v>10.5</v>
      </c>
      <c r="AA267">
        <v>10.5</v>
      </c>
      <c r="AB267">
        <v>10.5</v>
      </c>
      <c r="AC267">
        <v>10.5</v>
      </c>
    </row>
    <row r="268" spans="1:29">
      <c r="A268">
        <v>10.5</v>
      </c>
      <c r="B268">
        <v>10.5</v>
      </c>
      <c r="C268">
        <v>10.5</v>
      </c>
      <c r="R268" s="303"/>
      <c r="S268" s="303"/>
      <c r="U268"/>
      <c r="V268"/>
    </row>
    <row r="269" spans="1:29">
      <c r="R269" s="303"/>
      <c r="S269" s="303"/>
      <c r="U269"/>
      <c r="V269"/>
    </row>
    <row r="270" spans="1:29">
      <c r="R270" s="303"/>
      <c r="S270" s="303"/>
      <c r="U270"/>
      <c r="V270"/>
    </row>
    <row r="271" spans="1:29">
      <c r="A271" t="s">
        <v>126</v>
      </c>
      <c r="R271" s="303"/>
      <c r="S271" s="303"/>
      <c r="U271"/>
      <c r="V271"/>
    </row>
    <row r="272" spans="1:29" ht="13.8" thickBot="1">
      <c r="A272" t="s">
        <v>239</v>
      </c>
      <c r="B272" t="s">
        <v>231</v>
      </c>
      <c r="C272" t="s">
        <v>232</v>
      </c>
      <c r="D272" t="s">
        <v>233</v>
      </c>
      <c r="E272" t="s">
        <v>234</v>
      </c>
      <c r="F272" t="s">
        <v>235</v>
      </c>
      <c r="G272" t="s">
        <v>236</v>
      </c>
      <c r="H272" t="s">
        <v>237</v>
      </c>
      <c r="I272" t="s">
        <v>296</v>
      </c>
      <c r="J272" t="s">
        <v>297</v>
      </c>
      <c r="K272" t="s">
        <v>298</v>
      </c>
      <c r="L272" t="s">
        <v>299</v>
      </c>
      <c r="M272" t="s">
        <v>725</v>
      </c>
      <c r="N272" t="s">
        <v>300</v>
      </c>
      <c r="O272" t="s">
        <v>301</v>
      </c>
      <c r="P272" t="s">
        <v>302</v>
      </c>
      <c r="Q272" t="s">
        <v>303</v>
      </c>
      <c r="R272" s="45" t="s">
        <v>876</v>
      </c>
      <c r="S272" s="45" t="s">
        <v>877</v>
      </c>
      <c r="T272" s="45" t="s">
        <v>878</v>
      </c>
      <c r="U272" t="s">
        <v>843</v>
      </c>
      <c r="V272" t="s">
        <v>844</v>
      </c>
      <c r="W272" s="251" t="s">
        <v>845</v>
      </c>
      <c r="X272" s="250" t="s">
        <v>846</v>
      </c>
      <c r="Y272" s="250" t="s">
        <v>847</v>
      </c>
      <c r="Z272" s="250" t="s">
        <v>848</v>
      </c>
      <c r="AA272" s="250" t="s">
        <v>849</v>
      </c>
      <c r="AB272" s="250" t="s">
        <v>850</v>
      </c>
      <c r="AC272" s="250" t="s">
        <v>249</v>
      </c>
    </row>
    <row r="273" spans="1:29" ht="13.8" thickTop="1">
      <c r="A273">
        <v>2</v>
      </c>
      <c r="B273">
        <v>2</v>
      </c>
      <c r="C273">
        <v>2</v>
      </c>
      <c r="D273">
        <v>3</v>
      </c>
      <c r="E273">
        <v>3</v>
      </c>
      <c r="F273">
        <v>3</v>
      </c>
      <c r="G273">
        <v>3</v>
      </c>
      <c r="H273">
        <v>16</v>
      </c>
      <c r="I273">
        <v>3</v>
      </c>
      <c r="J273">
        <v>3</v>
      </c>
      <c r="K273">
        <v>3</v>
      </c>
      <c r="L273">
        <v>3</v>
      </c>
      <c r="M273">
        <v>3</v>
      </c>
      <c r="N273">
        <v>3</v>
      </c>
      <c r="O273">
        <v>3</v>
      </c>
      <c r="P273">
        <v>3</v>
      </c>
      <c r="Q273">
        <v>3</v>
      </c>
      <c r="R273" s="61">
        <v>5.5</v>
      </c>
      <c r="S273" s="61">
        <v>5.5</v>
      </c>
      <c r="T273" s="61">
        <v>5.5</v>
      </c>
      <c r="U273">
        <v>3</v>
      </c>
      <c r="V273">
        <v>3</v>
      </c>
      <c r="W273">
        <v>3</v>
      </c>
      <c r="X273">
        <v>3</v>
      </c>
      <c r="Y273">
        <v>3</v>
      </c>
      <c r="Z273">
        <v>3</v>
      </c>
      <c r="AA273">
        <v>3</v>
      </c>
      <c r="AB273">
        <v>3</v>
      </c>
      <c r="AC273">
        <v>3</v>
      </c>
    </row>
    <row r="274" spans="1:29">
      <c r="A274">
        <v>3</v>
      </c>
      <c r="B274">
        <v>3</v>
      </c>
      <c r="C274">
        <v>3</v>
      </c>
      <c r="D274">
        <v>5.5</v>
      </c>
      <c r="E274">
        <v>5.5</v>
      </c>
      <c r="F274">
        <v>5.5</v>
      </c>
      <c r="G274">
        <v>5.5</v>
      </c>
      <c r="I274">
        <v>5.5</v>
      </c>
      <c r="J274">
        <v>5.5</v>
      </c>
      <c r="K274">
        <v>5.5</v>
      </c>
      <c r="L274">
        <v>5.5</v>
      </c>
      <c r="M274">
        <v>5.5</v>
      </c>
      <c r="N274">
        <v>5.5</v>
      </c>
      <c r="O274">
        <v>5.5</v>
      </c>
      <c r="P274">
        <v>5.5</v>
      </c>
      <c r="Q274">
        <v>5.5</v>
      </c>
      <c r="R274" s="61">
        <v>8</v>
      </c>
      <c r="S274" s="61">
        <v>8</v>
      </c>
      <c r="T274" s="61">
        <v>8</v>
      </c>
      <c r="U274">
        <v>5.5</v>
      </c>
      <c r="V274">
        <v>5.5</v>
      </c>
      <c r="W274">
        <v>5.5</v>
      </c>
      <c r="X274">
        <v>5.5</v>
      </c>
      <c r="Y274">
        <v>5.5</v>
      </c>
      <c r="Z274">
        <v>5.5</v>
      </c>
      <c r="AA274">
        <v>5.5</v>
      </c>
      <c r="AB274">
        <v>5.5</v>
      </c>
      <c r="AC274">
        <v>5.5</v>
      </c>
    </row>
    <row r="275" spans="1:29">
      <c r="A275">
        <v>5.5</v>
      </c>
      <c r="B275">
        <v>5.5</v>
      </c>
      <c r="C275">
        <v>5.5</v>
      </c>
      <c r="E275">
        <v>8</v>
      </c>
      <c r="G275">
        <v>8</v>
      </c>
      <c r="I275">
        <v>8</v>
      </c>
      <c r="K275">
        <v>8</v>
      </c>
      <c r="M275">
        <v>8</v>
      </c>
      <c r="N275">
        <v>8</v>
      </c>
      <c r="P275">
        <v>8</v>
      </c>
      <c r="R275" s="61">
        <v>10.5</v>
      </c>
      <c r="S275" s="61">
        <v>10.5</v>
      </c>
      <c r="T275" s="61"/>
      <c r="U275">
        <v>8</v>
      </c>
      <c r="V275">
        <v>8</v>
      </c>
      <c r="W275">
        <v>8</v>
      </c>
      <c r="X275">
        <v>8</v>
      </c>
      <c r="Y275">
        <v>8</v>
      </c>
      <c r="Z275">
        <v>8</v>
      </c>
      <c r="AA275">
        <v>8</v>
      </c>
      <c r="AB275">
        <v>8</v>
      </c>
      <c r="AC275">
        <v>8</v>
      </c>
    </row>
    <row r="276" spans="1:29">
      <c r="A276">
        <v>8</v>
      </c>
      <c r="B276">
        <v>8</v>
      </c>
      <c r="C276">
        <v>8</v>
      </c>
      <c r="E276">
        <v>10.5</v>
      </c>
      <c r="G276">
        <v>10.5</v>
      </c>
      <c r="I276">
        <v>10.5</v>
      </c>
      <c r="K276">
        <v>10.5</v>
      </c>
      <c r="M276">
        <v>10.5</v>
      </c>
      <c r="N276">
        <v>10.5</v>
      </c>
      <c r="P276">
        <v>10.5</v>
      </c>
      <c r="R276" s="303"/>
      <c r="S276" s="303"/>
      <c r="U276">
        <v>10.5</v>
      </c>
      <c r="V276">
        <v>10.5</v>
      </c>
      <c r="W276">
        <v>10.5</v>
      </c>
      <c r="X276">
        <v>10.5</v>
      </c>
      <c r="Y276">
        <v>10.5</v>
      </c>
      <c r="Z276">
        <v>10.5</v>
      </c>
      <c r="AA276">
        <v>10.5</v>
      </c>
      <c r="AB276">
        <v>10.5</v>
      </c>
      <c r="AC276">
        <v>10.5</v>
      </c>
    </row>
    <row r="277" spans="1:29">
      <c r="A277">
        <v>10.5</v>
      </c>
      <c r="B277">
        <v>10.5</v>
      </c>
      <c r="C277">
        <v>10.5</v>
      </c>
      <c r="R277" s="303"/>
      <c r="S277" s="303"/>
      <c r="U277"/>
      <c r="V277"/>
    </row>
    <row r="278" spans="1:29">
      <c r="R278" s="303"/>
      <c r="S278" s="303"/>
      <c r="U278"/>
      <c r="V278"/>
    </row>
    <row r="279" spans="1:29">
      <c r="R279" s="303"/>
      <c r="S279" s="303"/>
      <c r="U279"/>
      <c r="V279"/>
    </row>
    <row r="280" spans="1:29">
      <c r="A280" t="s">
        <v>902</v>
      </c>
      <c r="R280" s="303"/>
      <c r="S280" s="303"/>
      <c r="U280"/>
      <c r="V280"/>
    </row>
    <row r="281" spans="1:29">
      <c r="A281" t="s">
        <v>26</v>
      </c>
      <c r="B281" t="s">
        <v>27</v>
      </c>
      <c r="C281" t="s">
        <v>228</v>
      </c>
      <c r="D281" t="s">
        <v>934</v>
      </c>
      <c r="E281" t="s">
        <v>849</v>
      </c>
      <c r="F281" t="s">
        <v>850</v>
      </c>
      <c r="G281" t="s">
        <v>229</v>
      </c>
      <c r="H281" t="s">
        <v>356</v>
      </c>
      <c r="I281" t="s">
        <v>898</v>
      </c>
      <c r="J281" t="s">
        <v>899</v>
      </c>
    </row>
    <row r="282" spans="1:29">
      <c r="B282" t="s">
        <v>903</v>
      </c>
      <c r="C282" t="s">
        <v>903</v>
      </c>
      <c r="D282" t="s">
        <v>903</v>
      </c>
      <c r="E282" t="s">
        <v>903</v>
      </c>
      <c r="F282" t="s">
        <v>903</v>
      </c>
      <c r="G282" t="s">
        <v>903</v>
      </c>
      <c r="H282" t="s">
        <v>903</v>
      </c>
      <c r="I282" t="s">
        <v>903</v>
      </c>
      <c r="J282" t="s">
        <v>903</v>
      </c>
    </row>
    <row r="283" spans="1:29">
      <c r="I283" t="s">
        <v>904</v>
      </c>
      <c r="J283" t="s">
        <v>904</v>
      </c>
    </row>
    <row r="284" spans="1:29">
      <c r="R284" s="303"/>
      <c r="S284" s="303"/>
      <c r="U284"/>
      <c r="V284"/>
    </row>
    <row r="285" spans="1:29">
      <c r="A285" t="s">
        <v>1063</v>
      </c>
      <c r="R285" s="303"/>
      <c r="S285" s="303"/>
      <c r="U285"/>
      <c r="V285"/>
    </row>
    <row r="286" spans="1:29">
      <c r="A286" t="s">
        <v>26</v>
      </c>
      <c r="B286" t="s">
        <v>27</v>
      </c>
      <c r="C286" t="s">
        <v>228</v>
      </c>
      <c r="D286" t="s">
        <v>934</v>
      </c>
      <c r="E286" t="s">
        <v>654</v>
      </c>
      <c r="F286" t="s">
        <v>229</v>
      </c>
      <c r="G286" t="s">
        <v>356</v>
      </c>
      <c r="H286" t="s">
        <v>898</v>
      </c>
      <c r="I286" t="s">
        <v>899</v>
      </c>
      <c r="S286" s="303"/>
      <c r="V286"/>
    </row>
    <row r="287" spans="1:29">
      <c r="B287" t="s">
        <v>577</v>
      </c>
      <c r="C287" t="s">
        <v>577</v>
      </c>
      <c r="D287" t="s">
        <v>935</v>
      </c>
      <c r="E287" t="s">
        <v>271</v>
      </c>
      <c r="S287" s="303"/>
      <c r="V287"/>
    </row>
    <row r="288" spans="1:29">
      <c r="B288" t="s">
        <v>578</v>
      </c>
      <c r="C288" t="s">
        <v>578</v>
      </c>
      <c r="E288" t="s">
        <v>272</v>
      </c>
      <c r="S288" s="303"/>
      <c r="V288"/>
    </row>
    <row r="289" spans="1:22">
      <c r="B289" t="s">
        <v>579</v>
      </c>
      <c r="C289" t="s">
        <v>579</v>
      </c>
      <c r="S289" s="303"/>
      <c r="V289"/>
    </row>
    <row r="290" spans="1:22">
      <c r="R290" s="303"/>
      <c r="S290" s="303"/>
      <c r="U290"/>
      <c r="V290"/>
    </row>
    <row r="291" spans="1:22">
      <c r="R291" s="303"/>
      <c r="S291" s="303"/>
      <c r="U291"/>
      <c r="V291"/>
    </row>
    <row r="292" spans="1:22">
      <c r="A292" t="s">
        <v>881</v>
      </c>
      <c r="R292" s="303"/>
      <c r="S292" s="303"/>
      <c r="U292"/>
      <c r="V292"/>
    </row>
    <row r="293" spans="1:22">
      <c r="A293" t="s">
        <v>26</v>
      </c>
      <c r="B293" t="s">
        <v>27</v>
      </c>
      <c r="C293" t="s">
        <v>228</v>
      </c>
      <c r="D293" t="s">
        <v>934</v>
      </c>
      <c r="E293" t="s">
        <v>654</v>
      </c>
      <c r="F293" t="s">
        <v>229</v>
      </c>
      <c r="G293" t="s">
        <v>356</v>
      </c>
      <c r="H293" t="s">
        <v>898</v>
      </c>
      <c r="I293" t="s">
        <v>899</v>
      </c>
      <c r="S293" s="303"/>
      <c r="V293"/>
    </row>
    <row r="294" spans="1:22">
      <c r="C294">
        <v>500</v>
      </c>
      <c r="D294">
        <v>500</v>
      </c>
      <c r="S294" s="303"/>
      <c r="V294"/>
    </row>
    <row r="295" spans="1:22">
      <c r="C295">
        <v>800</v>
      </c>
      <c r="D295">
        <v>800</v>
      </c>
      <c r="S295" s="303"/>
      <c r="V295"/>
    </row>
    <row r="296" spans="1:22">
      <c r="S296" s="303"/>
      <c r="V296"/>
    </row>
    <row r="297" spans="1:22">
      <c r="R297" s="303"/>
      <c r="S297" s="303"/>
      <c r="U297"/>
      <c r="V297"/>
    </row>
    <row r="298" spans="1:22">
      <c r="R298" s="303"/>
      <c r="S298" s="303"/>
      <c r="U298"/>
      <c r="V298"/>
    </row>
    <row r="299" spans="1:22">
      <c r="A299" t="s">
        <v>882</v>
      </c>
      <c r="R299" s="303"/>
      <c r="S299" s="303"/>
      <c r="U299"/>
      <c r="V299"/>
    </row>
    <row r="300" spans="1:22">
      <c r="A300" t="s">
        <v>26</v>
      </c>
      <c r="B300" t="s">
        <v>27</v>
      </c>
      <c r="C300" t="s">
        <v>228</v>
      </c>
      <c r="D300" t="s">
        <v>934</v>
      </c>
      <c r="E300" t="s">
        <v>654</v>
      </c>
      <c r="F300" t="s">
        <v>229</v>
      </c>
      <c r="G300" t="s">
        <v>356</v>
      </c>
      <c r="H300" t="s">
        <v>898</v>
      </c>
      <c r="I300" t="s">
        <v>899</v>
      </c>
      <c r="S300" s="303"/>
      <c r="V300"/>
    </row>
    <row r="301" spans="1:22">
      <c r="C301">
        <v>5.15</v>
      </c>
      <c r="D301">
        <v>7</v>
      </c>
      <c r="S301" s="303"/>
      <c r="V301"/>
    </row>
    <row r="302" spans="1:22">
      <c r="C302">
        <v>7</v>
      </c>
      <c r="D302">
        <v>9</v>
      </c>
      <c r="S302" s="303"/>
      <c r="V302"/>
    </row>
    <row r="303" spans="1:22">
      <c r="C303">
        <v>9</v>
      </c>
      <c r="D303">
        <v>11</v>
      </c>
      <c r="S303" s="303"/>
      <c r="V303"/>
    </row>
    <row r="304" spans="1:22">
      <c r="C304">
        <v>11</v>
      </c>
      <c r="S304" s="303"/>
      <c r="V304"/>
    </row>
    <row r="305" spans="1:29">
      <c r="S305" s="303"/>
      <c r="V305"/>
    </row>
    <row r="306" spans="1:29">
      <c r="R306" s="303"/>
      <c r="S306" s="303"/>
      <c r="U306"/>
      <c r="V306"/>
    </row>
    <row r="307" spans="1:29">
      <c r="R307" s="303"/>
      <c r="S307" s="303"/>
      <c r="U307"/>
      <c r="V307"/>
    </row>
    <row r="308" spans="1:29">
      <c r="A308" t="s">
        <v>248</v>
      </c>
      <c r="R308" s="303"/>
      <c r="S308" s="303"/>
      <c r="U308"/>
      <c r="V308"/>
    </row>
    <row r="309" spans="1:29" ht="13.8" thickBot="1">
      <c r="A309" t="s">
        <v>239</v>
      </c>
      <c r="B309" t="s">
        <v>231</v>
      </c>
      <c r="C309" t="s">
        <v>232</v>
      </c>
      <c r="D309" t="s">
        <v>233</v>
      </c>
      <c r="E309" t="s">
        <v>234</v>
      </c>
      <c r="F309" t="s">
        <v>235</v>
      </c>
      <c r="G309" t="s">
        <v>236</v>
      </c>
      <c r="H309" t="s">
        <v>237</v>
      </c>
      <c r="I309" t="s">
        <v>296</v>
      </c>
      <c r="J309" t="s">
        <v>297</v>
      </c>
      <c r="K309" t="s">
        <v>298</v>
      </c>
      <c r="L309" t="s">
        <v>299</v>
      </c>
      <c r="M309" t="s">
        <v>725</v>
      </c>
      <c r="N309" t="s">
        <v>300</v>
      </c>
      <c r="O309" t="s">
        <v>301</v>
      </c>
      <c r="P309" t="s">
        <v>302</v>
      </c>
      <c r="Q309" t="s">
        <v>303</v>
      </c>
      <c r="R309" s="303" t="s">
        <v>876</v>
      </c>
      <c r="S309" s="303" t="s">
        <v>877</v>
      </c>
      <c r="T309" s="303" t="s">
        <v>878</v>
      </c>
      <c r="U309" t="s">
        <v>843</v>
      </c>
      <c r="V309" t="s">
        <v>844</v>
      </c>
      <c r="W309" s="251" t="s">
        <v>845</v>
      </c>
      <c r="X309" s="250" t="s">
        <v>846</v>
      </c>
      <c r="Y309" s="250" t="s">
        <v>847</v>
      </c>
      <c r="Z309" s="250" t="s">
        <v>848</v>
      </c>
      <c r="AA309" s="250" t="s">
        <v>849</v>
      </c>
      <c r="AB309" s="250" t="s">
        <v>850</v>
      </c>
      <c r="AC309" s="250" t="s">
        <v>249</v>
      </c>
    </row>
    <row r="310" spans="1:29" ht="13.8" thickTop="1">
      <c r="D310" t="s">
        <v>57</v>
      </c>
      <c r="E310" t="s">
        <v>57</v>
      </c>
      <c r="F310" t="s">
        <v>57</v>
      </c>
      <c r="J310" t="s">
        <v>57</v>
      </c>
      <c r="L310" t="s">
        <v>57</v>
      </c>
      <c r="O310" t="s">
        <v>57</v>
      </c>
      <c r="Q310" t="s">
        <v>57</v>
      </c>
      <c r="R310" s="303"/>
      <c r="S310" s="303"/>
      <c r="U310"/>
      <c r="V310"/>
      <c r="AC310" t="s">
        <v>57</v>
      </c>
    </row>
    <row r="311" spans="1:29">
      <c r="D311" t="s">
        <v>368</v>
      </c>
      <c r="E311" t="s">
        <v>368</v>
      </c>
      <c r="F311" t="s">
        <v>368</v>
      </c>
      <c r="J311" t="s">
        <v>368</v>
      </c>
      <c r="L311" t="s">
        <v>368</v>
      </c>
      <c r="O311" t="s">
        <v>368</v>
      </c>
      <c r="Q311" t="s">
        <v>368</v>
      </c>
      <c r="R311" s="303"/>
      <c r="S311" s="303"/>
      <c r="U311"/>
      <c r="V311"/>
      <c r="AC311" t="s">
        <v>368</v>
      </c>
    </row>
    <row r="312" spans="1:29" ht="13.8" thickBot="1">
      <c r="D312" t="s">
        <v>58</v>
      </c>
      <c r="E312" t="s">
        <v>58</v>
      </c>
      <c r="F312" t="s">
        <v>58</v>
      </c>
      <c r="J312" t="s">
        <v>58</v>
      </c>
      <c r="L312" t="s">
        <v>58</v>
      </c>
      <c r="O312" t="s">
        <v>58</v>
      </c>
      <c r="Q312" t="s">
        <v>58</v>
      </c>
      <c r="R312" s="303"/>
      <c r="S312" s="303"/>
      <c r="U312"/>
      <c r="V312"/>
      <c r="W312" s="251"/>
      <c r="X312" s="251"/>
      <c r="Y312" s="251"/>
      <c r="Z312" s="251"/>
      <c r="AA312" s="251"/>
      <c r="AB312" s="251"/>
      <c r="AC312" t="s">
        <v>58</v>
      </c>
    </row>
    <row r="313" spans="1:29" ht="13.8" thickTop="1">
      <c r="D313" t="s">
        <v>62</v>
      </c>
      <c r="E313" t="s">
        <v>62</v>
      </c>
      <c r="F313" t="s">
        <v>62</v>
      </c>
      <c r="J313" t="s">
        <v>62</v>
      </c>
      <c r="L313" t="s">
        <v>62</v>
      </c>
      <c r="O313" t="s">
        <v>62</v>
      </c>
      <c r="Q313" t="s">
        <v>62</v>
      </c>
      <c r="R313" s="303"/>
      <c r="S313" s="303"/>
      <c r="U313"/>
      <c r="V313"/>
      <c r="AC313" t="s">
        <v>62</v>
      </c>
    </row>
    <row r="314" spans="1:29">
      <c r="D314" t="s">
        <v>59</v>
      </c>
      <c r="E314" t="s">
        <v>59</v>
      </c>
      <c r="F314" t="s">
        <v>59</v>
      </c>
      <c r="J314" t="s">
        <v>59</v>
      </c>
      <c r="L314" t="s">
        <v>59</v>
      </c>
      <c r="O314" t="s">
        <v>59</v>
      </c>
      <c r="Q314" t="s">
        <v>59</v>
      </c>
      <c r="R314" s="303"/>
      <c r="S314" s="303"/>
      <c r="U314"/>
      <c r="V314"/>
      <c r="AC314" t="s">
        <v>59</v>
      </c>
    </row>
    <row r="315" spans="1:29">
      <c r="R315" s="303"/>
      <c r="S315" s="303"/>
      <c r="U315"/>
      <c r="V315"/>
    </row>
    <row r="316" spans="1:29">
      <c r="R316" s="303"/>
      <c r="S316" s="303"/>
      <c r="U316"/>
      <c r="V316"/>
    </row>
    <row r="317" spans="1:29">
      <c r="A317" t="s">
        <v>314</v>
      </c>
      <c r="R317" s="303"/>
      <c r="S317" s="303"/>
      <c r="U317"/>
      <c r="V317"/>
    </row>
    <row r="318" spans="1:29" ht="13.8" thickBot="1">
      <c r="A318" t="s">
        <v>239</v>
      </c>
      <c r="B318" t="s">
        <v>231</v>
      </c>
      <c r="C318" t="s">
        <v>232</v>
      </c>
      <c r="D318" t="s">
        <v>233</v>
      </c>
      <c r="E318" t="s">
        <v>234</v>
      </c>
      <c r="F318" t="s">
        <v>235</v>
      </c>
      <c r="G318" t="s">
        <v>236</v>
      </c>
      <c r="H318" t="s">
        <v>237</v>
      </c>
      <c r="I318" t="s">
        <v>296</v>
      </c>
      <c r="J318" t="s">
        <v>297</v>
      </c>
      <c r="K318" t="s">
        <v>298</v>
      </c>
      <c r="L318" t="s">
        <v>299</v>
      </c>
      <c r="M318" t="s">
        <v>725</v>
      </c>
      <c r="N318" t="s">
        <v>300</v>
      </c>
      <c r="O318" t="s">
        <v>301</v>
      </c>
      <c r="P318" t="s">
        <v>302</v>
      </c>
      <c r="Q318" t="s">
        <v>303</v>
      </c>
      <c r="R318" s="303" t="s">
        <v>876</v>
      </c>
      <c r="S318" s="303" t="s">
        <v>877</v>
      </c>
      <c r="T318" s="303" t="s">
        <v>878</v>
      </c>
      <c r="U318" t="s">
        <v>843</v>
      </c>
      <c r="V318" t="s">
        <v>844</v>
      </c>
      <c r="W318" s="250" t="s">
        <v>845</v>
      </c>
      <c r="X318" s="251" t="s">
        <v>846</v>
      </c>
      <c r="Y318" s="251" t="s">
        <v>847</v>
      </c>
      <c r="Z318" s="251" t="s">
        <v>848</v>
      </c>
      <c r="AA318" s="251" t="s">
        <v>849</v>
      </c>
      <c r="AB318" s="251" t="s">
        <v>850</v>
      </c>
      <c r="AC318" s="251" t="s">
        <v>249</v>
      </c>
    </row>
    <row r="319" spans="1:29" ht="13.8" thickTop="1">
      <c r="A319" t="s">
        <v>64</v>
      </c>
      <c r="B319" t="s">
        <v>64</v>
      </c>
      <c r="C319" t="s">
        <v>64</v>
      </c>
      <c r="D319" t="s">
        <v>64</v>
      </c>
      <c r="E319" t="s">
        <v>64</v>
      </c>
      <c r="F319" t="s">
        <v>64</v>
      </c>
      <c r="G319" t="s">
        <v>64</v>
      </c>
      <c r="H319" t="s">
        <v>64</v>
      </c>
      <c r="I319" t="s">
        <v>64</v>
      </c>
      <c r="J319" t="s">
        <v>64</v>
      </c>
      <c r="K319" t="s">
        <v>64</v>
      </c>
      <c r="L319" t="s">
        <v>64</v>
      </c>
      <c r="M319" t="s">
        <v>64</v>
      </c>
      <c r="N319" t="s">
        <v>64</v>
      </c>
      <c r="O319" t="s">
        <v>64</v>
      </c>
      <c r="P319" t="s">
        <v>64</v>
      </c>
      <c r="Q319" t="s">
        <v>64</v>
      </c>
      <c r="R319" s="303" t="s">
        <v>64</v>
      </c>
      <c r="S319" s="303" t="s">
        <v>64</v>
      </c>
      <c r="T319" s="303" t="s">
        <v>64</v>
      </c>
      <c r="U319" t="s">
        <v>64</v>
      </c>
      <c r="V319" t="s">
        <v>64</v>
      </c>
      <c r="W319" t="s">
        <v>64</v>
      </c>
      <c r="X319" t="s">
        <v>64</v>
      </c>
      <c r="Y319" t="s">
        <v>64</v>
      </c>
      <c r="Z319" t="s">
        <v>64</v>
      </c>
      <c r="AA319" t="s">
        <v>64</v>
      </c>
      <c r="AB319" t="s">
        <v>64</v>
      </c>
      <c r="AC319" t="s">
        <v>64</v>
      </c>
    </row>
    <row r="320" spans="1:29">
      <c r="A320" t="s">
        <v>65</v>
      </c>
      <c r="B320" t="s">
        <v>65</v>
      </c>
      <c r="C320" t="s">
        <v>65</v>
      </c>
      <c r="D320" t="s">
        <v>65</v>
      </c>
      <c r="E320" t="s">
        <v>65</v>
      </c>
      <c r="F320" t="s">
        <v>65</v>
      </c>
      <c r="G320" t="s">
        <v>65</v>
      </c>
      <c r="H320" t="s">
        <v>65</v>
      </c>
      <c r="I320" t="s">
        <v>65</v>
      </c>
      <c r="J320" t="s">
        <v>65</v>
      </c>
      <c r="K320" t="s">
        <v>65</v>
      </c>
      <c r="L320" t="s">
        <v>65</v>
      </c>
      <c r="M320" t="s">
        <v>65</v>
      </c>
      <c r="N320" t="s">
        <v>65</v>
      </c>
      <c r="O320" t="s">
        <v>65</v>
      </c>
      <c r="P320" t="s">
        <v>65</v>
      </c>
      <c r="Q320" t="s">
        <v>65</v>
      </c>
      <c r="R320" s="303" t="s">
        <v>65</v>
      </c>
      <c r="S320" s="303" t="s">
        <v>65</v>
      </c>
      <c r="T320" s="303" t="s">
        <v>65</v>
      </c>
      <c r="U320" t="s">
        <v>65</v>
      </c>
      <c r="V320" t="s">
        <v>65</v>
      </c>
      <c r="W320" t="s">
        <v>65</v>
      </c>
      <c r="X320" t="s">
        <v>65</v>
      </c>
      <c r="Y320" t="s">
        <v>65</v>
      </c>
      <c r="Z320" t="s">
        <v>65</v>
      </c>
      <c r="AA320" t="s">
        <v>65</v>
      </c>
      <c r="AB320" t="s">
        <v>65</v>
      </c>
      <c r="AC320" t="s">
        <v>65</v>
      </c>
    </row>
    <row r="321" spans="1:29">
      <c r="A321" t="s">
        <v>545</v>
      </c>
      <c r="B321" t="s">
        <v>545</v>
      </c>
      <c r="C321" t="s">
        <v>545</v>
      </c>
      <c r="D321" t="s">
        <v>545</v>
      </c>
      <c r="E321" t="s">
        <v>545</v>
      </c>
      <c r="F321" t="s">
        <v>545</v>
      </c>
      <c r="G321" t="s">
        <v>545</v>
      </c>
      <c r="H321" t="s">
        <v>545</v>
      </c>
      <c r="I321" t="s">
        <v>545</v>
      </c>
      <c r="J321" t="s">
        <v>545</v>
      </c>
      <c r="K321" t="s">
        <v>545</v>
      </c>
      <c r="L321" t="s">
        <v>545</v>
      </c>
      <c r="M321" t="s">
        <v>545</v>
      </c>
      <c r="N321" t="s">
        <v>545</v>
      </c>
      <c r="O321" t="s">
        <v>545</v>
      </c>
      <c r="P321" t="s">
        <v>545</v>
      </c>
      <c r="Q321" t="s">
        <v>545</v>
      </c>
      <c r="R321" s="303" t="s">
        <v>545</v>
      </c>
      <c r="S321" s="303" t="s">
        <v>545</v>
      </c>
      <c r="T321" s="303" t="s">
        <v>545</v>
      </c>
      <c r="U321" t="s">
        <v>545</v>
      </c>
      <c r="V321" t="s">
        <v>545</v>
      </c>
      <c r="W321" t="s">
        <v>545</v>
      </c>
      <c r="X321" t="s">
        <v>545</v>
      </c>
      <c r="Y321" t="s">
        <v>545</v>
      </c>
      <c r="Z321" t="s">
        <v>545</v>
      </c>
      <c r="AA321" t="s">
        <v>545</v>
      </c>
      <c r="AB321" t="s">
        <v>545</v>
      </c>
      <c r="AC321" t="s">
        <v>545</v>
      </c>
    </row>
    <row r="322" spans="1:29">
      <c r="R322" s="303"/>
      <c r="S322" s="303"/>
      <c r="U322"/>
      <c r="V322"/>
    </row>
    <row r="323" spans="1:29">
      <c r="R323" s="303"/>
      <c r="S323" s="303"/>
      <c r="U323"/>
      <c r="V323"/>
    </row>
    <row r="324" spans="1:29">
      <c r="A324" t="s">
        <v>331</v>
      </c>
      <c r="R324" s="303"/>
      <c r="S324" s="303"/>
      <c r="U324"/>
      <c r="V324"/>
    </row>
    <row r="325" spans="1:29" ht="13.8" thickBot="1">
      <c r="A325" t="s">
        <v>239</v>
      </c>
      <c r="B325" t="s">
        <v>231</v>
      </c>
      <c r="C325" t="s">
        <v>232</v>
      </c>
      <c r="D325" t="s">
        <v>233</v>
      </c>
      <c r="E325" t="s">
        <v>234</v>
      </c>
      <c r="F325" t="s">
        <v>235</v>
      </c>
      <c r="G325" t="s">
        <v>236</v>
      </c>
      <c r="H325" t="s">
        <v>237</v>
      </c>
      <c r="I325" t="s">
        <v>296</v>
      </c>
      <c r="J325" t="s">
        <v>297</v>
      </c>
      <c r="K325" t="s">
        <v>298</v>
      </c>
      <c r="L325" t="s">
        <v>299</v>
      </c>
      <c r="M325" t="s">
        <v>725</v>
      </c>
      <c r="N325" t="s">
        <v>300</v>
      </c>
      <c r="O325" t="s">
        <v>301</v>
      </c>
      <c r="P325" t="s">
        <v>302</v>
      </c>
      <c r="Q325" t="s">
        <v>303</v>
      </c>
      <c r="R325" s="303" t="s">
        <v>876</v>
      </c>
      <c r="S325" s="303" t="s">
        <v>877</v>
      </c>
      <c r="T325" s="303" t="s">
        <v>878</v>
      </c>
      <c r="U325" t="s">
        <v>843</v>
      </c>
      <c r="V325" t="s">
        <v>844</v>
      </c>
      <c r="W325" s="251" t="s">
        <v>845</v>
      </c>
      <c r="X325" s="251" t="s">
        <v>846</v>
      </c>
      <c r="Y325" s="251" t="s">
        <v>847</v>
      </c>
      <c r="Z325" s="251" t="s">
        <v>848</v>
      </c>
      <c r="AA325" s="251" t="s">
        <v>849</v>
      </c>
      <c r="AB325" s="251" t="s">
        <v>850</v>
      </c>
      <c r="AC325" s="251" t="s">
        <v>249</v>
      </c>
    </row>
    <row r="326" spans="1:29" ht="13.8" thickTop="1">
      <c r="A326" t="s">
        <v>548</v>
      </c>
      <c r="B326" t="s">
        <v>548</v>
      </c>
      <c r="C326" t="s">
        <v>548</v>
      </c>
      <c r="D326" t="s">
        <v>548</v>
      </c>
      <c r="E326" t="s">
        <v>548</v>
      </c>
      <c r="F326" t="s">
        <v>548</v>
      </c>
      <c r="G326" t="s">
        <v>548</v>
      </c>
      <c r="H326" t="s">
        <v>548</v>
      </c>
      <c r="I326" t="s">
        <v>548</v>
      </c>
      <c r="J326" t="s">
        <v>548</v>
      </c>
      <c r="K326" t="s">
        <v>548</v>
      </c>
      <c r="L326" t="s">
        <v>548</v>
      </c>
      <c r="M326" t="s">
        <v>548</v>
      </c>
      <c r="N326" t="s">
        <v>548</v>
      </c>
      <c r="O326" t="s">
        <v>548</v>
      </c>
      <c r="P326" t="s">
        <v>548</v>
      </c>
      <c r="Q326" t="s">
        <v>548</v>
      </c>
      <c r="R326" s="303" t="s">
        <v>548</v>
      </c>
      <c r="S326" s="303" t="s">
        <v>548</v>
      </c>
      <c r="T326" s="303" t="s">
        <v>548</v>
      </c>
      <c r="U326" t="s">
        <v>548</v>
      </c>
      <c r="V326" t="s">
        <v>548</v>
      </c>
      <c r="W326" t="s">
        <v>548</v>
      </c>
      <c r="X326" t="s">
        <v>548</v>
      </c>
      <c r="Y326" t="s">
        <v>548</v>
      </c>
      <c r="Z326" t="s">
        <v>548</v>
      </c>
      <c r="AA326" t="s">
        <v>548</v>
      </c>
      <c r="AB326" t="s">
        <v>548</v>
      </c>
      <c r="AC326" t="s">
        <v>548</v>
      </c>
    </row>
    <row r="327" spans="1:29">
      <c r="A327" t="s">
        <v>544</v>
      </c>
      <c r="B327" t="s">
        <v>544</v>
      </c>
      <c r="C327" t="s">
        <v>544</v>
      </c>
      <c r="D327" t="s">
        <v>544</v>
      </c>
      <c r="E327" t="s">
        <v>544</v>
      </c>
      <c r="F327" t="s">
        <v>544</v>
      </c>
      <c r="G327" t="s">
        <v>544</v>
      </c>
      <c r="H327" t="s">
        <v>544</v>
      </c>
      <c r="I327" t="s">
        <v>544</v>
      </c>
      <c r="J327" t="s">
        <v>544</v>
      </c>
      <c r="K327" t="s">
        <v>544</v>
      </c>
      <c r="L327" t="s">
        <v>544</v>
      </c>
      <c r="M327" t="s">
        <v>544</v>
      </c>
      <c r="N327" t="s">
        <v>544</v>
      </c>
      <c r="O327" t="s">
        <v>544</v>
      </c>
      <c r="P327" t="s">
        <v>544</v>
      </c>
      <c r="Q327" t="s">
        <v>544</v>
      </c>
      <c r="R327" s="303" t="s">
        <v>544</v>
      </c>
      <c r="S327" s="303" t="s">
        <v>544</v>
      </c>
      <c r="T327" s="303" t="s">
        <v>544</v>
      </c>
      <c r="U327" t="s">
        <v>544</v>
      </c>
      <c r="V327" t="s">
        <v>544</v>
      </c>
      <c r="W327" t="s">
        <v>544</v>
      </c>
      <c r="X327" t="s">
        <v>544</v>
      </c>
      <c r="Y327" t="s">
        <v>544</v>
      </c>
      <c r="Z327" t="s">
        <v>544</v>
      </c>
      <c r="AA327" t="s">
        <v>544</v>
      </c>
      <c r="AB327" t="s">
        <v>544</v>
      </c>
      <c r="AC327" t="s">
        <v>544</v>
      </c>
    </row>
    <row r="328" spans="1:29">
      <c r="A328" t="s">
        <v>320</v>
      </c>
      <c r="B328" t="s">
        <v>320</v>
      </c>
      <c r="C328" t="s">
        <v>320</v>
      </c>
      <c r="D328" t="s">
        <v>320</v>
      </c>
      <c r="E328" t="s">
        <v>320</v>
      </c>
      <c r="F328" t="s">
        <v>320</v>
      </c>
      <c r="G328" t="s">
        <v>320</v>
      </c>
      <c r="H328" t="s">
        <v>320</v>
      </c>
      <c r="I328" t="s">
        <v>320</v>
      </c>
      <c r="J328" t="s">
        <v>320</v>
      </c>
      <c r="K328" t="s">
        <v>320</v>
      </c>
      <c r="L328" t="s">
        <v>320</v>
      </c>
      <c r="M328" t="s">
        <v>320</v>
      </c>
      <c r="N328" t="s">
        <v>320</v>
      </c>
      <c r="O328" t="s">
        <v>320</v>
      </c>
      <c r="P328" t="s">
        <v>320</v>
      </c>
      <c r="Q328" t="s">
        <v>320</v>
      </c>
      <c r="R328" s="303" t="s">
        <v>320</v>
      </c>
      <c r="S328" s="303" t="s">
        <v>320</v>
      </c>
      <c r="T328" s="303" t="s">
        <v>320</v>
      </c>
      <c r="U328" t="s">
        <v>320</v>
      </c>
      <c r="V328" t="s">
        <v>320</v>
      </c>
      <c r="W328" t="s">
        <v>320</v>
      </c>
      <c r="X328" t="s">
        <v>320</v>
      </c>
      <c r="Y328" t="s">
        <v>320</v>
      </c>
      <c r="Z328" t="s">
        <v>320</v>
      </c>
      <c r="AA328" t="s">
        <v>320</v>
      </c>
      <c r="AB328" t="s">
        <v>320</v>
      </c>
      <c r="AC328" t="s">
        <v>320</v>
      </c>
    </row>
    <row r="329" spans="1:29">
      <c r="A329" t="s">
        <v>334</v>
      </c>
      <c r="B329" t="s">
        <v>334</v>
      </c>
      <c r="C329" t="s">
        <v>334</v>
      </c>
      <c r="D329" t="s">
        <v>334</v>
      </c>
      <c r="E329" t="s">
        <v>334</v>
      </c>
      <c r="F329" t="s">
        <v>334</v>
      </c>
      <c r="G329" t="s">
        <v>334</v>
      </c>
      <c r="H329" t="s">
        <v>334</v>
      </c>
      <c r="I329" t="s">
        <v>334</v>
      </c>
      <c r="J329" t="s">
        <v>334</v>
      </c>
      <c r="K329" t="s">
        <v>334</v>
      </c>
      <c r="L329" t="s">
        <v>334</v>
      </c>
      <c r="M329" t="s">
        <v>334</v>
      </c>
      <c r="N329" t="s">
        <v>334</v>
      </c>
      <c r="O329" t="s">
        <v>334</v>
      </c>
      <c r="P329" t="s">
        <v>334</v>
      </c>
      <c r="Q329" t="s">
        <v>334</v>
      </c>
      <c r="R329" s="303" t="s">
        <v>334</v>
      </c>
      <c r="S329" s="303" t="s">
        <v>334</v>
      </c>
      <c r="T329" s="303" t="s">
        <v>334</v>
      </c>
      <c r="U329" t="s">
        <v>334</v>
      </c>
      <c r="V329" t="s">
        <v>334</v>
      </c>
      <c r="W329" t="s">
        <v>334</v>
      </c>
      <c r="X329" t="s">
        <v>334</v>
      </c>
      <c r="Y329" t="s">
        <v>334</v>
      </c>
      <c r="Z329" t="s">
        <v>334</v>
      </c>
      <c r="AA329" t="s">
        <v>334</v>
      </c>
      <c r="AB329" t="s">
        <v>334</v>
      </c>
      <c r="AC329" t="s">
        <v>334</v>
      </c>
    </row>
    <row r="330" spans="1:29">
      <c r="A330" t="s">
        <v>324</v>
      </c>
      <c r="B330" t="s">
        <v>324</v>
      </c>
      <c r="C330" t="s">
        <v>324</v>
      </c>
      <c r="D330" t="s">
        <v>324</v>
      </c>
      <c r="E330" t="s">
        <v>324</v>
      </c>
      <c r="F330" t="s">
        <v>324</v>
      </c>
      <c r="G330" t="s">
        <v>324</v>
      </c>
      <c r="H330" t="s">
        <v>324</v>
      </c>
      <c r="I330" t="s">
        <v>324</v>
      </c>
      <c r="J330" t="s">
        <v>324</v>
      </c>
      <c r="K330" t="s">
        <v>324</v>
      </c>
      <c r="L330" t="s">
        <v>324</v>
      </c>
      <c r="M330" t="s">
        <v>324</v>
      </c>
      <c r="N330" t="s">
        <v>324</v>
      </c>
      <c r="O330" t="s">
        <v>324</v>
      </c>
      <c r="P330" t="s">
        <v>324</v>
      </c>
      <c r="Q330" t="s">
        <v>324</v>
      </c>
      <c r="R330" s="303" t="s">
        <v>324</v>
      </c>
      <c r="S330" s="303" t="s">
        <v>324</v>
      </c>
      <c r="T330" s="303" t="s">
        <v>324</v>
      </c>
      <c r="U330" t="s">
        <v>324</v>
      </c>
      <c r="V330" t="s">
        <v>324</v>
      </c>
      <c r="W330" t="s">
        <v>324</v>
      </c>
      <c r="X330" t="s">
        <v>324</v>
      </c>
      <c r="Y330" t="s">
        <v>324</v>
      </c>
      <c r="Z330" t="s">
        <v>324</v>
      </c>
      <c r="AA330" t="s">
        <v>324</v>
      </c>
      <c r="AB330" t="s">
        <v>324</v>
      </c>
      <c r="AC330" t="s">
        <v>324</v>
      </c>
    </row>
    <row r="331" spans="1:29">
      <c r="R331" s="303"/>
      <c r="S331" s="303"/>
      <c r="U331"/>
      <c r="V331"/>
    </row>
    <row r="332" spans="1:29">
      <c r="A332" t="s">
        <v>549</v>
      </c>
      <c r="R332" s="303"/>
      <c r="S332" s="303"/>
      <c r="U332"/>
      <c r="V332"/>
    </row>
    <row r="333" spans="1:29" ht="13.8" thickBot="1">
      <c r="A333" t="s">
        <v>239</v>
      </c>
      <c r="B333" t="s">
        <v>231</v>
      </c>
      <c r="C333" t="s">
        <v>232</v>
      </c>
      <c r="D333" t="s">
        <v>233</v>
      </c>
      <c r="E333" t="s">
        <v>234</v>
      </c>
      <c r="F333" t="s">
        <v>235</v>
      </c>
      <c r="G333" t="s">
        <v>236</v>
      </c>
      <c r="H333" t="s">
        <v>237</v>
      </c>
      <c r="I333" t="s">
        <v>296</v>
      </c>
      <c r="J333" t="s">
        <v>297</v>
      </c>
      <c r="K333" t="s">
        <v>298</v>
      </c>
      <c r="L333" t="s">
        <v>299</v>
      </c>
      <c r="M333" t="s">
        <v>725</v>
      </c>
      <c r="N333" t="s">
        <v>300</v>
      </c>
      <c r="O333" t="s">
        <v>301</v>
      </c>
      <c r="P333" t="s">
        <v>302</v>
      </c>
      <c r="Q333" t="s">
        <v>303</v>
      </c>
      <c r="R333" s="303" t="s">
        <v>876</v>
      </c>
      <c r="S333" s="303" t="s">
        <v>877</v>
      </c>
      <c r="T333" s="303" t="s">
        <v>878</v>
      </c>
      <c r="U333" t="s">
        <v>843</v>
      </c>
      <c r="V333" t="s">
        <v>844</v>
      </c>
      <c r="W333" s="250" t="s">
        <v>845</v>
      </c>
      <c r="X333" s="251" t="s">
        <v>846</v>
      </c>
      <c r="Y333" s="251" t="s">
        <v>847</v>
      </c>
      <c r="Z333" s="251" t="s">
        <v>848</v>
      </c>
      <c r="AA333" s="251" t="s">
        <v>849</v>
      </c>
      <c r="AB333" s="251" t="s">
        <v>850</v>
      </c>
      <c r="AC333" s="251" t="s">
        <v>249</v>
      </c>
    </row>
    <row r="334" spans="1:29" ht="13.8" thickTop="1">
      <c r="A334" t="s">
        <v>64</v>
      </c>
      <c r="B334" t="s">
        <v>64</v>
      </c>
      <c r="C334" t="s">
        <v>64</v>
      </c>
      <c r="D334" t="s">
        <v>64</v>
      </c>
      <c r="E334" t="s">
        <v>64</v>
      </c>
      <c r="F334" t="s">
        <v>64</v>
      </c>
      <c r="G334" t="s">
        <v>64</v>
      </c>
      <c r="H334" t="s">
        <v>64</v>
      </c>
      <c r="I334" t="s">
        <v>64</v>
      </c>
      <c r="J334" t="s">
        <v>64</v>
      </c>
      <c r="K334" t="s">
        <v>64</v>
      </c>
      <c r="L334" t="s">
        <v>64</v>
      </c>
      <c r="M334" t="s">
        <v>64</v>
      </c>
      <c r="N334" t="s">
        <v>64</v>
      </c>
      <c r="O334" t="s">
        <v>64</v>
      </c>
      <c r="P334" t="s">
        <v>64</v>
      </c>
      <c r="Q334" t="s">
        <v>64</v>
      </c>
      <c r="R334" s="303" t="s">
        <v>64</v>
      </c>
      <c r="S334" s="303" t="s">
        <v>64</v>
      </c>
      <c r="T334" s="303" t="s">
        <v>64</v>
      </c>
      <c r="U334" t="s">
        <v>64</v>
      </c>
      <c r="V334" t="s">
        <v>64</v>
      </c>
      <c r="W334" t="s">
        <v>64</v>
      </c>
      <c r="X334" t="s">
        <v>64</v>
      </c>
      <c r="Y334" t="s">
        <v>64</v>
      </c>
      <c r="Z334" t="s">
        <v>64</v>
      </c>
      <c r="AA334" t="s">
        <v>64</v>
      </c>
      <c r="AB334" t="s">
        <v>64</v>
      </c>
      <c r="AC334" t="s">
        <v>64</v>
      </c>
    </row>
    <row r="335" spans="1:29">
      <c r="A335" t="s">
        <v>65</v>
      </c>
      <c r="B335" t="s">
        <v>65</v>
      </c>
      <c r="C335" t="s">
        <v>65</v>
      </c>
      <c r="D335" t="s">
        <v>65</v>
      </c>
      <c r="E335" t="s">
        <v>65</v>
      </c>
      <c r="F335" t="s">
        <v>65</v>
      </c>
      <c r="G335" t="s">
        <v>65</v>
      </c>
      <c r="H335" t="s">
        <v>65</v>
      </c>
      <c r="I335" t="s">
        <v>65</v>
      </c>
      <c r="J335" t="s">
        <v>65</v>
      </c>
      <c r="K335" t="s">
        <v>65</v>
      </c>
      <c r="L335" t="s">
        <v>65</v>
      </c>
      <c r="M335" t="s">
        <v>65</v>
      </c>
      <c r="N335" t="s">
        <v>65</v>
      </c>
      <c r="O335" t="s">
        <v>65</v>
      </c>
      <c r="P335" t="s">
        <v>65</v>
      </c>
      <c r="Q335" t="s">
        <v>65</v>
      </c>
      <c r="R335" s="303" t="s">
        <v>65</v>
      </c>
      <c r="S335" s="303" t="s">
        <v>65</v>
      </c>
      <c r="T335" s="303" t="s">
        <v>65</v>
      </c>
      <c r="U335" t="s">
        <v>65</v>
      </c>
      <c r="V335" t="s">
        <v>65</v>
      </c>
      <c r="W335" t="s">
        <v>65</v>
      </c>
      <c r="X335" t="s">
        <v>65</v>
      </c>
      <c r="Y335" t="s">
        <v>65</v>
      </c>
      <c r="Z335" t="s">
        <v>65</v>
      </c>
      <c r="AA335" t="s">
        <v>65</v>
      </c>
      <c r="AB335" t="s">
        <v>65</v>
      </c>
      <c r="AC335" t="s">
        <v>65</v>
      </c>
    </row>
    <row r="336" spans="1:29">
      <c r="R336" s="303"/>
      <c r="S336" s="303"/>
      <c r="U336"/>
      <c r="V336"/>
    </row>
    <row r="337" spans="1:29">
      <c r="A337" t="s">
        <v>550</v>
      </c>
      <c r="R337" s="303"/>
      <c r="S337" s="303"/>
      <c r="U337"/>
      <c r="V337"/>
    </row>
    <row r="338" spans="1:29" ht="13.8" thickBot="1">
      <c r="A338" t="s">
        <v>239</v>
      </c>
      <c r="B338" t="s">
        <v>231</v>
      </c>
      <c r="C338" t="s">
        <v>232</v>
      </c>
      <c r="D338" t="s">
        <v>233</v>
      </c>
      <c r="E338" t="s">
        <v>234</v>
      </c>
      <c r="F338" t="s">
        <v>235</v>
      </c>
      <c r="G338" t="s">
        <v>236</v>
      </c>
      <c r="H338" t="s">
        <v>237</v>
      </c>
      <c r="I338" t="s">
        <v>296</v>
      </c>
      <c r="J338" t="s">
        <v>297</v>
      </c>
      <c r="K338" t="s">
        <v>298</v>
      </c>
      <c r="L338" t="s">
        <v>299</v>
      </c>
      <c r="M338" t="s">
        <v>725</v>
      </c>
      <c r="N338" t="s">
        <v>300</v>
      </c>
      <c r="O338" t="s">
        <v>301</v>
      </c>
      <c r="P338" t="s">
        <v>302</v>
      </c>
      <c r="Q338" t="s">
        <v>303</v>
      </c>
      <c r="R338" s="303" t="s">
        <v>876</v>
      </c>
      <c r="S338" s="303" t="s">
        <v>877</v>
      </c>
      <c r="T338" s="303" t="s">
        <v>878</v>
      </c>
      <c r="U338" t="s">
        <v>843</v>
      </c>
      <c r="V338" t="s">
        <v>844</v>
      </c>
      <c r="W338" s="250" t="s">
        <v>845</v>
      </c>
      <c r="X338" s="251" t="s">
        <v>846</v>
      </c>
      <c r="Y338" s="251" t="s">
        <v>847</v>
      </c>
      <c r="Z338" s="251" t="s">
        <v>848</v>
      </c>
      <c r="AA338" s="251" t="s">
        <v>849</v>
      </c>
      <c r="AB338" s="251" t="s">
        <v>850</v>
      </c>
      <c r="AC338" s="251" t="s">
        <v>249</v>
      </c>
    </row>
    <row r="339" spans="1:29" ht="13.8" thickTop="1">
      <c r="A339" t="s">
        <v>64</v>
      </c>
      <c r="B339" t="s">
        <v>64</v>
      </c>
      <c r="C339" t="s">
        <v>64</v>
      </c>
      <c r="D339" t="s">
        <v>64</v>
      </c>
      <c r="E339" t="s">
        <v>64</v>
      </c>
      <c r="F339" t="s">
        <v>64</v>
      </c>
      <c r="G339" t="s">
        <v>64</v>
      </c>
      <c r="H339" t="s">
        <v>64</v>
      </c>
      <c r="I339" t="s">
        <v>64</v>
      </c>
      <c r="J339" t="s">
        <v>64</v>
      </c>
      <c r="K339" t="s">
        <v>64</v>
      </c>
      <c r="L339" t="s">
        <v>64</v>
      </c>
      <c r="M339" t="s">
        <v>64</v>
      </c>
      <c r="N339" t="s">
        <v>64</v>
      </c>
      <c r="O339" t="s">
        <v>64</v>
      </c>
      <c r="P339" t="s">
        <v>64</v>
      </c>
      <c r="Q339" t="s">
        <v>64</v>
      </c>
      <c r="R339" s="303" t="s">
        <v>64</v>
      </c>
      <c r="S339" s="303" t="s">
        <v>64</v>
      </c>
      <c r="T339" s="303" t="s">
        <v>64</v>
      </c>
      <c r="U339" t="s">
        <v>64</v>
      </c>
      <c r="V339" t="s">
        <v>64</v>
      </c>
      <c r="W339" t="s">
        <v>64</v>
      </c>
      <c r="X339" t="s">
        <v>64</v>
      </c>
      <c r="Y339" t="s">
        <v>64</v>
      </c>
      <c r="Z339" t="s">
        <v>64</v>
      </c>
      <c r="AA339" t="s">
        <v>64</v>
      </c>
      <c r="AB339" t="s">
        <v>64</v>
      </c>
      <c r="AC339" t="s">
        <v>64</v>
      </c>
    </row>
    <row r="340" spans="1:29">
      <c r="A340" t="s">
        <v>65</v>
      </c>
      <c r="B340" t="s">
        <v>65</v>
      </c>
      <c r="C340" t="s">
        <v>65</v>
      </c>
      <c r="D340" t="s">
        <v>65</v>
      </c>
      <c r="E340" t="s">
        <v>65</v>
      </c>
      <c r="F340" t="s">
        <v>65</v>
      </c>
      <c r="G340" t="s">
        <v>65</v>
      </c>
      <c r="H340" t="s">
        <v>65</v>
      </c>
      <c r="I340" t="s">
        <v>65</v>
      </c>
      <c r="J340" t="s">
        <v>65</v>
      </c>
      <c r="K340" t="s">
        <v>65</v>
      </c>
      <c r="L340" t="s">
        <v>65</v>
      </c>
      <c r="M340" t="s">
        <v>65</v>
      </c>
      <c r="N340" t="s">
        <v>65</v>
      </c>
      <c r="O340" t="s">
        <v>65</v>
      </c>
      <c r="P340" t="s">
        <v>65</v>
      </c>
      <c r="Q340" t="s">
        <v>65</v>
      </c>
      <c r="R340" s="303" t="s">
        <v>65</v>
      </c>
      <c r="S340" s="303" t="s">
        <v>65</v>
      </c>
      <c r="T340" s="303" t="s">
        <v>65</v>
      </c>
      <c r="U340" t="s">
        <v>65</v>
      </c>
      <c r="V340" t="s">
        <v>65</v>
      </c>
      <c r="W340" t="s">
        <v>65</v>
      </c>
      <c r="X340" t="s">
        <v>65</v>
      </c>
      <c r="Y340" t="s">
        <v>65</v>
      </c>
      <c r="Z340" t="s">
        <v>65</v>
      </c>
      <c r="AA340" t="s">
        <v>65</v>
      </c>
      <c r="AB340" t="s">
        <v>65</v>
      </c>
      <c r="AC340" t="s">
        <v>65</v>
      </c>
    </row>
    <row r="341" spans="1:29">
      <c r="R341" s="303"/>
      <c r="S341" s="303"/>
      <c r="U341"/>
      <c r="V341"/>
    </row>
    <row r="342" spans="1:29">
      <c r="A342" t="s">
        <v>552</v>
      </c>
      <c r="R342" s="303"/>
      <c r="S342" s="303"/>
      <c r="U342"/>
      <c r="V342"/>
    </row>
    <row r="343" spans="1:29" ht="13.8" thickBot="1">
      <c r="A343" t="s">
        <v>239</v>
      </c>
      <c r="B343" t="s">
        <v>231</v>
      </c>
      <c r="C343" t="s">
        <v>232</v>
      </c>
      <c r="D343" t="s">
        <v>233</v>
      </c>
      <c r="E343" t="s">
        <v>234</v>
      </c>
      <c r="F343" t="s">
        <v>235</v>
      </c>
      <c r="G343" t="s">
        <v>236</v>
      </c>
      <c r="H343" t="s">
        <v>237</v>
      </c>
      <c r="I343" t="s">
        <v>296</v>
      </c>
      <c r="J343" t="s">
        <v>297</v>
      </c>
      <c r="K343" t="s">
        <v>298</v>
      </c>
      <c r="L343" t="s">
        <v>299</v>
      </c>
      <c r="M343" t="s">
        <v>725</v>
      </c>
      <c r="N343" t="s">
        <v>300</v>
      </c>
      <c r="O343" t="s">
        <v>301</v>
      </c>
      <c r="P343" t="s">
        <v>302</v>
      </c>
      <c r="Q343" t="s">
        <v>303</v>
      </c>
      <c r="R343" s="303" t="s">
        <v>876</v>
      </c>
      <c r="S343" s="303" t="s">
        <v>877</v>
      </c>
      <c r="T343" s="303" t="s">
        <v>878</v>
      </c>
      <c r="U343" t="s">
        <v>843</v>
      </c>
      <c r="V343" t="s">
        <v>844</v>
      </c>
      <c r="W343" s="251" t="s">
        <v>845</v>
      </c>
      <c r="X343" s="251" t="s">
        <v>846</v>
      </c>
      <c r="Y343" s="251" t="s">
        <v>847</v>
      </c>
      <c r="Z343" s="251" t="s">
        <v>848</v>
      </c>
      <c r="AA343" s="251" t="s">
        <v>849</v>
      </c>
      <c r="AB343" s="251" t="s">
        <v>850</v>
      </c>
      <c r="AC343" s="251" t="s">
        <v>249</v>
      </c>
    </row>
    <row r="344" spans="1:29" ht="13.8" thickTop="1">
      <c r="A344" t="s">
        <v>65</v>
      </c>
      <c r="B344" t="s">
        <v>65</v>
      </c>
      <c r="C344" t="s">
        <v>65</v>
      </c>
      <c r="D344" t="s">
        <v>65</v>
      </c>
      <c r="E344" t="s">
        <v>65</v>
      </c>
      <c r="F344" t="s">
        <v>65</v>
      </c>
      <c r="G344" t="s">
        <v>65</v>
      </c>
      <c r="H344" t="s">
        <v>65</v>
      </c>
      <c r="I344" t="s">
        <v>65</v>
      </c>
      <c r="J344" t="s">
        <v>65</v>
      </c>
      <c r="K344" t="s">
        <v>65</v>
      </c>
      <c r="L344" t="s">
        <v>65</v>
      </c>
      <c r="M344" t="s">
        <v>65</v>
      </c>
      <c r="N344" t="s">
        <v>65</v>
      </c>
      <c r="O344" t="s">
        <v>65</v>
      </c>
      <c r="P344" t="s">
        <v>65</v>
      </c>
      <c r="Q344" t="s">
        <v>65</v>
      </c>
      <c r="R344" s="303" t="s">
        <v>65</v>
      </c>
      <c r="S344" s="303" t="s">
        <v>65</v>
      </c>
      <c r="T344" s="303" t="s">
        <v>65</v>
      </c>
      <c r="U344" t="s">
        <v>65</v>
      </c>
      <c r="V344" t="s">
        <v>65</v>
      </c>
      <c r="W344" t="s">
        <v>65</v>
      </c>
      <c r="X344" t="s">
        <v>65</v>
      </c>
      <c r="Y344" t="s">
        <v>65</v>
      </c>
      <c r="Z344" t="s">
        <v>65</v>
      </c>
      <c r="AA344" t="s">
        <v>65</v>
      </c>
      <c r="AB344" t="s">
        <v>65</v>
      </c>
      <c r="AC344" t="s">
        <v>65</v>
      </c>
    </row>
    <row r="345" spans="1:29">
      <c r="A345" t="s">
        <v>553</v>
      </c>
      <c r="B345" t="s">
        <v>553</v>
      </c>
      <c r="C345" t="s">
        <v>553</v>
      </c>
      <c r="D345" t="s">
        <v>553</v>
      </c>
      <c r="E345" t="s">
        <v>553</v>
      </c>
      <c r="F345" t="s">
        <v>553</v>
      </c>
      <c r="G345" t="s">
        <v>553</v>
      </c>
      <c r="H345" t="s">
        <v>553</v>
      </c>
      <c r="I345" t="s">
        <v>553</v>
      </c>
      <c r="J345" t="s">
        <v>553</v>
      </c>
      <c r="K345" t="s">
        <v>553</v>
      </c>
      <c r="L345" t="s">
        <v>553</v>
      </c>
      <c r="M345" t="s">
        <v>553</v>
      </c>
      <c r="N345" t="s">
        <v>553</v>
      </c>
      <c r="O345" t="s">
        <v>553</v>
      </c>
      <c r="P345" t="s">
        <v>553</v>
      </c>
      <c r="Q345" t="s">
        <v>553</v>
      </c>
      <c r="R345" s="303" t="s">
        <v>553</v>
      </c>
      <c r="S345" s="303" t="s">
        <v>553</v>
      </c>
      <c r="T345" s="303" t="s">
        <v>553</v>
      </c>
      <c r="U345" t="s">
        <v>553</v>
      </c>
      <c r="V345" t="s">
        <v>553</v>
      </c>
      <c r="W345" t="s">
        <v>553</v>
      </c>
      <c r="X345" t="s">
        <v>553</v>
      </c>
      <c r="Y345" t="s">
        <v>553</v>
      </c>
      <c r="Z345" t="s">
        <v>553</v>
      </c>
      <c r="AA345" t="s">
        <v>553</v>
      </c>
      <c r="AB345" t="s">
        <v>553</v>
      </c>
      <c r="AC345" t="s">
        <v>553</v>
      </c>
    </row>
    <row r="346" spans="1:29">
      <c r="A346" t="s">
        <v>554</v>
      </c>
      <c r="B346" t="s">
        <v>554</v>
      </c>
      <c r="C346" t="s">
        <v>554</v>
      </c>
      <c r="D346" t="s">
        <v>554</v>
      </c>
      <c r="E346" t="s">
        <v>554</v>
      </c>
      <c r="F346" t="s">
        <v>554</v>
      </c>
      <c r="G346" t="s">
        <v>554</v>
      </c>
      <c r="H346" t="s">
        <v>554</v>
      </c>
      <c r="I346" t="s">
        <v>554</v>
      </c>
      <c r="J346" t="s">
        <v>554</v>
      </c>
      <c r="K346" t="s">
        <v>554</v>
      </c>
      <c r="L346" t="s">
        <v>554</v>
      </c>
      <c r="M346" t="s">
        <v>554</v>
      </c>
      <c r="N346" t="s">
        <v>554</v>
      </c>
      <c r="O346" t="s">
        <v>554</v>
      </c>
      <c r="P346" t="s">
        <v>554</v>
      </c>
      <c r="Q346" t="s">
        <v>554</v>
      </c>
      <c r="R346" s="303" t="s">
        <v>554</v>
      </c>
      <c r="S346" s="303" t="s">
        <v>554</v>
      </c>
      <c r="T346" s="303" t="s">
        <v>554</v>
      </c>
      <c r="U346" t="s">
        <v>554</v>
      </c>
      <c r="V346" t="s">
        <v>554</v>
      </c>
      <c r="W346" t="s">
        <v>554</v>
      </c>
      <c r="X346" t="s">
        <v>554</v>
      </c>
      <c r="Y346" t="s">
        <v>554</v>
      </c>
      <c r="Z346" t="s">
        <v>554</v>
      </c>
      <c r="AA346" t="s">
        <v>554</v>
      </c>
      <c r="AB346" t="s">
        <v>554</v>
      </c>
      <c r="AC346" t="s">
        <v>554</v>
      </c>
    </row>
    <row r="347" spans="1:29">
      <c r="A347" t="s">
        <v>555</v>
      </c>
      <c r="B347" t="s">
        <v>555</v>
      </c>
      <c r="C347" t="s">
        <v>555</v>
      </c>
      <c r="D347" t="s">
        <v>555</v>
      </c>
      <c r="E347" t="s">
        <v>555</v>
      </c>
      <c r="F347" t="s">
        <v>555</v>
      </c>
      <c r="G347" t="s">
        <v>555</v>
      </c>
      <c r="H347" t="s">
        <v>555</v>
      </c>
      <c r="I347" t="s">
        <v>555</v>
      </c>
      <c r="J347" t="s">
        <v>555</v>
      </c>
      <c r="K347" t="s">
        <v>555</v>
      </c>
      <c r="L347" t="s">
        <v>555</v>
      </c>
      <c r="M347" t="s">
        <v>555</v>
      </c>
      <c r="N347" t="s">
        <v>555</v>
      </c>
      <c r="O347" t="s">
        <v>555</v>
      </c>
      <c r="P347" t="s">
        <v>555</v>
      </c>
      <c r="Q347" t="s">
        <v>555</v>
      </c>
      <c r="R347" s="303" t="s">
        <v>555</v>
      </c>
      <c r="S347" s="303" t="s">
        <v>555</v>
      </c>
      <c r="T347" s="303" t="s">
        <v>555</v>
      </c>
      <c r="U347" t="s">
        <v>555</v>
      </c>
      <c r="V347" t="s">
        <v>555</v>
      </c>
      <c r="W347" t="s">
        <v>555</v>
      </c>
      <c r="X347" t="s">
        <v>555</v>
      </c>
      <c r="Y347" t="s">
        <v>555</v>
      </c>
      <c r="Z347" t="s">
        <v>555</v>
      </c>
      <c r="AA347" t="s">
        <v>555</v>
      </c>
      <c r="AB347" t="s">
        <v>555</v>
      </c>
      <c r="AC347" t="s">
        <v>555</v>
      </c>
    </row>
    <row r="348" spans="1:29">
      <c r="R348" s="303"/>
      <c r="S348" s="303"/>
      <c r="U348"/>
      <c r="V348"/>
    </row>
    <row r="349" spans="1:29">
      <c r="R349" s="303"/>
      <c r="S349" s="303"/>
      <c r="U349"/>
      <c r="V349"/>
    </row>
    <row r="350" spans="1:29">
      <c r="R350" s="303"/>
      <c r="S350" s="303"/>
      <c r="U350"/>
      <c r="V350"/>
    </row>
    <row r="351" spans="1:29">
      <c r="R351" s="303"/>
      <c r="S351" s="303"/>
      <c r="U351"/>
      <c r="V351"/>
    </row>
    <row r="352" spans="1:29">
      <c r="R352" s="303"/>
      <c r="S352" s="303"/>
      <c r="U352"/>
      <c r="V352"/>
    </row>
    <row r="353" spans="1:29">
      <c r="R353" s="303"/>
      <c r="S353" s="303"/>
      <c r="U353"/>
      <c r="V353"/>
    </row>
    <row r="354" spans="1:29">
      <c r="A354" t="s">
        <v>315</v>
      </c>
      <c r="R354" s="303"/>
      <c r="S354" s="303"/>
      <c r="U354"/>
      <c r="V354"/>
    </row>
    <row r="355" spans="1:29" ht="13.8" thickBot="1">
      <c r="A355" t="s">
        <v>239</v>
      </c>
      <c r="B355" t="s">
        <v>231</v>
      </c>
      <c r="C355" t="s">
        <v>232</v>
      </c>
      <c r="D355" t="s">
        <v>233</v>
      </c>
      <c r="E355" t="s">
        <v>234</v>
      </c>
      <c r="F355" t="s">
        <v>235</v>
      </c>
      <c r="G355" t="s">
        <v>236</v>
      </c>
      <c r="H355" t="s">
        <v>237</v>
      </c>
      <c r="I355" t="s">
        <v>296</v>
      </c>
      <c r="J355" t="s">
        <v>297</v>
      </c>
      <c r="K355" t="s">
        <v>298</v>
      </c>
      <c r="L355" t="s">
        <v>299</v>
      </c>
      <c r="M355" t="s">
        <v>725</v>
      </c>
      <c r="N355" t="s">
        <v>300</v>
      </c>
      <c r="O355" t="s">
        <v>301</v>
      </c>
      <c r="P355" t="s">
        <v>302</v>
      </c>
      <c r="Q355" t="s">
        <v>303</v>
      </c>
      <c r="R355" s="303" t="s">
        <v>876</v>
      </c>
      <c r="S355" s="303" t="s">
        <v>877</v>
      </c>
      <c r="T355" s="303" t="s">
        <v>878</v>
      </c>
      <c r="U355" t="s">
        <v>843</v>
      </c>
      <c r="V355" t="s">
        <v>844</v>
      </c>
      <c r="W355" s="251" t="s">
        <v>845</v>
      </c>
      <c r="X355" s="251" t="s">
        <v>846</v>
      </c>
      <c r="Y355" s="251" t="s">
        <v>847</v>
      </c>
      <c r="Z355" s="251" t="s">
        <v>848</v>
      </c>
      <c r="AA355" s="251" t="s">
        <v>849</v>
      </c>
      <c r="AB355" s="251" t="s">
        <v>850</v>
      </c>
      <c r="AC355" s="251" t="s">
        <v>249</v>
      </c>
    </row>
    <row r="356" spans="1:29" ht="13.8" thickTop="1">
      <c r="A356" t="s">
        <v>316</v>
      </c>
      <c r="B356" t="s">
        <v>316</v>
      </c>
      <c r="C356" t="s">
        <v>316</v>
      </c>
      <c r="D356" t="s">
        <v>316</v>
      </c>
      <c r="E356" t="s">
        <v>316</v>
      </c>
      <c r="F356" t="s">
        <v>316</v>
      </c>
      <c r="G356" t="s">
        <v>316</v>
      </c>
      <c r="H356" t="s">
        <v>316</v>
      </c>
      <c r="I356" t="s">
        <v>316</v>
      </c>
      <c r="J356" t="s">
        <v>316</v>
      </c>
      <c r="K356" t="s">
        <v>316</v>
      </c>
      <c r="L356" t="s">
        <v>316</v>
      </c>
      <c r="M356" t="s">
        <v>316</v>
      </c>
      <c r="N356" t="s">
        <v>316</v>
      </c>
      <c r="O356" t="s">
        <v>316</v>
      </c>
      <c r="P356" t="s">
        <v>316</v>
      </c>
      <c r="Q356" t="s">
        <v>316</v>
      </c>
      <c r="R356" s="303" t="s">
        <v>316</v>
      </c>
      <c r="S356" s="303" t="s">
        <v>316</v>
      </c>
      <c r="T356" s="303" t="s">
        <v>316</v>
      </c>
      <c r="U356" t="s">
        <v>316</v>
      </c>
      <c r="V356" t="s">
        <v>316</v>
      </c>
      <c r="W356" t="s">
        <v>316</v>
      </c>
      <c r="X356" t="s">
        <v>316</v>
      </c>
      <c r="Y356" t="s">
        <v>316</v>
      </c>
      <c r="Z356" t="s">
        <v>316</v>
      </c>
      <c r="AA356" t="s">
        <v>316</v>
      </c>
      <c r="AB356" t="s">
        <v>316</v>
      </c>
      <c r="AC356" t="s">
        <v>316</v>
      </c>
    </row>
    <row r="357" spans="1:29">
      <c r="A357" t="s">
        <v>322</v>
      </c>
      <c r="B357" t="s">
        <v>322</v>
      </c>
      <c r="C357" t="s">
        <v>322</v>
      </c>
      <c r="D357" t="s">
        <v>322</v>
      </c>
      <c r="E357" t="s">
        <v>322</v>
      </c>
      <c r="F357" t="s">
        <v>322</v>
      </c>
      <c r="G357" t="s">
        <v>322</v>
      </c>
      <c r="H357" t="s">
        <v>322</v>
      </c>
      <c r="I357" t="s">
        <v>322</v>
      </c>
      <c r="J357" t="s">
        <v>322</v>
      </c>
      <c r="K357" t="s">
        <v>322</v>
      </c>
      <c r="L357" t="s">
        <v>322</v>
      </c>
      <c r="M357" t="s">
        <v>322</v>
      </c>
      <c r="N357" t="s">
        <v>322</v>
      </c>
      <c r="O357" t="s">
        <v>322</v>
      </c>
      <c r="P357" t="s">
        <v>322</v>
      </c>
      <c r="Q357" t="s">
        <v>322</v>
      </c>
      <c r="R357" s="303" t="s">
        <v>322</v>
      </c>
      <c r="S357" s="303" t="s">
        <v>322</v>
      </c>
      <c r="T357" s="303" t="s">
        <v>322</v>
      </c>
      <c r="U357" t="s">
        <v>322</v>
      </c>
      <c r="V357" t="s">
        <v>322</v>
      </c>
      <c r="W357" t="s">
        <v>322</v>
      </c>
      <c r="X357" t="s">
        <v>322</v>
      </c>
      <c r="Y357" t="s">
        <v>322</v>
      </c>
      <c r="Z357" t="s">
        <v>322</v>
      </c>
      <c r="AA357" t="s">
        <v>322</v>
      </c>
      <c r="AB357" t="s">
        <v>322</v>
      </c>
      <c r="AC357" t="s">
        <v>322</v>
      </c>
    </row>
    <row r="358" spans="1:29">
      <c r="A358" t="s">
        <v>323</v>
      </c>
      <c r="B358" t="s">
        <v>323</v>
      </c>
      <c r="C358" t="s">
        <v>323</v>
      </c>
      <c r="D358" t="s">
        <v>323</v>
      </c>
      <c r="E358" t="s">
        <v>323</v>
      </c>
      <c r="F358" t="s">
        <v>323</v>
      </c>
      <c r="G358" t="s">
        <v>323</v>
      </c>
      <c r="H358" t="s">
        <v>323</v>
      </c>
      <c r="I358" t="s">
        <v>323</v>
      </c>
      <c r="J358" t="s">
        <v>323</v>
      </c>
      <c r="K358" t="s">
        <v>323</v>
      </c>
      <c r="L358" t="s">
        <v>323</v>
      </c>
      <c r="M358" t="s">
        <v>323</v>
      </c>
      <c r="N358" t="s">
        <v>323</v>
      </c>
      <c r="O358" t="s">
        <v>323</v>
      </c>
      <c r="P358" t="s">
        <v>323</v>
      </c>
      <c r="Q358" t="s">
        <v>323</v>
      </c>
      <c r="R358" s="303" t="s">
        <v>323</v>
      </c>
      <c r="S358" s="303" t="s">
        <v>323</v>
      </c>
      <c r="T358" s="303" t="s">
        <v>323</v>
      </c>
      <c r="U358" t="s">
        <v>323</v>
      </c>
      <c r="V358" t="s">
        <v>323</v>
      </c>
      <c r="W358" t="s">
        <v>323</v>
      </c>
      <c r="X358" t="s">
        <v>323</v>
      </c>
      <c r="Y358" t="s">
        <v>323</v>
      </c>
      <c r="Z358" t="s">
        <v>323</v>
      </c>
      <c r="AA358" t="s">
        <v>323</v>
      </c>
      <c r="AB358" t="s">
        <v>323</v>
      </c>
      <c r="AC358" t="s">
        <v>323</v>
      </c>
    </row>
    <row r="359" spans="1:29">
      <c r="A359" t="s">
        <v>317</v>
      </c>
      <c r="B359" t="s">
        <v>317</v>
      </c>
      <c r="C359" t="s">
        <v>317</v>
      </c>
      <c r="D359" t="s">
        <v>317</v>
      </c>
      <c r="E359" t="s">
        <v>317</v>
      </c>
      <c r="F359" t="s">
        <v>317</v>
      </c>
      <c r="G359" t="s">
        <v>317</v>
      </c>
      <c r="H359" t="s">
        <v>317</v>
      </c>
      <c r="I359" t="s">
        <v>317</v>
      </c>
      <c r="J359" t="s">
        <v>317</v>
      </c>
      <c r="K359" t="s">
        <v>317</v>
      </c>
      <c r="L359" t="s">
        <v>317</v>
      </c>
      <c r="M359" t="s">
        <v>317</v>
      </c>
      <c r="N359" t="s">
        <v>317</v>
      </c>
      <c r="O359" t="s">
        <v>317</v>
      </c>
      <c r="P359" t="s">
        <v>317</v>
      </c>
      <c r="Q359" t="s">
        <v>317</v>
      </c>
      <c r="R359" s="303" t="s">
        <v>317</v>
      </c>
      <c r="S359" s="303" t="s">
        <v>317</v>
      </c>
      <c r="T359" s="303" t="s">
        <v>317</v>
      </c>
      <c r="U359" t="s">
        <v>317</v>
      </c>
      <c r="V359" t="s">
        <v>317</v>
      </c>
      <c r="W359" t="s">
        <v>317</v>
      </c>
      <c r="X359" t="s">
        <v>317</v>
      </c>
      <c r="Y359" t="s">
        <v>317</v>
      </c>
      <c r="Z359" t="s">
        <v>317</v>
      </c>
      <c r="AA359" t="s">
        <v>317</v>
      </c>
      <c r="AB359" t="s">
        <v>317</v>
      </c>
      <c r="AC359" t="s">
        <v>317</v>
      </c>
    </row>
    <row r="360" spans="1:29">
      <c r="R360" s="303"/>
      <c r="S360" s="303"/>
      <c r="U360"/>
      <c r="V360"/>
    </row>
    <row r="361" spans="1:29">
      <c r="R361" s="303"/>
      <c r="S361" s="303"/>
      <c r="U361"/>
      <c r="V361"/>
    </row>
    <row r="362" spans="1:29">
      <c r="R362" s="303"/>
      <c r="S362" s="303"/>
      <c r="U362"/>
      <c r="V362"/>
    </row>
    <row r="363" spans="1:29">
      <c r="A363" t="s">
        <v>332</v>
      </c>
      <c r="R363" s="303"/>
      <c r="S363" s="303"/>
      <c r="U363"/>
      <c r="V363"/>
    </row>
    <row r="364" spans="1:29" ht="13.8" thickBot="1">
      <c r="A364" t="s">
        <v>239</v>
      </c>
      <c r="B364" t="s">
        <v>231</v>
      </c>
      <c r="C364" t="s">
        <v>232</v>
      </c>
      <c r="D364" t="s">
        <v>233</v>
      </c>
      <c r="E364" t="s">
        <v>234</v>
      </c>
      <c r="F364" t="s">
        <v>235</v>
      </c>
      <c r="G364" t="s">
        <v>236</v>
      </c>
      <c r="H364" t="s">
        <v>237</v>
      </c>
      <c r="I364" t="s">
        <v>296</v>
      </c>
      <c r="J364" t="s">
        <v>297</v>
      </c>
      <c r="K364" t="s">
        <v>298</v>
      </c>
      <c r="L364" t="s">
        <v>299</v>
      </c>
      <c r="M364" t="s">
        <v>725</v>
      </c>
      <c r="N364" t="s">
        <v>300</v>
      </c>
      <c r="O364" t="s">
        <v>301</v>
      </c>
      <c r="P364" t="s">
        <v>302</v>
      </c>
      <c r="Q364" t="s">
        <v>303</v>
      </c>
      <c r="R364" s="303" t="s">
        <v>876</v>
      </c>
      <c r="S364" s="303" t="s">
        <v>877</v>
      </c>
      <c r="T364" s="303" t="s">
        <v>878</v>
      </c>
      <c r="U364" t="s">
        <v>843</v>
      </c>
      <c r="V364" t="s">
        <v>844</v>
      </c>
      <c r="W364" s="251" t="s">
        <v>845</v>
      </c>
      <c r="X364" s="251" t="s">
        <v>846</v>
      </c>
      <c r="Y364" s="251" t="s">
        <v>847</v>
      </c>
      <c r="Z364" s="251" t="s">
        <v>848</v>
      </c>
      <c r="AA364" s="251" t="s">
        <v>849</v>
      </c>
      <c r="AB364" s="251" t="s">
        <v>850</v>
      </c>
      <c r="AC364" s="251" t="s">
        <v>249</v>
      </c>
    </row>
    <row r="365" spans="1:29" ht="13.8" thickTop="1">
      <c r="A365" t="s">
        <v>335</v>
      </c>
      <c r="B365" t="s">
        <v>335</v>
      </c>
      <c r="C365" t="s">
        <v>335</v>
      </c>
      <c r="D365" t="s">
        <v>335</v>
      </c>
      <c r="E365" t="s">
        <v>335</v>
      </c>
      <c r="F365" t="s">
        <v>335</v>
      </c>
      <c r="G365" t="s">
        <v>335</v>
      </c>
      <c r="H365" t="s">
        <v>336</v>
      </c>
      <c r="I365" t="s">
        <v>336</v>
      </c>
      <c r="J365" t="s">
        <v>336</v>
      </c>
      <c r="K365" t="s">
        <v>336</v>
      </c>
      <c r="L365" t="s">
        <v>336</v>
      </c>
      <c r="M365" t="s">
        <v>336</v>
      </c>
      <c r="N365" t="s">
        <v>336</v>
      </c>
      <c r="O365" t="s">
        <v>336</v>
      </c>
      <c r="P365" t="s">
        <v>336</v>
      </c>
      <c r="Q365" t="s">
        <v>336</v>
      </c>
      <c r="R365" s="303" t="s">
        <v>336</v>
      </c>
      <c r="S365" s="303" t="s">
        <v>336</v>
      </c>
      <c r="T365" s="303" t="s">
        <v>336</v>
      </c>
      <c r="U365" t="s">
        <v>336</v>
      </c>
      <c r="V365" t="s">
        <v>336</v>
      </c>
      <c r="W365" t="s">
        <v>336</v>
      </c>
      <c r="X365" t="s">
        <v>336</v>
      </c>
      <c r="Y365" t="s">
        <v>336</v>
      </c>
      <c r="Z365" t="s">
        <v>336</v>
      </c>
      <c r="AA365" t="s">
        <v>336</v>
      </c>
      <c r="AB365" t="s">
        <v>336</v>
      </c>
      <c r="AC365" t="s">
        <v>335</v>
      </c>
    </row>
    <row r="366" spans="1:29">
      <c r="A366" t="s">
        <v>336</v>
      </c>
      <c r="B366" t="s">
        <v>336</v>
      </c>
      <c r="C366" t="s">
        <v>336</v>
      </c>
      <c r="D366" t="s">
        <v>336</v>
      </c>
      <c r="E366" t="s">
        <v>336</v>
      </c>
      <c r="F366" t="s">
        <v>336</v>
      </c>
      <c r="G366" t="s">
        <v>336</v>
      </c>
      <c r="R366" s="303"/>
      <c r="S366" s="303"/>
      <c r="U366"/>
      <c r="V366"/>
      <c r="AC366" t="s">
        <v>336</v>
      </c>
    </row>
    <row r="367" spans="1:29">
      <c r="R367" s="303"/>
      <c r="S367" s="303"/>
      <c r="U367"/>
      <c r="V367"/>
    </row>
    <row r="368" spans="1:29">
      <c r="R368" s="303"/>
      <c r="S368" s="303"/>
      <c r="U368"/>
      <c r="V368"/>
    </row>
    <row r="369" spans="1:29">
      <c r="R369" s="303"/>
      <c r="S369" s="303"/>
      <c r="U369"/>
      <c r="V369"/>
    </row>
    <row r="370" spans="1:29">
      <c r="A370" t="s">
        <v>721</v>
      </c>
      <c r="R370" s="303"/>
      <c r="S370" s="303"/>
      <c r="U370"/>
      <c r="V370"/>
    </row>
    <row r="371" spans="1:29" ht="13.8" thickBot="1">
      <c r="A371" t="s">
        <v>239</v>
      </c>
      <c r="B371" t="s">
        <v>231</v>
      </c>
      <c r="C371" t="s">
        <v>232</v>
      </c>
      <c r="D371" t="s">
        <v>233</v>
      </c>
      <c r="E371" t="s">
        <v>234</v>
      </c>
      <c r="F371" t="s">
        <v>235</v>
      </c>
      <c r="G371" t="s">
        <v>236</v>
      </c>
      <c r="H371" t="s">
        <v>237</v>
      </c>
      <c r="I371" t="s">
        <v>296</v>
      </c>
      <c r="J371" t="s">
        <v>297</v>
      </c>
      <c r="K371" t="s">
        <v>298</v>
      </c>
      <c r="L371" t="s">
        <v>299</v>
      </c>
      <c r="M371" t="s">
        <v>725</v>
      </c>
      <c r="N371" t="s">
        <v>300</v>
      </c>
      <c r="O371" t="s">
        <v>301</v>
      </c>
      <c r="P371" t="s">
        <v>302</v>
      </c>
      <c r="Q371" t="s">
        <v>303</v>
      </c>
      <c r="R371" s="303" t="s">
        <v>876</v>
      </c>
      <c r="S371" s="303" t="s">
        <v>877</v>
      </c>
      <c r="T371" s="303" t="s">
        <v>878</v>
      </c>
      <c r="U371" t="s">
        <v>843</v>
      </c>
      <c r="V371" t="s">
        <v>844</v>
      </c>
      <c r="W371" s="251" t="s">
        <v>845</v>
      </c>
      <c r="X371" s="251" t="s">
        <v>846</v>
      </c>
      <c r="Y371" s="251" t="s">
        <v>847</v>
      </c>
      <c r="Z371" s="251" t="s">
        <v>848</v>
      </c>
      <c r="AA371" s="251" t="s">
        <v>849</v>
      </c>
      <c r="AB371" s="251" t="s">
        <v>850</v>
      </c>
      <c r="AC371" s="251" t="s">
        <v>249</v>
      </c>
    </row>
    <row r="372" spans="1:29" ht="13.8" thickTop="1">
      <c r="A372" t="s">
        <v>722</v>
      </c>
      <c r="B372" t="s">
        <v>722</v>
      </c>
      <c r="C372" t="s">
        <v>787</v>
      </c>
      <c r="D372" t="s">
        <v>722</v>
      </c>
      <c r="E372" t="s">
        <v>722</v>
      </c>
      <c r="F372" t="s">
        <v>787</v>
      </c>
      <c r="G372" t="s">
        <v>722</v>
      </c>
      <c r="H372" t="s">
        <v>722</v>
      </c>
      <c r="I372" t="s">
        <v>723</v>
      </c>
      <c r="J372" t="s">
        <v>723</v>
      </c>
      <c r="K372" t="s">
        <v>723</v>
      </c>
      <c r="L372" t="s">
        <v>723</v>
      </c>
      <c r="M372" t="s">
        <v>722</v>
      </c>
      <c r="N372" t="s">
        <v>787</v>
      </c>
      <c r="O372" t="s">
        <v>787</v>
      </c>
      <c r="P372" t="s">
        <v>787</v>
      </c>
      <c r="Q372" t="s">
        <v>787</v>
      </c>
      <c r="R372" s="303" t="s">
        <v>723</v>
      </c>
      <c r="S372" s="303" t="s">
        <v>787</v>
      </c>
      <c r="T372" s="303" t="s">
        <v>787</v>
      </c>
      <c r="U372" t="s">
        <v>722</v>
      </c>
      <c r="V372" t="s">
        <v>722</v>
      </c>
      <c r="W372" t="s">
        <v>722</v>
      </c>
      <c r="X372" t="s">
        <v>722</v>
      </c>
      <c r="Y372" t="s">
        <v>722</v>
      </c>
      <c r="Z372" t="s">
        <v>722</v>
      </c>
      <c r="AA372" t="s">
        <v>722</v>
      </c>
      <c r="AB372" t="s">
        <v>722</v>
      </c>
      <c r="AC372" t="s">
        <v>722</v>
      </c>
    </row>
    <row r="373" spans="1:29">
      <c r="A373" t="s">
        <v>723</v>
      </c>
      <c r="B373" t="s">
        <v>723</v>
      </c>
      <c r="D373" t="s">
        <v>723</v>
      </c>
      <c r="E373" t="s">
        <v>723</v>
      </c>
      <c r="G373" t="s">
        <v>723</v>
      </c>
      <c r="H373" t="s">
        <v>723</v>
      </c>
      <c r="M373" t="s">
        <v>723</v>
      </c>
      <c r="R373" s="303"/>
      <c r="S373" s="303"/>
      <c r="U373" t="s">
        <v>723</v>
      </c>
      <c r="V373" t="s">
        <v>723</v>
      </c>
      <c r="W373" t="s">
        <v>723</v>
      </c>
      <c r="X373" t="s">
        <v>723</v>
      </c>
      <c r="Y373" t="s">
        <v>723</v>
      </c>
      <c r="Z373" t="s">
        <v>723</v>
      </c>
      <c r="AA373" t="s">
        <v>723</v>
      </c>
      <c r="AB373" t="s">
        <v>723</v>
      </c>
      <c r="AC373" t="s">
        <v>723</v>
      </c>
    </row>
    <row r="374" spans="1:29">
      <c r="R374" s="303"/>
      <c r="S374" s="303"/>
      <c r="U374"/>
      <c r="V374"/>
    </row>
    <row r="375" spans="1:29">
      <c r="R375" s="303"/>
      <c r="S375" s="303"/>
      <c r="U375"/>
      <c r="V375"/>
    </row>
    <row r="376" spans="1:29">
      <c r="R376" s="303"/>
      <c r="S376" s="303"/>
      <c r="U376"/>
      <c r="V376"/>
    </row>
    <row r="377" spans="1:29">
      <c r="A377" t="s">
        <v>557</v>
      </c>
      <c r="R377" s="303"/>
      <c r="S377" s="303"/>
      <c r="U377"/>
      <c r="V377"/>
    </row>
    <row r="378" spans="1:29" ht="13.8" thickBot="1">
      <c r="A378" t="s">
        <v>239</v>
      </c>
      <c r="B378" t="s">
        <v>231</v>
      </c>
      <c r="C378" t="s">
        <v>232</v>
      </c>
      <c r="D378" t="s">
        <v>233</v>
      </c>
      <c r="E378" t="s">
        <v>234</v>
      </c>
      <c r="F378" t="s">
        <v>235</v>
      </c>
      <c r="G378" t="s">
        <v>236</v>
      </c>
      <c r="H378" t="s">
        <v>237</v>
      </c>
      <c r="I378" t="s">
        <v>296</v>
      </c>
      <c r="J378" t="s">
        <v>297</v>
      </c>
      <c r="K378" t="s">
        <v>298</v>
      </c>
      <c r="L378" t="s">
        <v>299</v>
      </c>
      <c r="M378" t="s">
        <v>725</v>
      </c>
      <c r="N378" t="s">
        <v>300</v>
      </c>
      <c r="O378" t="s">
        <v>301</v>
      </c>
      <c r="P378" t="s">
        <v>302</v>
      </c>
      <c r="Q378" t="s">
        <v>303</v>
      </c>
      <c r="R378" s="303" t="s">
        <v>876</v>
      </c>
      <c r="S378" s="303" t="s">
        <v>877</v>
      </c>
      <c r="T378" s="303" t="s">
        <v>878</v>
      </c>
      <c r="U378" t="s">
        <v>843</v>
      </c>
      <c r="V378" t="s">
        <v>844</v>
      </c>
      <c r="W378" s="251" t="s">
        <v>845</v>
      </c>
      <c r="X378" s="251" t="s">
        <v>846</v>
      </c>
      <c r="Y378" s="251" t="s">
        <v>847</v>
      </c>
      <c r="Z378" s="251" t="s">
        <v>848</v>
      </c>
      <c r="AA378" s="251" t="s">
        <v>849</v>
      </c>
      <c r="AB378" s="251" t="s">
        <v>850</v>
      </c>
      <c r="AC378" s="251" t="s">
        <v>249</v>
      </c>
    </row>
    <row r="379" spans="1:29" ht="13.8" thickTop="1">
      <c r="A379" t="s">
        <v>65</v>
      </c>
      <c r="B379" t="s">
        <v>65</v>
      </c>
      <c r="C379" t="s">
        <v>65</v>
      </c>
      <c r="D379" t="s">
        <v>65</v>
      </c>
      <c r="E379" t="s">
        <v>65</v>
      </c>
      <c r="F379" t="s">
        <v>65</v>
      </c>
      <c r="G379" t="s">
        <v>65</v>
      </c>
      <c r="H379" t="s">
        <v>65</v>
      </c>
      <c r="I379" t="s">
        <v>65</v>
      </c>
      <c r="J379" t="s">
        <v>65</v>
      </c>
      <c r="K379" t="s">
        <v>65</v>
      </c>
      <c r="L379" t="s">
        <v>65</v>
      </c>
      <c r="M379" t="s">
        <v>65</v>
      </c>
      <c r="N379" t="s">
        <v>65</v>
      </c>
      <c r="O379" t="s">
        <v>65</v>
      </c>
      <c r="P379" t="s">
        <v>65</v>
      </c>
      <c r="Q379" t="s">
        <v>65</v>
      </c>
      <c r="R379" s="303" t="s">
        <v>65</v>
      </c>
      <c r="S379" s="303" t="s">
        <v>65</v>
      </c>
      <c r="T379" s="303" t="s">
        <v>65</v>
      </c>
      <c r="U379" t="s">
        <v>65</v>
      </c>
      <c r="V379" t="s">
        <v>65</v>
      </c>
      <c r="W379" t="s">
        <v>65</v>
      </c>
      <c r="X379" t="s">
        <v>65</v>
      </c>
      <c r="Y379" t="s">
        <v>65</v>
      </c>
      <c r="Z379" t="s">
        <v>65</v>
      </c>
      <c r="AA379" t="s">
        <v>65</v>
      </c>
      <c r="AB379" t="s">
        <v>65</v>
      </c>
      <c r="AC379" t="s">
        <v>65</v>
      </c>
    </row>
    <row r="380" spans="1:29">
      <c r="A380" t="s">
        <v>318</v>
      </c>
      <c r="B380" t="s">
        <v>318</v>
      </c>
      <c r="C380" t="s">
        <v>318</v>
      </c>
      <c r="D380" t="s">
        <v>318</v>
      </c>
      <c r="E380" t="s">
        <v>318</v>
      </c>
      <c r="F380" t="s">
        <v>318</v>
      </c>
      <c r="G380" t="s">
        <v>318</v>
      </c>
      <c r="H380" t="s">
        <v>318</v>
      </c>
      <c r="I380" t="s">
        <v>318</v>
      </c>
      <c r="J380" t="s">
        <v>318</v>
      </c>
      <c r="K380" t="s">
        <v>318</v>
      </c>
      <c r="L380" t="s">
        <v>318</v>
      </c>
      <c r="M380" t="s">
        <v>318</v>
      </c>
      <c r="N380" t="s">
        <v>318</v>
      </c>
      <c r="O380" t="s">
        <v>318</v>
      </c>
      <c r="P380" t="s">
        <v>318</v>
      </c>
      <c r="Q380" t="s">
        <v>318</v>
      </c>
      <c r="R380" s="303" t="s">
        <v>318</v>
      </c>
      <c r="S380" s="303" t="s">
        <v>318</v>
      </c>
      <c r="T380" s="303" t="s">
        <v>318</v>
      </c>
      <c r="U380" t="s">
        <v>318</v>
      </c>
      <c r="V380" t="s">
        <v>318</v>
      </c>
      <c r="W380" t="s">
        <v>318</v>
      </c>
      <c r="X380" t="s">
        <v>318</v>
      </c>
      <c r="Y380" t="s">
        <v>318</v>
      </c>
      <c r="Z380" t="s">
        <v>318</v>
      </c>
      <c r="AA380" t="s">
        <v>318</v>
      </c>
      <c r="AB380" t="s">
        <v>318</v>
      </c>
      <c r="AC380" t="s">
        <v>318</v>
      </c>
    </row>
    <row r="381" spans="1:29">
      <c r="A381" t="s">
        <v>319</v>
      </c>
      <c r="B381" t="s">
        <v>319</v>
      </c>
      <c r="C381" t="s">
        <v>319</v>
      </c>
      <c r="D381" t="s">
        <v>319</v>
      </c>
      <c r="E381" t="s">
        <v>319</v>
      </c>
      <c r="F381" t="s">
        <v>319</v>
      </c>
      <c r="G381" t="s">
        <v>319</v>
      </c>
      <c r="H381" t="s">
        <v>319</v>
      </c>
      <c r="I381" t="s">
        <v>319</v>
      </c>
      <c r="J381" t="s">
        <v>319</v>
      </c>
      <c r="K381" t="s">
        <v>319</v>
      </c>
      <c r="L381" t="s">
        <v>319</v>
      </c>
      <c r="M381" t="s">
        <v>319</v>
      </c>
      <c r="N381" t="s">
        <v>319</v>
      </c>
      <c r="O381" t="s">
        <v>319</v>
      </c>
      <c r="P381" t="s">
        <v>319</v>
      </c>
      <c r="Q381" t="s">
        <v>319</v>
      </c>
      <c r="R381" s="303" t="s">
        <v>319</v>
      </c>
      <c r="S381" s="303" t="s">
        <v>319</v>
      </c>
      <c r="T381" s="303" t="s">
        <v>319</v>
      </c>
      <c r="U381" t="s">
        <v>319</v>
      </c>
      <c r="V381" t="s">
        <v>319</v>
      </c>
      <c r="W381" t="s">
        <v>319</v>
      </c>
      <c r="X381" t="s">
        <v>319</v>
      </c>
      <c r="Y381" t="s">
        <v>319</v>
      </c>
      <c r="Z381" t="s">
        <v>319</v>
      </c>
      <c r="AA381" t="s">
        <v>319</v>
      </c>
      <c r="AB381" t="s">
        <v>319</v>
      </c>
      <c r="AC381" t="s">
        <v>319</v>
      </c>
    </row>
    <row r="382" spans="1:29">
      <c r="R382" s="303"/>
      <c r="S382" s="303"/>
      <c r="U382"/>
      <c r="V382"/>
    </row>
    <row r="383" spans="1:29">
      <c r="R383" s="303"/>
      <c r="S383" s="303"/>
      <c r="U383"/>
      <c r="V383"/>
    </row>
    <row r="384" spans="1:29">
      <c r="R384" s="303"/>
      <c r="S384" s="303"/>
      <c r="U384"/>
      <c r="V384"/>
    </row>
    <row r="385" spans="1:29">
      <c r="A385" t="s">
        <v>558</v>
      </c>
      <c r="R385" s="303"/>
      <c r="S385" s="303"/>
      <c r="U385"/>
      <c r="V385"/>
    </row>
    <row r="386" spans="1:29" ht="13.8" thickBot="1">
      <c r="A386" t="s">
        <v>239</v>
      </c>
      <c r="B386" t="s">
        <v>231</v>
      </c>
      <c r="C386" t="s">
        <v>232</v>
      </c>
      <c r="D386" t="s">
        <v>233</v>
      </c>
      <c r="E386" t="s">
        <v>234</v>
      </c>
      <c r="F386" t="s">
        <v>235</v>
      </c>
      <c r="G386" t="s">
        <v>236</v>
      </c>
      <c r="H386" t="s">
        <v>237</v>
      </c>
      <c r="I386" t="s">
        <v>296</v>
      </c>
      <c r="J386" t="s">
        <v>297</v>
      </c>
      <c r="K386" t="s">
        <v>298</v>
      </c>
      <c r="L386" t="s">
        <v>299</v>
      </c>
      <c r="M386" t="s">
        <v>725</v>
      </c>
      <c r="N386" t="s">
        <v>300</v>
      </c>
      <c r="O386" t="s">
        <v>301</v>
      </c>
      <c r="P386" t="s">
        <v>302</v>
      </c>
      <c r="Q386" t="s">
        <v>303</v>
      </c>
      <c r="R386" s="303" t="s">
        <v>876</v>
      </c>
      <c r="S386" s="303" t="s">
        <v>877</v>
      </c>
      <c r="T386" s="303" t="s">
        <v>878</v>
      </c>
      <c r="U386" t="s">
        <v>843</v>
      </c>
      <c r="V386" t="s">
        <v>844</v>
      </c>
      <c r="W386" s="251" t="s">
        <v>845</v>
      </c>
      <c r="X386" s="251" t="s">
        <v>846</v>
      </c>
      <c r="Y386" s="251" t="s">
        <v>847</v>
      </c>
      <c r="Z386" s="251" t="s">
        <v>848</v>
      </c>
      <c r="AA386" s="251" t="s">
        <v>849</v>
      </c>
      <c r="AB386" s="251" t="s">
        <v>850</v>
      </c>
      <c r="AC386" s="251" t="s">
        <v>249</v>
      </c>
    </row>
    <row r="387" spans="1:29" ht="13.8" thickTop="1">
      <c r="A387" t="s">
        <v>367</v>
      </c>
      <c r="B387" t="s">
        <v>367</v>
      </c>
      <c r="C387" t="s">
        <v>367</v>
      </c>
      <c r="D387" t="s">
        <v>367</v>
      </c>
      <c r="E387" t="s">
        <v>367</v>
      </c>
      <c r="F387" t="s">
        <v>367</v>
      </c>
      <c r="G387" t="s">
        <v>367</v>
      </c>
      <c r="H387" t="s">
        <v>367</v>
      </c>
      <c r="I387" t="s">
        <v>367</v>
      </c>
      <c r="J387" t="s">
        <v>367</v>
      </c>
      <c r="K387" t="s">
        <v>367</v>
      </c>
      <c r="L387" t="s">
        <v>367</v>
      </c>
      <c r="M387" t="s">
        <v>367</v>
      </c>
      <c r="N387" t="s">
        <v>367</v>
      </c>
      <c r="O387" t="s">
        <v>367</v>
      </c>
      <c r="P387" t="s">
        <v>367</v>
      </c>
      <c r="Q387" t="s">
        <v>367</v>
      </c>
      <c r="R387" s="303" t="s">
        <v>367</v>
      </c>
      <c r="S387" s="303" t="s">
        <v>367</v>
      </c>
      <c r="T387" s="303" t="s">
        <v>367</v>
      </c>
      <c r="U387" t="s">
        <v>367</v>
      </c>
      <c r="V387" t="s">
        <v>367</v>
      </c>
      <c r="W387" t="s">
        <v>367</v>
      </c>
      <c r="X387" t="s">
        <v>367</v>
      </c>
      <c r="Y387" t="s">
        <v>367</v>
      </c>
      <c r="Z387" t="s">
        <v>367</v>
      </c>
      <c r="AA387" t="s">
        <v>367</v>
      </c>
      <c r="AB387" t="s">
        <v>367</v>
      </c>
      <c r="AC387" t="s">
        <v>367</v>
      </c>
    </row>
    <row r="388" spans="1:29">
      <c r="A388" t="s">
        <v>559</v>
      </c>
      <c r="B388" t="s">
        <v>559</v>
      </c>
      <c r="C388" t="s">
        <v>559</v>
      </c>
      <c r="D388" t="s">
        <v>559</v>
      </c>
      <c r="E388" t="s">
        <v>559</v>
      </c>
      <c r="F388" t="s">
        <v>559</v>
      </c>
      <c r="G388" t="s">
        <v>559</v>
      </c>
      <c r="H388" t="s">
        <v>559</v>
      </c>
      <c r="I388" t="s">
        <v>559</v>
      </c>
      <c r="J388" t="s">
        <v>559</v>
      </c>
      <c r="K388" t="s">
        <v>559</v>
      </c>
      <c r="L388" t="s">
        <v>559</v>
      </c>
      <c r="M388" t="s">
        <v>559</v>
      </c>
      <c r="N388" t="s">
        <v>559</v>
      </c>
      <c r="O388" t="s">
        <v>559</v>
      </c>
      <c r="P388" t="s">
        <v>559</v>
      </c>
      <c r="Q388" t="s">
        <v>559</v>
      </c>
      <c r="R388" s="303" t="s">
        <v>559</v>
      </c>
      <c r="S388" s="303" t="s">
        <v>559</v>
      </c>
      <c r="T388" s="303" t="s">
        <v>559</v>
      </c>
      <c r="U388" t="s">
        <v>559</v>
      </c>
      <c r="V388" t="s">
        <v>559</v>
      </c>
      <c r="W388" t="s">
        <v>559</v>
      </c>
      <c r="X388" t="s">
        <v>559</v>
      </c>
      <c r="Y388" t="s">
        <v>559</v>
      </c>
      <c r="Z388" t="s">
        <v>559</v>
      </c>
      <c r="AA388" t="s">
        <v>559</v>
      </c>
      <c r="AB388" t="s">
        <v>559</v>
      </c>
      <c r="AC388" t="s">
        <v>559</v>
      </c>
    </row>
    <row r="389" spans="1:29">
      <c r="R389" s="303"/>
      <c r="S389" s="303"/>
      <c r="U389"/>
      <c r="V389"/>
    </row>
    <row r="390" spans="1:29">
      <c r="R390" s="303"/>
      <c r="S390" s="303"/>
      <c r="U390"/>
      <c r="V390"/>
    </row>
    <row r="391" spans="1:29">
      <c r="R391" s="303"/>
      <c r="S391" s="303"/>
      <c r="U391"/>
      <c r="V391"/>
    </row>
    <row r="392" spans="1:29">
      <c r="A392" t="s">
        <v>561</v>
      </c>
      <c r="R392" s="303"/>
      <c r="S392" s="303"/>
      <c r="U392"/>
      <c r="V392"/>
    </row>
    <row r="393" spans="1:29" ht="13.8" thickBot="1">
      <c r="A393" t="s">
        <v>239</v>
      </c>
      <c r="B393" t="s">
        <v>231</v>
      </c>
      <c r="C393" t="s">
        <v>232</v>
      </c>
      <c r="D393" t="s">
        <v>233</v>
      </c>
      <c r="E393" t="s">
        <v>234</v>
      </c>
      <c r="F393" t="s">
        <v>235</v>
      </c>
      <c r="G393" t="s">
        <v>236</v>
      </c>
      <c r="H393" t="s">
        <v>237</v>
      </c>
      <c r="I393" t="s">
        <v>296</v>
      </c>
      <c r="J393" t="s">
        <v>297</v>
      </c>
      <c r="K393" t="s">
        <v>298</v>
      </c>
      <c r="L393" t="s">
        <v>299</v>
      </c>
      <c r="M393" t="s">
        <v>725</v>
      </c>
      <c r="N393" t="s">
        <v>300</v>
      </c>
      <c r="O393" t="s">
        <v>301</v>
      </c>
      <c r="P393" t="s">
        <v>302</v>
      </c>
      <c r="Q393" t="s">
        <v>303</v>
      </c>
      <c r="R393" s="303" t="s">
        <v>876</v>
      </c>
      <c r="S393" s="303" t="s">
        <v>877</v>
      </c>
      <c r="T393" s="303" t="s">
        <v>878</v>
      </c>
      <c r="U393" t="s">
        <v>843</v>
      </c>
      <c r="V393" t="s">
        <v>844</v>
      </c>
      <c r="W393" s="251" t="s">
        <v>845</v>
      </c>
      <c r="X393" s="251" t="s">
        <v>846</v>
      </c>
      <c r="Y393" s="251" t="s">
        <v>847</v>
      </c>
      <c r="Z393" s="251" t="s">
        <v>848</v>
      </c>
      <c r="AA393" s="251" t="s">
        <v>849</v>
      </c>
      <c r="AB393" s="251" t="s">
        <v>850</v>
      </c>
      <c r="AC393" s="251" t="s">
        <v>249</v>
      </c>
    </row>
    <row r="394" spans="1:29" ht="13.8" thickTop="1">
      <c r="A394" t="s">
        <v>340</v>
      </c>
      <c r="B394" t="s">
        <v>340</v>
      </c>
      <c r="C394" t="s">
        <v>340</v>
      </c>
      <c r="D394" t="s">
        <v>340</v>
      </c>
      <c r="E394" t="s">
        <v>340</v>
      </c>
      <c r="F394" t="s">
        <v>340</v>
      </c>
      <c r="G394" t="s">
        <v>340</v>
      </c>
      <c r="H394" t="s">
        <v>340</v>
      </c>
      <c r="I394" t="s">
        <v>340</v>
      </c>
      <c r="J394" t="s">
        <v>340</v>
      </c>
      <c r="K394" t="s">
        <v>340</v>
      </c>
      <c r="L394" t="s">
        <v>340</v>
      </c>
      <c r="M394" t="s">
        <v>340</v>
      </c>
      <c r="N394" t="s">
        <v>340</v>
      </c>
      <c r="O394" t="s">
        <v>340</v>
      </c>
      <c r="P394" t="s">
        <v>340</v>
      </c>
      <c r="Q394" t="s">
        <v>340</v>
      </c>
      <c r="R394" s="303" t="s">
        <v>340</v>
      </c>
      <c r="S394" s="303" t="s">
        <v>340</v>
      </c>
      <c r="T394" s="303" t="s">
        <v>340</v>
      </c>
      <c r="U394" t="s">
        <v>340</v>
      </c>
      <c r="V394" t="s">
        <v>340</v>
      </c>
      <c r="W394" t="s">
        <v>340</v>
      </c>
      <c r="X394" t="s">
        <v>340</v>
      </c>
      <c r="Y394" t="s">
        <v>340</v>
      </c>
      <c r="Z394" t="s">
        <v>340</v>
      </c>
      <c r="AA394" t="s">
        <v>340</v>
      </c>
      <c r="AB394" t="s">
        <v>340</v>
      </c>
      <c r="AC394" t="s">
        <v>340</v>
      </c>
    </row>
    <row r="395" spans="1:29">
      <c r="A395" t="s">
        <v>562</v>
      </c>
      <c r="B395" t="s">
        <v>562</v>
      </c>
      <c r="C395" t="s">
        <v>562</v>
      </c>
      <c r="D395" t="s">
        <v>562</v>
      </c>
      <c r="E395" t="s">
        <v>562</v>
      </c>
      <c r="F395" t="s">
        <v>562</v>
      </c>
      <c r="G395" t="s">
        <v>562</v>
      </c>
      <c r="H395" t="s">
        <v>562</v>
      </c>
      <c r="I395" t="s">
        <v>562</v>
      </c>
      <c r="J395" t="s">
        <v>562</v>
      </c>
      <c r="K395" t="s">
        <v>562</v>
      </c>
      <c r="L395" t="s">
        <v>562</v>
      </c>
      <c r="M395" t="s">
        <v>562</v>
      </c>
      <c r="N395" t="s">
        <v>562</v>
      </c>
      <c r="O395" t="s">
        <v>562</v>
      </c>
      <c r="P395" t="s">
        <v>562</v>
      </c>
      <c r="Q395" t="s">
        <v>562</v>
      </c>
      <c r="R395" s="303" t="s">
        <v>562</v>
      </c>
      <c r="S395" s="303" t="s">
        <v>562</v>
      </c>
      <c r="T395" s="303" t="s">
        <v>562</v>
      </c>
      <c r="U395" t="s">
        <v>562</v>
      </c>
      <c r="V395" t="s">
        <v>562</v>
      </c>
      <c r="W395" t="s">
        <v>562</v>
      </c>
      <c r="X395" t="s">
        <v>562</v>
      </c>
      <c r="Y395" t="s">
        <v>562</v>
      </c>
      <c r="Z395" t="s">
        <v>562</v>
      </c>
      <c r="AA395" t="s">
        <v>562</v>
      </c>
      <c r="AB395" t="s">
        <v>562</v>
      </c>
      <c r="AC395" t="s">
        <v>562</v>
      </c>
    </row>
    <row r="396" spans="1:29">
      <c r="A396" t="s">
        <v>563</v>
      </c>
      <c r="B396" t="s">
        <v>563</v>
      </c>
      <c r="C396" t="s">
        <v>563</v>
      </c>
      <c r="D396" t="s">
        <v>563</v>
      </c>
      <c r="E396" t="s">
        <v>563</v>
      </c>
      <c r="F396" t="s">
        <v>563</v>
      </c>
      <c r="G396" t="s">
        <v>563</v>
      </c>
      <c r="H396" t="s">
        <v>563</v>
      </c>
      <c r="I396" t="s">
        <v>563</v>
      </c>
      <c r="J396" t="s">
        <v>563</v>
      </c>
      <c r="K396" t="s">
        <v>563</v>
      </c>
      <c r="L396" t="s">
        <v>563</v>
      </c>
      <c r="M396" t="s">
        <v>563</v>
      </c>
      <c r="N396" t="s">
        <v>563</v>
      </c>
      <c r="O396" t="s">
        <v>563</v>
      </c>
      <c r="P396" t="s">
        <v>563</v>
      </c>
      <c r="Q396" t="s">
        <v>563</v>
      </c>
      <c r="R396" s="303" t="s">
        <v>563</v>
      </c>
      <c r="S396" s="303" t="s">
        <v>563</v>
      </c>
      <c r="T396" s="303" t="s">
        <v>563</v>
      </c>
      <c r="U396" t="s">
        <v>563</v>
      </c>
      <c r="V396" t="s">
        <v>563</v>
      </c>
      <c r="W396" t="s">
        <v>563</v>
      </c>
      <c r="X396" t="s">
        <v>563</v>
      </c>
      <c r="Y396" t="s">
        <v>563</v>
      </c>
      <c r="Z396" t="s">
        <v>563</v>
      </c>
      <c r="AA396" t="s">
        <v>563</v>
      </c>
      <c r="AB396" t="s">
        <v>563</v>
      </c>
      <c r="AC396" t="s">
        <v>563</v>
      </c>
    </row>
    <row r="397" spans="1:29">
      <c r="R397" s="303"/>
      <c r="S397" s="303"/>
      <c r="U397"/>
      <c r="V397"/>
    </row>
    <row r="398" spans="1:29">
      <c r="R398" s="303"/>
      <c r="S398" s="303"/>
      <c r="U398"/>
      <c r="V398"/>
    </row>
    <row r="399" spans="1:29">
      <c r="A399" t="s">
        <v>815</v>
      </c>
      <c r="R399" s="303"/>
      <c r="S399" s="303"/>
      <c r="U399"/>
      <c r="V399"/>
    </row>
    <row r="400" spans="1:29">
      <c r="A400" t="s">
        <v>789</v>
      </c>
      <c r="R400" s="303"/>
      <c r="S400" s="303"/>
      <c r="U400"/>
      <c r="V400"/>
    </row>
    <row r="401" spans="1:22">
      <c r="A401" t="s">
        <v>816</v>
      </c>
      <c r="R401" s="303"/>
      <c r="S401" s="303"/>
      <c r="U401"/>
      <c r="V401"/>
    </row>
    <row r="402" spans="1:22">
      <c r="A402" t="s">
        <v>788</v>
      </c>
      <c r="R402" s="303"/>
      <c r="S402" s="303"/>
      <c r="U402"/>
      <c r="V402"/>
    </row>
    <row r="403" spans="1:22">
      <c r="S403" s="303"/>
      <c r="V403"/>
    </row>
  </sheetData>
  <sheetProtection formatColumns="0" formatRows="0"/>
  <dataConsolidate link="1"/>
  <mergeCells count="3">
    <mergeCell ref="B181:D181"/>
    <mergeCell ref="E181:G181"/>
    <mergeCell ref="H181:J181"/>
  </mergeCells>
  <phoneticPr fontId="69" type="noConversion"/>
  <pageMargins left="0.7" right="0.7" top="0.78740157499999996" bottom="0.78740157499999996" header="0.3" footer="0.3"/>
  <pageSetup paperSize="9" orientation="portrait" r:id="rId1"/>
  <tableParts count="6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2:U312"/>
  <sheetViews>
    <sheetView topLeftCell="A146" zoomScale="145" zoomScaleNormal="145" workbookViewId="0">
      <selection activeCell="D174" sqref="D174"/>
    </sheetView>
  </sheetViews>
  <sheetFormatPr defaultColWidth="11.5546875" defaultRowHeight="13.2"/>
  <cols>
    <col min="1" max="1" width="15.33203125" customWidth="1"/>
    <col min="4" max="4" width="14.6640625" customWidth="1"/>
    <col min="8" max="8" width="19.44140625" customWidth="1"/>
    <col min="9" max="9" width="23.6640625" customWidth="1"/>
    <col min="10" max="10" width="21.6640625" customWidth="1"/>
    <col min="11" max="11" width="24.88671875" customWidth="1"/>
    <col min="12" max="12" width="25.6640625" customWidth="1"/>
  </cols>
  <sheetData>
    <row r="2" spans="1:2">
      <c r="A2" s="73" t="s">
        <v>250</v>
      </c>
    </row>
    <row r="3" spans="1:2">
      <c r="A3" s="73" t="s">
        <v>260</v>
      </c>
      <c r="B3" s="73" t="s">
        <v>263</v>
      </c>
    </row>
    <row r="4" spans="1:2">
      <c r="A4" s="73" t="s">
        <v>261</v>
      </c>
      <c r="B4" t="s">
        <v>281</v>
      </c>
    </row>
    <row r="6" spans="1:2">
      <c r="A6" s="73" t="s">
        <v>260</v>
      </c>
      <c r="B6" s="73" t="s">
        <v>251</v>
      </c>
    </row>
    <row r="14" spans="1:2">
      <c r="A14" s="73" t="s">
        <v>261</v>
      </c>
      <c r="B14" t="s">
        <v>282</v>
      </c>
    </row>
    <row r="15" spans="1:2">
      <c r="A15" s="73"/>
    </row>
    <row r="17" spans="1:2">
      <c r="A17" s="73" t="s">
        <v>260</v>
      </c>
      <c r="B17" s="73" t="s">
        <v>262</v>
      </c>
    </row>
    <row r="38" spans="1:21">
      <c r="A38" s="73" t="s">
        <v>261</v>
      </c>
      <c r="B38" t="s">
        <v>291</v>
      </c>
    </row>
    <row r="39" spans="1:21">
      <c r="F39" t="s">
        <v>100</v>
      </c>
      <c r="G39" t="s">
        <v>101</v>
      </c>
      <c r="H39" t="s">
        <v>102</v>
      </c>
      <c r="I39" t="s">
        <v>103</v>
      </c>
      <c r="J39" t="s">
        <v>104</v>
      </c>
      <c r="K39" t="s">
        <v>105</v>
      </c>
      <c r="L39" t="s">
        <v>108</v>
      </c>
      <c r="M39" t="s">
        <v>106</v>
      </c>
      <c r="N39" t="s">
        <v>107</v>
      </c>
      <c r="O39" t="s">
        <v>149</v>
      </c>
      <c r="P39" t="s">
        <v>150</v>
      </c>
      <c r="Q39" t="s">
        <v>151</v>
      </c>
      <c r="R39" t="s">
        <v>152</v>
      </c>
      <c r="S39" t="s">
        <v>153</v>
      </c>
      <c r="T39" t="s">
        <v>154</v>
      </c>
      <c r="U39" t="s">
        <v>258</v>
      </c>
    </row>
    <row r="40" spans="1:21" ht="13.8">
      <c r="B40" s="814" t="s">
        <v>274</v>
      </c>
      <c r="C40" s="815"/>
      <c r="D40" s="816"/>
      <c r="E40" s="79"/>
      <c r="F40" s="79"/>
      <c r="G40" s="79"/>
      <c r="H40" s="79"/>
      <c r="I40" s="79"/>
      <c r="J40" s="79"/>
      <c r="K40" s="79"/>
      <c r="L40" s="79"/>
      <c r="M40" s="79"/>
      <c r="N40" s="79"/>
      <c r="O40" s="79"/>
      <c r="P40" s="79"/>
      <c r="Q40" s="79"/>
      <c r="R40" s="79"/>
      <c r="S40" s="79"/>
      <c r="T40" s="79"/>
      <c r="U40" s="34" t="s">
        <v>46</v>
      </c>
    </row>
    <row r="41" spans="1:21" ht="13.8">
      <c r="B41" s="814" t="s">
        <v>253</v>
      </c>
      <c r="C41" s="815"/>
      <c r="D41" s="816"/>
      <c r="E41" s="79"/>
      <c r="F41" s="79"/>
      <c r="G41" s="79"/>
      <c r="H41" s="79"/>
      <c r="I41" s="79"/>
      <c r="J41" s="79"/>
      <c r="K41" s="79"/>
      <c r="L41" s="79"/>
      <c r="M41" s="79"/>
      <c r="N41" s="79"/>
      <c r="O41" s="79"/>
      <c r="P41" s="79"/>
      <c r="Q41" s="79"/>
      <c r="R41" s="79"/>
      <c r="S41" s="79"/>
      <c r="T41" s="79"/>
      <c r="U41" s="34" t="s">
        <v>259</v>
      </c>
    </row>
    <row r="42" spans="1:21" ht="13.8">
      <c r="B42" s="814" t="s">
        <v>252</v>
      </c>
      <c r="C42" s="815"/>
      <c r="D42" s="816"/>
      <c r="E42" s="79"/>
      <c r="F42" s="79"/>
      <c r="G42" s="79"/>
      <c r="H42" s="79"/>
      <c r="I42" s="79"/>
      <c r="J42" s="79"/>
      <c r="K42" s="79"/>
      <c r="L42" s="79"/>
      <c r="M42" s="79"/>
      <c r="N42" s="79"/>
      <c r="O42" s="79"/>
      <c r="P42" s="79"/>
      <c r="Q42" s="79"/>
      <c r="R42" s="79"/>
      <c r="S42" s="79"/>
      <c r="T42" s="79"/>
      <c r="U42" s="34" t="s">
        <v>259</v>
      </c>
    </row>
    <row r="43" spans="1:21" ht="13.8">
      <c r="B43" s="814" t="s">
        <v>254</v>
      </c>
      <c r="C43" s="815"/>
      <c r="D43" s="816"/>
      <c r="E43" s="79"/>
      <c r="F43" s="79"/>
      <c r="G43" s="79"/>
      <c r="H43" s="79"/>
      <c r="I43" s="79"/>
      <c r="J43" s="79"/>
      <c r="K43" s="79"/>
      <c r="L43" s="79"/>
      <c r="M43" s="79"/>
      <c r="N43" s="79"/>
      <c r="O43" s="79"/>
      <c r="P43" s="79"/>
      <c r="Q43" s="79"/>
      <c r="R43" s="79"/>
      <c r="S43" s="79"/>
      <c r="T43" s="79"/>
      <c r="U43" s="34" t="s">
        <v>35</v>
      </c>
    </row>
    <row r="44" spans="1:21" ht="13.8">
      <c r="B44" s="814" t="s">
        <v>255</v>
      </c>
      <c r="C44" s="815"/>
      <c r="D44" s="816"/>
      <c r="E44" s="79"/>
      <c r="F44" s="79"/>
      <c r="G44" s="79"/>
      <c r="H44" s="79"/>
      <c r="I44" s="79"/>
      <c r="J44" s="79"/>
      <c r="K44" s="79"/>
      <c r="L44" s="79"/>
      <c r="M44" s="79"/>
      <c r="N44" s="79"/>
      <c r="O44" s="79"/>
      <c r="P44" s="79"/>
      <c r="Q44" s="79"/>
      <c r="R44" s="79"/>
      <c r="S44" s="79"/>
      <c r="T44" s="79"/>
      <c r="U44" s="34" t="s">
        <v>35</v>
      </c>
    </row>
    <row r="45" spans="1:21" ht="27.6">
      <c r="B45" s="814" t="s">
        <v>256</v>
      </c>
      <c r="C45" s="815"/>
      <c r="D45" s="816"/>
      <c r="E45" s="70"/>
      <c r="F45" s="117" t="str">
        <f>IF(OR(F$40="",F$41="",F$42="",F$43="",F$44=""),"will be calculated",10^-4*(F$41*2*F$40*F$43))</f>
        <v>will be calculated</v>
      </c>
      <c r="G45" s="117" t="str">
        <f t="shared" ref="G45:T45" si="0">IF(OR(G$40="",G$41="",G$42="",G$43="",G$44=""),"will be calculated",10^-4*(G$41*2*G$40*G$43))</f>
        <v>will be calculated</v>
      </c>
      <c r="H45" s="117" t="str">
        <f t="shared" si="0"/>
        <v>will be calculated</v>
      </c>
      <c r="I45" s="117" t="str">
        <f t="shared" si="0"/>
        <v>will be calculated</v>
      </c>
      <c r="J45" s="117" t="str">
        <f t="shared" si="0"/>
        <v>will be calculated</v>
      </c>
      <c r="K45" s="117" t="str">
        <f t="shared" si="0"/>
        <v>will be calculated</v>
      </c>
      <c r="L45" s="117" t="str">
        <f t="shared" si="0"/>
        <v>will be calculated</v>
      </c>
      <c r="M45" s="117" t="str">
        <f t="shared" si="0"/>
        <v>will be calculated</v>
      </c>
      <c r="N45" s="117" t="str">
        <f t="shared" si="0"/>
        <v>will be calculated</v>
      </c>
      <c r="O45" s="117" t="str">
        <f t="shared" si="0"/>
        <v>will be calculated</v>
      </c>
      <c r="P45" s="117" t="str">
        <f t="shared" si="0"/>
        <v>will be calculated</v>
      </c>
      <c r="Q45" s="117" t="str">
        <f t="shared" si="0"/>
        <v>will be calculated</v>
      </c>
      <c r="R45" s="117" t="str">
        <f t="shared" si="0"/>
        <v>will be calculated</v>
      </c>
      <c r="S45" s="117" t="str">
        <f t="shared" si="0"/>
        <v>will be calculated</v>
      </c>
      <c r="T45" s="117" t="str">
        <f t="shared" si="0"/>
        <v>will be calculated</v>
      </c>
      <c r="U45" s="34" t="s">
        <v>39</v>
      </c>
    </row>
    <row r="46" spans="1:21" ht="27.6">
      <c r="B46" s="814" t="s">
        <v>257</v>
      </c>
      <c r="C46" s="815"/>
      <c r="D46" s="816"/>
      <c r="E46" s="70"/>
      <c r="F46" s="117" t="str">
        <f>IF(OR(F$40="",F$41="",F$42="",F$43="",F$44=""),"will be calculated",10^-4*(F$42*2*F$40*F$44))</f>
        <v>will be calculated</v>
      </c>
      <c r="G46" s="117" t="str">
        <f t="shared" ref="G46:T46" si="1">IF(OR(G$40="",G$41="",G$42="",G$43="",G$44=""),"will be calculated",10^-4*(G$42*2*G$40*G$44))</f>
        <v>will be calculated</v>
      </c>
      <c r="H46" s="117" t="str">
        <f t="shared" si="1"/>
        <v>will be calculated</v>
      </c>
      <c r="I46" s="117" t="str">
        <f t="shared" si="1"/>
        <v>will be calculated</v>
      </c>
      <c r="J46" s="117" t="str">
        <f t="shared" si="1"/>
        <v>will be calculated</v>
      </c>
      <c r="K46" s="117" t="str">
        <f t="shared" si="1"/>
        <v>will be calculated</v>
      </c>
      <c r="L46" s="117" t="str">
        <f t="shared" si="1"/>
        <v>will be calculated</v>
      </c>
      <c r="M46" s="117" t="str">
        <f t="shared" si="1"/>
        <v>will be calculated</v>
      </c>
      <c r="N46" s="117" t="str">
        <f t="shared" si="1"/>
        <v>will be calculated</v>
      </c>
      <c r="O46" s="117" t="str">
        <f t="shared" si="1"/>
        <v>will be calculated</v>
      </c>
      <c r="P46" s="117" t="str">
        <f t="shared" si="1"/>
        <v>will be calculated</v>
      </c>
      <c r="Q46" s="117" t="str">
        <f t="shared" si="1"/>
        <v>will be calculated</v>
      </c>
      <c r="R46" s="117" t="str">
        <f t="shared" si="1"/>
        <v>will be calculated</v>
      </c>
      <c r="S46" s="117" t="str">
        <f t="shared" si="1"/>
        <v>will be calculated</v>
      </c>
      <c r="T46" s="117" t="str">
        <f t="shared" si="1"/>
        <v>will be calculated</v>
      </c>
      <c r="U46" s="34" t="s">
        <v>39</v>
      </c>
    </row>
    <row r="49" spans="1:21">
      <c r="A49" s="73" t="s">
        <v>260</v>
      </c>
      <c r="B49" s="73" t="s">
        <v>264</v>
      </c>
    </row>
    <row r="51" spans="1:21">
      <c r="A51" s="73" t="s">
        <v>261</v>
      </c>
      <c r="B51" t="s">
        <v>266</v>
      </c>
    </row>
    <row r="52" spans="1:21">
      <c r="A52" s="73"/>
    </row>
    <row r="53" spans="1:21">
      <c r="A53" t="s">
        <v>708</v>
      </c>
      <c r="F53" t="s">
        <v>100</v>
      </c>
      <c r="G53" t="s">
        <v>101</v>
      </c>
      <c r="H53" t="s">
        <v>102</v>
      </c>
      <c r="I53" t="s">
        <v>103</v>
      </c>
      <c r="J53" t="s">
        <v>104</v>
      </c>
      <c r="K53" t="s">
        <v>105</v>
      </c>
      <c r="L53" t="s">
        <v>108</v>
      </c>
      <c r="M53" t="s">
        <v>106</v>
      </c>
      <c r="N53" t="s">
        <v>107</v>
      </c>
      <c r="O53" t="s">
        <v>149</v>
      </c>
      <c r="P53" t="s">
        <v>150</v>
      </c>
      <c r="Q53" t="s">
        <v>151</v>
      </c>
      <c r="R53" t="s">
        <v>152</v>
      </c>
      <c r="S53" t="s">
        <v>153</v>
      </c>
      <c r="T53" t="s">
        <v>154</v>
      </c>
    </row>
    <row r="54" spans="1:21" ht="27.6">
      <c r="B54" s="818" t="s">
        <v>265</v>
      </c>
      <c r="C54" s="818"/>
      <c r="D54" s="818"/>
      <c r="E54" s="70"/>
      <c r="F54" s="114">
        <f>IF(OR(Parameter_Template!G$51="",Parameter_Template!G$52="",Parameter_Template!G$60="",Parameter_Template!G$61="",Parameter_Template!G$228="",Parameter_Template!G$229=""),"will be calculated",(Parameter_Template!G$51+Parameter_Template!G$52)/(2*((Parameter_Template!G$228/(Parameter_Template!G$60/1000))+(Parameter_Template!G$229/(Parameter_Template!G$61/1000))))*0.25*9.81)</f>
        <v>18.270112931861807</v>
      </c>
      <c r="G54" s="114">
        <f>IF(OR(Parameter_Template!H$51="",Parameter_Template!H$52="",Parameter_Template!H$60="",Parameter_Template!H$61="",Parameter_Template!H$228="",Parameter_Template!H$229=""),"will be calculated",(Parameter_Template!H$51+Parameter_Template!H$52)/(2*((Parameter_Template!H$228/(Parameter_Template!H$60/1000))+(Parameter_Template!H$229/(Parameter_Template!H$61/1000))))*0.25*9.81)</f>
        <v>19.493256118042222</v>
      </c>
      <c r="H54" s="114">
        <f>IF(OR(Parameter_Template!I$51="",Parameter_Template!I$52="",Parameter_Template!I$60="",Parameter_Template!I$61="",Parameter_Template!I$228="",Parameter_Template!I$229=""),"will be calculated",(Parameter_Template!I$51+Parameter_Template!I$52)/(2*((Parameter_Template!I$228/(Parameter_Template!I$60/1000))+(Parameter_Template!I$229/(Parameter_Template!I$61/1000))))*0.25*9.81)</f>
        <v>19.551744241842609</v>
      </c>
      <c r="I54" s="114">
        <f>IF(OR(Parameter_Template!J$51="",Parameter_Template!J$52="",Parameter_Template!J$60="",Parameter_Template!J$61="",Parameter_Template!J$228="",Parameter_Template!J$229=""),"will be calculated",(Parameter_Template!J$51+Parameter_Template!J$52)/(2*((Parameter_Template!J$228/(Parameter_Template!J$60/1000))+(Parameter_Template!J$229/(Parameter_Template!J$61/1000))))*0.25*9.81)</f>
        <v>21.055724568138192</v>
      </c>
      <c r="J54" s="114">
        <f>IF(OR(Parameter_Template!K$51="",Parameter_Template!K$52="",Parameter_Template!K$60="",Parameter_Template!K$61="",Parameter_Template!K$228="",Parameter_Template!K$229=""),"will be calculated",(Parameter_Template!K$51+Parameter_Template!K$52)/(2*((Parameter_Template!K$228/(Parameter_Template!K$60/1000))+(Parameter_Template!K$229/(Parameter_Template!K$61/1000))))*0.25*9.81)</f>
        <v>18.843390690978886</v>
      </c>
      <c r="K54" s="114">
        <f>IF(OR(Parameter_Template!L$51="",Parameter_Template!L$52="",Parameter_Template!L$60="",Parameter_Template!L$61="",Parameter_Template!L$228="",Parameter_Template!L$229=""),"will be calculated",(Parameter_Template!L$51+Parameter_Template!L$52)/(2*((Parameter_Template!L$228/(Parameter_Template!L$60/1000))+(Parameter_Template!L$229/(Parameter_Template!L$61/1000))))*0.25*9.81)</f>
        <v>20.103203694817655</v>
      </c>
      <c r="L54" s="114">
        <f>IF(OR(Parameter_Template!M$51="",Parameter_Template!M$52="",Parameter_Template!M$60="",Parameter_Template!M$61="",Parameter_Template!M$228="",Parameter_Template!M$229=""),"will be calculated",(Parameter_Template!M$51+Parameter_Template!M$52)/(2*((Parameter_Template!M$228/(Parameter_Template!M$60/1000))+(Parameter_Template!M$229/(Parameter_Template!M$61/1000))))*0.25*9.81)</f>
        <v>21.590473128598845</v>
      </c>
      <c r="M54" s="114" t="str">
        <f>IF(OR(Parameter_Template!N$51="",Parameter_Template!N$52="",Parameter_Template!N$60="",Parameter_Template!N$61="",Parameter_Template!N$228="",Parameter_Template!N$229=""),"will be calculated",(Parameter_Template!N$51+Parameter_Template!N$52)/(2*((Parameter_Template!N$228/(Parameter_Template!N$60/1000))+(Parameter_Template!N$229/(Parameter_Template!N$61/1000))))*0.25*9.81)</f>
        <v>will be calculated</v>
      </c>
      <c r="N54" s="114" t="str">
        <f>IF(OR(Parameter_Template!O$51="",Parameter_Template!O$52="",Parameter_Template!O$60="",Parameter_Template!O$61="",Parameter_Template!O$228="",Parameter_Template!O$229=""),"will be calculated",(Parameter_Template!O$51+Parameter_Template!O$52)/(2*((Parameter_Template!O$228/(Parameter_Template!O$60/1000))+(Parameter_Template!O$229/(Parameter_Template!O$61/1000))))*0.25*9.81)</f>
        <v>will be calculated</v>
      </c>
      <c r="O54" s="114" t="str">
        <f>IF(OR(Parameter_Template!P$51="",Parameter_Template!P$52="",Parameter_Template!P$60="",Parameter_Template!P$61="",Parameter_Template!P$228="",Parameter_Template!P$229=""),"will be calculated",(Parameter_Template!P$51+Parameter_Template!P$52)/(2*((Parameter_Template!P$228/(Parameter_Template!P$60/1000))+(Parameter_Template!P$229/(Parameter_Template!P$61/1000))))*0.25*9.81)</f>
        <v>will be calculated</v>
      </c>
      <c r="P54" s="114" t="str">
        <f>IF(OR(Parameter_Template!Q$51="",Parameter_Template!Q$52="",Parameter_Template!Q$60="",Parameter_Template!Q$61="",Parameter_Template!Q$228="",Parameter_Template!Q$229=""),"will be calculated",(Parameter_Template!Q$51+Parameter_Template!Q$52)/(2*((Parameter_Template!Q$228/(Parameter_Template!Q$60/1000))+(Parameter_Template!Q$229/(Parameter_Template!Q$61/1000))))*0.25*9.81)</f>
        <v>will be calculated</v>
      </c>
      <c r="Q54" s="114" t="str">
        <f>IF(OR(Parameter_Template!R$51="",Parameter_Template!R$52="",Parameter_Template!R$60="",Parameter_Template!R$61="",Parameter_Template!R$228="",Parameter_Template!R$229=""),"will be calculated",(Parameter_Template!R$51+Parameter_Template!R$52)/(2*((Parameter_Template!R$228/(Parameter_Template!R$60/1000))+(Parameter_Template!R$229/(Parameter_Template!R$61/1000))))*0.25*9.81)</f>
        <v>will be calculated</v>
      </c>
      <c r="R54" s="114" t="str">
        <f>IF(OR(Parameter_Template!S$51="",Parameter_Template!S$52="",Parameter_Template!S$60="",Parameter_Template!S$61="",Parameter_Template!S$228="",Parameter_Template!S$229=""),"will be calculated",(Parameter_Template!S$51+Parameter_Template!S$52)/(2*((Parameter_Template!S$228/(Parameter_Template!S$60/1000))+(Parameter_Template!S$229/(Parameter_Template!S$61/1000))))*0.25*9.81)</f>
        <v>will be calculated</v>
      </c>
      <c r="S54" s="114" t="str">
        <f>IF(OR(Parameter_Template!T$51="",Parameter_Template!T$52="",Parameter_Template!T$60="",Parameter_Template!T$61="",Parameter_Template!T$228="",Parameter_Template!T$229=""),"will be calculated",(Parameter_Template!T$51+Parameter_Template!T$52)/(2*((Parameter_Template!T$228/(Parameter_Template!T$60/1000))+(Parameter_Template!T$229/(Parameter_Template!T$61/1000))))*0.25*9.81)</f>
        <v>will be calculated</v>
      </c>
      <c r="T54" s="114" t="str">
        <f>IF(OR(Parameter_Template!U$51="",Parameter_Template!U$52="",Parameter_Template!U$60="",Parameter_Template!U$61="",Parameter_Template!U$228="",Parameter_Template!U$229=""),"will be calculated",(Parameter_Template!U$51+Parameter_Template!U$52)/(2*((Parameter_Template!U$228/(Parameter_Template!U$60/1000))+(Parameter_Template!U$229/(Parameter_Template!U$61/1000))))*0.25*9.81)</f>
        <v>will be calculated</v>
      </c>
      <c r="U54" s="76" t="s">
        <v>50</v>
      </c>
    </row>
    <row r="55" spans="1:21" ht="27.6">
      <c r="B55" s="818" t="s">
        <v>224</v>
      </c>
      <c r="C55" s="818"/>
      <c r="D55" s="818"/>
      <c r="E55" s="70"/>
      <c r="F55" s="115">
        <f>IF(OR(Parameter_Template!G$53="",Parameter_Template!G$54="",Parameter_Template!G$60="",Parameter_Template!G$61="",Parameter_Template!G$228="",Parameter_Template!G$229=""),"will be calculated",(Parameter_Template!G$53+Parameter_Template!G$54)/(2*((Parameter_Template!G$228/(Parameter_Template!G$60/1000))+(Parameter_Template!G$229/(Parameter_Template!G$61/1000))))*0.25*9.81)</f>
        <v>16.21356288559981</v>
      </c>
      <c r="G55" s="115">
        <f>IF(OR(Parameter_Template!H$53="",Parameter_Template!H$54="",Parameter_Template!H$60="",Parameter_Template!H$61="",Parameter_Template!H$228="",Parameter_Template!H$229=""),"will be calculated",(Parameter_Template!H$53+Parameter_Template!H$54)/(2*((Parameter_Template!H$228/(Parameter_Template!H$60/1000))+(Parameter_Template!H$229/(Parameter_Template!H$61/1000))))*0.25*9.81)</f>
        <v>17.664538699253161</v>
      </c>
      <c r="H55" s="115">
        <f>IF(OR(Parameter_Template!I$53="",Parameter_Template!I$54="",Parameter_Template!I$60="",Parameter_Template!I$61="",Parameter_Template!I$228="",Parameter_Template!I$229=""),"will be calculated",(Parameter_Template!I$53+Parameter_Template!I$54)/(2*((Parameter_Template!I$228/(Parameter_Template!I$60/1000))+(Parameter_Template!I$229/(Parameter_Template!I$61/1000))))*0.25*9.81)</f>
        <v>17.325669817622355</v>
      </c>
      <c r="I55" s="115">
        <f>IF(OR(Parameter_Template!J$53="",Parameter_Template!J$54="",Parameter_Template!J$60="",Parameter_Template!J$61="",Parameter_Template!J$228="",Parameter_Template!J$229=""),"will be calculated",(Parameter_Template!J$53+Parameter_Template!J$54)/(2*((Parameter_Template!J$228/(Parameter_Template!J$60/1000))+(Parameter_Template!J$229/(Parameter_Template!J$61/1000))))*0.25*9.81)</f>
        <v>17.747011716380758</v>
      </c>
      <c r="J55" s="115">
        <f>IF(OR(Parameter_Template!K$53="",Parameter_Template!K$54="",Parameter_Template!K$60="",Parameter_Template!K$61="",Parameter_Template!K$228="",Parameter_Template!K$229=""),"will be calculated",(Parameter_Template!K$53+Parameter_Template!K$54)/(2*((Parameter_Template!K$228/(Parameter_Template!K$60/1000))+(Parameter_Template!K$229/(Parameter_Template!K$61/1000))))*0.25*9.81)</f>
        <v>16.309024894954415</v>
      </c>
      <c r="K55" s="115">
        <f>IF(OR(Parameter_Template!L$53="",Parameter_Template!L$54="",Parameter_Template!L$60="",Parameter_Template!L$61="",Parameter_Template!L$228="",Parameter_Template!L$229=""),"will be calculated",(Parameter_Template!L$53+Parameter_Template!L$54)/(2*((Parameter_Template!L$228/(Parameter_Template!L$60/1000))+(Parameter_Template!L$229/(Parameter_Template!L$61/1000))))*0.25*9.81)</f>
        <v>17.334909672290436</v>
      </c>
      <c r="L55" s="115">
        <f>IF(OR(Parameter_Template!M$53="",Parameter_Template!M$54="",Parameter_Template!M$60="",Parameter_Template!M$61="",Parameter_Template!M$228="",Parameter_Template!M$229=""),"will be calculated",(Parameter_Template!M$53+Parameter_Template!M$54)/(2*((Parameter_Template!M$228/(Parameter_Template!M$60/1000))+(Parameter_Template!M$229/(Parameter_Template!M$61/1000))))*0.25*9.81)</f>
        <v>17.747011716380758</v>
      </c>
      <c r="M55" s="115" t="str">
        <f>IF(OR(Parameter_Template!N$53="",Parameter_Template!N$54="",Parameter_Template!N$60="",Parameter_Template!N$61="",Parameter_Template!N$228="",Parameter_Template!N$229=""),"will be calculated",(Parameter_Template!N$53+Parameter_Template!N$54)/(2*((Parameter_Template!N$228/(Parameter_Template!N$60/1000))+(Parameter_Template!N$229/(Parameter_Template!N$61/1000))))*0.25*9.81)</f>
        <v>will be calculated</v>
      </c>
      <c r="N55" s="115" t="str">
        <f>IF(OR(Parameter_Template!O$53="",Parameter_Template!O$54="",Parameter_Template!O$60="",Parameter_Template!O$61="",Parameter_Template!O$228="",Parameter_Template!O$229=""),"will be calculated",(Parameter_Template!O$53+Parameter_Template!O$54)/(2*((Parameter_Template!O$228/(Parameter_Template!O$60/1000))+(Parameter_Template!O$229/(Parameter_Template!O$61/1000))))*0.25*9.81)</f>
        <v>will be calculated</v>
      </c>
      <c r="O55" s="115" t="str">
        <f>IF(OR(Parameter_Template!P$53="",Parameter_Template!P$54="",Parameter_Template!P$60="",Parameter_Template!P$61="",Parameter_Template!P$228="",Parameter_Template!P$229=""),"will be calculated",(Parameter_Template!P$53+Parameter_Template!P$54)/(2*((Parameter_Template!P$228/(Parameter_Template!P$60/1000))+(Parameter_Template!P$229/(Parameter_Template!P$61/1000))))*0.25*9.81)</f>
        <v>will be calculated</v>
      </c>
      <c r="P55" s="115" t="str">
        <f>IF(OR(Parameter_Template!Q$53="",Parameter_Template!Q$54="",Parameter_Template!Q$60="",Parameter_Template!Q$61="",Parameter_Template!Q$228="",Parameter_Template!Q$229=""),"will be calculated",(Parameter_Template!Q$53+Parameter_Template!Q$54)/(2*((Parameter_Template!Q$228/(Parameter_Template!Q$60/1000))+(Parameter_Template!Q$229/(Parameter_Template!Q$61/1000))))*0.25*9.81)</f>
        <v>will be calculated</v>
      </c>
      <c r="Q55" s="115" t="str">
        <f>IF(OR(Parameter_Template!R$53="",Parameter_Template!R$54="",Parameter_Template!R$60="",Parameter_Template!R$61="",Parameter_Template!R$228="",Parameter_Template!R$229=""),"will be calculated",(Parameter_Template!R$53+Parameter_Template!R$54)/(2*((Parameter_Template!R$228/(Parameter_Template!R$60/1000))+(Parameter_Template!R$229/(Parameter_Template!R$61/1000))))*0.25*9.81)</f>
        <v>will be calculated</v>
      </c>
      <c r="R55" s="115" t="str">
        <f>IF(OR(Parameter_Template!S$53="",Parameter_Template!S$54="",Parameter_Template!S$60="",Parameter_Template!S$61="",Parameter_Template!S$228="",Parameter_Template!S$229=""),"will be calculated",(Parameter_Template!S$53+Parameter_Template!S$54)/(2*((Parameter_Template!S$228/(Parameter_Template!S$60/1000))+(Parameter_Template!S$229/(Parameter_Template!S$61/1000))))*0.25*9.81)</f>
        <v>will be calculated</v>
      </c>
      <c r="S55" s="115" t="str">
        <f>IF(OR(Parameter_Template!T$53="",Parameter_Template!T$54="",Parameter_Template!T$60="",Parameter_Template!T$61="",Parameter_Template!T$228="",Parameter_Template!T$229=""),"will be calculated",(Parameter_Template!T$53+Parameter_Template!T$54)/(2*((Parameter_Template!T$228/(Parameter_Template!T$60/1000))+(Parameter_Template!T$229/(Parameter_Template!T$61/1000))))*0.25*9.81)</f>
        <v>will be calculated</v>
      </c>
      <c r="T55" s="115" t="str">
        <f>IF(OR(Parameter_Template!U$53="",Parameter_Template!U$54="",Parameter_Template!U$60="",Parameter_Template!U$61="",Parameter_Template!U$228="",Parameter_Template!U$229=""),"will be calculated",(Parameter_Template!U$53+Parameter_Template!U$54)/(2*((Parameter_Template!U$228/(Parameter_Template!U$60/1000))+(Parameter_Template!U$229/(Parameter_Template!U$61/1000))))*0.25*9.81)</f>
        <v>will be calculated</v>
      </c>
      <c r="U55" s="76" t="s">
        <v>50</v>
      </c>
    </row>
    <row r="57" spans="1:21">
      <c r="A57" t="s">
        <v>709</v>
      </c>
    </row>
    <row r="58" spans="1:21" ht="27.6">
      <c r="B58" s="818" t="s">
        <v>704</v>
      </c>
      <c r="C58" s="818"/>
      <c r="D58" s="818"/>
      <c r="E58" s="70"/>
      <c r="F58" s="114">
        <f>IF(OR(Parameter_Template!G$51="",Parameter_Template!G$52="",Parameter_Template!G$60="",Parameter_Template!G$228=""),"will be calculated",(Parameter_Template!G$51+Parameter_Template!G$52)/(2*(Parameter_Template!G$228/(Parameter_Template!G$60/1000)))*0.25*9.81)</f>
        <v>24.596198546511626</v>
      </c>
      <c r="G58" s="114">
        <f>IF(OR(Parameter_Template!H$51="",Parameter_Template!H$52="",Parameter_Template!H$60="",Parameter_Template!H$228=""),"will be calculated",(Parameter_Template!H$51+Parameter_Template!H$52)/(2*(Parameter_Template!H$228/(Parameter_Template!H$60/1000)))*0.25*9.81)</f>
        <v>26.242859011627903</v>
      </c>
      <c r="H58" s="114">
        <f>IF(OR(Parameter_Template!I$51="",Parameter_Template!I$52="",Parameter_Template!I$60="",Parameter_Template!I$228=""),"will be calculated",(Parameter_Template!I$51+Parameter_Template!I$52)/(2*(Parameter_Template!I$228/(Parameter_Template!I$60/1000)))*0.25*9.81)</f>
        <v>26.321598837209301</v>
      </c>
      <c r="I58" s="114">
        <f>IF(OR(Parameter_Template!J$51="",Parameter_Template!J$52="",Parameter_Template!J$60="",Parameter_Template!J$228=""),"will be calculated",(Parameter_Template!J$51+Parameter_Template!J$52)/(2*(Parameter_Template!J$228/(Parameter_Template!J$60/1000)))*0.25*9.81)</f>
        <v>28.34633720930232</v>
      </c>
      <c r="J58" s="114">
        <f>IF(OR(Parameter_Template!K$51="",Parameter_Template!K$52="",Parameter_Template!K$60="",Parameter_Template!K$228=""),"will be calculated",(Parameter_Template!K$51+Parameter_Template!K$52)/(2*(Parameter_Template!K$228/(Parameter_Template!K$60/1000)))*0.25*9.81)</f>
        <v>25.367975581395346</v>
      </c>
      <c r="K58" s="114">
        <f>IF(OR(Parameter_Template!L$51="",Parameter_Template!L$52="",Parameter_Template!L$60="",Parameter_Template!L$228=""),"will be calculated",(Parameter_Template!L$51+Parameter_Template!L$52)/(2*(Parameter_Template!L$228/(Parameter_Template!L$60/1000)))*0.25*9.81)</f>
        <v>27.064002906976739</v>
      </c>
      <c r="L58" s="114">
        <f>IF(OR(Parameter_Template!M$51="",Parameter_Template!M$52="",Parameter_Template!M$60="",Parameter_Template!M$228=""),"will be calculated",(Parameter_Template!M$51+Parameter_Template!M$52)/(2*(Parameter_Template!M$228/(Parameter_Template!M$60/1000)))*0.25*9.81)</f>
        <v>29.066244186046507</v>
      </c>
      <c r="M58" s="114" t="str">
        <f>IF(OR(Parameter_Template!N$51="",Parameter_Template!N$52="",Parameter_Template!N$60="",Parameter_Template!N$228=""),"will be calculated",(Parameter_Template!N$51+Parameter_Template!N$52)/(2*(Parameter_Template!N$228/(Parameter_Template!N$60/1000)))*0.25*9.81)</f>
        <v>will be calculated</v>
      </c>
      <c r="N58" s="114" t="str">
        <f>IF(OR(Parameter_Template!O$51="",Parameter_Template!O$52="",Parameter_Template!O$60="",Parameter_Template!O$228=""),"will be calculated",(Parameter_Template!O$51+Parameter_Template!O$52)/(2*(Parameter_Template!O$228/(Parameter_Template!O$60/1000)))*0.25*9.81)</f>
        <v>will be calculated</v>
      </c>
      <c r="O58" s="114" t="str">
        <f>IF(OR(Parameter_Template!P$51="",Parameter_Template!P$52="",Parameter_Template!P$60="",Parameter_Template!P$228=""),"will be calculated",(Parameter_Template!P$51+Parameter_Template!P$52)/(2*(Parameter_Template!P$228/(Parameter_Template!P$60/1000)))*0.25*9.81)</f>
        <v>will be calculated</v>
      </c>
      <c r="P58" s="114" t="str">
        <f>IF(OR(Parameter_Template!Q$51="",Parameter_Template!Q$52="",Parameter_Template!Q$60="",Parameter_Template!Q$228=""),"will be calculated",(Parameter_Template!Q$51+Parameter_Template!Q$52)/(2*(Parameter_Template!Q$228/(Parameter_Template!Q$60/1000)))*0.25*9.81)</f>
        <v>will be calculated</v>
      </c>
      <c r="Q58" s="114" t="str">
        <f>IF(OR(Parameter_Template!R$51="",Parameter_Template!R$52="",Parameter_Template!R$60="",Parameter_Template!R$228=""),"will be calculated",(Parameter_Template!R$51+Parameter_Template!R$52)/(2*(Parameter_Template!R$228/(Parameter_Template!R$60/1000)))*0.25*9.81)</f>
        <v>will be calculated</v>
      </c>
      <c r="R58" s="114" t="str">
        <f>IF(OR(Parameter_Template!S$51="",Parameter_Template!S$52="",Parameter_Template!S$60="",Parameter_Template!S$228=""),"will be calculated",(Parameter_Template!S$51+Parameter_Template!S$52)/(2*(Parameter_Template!S$228/(Parameter_Template!S$60/1000)))*0.25*9.81)</f>
        <v>will be calculated</v>
      </c>
      <c r="S58" s="114" t="str">
        <f>IF(OR(Parameter_Template!T$51="",Parameter_Template!T$52="",Parameter_Template!T$60="",Parameter_Template!T$228=""),"will be calculated",(Parameter_Template!T$51+Parameter_Template!T$52)/(2*(Parameter_Template!T$228/(Parameter_Template!T$60/1000)))*0.25*9.81)</f>
        <v>will be calculated</v>
      </c>
      <c r="T58" s="114" t="str">
        <f>IF(OR(Parameter_Template!U$51="",Parameter_Template!U$52="",Parameter_Template!U$60="",Parameter_Template!U$228=""),"will be calculated",(Parameter_Template!U$51+Parameter_Template!U$52)/(2*(Parameter_Template!U$228/(Parameter_Template!U$60/1000)))*0.25*9.81)</f>
        <v>will be calculated</v>
      </c>
      <c r="U58" s="76" t="s">
        <v>50</v>
      </c>
    </row>
    <row r="59" spans="1:21" ht="27.6">
      <c r="B59" s="818" t="s">
        <v>705</v>
      </c>
      <c r="C59" s="818"/>
      <c r="D59" s="818"/>
      <c r="E59" s="70"/>
      <c r="F59" s="115">
        <f>IF(OR(Parameter_Template!G$51="",Parameter_Template!G$52="",Parameter_Template!G$61="",Parameter_Template!G$229=""),"will be calculated",(Parameter_Template!G$51+Parameter_Template!G$52)/(2*(Parameter_Template!G$229/(Parameter_Template!G$61/1000)))*0.25*9.81)</f>
        <v>71.035289832089546</v>
      </c>
      <c r="G59" s="115">
        <f>IF(OR(Parameter_Template!H$51="",Parameter_Template!H$52="",Parameter_Template!H$61="",Parameter_Template!H$229=""),"will be calculated",(Parameter_Template!H$51+Parameter_Template!H$52)/(2*(Parameter_Template!H$229/(Parameter_Template!H$61/1000)))*0.25*9.81)</f>
        <v>75.790943563432833</v>
      </c>
      <c r="H59" s="115">
        <f>IF(OR(Parameter_Template!I$51="",Parameter_Template!I$52="",Parameter_Template!I$61="",Parameter_Template!I$229=""),"will be calculated",(Parameter_Template!I$51+Parameter_Template!I$52)/(2*(Parameter_Template!I$229/(Parameter_Template!I$61/1000)))*0.25*9.81)</f>
        <v>76.018348880597017</v>
      </c>
      <c r="I59" s="115">
        <f>IF(OR(Parameter_Template!J$51="",Parameter_Template!J$52="",Parameter_Template!J$61="",Parameter_Template!J$229=""),"will be calculated",(Parameter_Template!J$51+Parameter_Template!J$52)/(2*(Parameter_Template!J$229/(Parameter_Template!J$61/1000)))*0.25*9.81)</f>
        <v>81.865914179104479</v>
      </c>
      <c r="J59" s="115">
        <f>IF(OR(Parameter_Template!K$51="",Parameter_Template!K$52="",Parameter_Template!K$61="",Parameter_Template!K$229=""),"will be calculated",(Parameter_Template!K$51+Parameter_Template!K$52)/(2*(Parameter_Template!K$229/(Parameter_Template!K$61/1000)))*0.25*9.81)</f>
        <v>73.264227985074626</v>
      </c>
      <c r="K59" s="115">
        <f>IF(OR(Parameter_Template!L$51="",Parameter_Template!L$52="",Parameter_Template!L$61="",Parameter_Template!L$229=""),"will be calculated",(Parameter_Template!L$51+Parameter_Template!L$52)/(2*(Parameter_Template!L$229/(Parameter_Template!L$61/1000)))*0.25*9.81)</f>
        <v>78.162456156716416</v>
      </c>
      <c r="L59" s="115">
        <f>IF(OR(Parameter_Template!M$51="",Parameter_Template!M$52="",Parameter_Template!M$61="",Parameter_Template!M$229=""),"will be calculated",(Parameter_Template!M$51+Parameter_Template!M$52)/(2*(Parameter_Template!M$229/(Parameter_Template!M$61/1000)))*0.25*9.81)</f>
        <v>83.945048507462687</v>
      </c>
      <c r="M59" s="115" t="str">
        <f>IF(OR(Parameter_Template!N$51="",Parameter_Template!N$52="",Parameter_Template!N$61="",Parameter_Template!N$229=""),"will be calculated",(Parameter_Template!N$51+Parameter_Template!N$52)/(2*(Parameter_Template!N$229/(Parameter_Template!N$61/1000)))*0.25*9.81)</f>
        <v>will be calculated</v>
      </c>
      <c r="N59" s="115" t="str">
        <f>IF(OR(Parameter_Template!O$51="",Parameter_Template!O$52="",Parameter_Template!O$61="",Parameter_Template!O$229=""),"will be calculated",(Parameter_Template!O$51+Parameter_Template!O$52)/(2*(Parameter_Template!O$229/(Parameter_Template!O$61/1000)))*0.25*9.81)</f>
        <v>will be calculated</v>
      </c>
      <c r="O59" s="115" t="str">
        <f>IF(OR(Parameter_Template!P$51="",Parameter_Template!P$52="",Parameter_Template!P$61="",Parameter_Template!P$229=""),"will be calculated",(Parameter_Template!P$51+Parameter_Template!P$52)/(2*(Parameter_Template!P$229/(Parameter_Template!P$61/1000)))*0.25*9.81)</f>
        <v>will be calculated</v>
      </c>
      <c r="P59" s="115" t="str">
        <f>IF(OR(Parameter_Template!Q$51="",Parameter_Template!Q$52="",Parameter_Template!Q$61="",Parameter_Template!Q$229=""),"will be calculated",(Parameter_Template!Q$51+Parameter_Template!Q$52)/(2*(Parameter_Template!Q$229/(Parameter_Template!Q$61/1000)))*0.25*9.81)</f>
        <v>will be calculated</v>
      </c>
      <c r="Q59" s="115" t="str">
        <f>IF(OR(Parameter_Template!R$51="",Parameter_Template!R$52="",Parameter_Template!R$61="",Parameter_Template!R$229=""),"will be calculated",(Parameter_Template!R$51+Parameter_Template!R$52)/(2*(Parameter_Template!R$229/(Parameter_Template!R$61/1000)))*0.25*9.81)</f>
        <v>will be calculated</v>
      </c>
      <c r="R59" s="115" t="str">
        <f>IF(OR(Parameter_Template!S$51="",Parameter_Template!S$52="",Parameter_Template!S$61="",Parameter_Template!S$229=""),"will be calculated",(Parameter_Template!S$51+Parameter_Template!S$52)/(2*(Parameter_Template!S$229/(Parameter_Template!S$61/1000)))*0.25*9.81)</f>
        <v>will be calculated</v>
      </c>
      <c r="S59" s="115" t="str">
        <f>IF(OR(Parameter_Template!T$51="",Parameter_Template!T$52="",Parameter_Template!T$61="",Parameter_Template!T$229=""),"will be calculated",(Parameter_Template!T$51+Parameter_Template!T$52)/(2*(Parameter_Template!T$229/(Parameter_Template!T$61/1000)))*0.25*9.81)</f>
        <v>will be calculated</v>
      </c>
      <c r="T59" s="115" t="str">
        <f>IF(OR(Parameter_Template!U$51="",Parameter_Template!U$52="",Parameter_Template!U$61="",Parameter_Template!U$229=""),"will be calculated",(Parameter_Template!U$51+Parameter_Template!U$52)/(2*(Parameter_Template!U$229/(Parameter_Template!U$61/1000)))*0.25*9.81)</f>
        <v>will be calculated</v>
      </c>
      <c r="U59" s="76" t="s">
        <v>50</v>
      </c>
    </row>
    <row r="60" spans="1:21" ht="27.6">
      <c r="B60" s="818" t="s">
        <v>706</v>
      </c>
      <c r="C60" s="818"/>
      <c r="D60" s="818"/>
      <c r="E60" s="70"/>
      <c r="F60" s="114">
        <f>IF(OR(Parameter_Template!G$53="",Parameter_Template!G$54="",Parameter_Template!G$60="",Parameter_Template!G$228=""),"will be calculated",(Parameter_Template!G$53+Parameter_Template!G$54)/(2*(Parameter_Template!G$228/(Parameter_Template!G$60/1000)))*0.25*9.81)</f>
        <v>21.827561404127909</v>
      </c>
      <c r="G60" s="114">
        <f>IF(OR(Parameter_Template!H$53="",Parameter_Template!H$54="",Parameter_Template!H$60="",Parameter_Template!H$228=""),"will be calculated",(Parameter_Template!H$53+Parameter_Template!H$54)/(2*(Parameter_Template!H$228/(Parameter_Template!H$60/1000)))*0.25*9.81)</f>
        <v>23.78094227987312</v>
      </c>
      <c r="H60" s="114">
        <f>IF(OR(Parameter_Template!I$53="",Parameter_Template!I$54="",Parameter_Template!I$60="",Parameter_Template!I$228=""),"will be calculated",(Parameter_Template!I$53+Parameter_Template!I$54)/(2*(Parameter_Template!I$228/(Parameter_Template!I$60/1000)))*0.25*9.81)</f>
        <v>23.324738953439919</v>
      </c>
      <c r="I60" s="114">
        <f>IF(OR(Parameter_Template!J$53="",Parameter_Template!J$54="",Parameter_Template!J$60="",Parameter_Template!J$228=""),"will be calculated",(Parameter_Template!J$53+Parameter_Template!J$54)/(2*(Parameter_Template!J$228/(Parameter_Template!J$60/1000)))*0.25*9.81)</f>
        <v>23.891971845566857</v>
      </c>
      <c r="J60" s="114">
        <f>IF(OR(Parameter_Template!K$53="",Parameter_Template!K$54="",Parameter_Template!K$60="",Parameter_Template!K$228=""),"will be calculated",(Parameter_Template!K$53+Parameter_Template!K$54)/(2*(Parameter_Template!K$228/(Parameter_Template!K$60/1000)))*0.25*9.81)</f>
        <v>21.956077442561369</v>
      </c>
      <c r="K60" s="114">
        <f>IF(OR(Parameter_Template!L$53="",Parameter_Template!L$54="",Parameter_Template!L$60="",Parameter_Template!L$228=""),"will be calculated",(Parameter_Template!L$53+Parameter_Template!L$54)/(2*(Parameter_Template!L$228/(Parameter_Template!L$60/1000)))*0.25*9.81)</f>
        <v>23.337178137631312</v>
      </c>
      <c r="L60" s="114">
        <f>IF(OR(Parameter_Template!M$53="",Parameter_Template!M$54="",Parameter_Template!M$60="",Parameter_Template!M$228=""),"will be calculated",(Parameter_Template!M$53+Parameter_Template!M$54)/(2*(Parameter_Template!M$228/(Parameter_Template!M$60/1000)))*0.25*9.81)</f>
        <v>23.891971845566857</v>
      </c>
      <c r="M60" s="114" t="str">
        <f>IF(OR(Parameter_Template!N$53="",Parameter_Template!N$54="",Parameter_Template!N$60="",Parameter_Template!N$228=""),"will be calculated",(Parameter_Template!N$53+Parameter_Template!N$54)/(2*(Parameter_Template!N$228/(Parameter_Template!N$60/1000)))*0.25*9.81)</f>
        <v>will be calculated</v>
      </c>
      <c r="N60" s="114" t="str">
        <f>IF(OR(Parameter_Template!O$53="",Parameter_Template!O$54="",Parameter_Template!O$60="",Parameter_Template!O$228=""),"will be calculated",(Parameter_Template!O$53+Parameter_Template!O$54)/(2*(Parameter_Template!O$228/(Parameter_Template!O$60/1000)))*0.25*9.81)</f>
        <v>will be calculated</v>
      </c>
      <c r="O60" s="114" t="str">
        <f>IF(OR(Parameter_Template!P$53="",Parameter_Template!P$54="",Parameter_Template!P$60="",Parameter_Template!P$228=""),"will be calculated",(Parameter_Template!P$53+Parameter_Template!P$54)/(2*(Parameter_Template!P$228/(Parameter_Template!P$60/1000)))*0.25*9.81)</f>
        <v>will be calculated</v>
      </c>
      <c r="P60" s="114" t="str">
        <f>IF(OR(Parameter_Template!Q$53="",Parameter_Template!Q$54="",Parameter_Template!Q$60="",Parameter_Template!Q$228=""),"will be calculated",(Parameter_Template!Q$53+Parameter_Template!Q$54)/(2*(Parameter_Template!Q$228/(Parameter_Template!Q$60/1000)))*0.25*9.81)</f>
        <v>will be calculated</v>
      </c>
      <c r="Q60" s="114" t="str">
        <f>IF(OR(Parameter_Template!R$53="",Parameter_Template!R$54="",Parameter_Template!R$60="",Parameter_Template!R$228=""),"will be calculated",(Parameter_Template!R$53+Parameter_Template!R$54)/(2*(Parameter_Template!R$228/(Parameter_Template!R$60/1000)))*0.25*9.81)</f>
        <v>will be calculated</v>
      </c>
      <c r="R60" s="114" t="str">
        <f>IF(OR(Parameter_Template!S$53="",Parameter_Template!S$54="",Parameter_Template!S$60="",Parameter_Template!S$228=""),"will be calculated",(Parameter_Template!S$53+Parameter_Template!S$54)/(2*(Parameter_Template!S$228/(Parameter_Template!S$60/1000)))*0.25*9.81)</f>
        <v>will be calculated</v>
      </c>
      <c r="S60" s="114" t="str">
        <f>IF(OR(Parameter_Template!T$53="",Parameter_Template!T$54="",Parameter_Template!T$60="",Parameter_Template!T$228=""),"will be calculated",(Parameter_Template!T$53+Parameter_Template!T$54)/(2*(Parameter_Template!T$228/(Parameter_Template!T$60/1000)))*0.25*9.81)</f>
        <v>will be calculated</v>
      </c>
      <c r="T60" s="114" t="str">
        <f>IF(OR(Parameter_Template!U$53="",Parameter_Template!U$54="",Parameter_Template!U$60="",Parameter_Template!U$228=""),"will be calculated",(Parameter_Template!U$53+Parameter_Template!U$54)/(2*(Parameter_Template!U$228/(Parameter_Template!U$60/1000)))*0.25*9.81)</f>
        <v>will be calculated</v>
      </c>
      <c r="U60" s="76" t="s">
        <v>50</v>
      </c>
    </row>
    <row r="61" spans="1:21" ht="27.6">
      <c r="B61" s="818" t="s">
        <v>707</v>
      </c>
      <c r="C61" s="818"/>
      <c r="D61" s="818"/>
      <c r="E61" s="70"/>
      <c r="F61" s="115">
        <f>IF(OR(Parameter_Template!G$53="",Parameter_Template!G$54="",Parameter_Template!G$61="",Parameter_Template!G$229=""),"will be calculated",(Parameter_Template!G$53+Parameter_Template!G$54)/(2*(Parameter_Template!G$229/(Parameter_Template!G$61/1000)))*0.25*9.81)</f>
        <v>63.039300473115667</v>
      </c>
      <c r="G61" s="115">
        <f>IF(OR(Parameter_Template!H$53="",Parameter_Template!H$54="",Parameter_Template!H$61="",Parameter_Template!H$229=""),"will be calculated",(Parameter_Template!H$53+Parameter_Template!H$54)/(2*(Parameter_Template!H$229/(Parameter_Template!H$61/1000)))*0.25*9.81)</f>
        <v>68.680781062021623</v>
      </c>
      <c r="H61" s="115">
        <f>IF(OR(Parameter_Template!I$53="",Parameter_Template!I$54="",Parameter_Template!I$61="",Parameter_Template!I$229=""),"will be calculated",(Parameter_Template!I$53+Parameter_Template!I$54)/(2*(Parameter_Template!I$229/(Parameter_Template!I$61/1000)))*0.25*9.81)</f>
        <v>67.363238619263058</v>
      </c>
      <c r="I61" s="115">
        <f>IF(OR(Parameter_Template!J$53="",Parameter_Template!J$54="",Parameter_Template!J$61="",Parameter_Template!J$229=""),"will be calculated",(Parameter_Template!J$53+Parameter_Template!J$54)/(2*(Parameter_Template!J$229/(Parameter_Template!J$61/1000)))*0.25*9.81)</f>
        <v>69.00144107637594</v>
      </c>
      <c r="J61" s="115">
        <f>IF(OR(Parameter_Template!K$53="",Parameter_Template!K$54="",Parameter_Template!K$61="",Parameter_Template!K$229=""),"will be calculated",(Parameter_Template!K$53+Parameter_Template!K$54)/(2*(Parameter_Template!K$229/(Parameter_Template!K$61/1000)))*0.25*9.81)</f>
        <v>63.410462464710818</v>
      </c>
      <c r="K61" s="115">
        <f>IF(OR(Parameter_Template!L$53="",Parameter_Template!L$54="",Parameter_Template!L$61="",Parameter_Template!L$229=""),"will be calculated",(Parameter_Template!L$53+Parameter_Template!L$54)/(2*(Parameter_Template!L$229/(Parameter_Template!L$61/1000)))*0.25*9.81)</f>
        <v>67.399163725845654</v>
      </c>
      <c r="L61" s="115">
        <f>IF(OR(Parameter_Template!M$53="",Parameter_Template!M$54="",Parameter_Template!M$61="",Parameter_Template!M$229=""),"will be calculated",(Parameter_Template!M$53+Parameter_Template!M$54)/(2*(Parameter_Template!M$229/(Parameter_Template!M$61/1000)))*0.25*9.81)</f>
        <v>69.00144107637594</v>
      </c>
      <c r="M61" s="115" t="str">
        <f>IF(OR(Parameter_Template!N$53="",Parameter_Template!N$54="",Parameter_Template!N$61="",Parameter_Template!N$229=""),"will be calculated",(Parameter_Template!N$53+Parameter_Template!N$54)/(2*(Parameter_Template!N$229/(Parameter_Template!N$61/1000)))*0.25*9.81)</f>
        <v>will be calculated</v>
      </c>
      <c r="N61" s="115" t="str">
        <f>IF(OR(Parameter_Template!O$53="",Parameter_Template!O$54="",Parameter_Template!O$61="",Parameter_Template!O$229=""),"will be calculated",(Parameter_Template!O$53+Parameter_Template!O$54)/(2*(Parameter_Template!O$229/(Parameter_Template!O$61/1000)))*0.25*9.81)</f>
        <v>will be calculated</v>
      </c>
      <c r="O61" s="115" t="str">
        <f>IF(OR(Parameter_Template!P$53="",Parameter_Template!P$54="",Parameter_Template!P$61="",Parameter_Template!P$229=""),"will be calculated",(Parameter_Template!P$53+Parameter_Template!P$54)/(2*(Parameter_Template!P$229/(Parameter_Template!P$61/1000)))*0.25*9.81)</f>
        <v>will be calculated</v>
      </c>
      <c r="P61" s="115" t="str">
        <f>IF(OR(Parameter_Template!Q$53="",Parameter_Template!Q$54="",Parameter_Template!Q$61="",Parameter_Template!Q$229=""),"will be calculated",(Parameter_Template!Q$53+Parameter_Template!Q$54)/(2*(Parameter_Template!Q$229/(Parameter_Template!Q$61/1000)))*0.25*9.81)</f>
        <v>will be calculated</v>
      </c>
      <c r="Q61" s="115" t="str">
        <f>IF(OR(Parameter_Template!R$53="",Parameter_Template!R$54="",Parameter_Template!R$61="",Parameter_Template!R$229=""),"will be calculated",(Parameter_Template!R$53+Parameter_Template!R$54)/(2*(Parameter_Template!R$229/(Parameter_Template!R$61/1000)))*0.25*9.81)</f>
        <v>will be calculated</v>
      </c>
      <c r="R61" s="115" t="str">
        <f>IF(OR(Parameter_Template!S$53="",Parameter_Template!S$54="",Parameter_Template!S$61="",Parameter_Template!S$229=""),"will be calculated",(Parameter_Template!S$53+Parameter_Template!S$54)/(2*(Parameter_Template!S$229/(Parameter_Template!S$61/1000)))*0.25*9.81)</f>
        <v>will be calculated</v>
      </c>
      <c r="S61" s="115" t="str">
        <f>IF(OR(Parameter_Template!T$53="",Parameter_Template!T$54="",Parameter_Template!T$61="",Parameter_Template!T$229=""),"will be calculated",(Parameter_Template!T$53+Parameter_Template!T$54)/(2*(Parameter_Template!T$229/(Parameter_Template!T$61/1000)))*0.25*9.81)</f>
        <v>will be calculated</v>
      </c>
      <c r="T61" s="115" t="str">
        <f>IF(OR(Parameter_Template!U$53="",Parameter_Template!U$54="",Parameter_Template!U$61="",Parameter_Template!U$229=""),"will be calculated",(Parameter_Template!U$53+Parameter_Template!U$54)/(2*(Parameter_Template!U$229/(Parameter_Template!U$61/1000)))*0.25*9.81)</f>
        <v>will be calculated</v>
      </c>
      <c r="U61" s="76" t="s">
        <v>50</v>
      </c>
    </row>
    <row r="63" spans="1:21">
      <c r="A63" s="73" t="s">
        <v>260</v>
      </c>
      <c r="B63" s="73" t="s">
        <v>378</v>
      </c>
    </row>
    <row r="65" spans="1:9">
      <c r="A65" s="73" t="s">
        <v>261</v>
      </c>
      <c r="B65" t="s">
        <v>328</v>
      </c>
    </row>
    <row r="66" spans="1:9">
      <c r="B66" t="s">
        <v>329</v>
      </c>
    </row>
    <row r="68" spans="1:9">
      <c r="A68" s="73" t="s">
        <v>260</v>
      </c>
      <c r="B68" s="73" t="s">
        <v>369</v>
      </c>
    </row>
    <row r="70" spans="1:9">
      <c r="A70" s="73" t="s">
        <v>261</v>
      </c>
      <c r="B70" t="s">
        <v>575</v>
      </c>
    </row>
    <row r="71" spans="1:9">
      <c r="B71" t="s">
        <v>381</v>
      </c>
    </row>
    <row r="73" spans="1:9">
      <c r="B73" s="821" t="s">
        <v>370</v>
      </c>
      <c r="C73" s="821"/>
      <c r="E73" s="821" t="s">
        <v>371</v>
      </c>
      <c r="F73" s="821"/>
      <c r="H73" s="821" t="s">
        <v>372</v>
      </c>
      <c r="I73" s="821"/>
    </row>
    <row r="74" spans="1:9">
      <c r="B74" s="821"/>
      <c r="C74" s="821"/>
      <c r="E74" s="821"/>
      <c r="F74" s="821"/>
      <c r="H74" s="821"/>
      <c r="I74" s="821"/>
    </row>
    <row r="75" spans="1:9">
      <c r="B75" s="821"/>
      <c r="C75" s="821"/>
      <c r="E75" s="821"/>
      <c r="F75" s="821"/>
      <c r="H75" s="821"/>
      <c r="I75" s="821"/>
    </row>
    <row r="76" spans="1:9" ht="16.2">
      <c r="B76" s="129" t="s">
        <v>50</v>
      </c>
      <c r="C76" s="129" t="s">
        <v>373</v>
      </c>
      <c r="E76" s="129" t="s">
        <v>50</v>
      </c>
      <c r="F76" s="129" t="s">
        <v>373</v>
      </c>
      <c r="H76" s="129" t="s">
        <v>50</v>
      </c>
      <c r="I76" s="129" t="s">
        <v>373</v>
      </c>
    </row>
    <row r="77" spans="1:9">
      <c r="B77">
        <v>0</v>
      </c>
      <c r="C77" s="130">
        <v>0</v>
      </c>
      <c r="E77">
        <v>0</v>
      </c>
      <c r="F77" s="130">
        <v>0</v>
      </c>
      <c r="H77">
        <v>0</v>
      </c>
      <c r="I77" s="130">
        <v>0</v>
      </c>
    </row>
    <row r="78" spans="1:9">
      <c r="B78">
        <v>2</v>
      </c>
      <c r="C78" s="130">
        <v>0.15</v>
      </c>
      <c r="E78">
        <v>2</v>
      </c>
      <c r="F78" s="130">
        <v>0.25</v>
      </c>
      <c r="H78">
        <v>2</v>
      </c>
      <c r="I78" s="130">
        <v>0.02</v>
      </c>
    </row>
    <row r="79" spans="1:9">
      <c r="B79">
        <v>5</v>
      </c>
      <c r="C79" s="130">
        <v>0.26879999999999998</v>
      </c>
      <c r="E79">
        <v>5</v>
      </c>
      <c r="F79" s="130">
        <v>0.44800000000000001</v>
      </c>
      <c r="H79">
        <v>5</v>
      </c>
      <c r="I79" s="130">
        <v>0.05</v>
      </c>
    </row>
    <row r="80" spans="1:9">
      <c r="B80">
        <v>10</v>
      </c>
      <c r="C80" s="130">
        <v>0.38100000000000001</v>
      </c>
      <c r="E80">
        <v>10</v>
      </c>
      <c r="F80" s="130">
        <v>0.63500000000000001</v>
      </c>
      <c r="H80">
        <v>10</v>
      </c>
      <c r="I80" s="130">
        <v>0.1</v>
      </c>
    </row>
    <row r="81" spans="2:9">
      <c r="B81">
        <v>15</v>
      </c>
      <c r="C81" s="130">
        <v>0.46200000000000002</v>
      </c>
      <c r="E81">
        <v>15</v>
      </c>
      <c r="F81" s="130">
        <v>0.77</v>
      </c>
      <c r="H81">
        <v>15</v>
      </c>
      <c r="I81" s="130">
        <v>0.15</v>
      </c>
    </row>
    <row r="82" spans="2:9">
      <c r="B82">
        <v>20</v>
      </c>
      <c r="C82" s="130">
        <v>0.53400000000000003</v>
      </c>
      <c r="E82">
        <v>20</v>
      </c>
      <c r="F82" s="130">
        <v>0.89</v>
      </c>
      <c r="H82">
        <v>20</v>
      </c>
      <c r="I82" s="130">
        <v>0.2</v>
      </c>
    </row>
    <row r="83" spans="2:9">
      <c r="B83">
        <v>30</v>
      </c>
      <c r="C83" s="130">
        <v>0.70799999999999996</v>
      </c>
      <c r="E83">
        <v>30</v>
      </c>
      <c r="F83" s="130">
        <v>1.18</v>
      </c>
      <c r="H83">
        <v>30</v>
      </c>
      <c r="I83" s="130">
        <v>0.3</v>
      </c>
    </row>
    <row r="84" spans="2:9">
      <c r="B84">
        <v>60</v>
      </c>
      <c r="C84" s="130">
        <v>1.002</v>
      </c>
      <c r="E84">
        <v>60</v>
      </c>
      <c r="F84" s="130">
        <v>1.67</v>
      </c>
      <c r="H84">
        <v>60</v>
      </c>
      <c r="I84" s="130">
        <v>0.6</v>
      </c>
    </row>
    <row r="85" spans="2:9">
      <c r="B85">
        <v>80</v>
      </c>
      <c r="C85" s="130">
        <v>1.1976</v>
      </c>
      <c r="E85">
        <v>80</v>
      </c>
      <c r="F85" s="130">
        <v>1.996</v>
      </c>
      <c r="H85">
        <v>80</v>
      </c>
      <c r="I85" s="130">
        <v>0.8</v>
      </c>
    </row>
    <row r="86" spans="2:9">
      <c r="B86">
        <v>100</v>
      </c>
      <c r="C86" s="130">
        <v>1.38</v>
      </c>
      <c r="E86">
        <v>100</v>
      </c>
      <c r="F86" s="130">
        <v>2.2999999999999998</v>
      </c>
      <c r="H86">
        <v>100</v>
      </c>
      <c r="I86" s="130">
        <v>1</v>
      </c>
    </row>
    <row r="87" spans="2:9">
      <c r="B87">
        <v>150</v>
      </c>
      <c r="C87" s="130">
        <v>1.794</v>
      </c>
      <c r="E87">
        <v>150</v>
      </c>
      <c r="F87" s="130">
        <v>2.99</v>
      </c>
      <c r="H87">
        <v>150</v>
      </c>
      <c r="I87" s="130">
        <v>1.5</v>
      </c>
    </row>
    <row r="88" spans="2:9">
      <c r="B88">
        <v>200</v>
      </c>
      <c r="C88" s="130">
        <v>2.16</v>
      </c>
      <c r="E88">
        <v>200</v>
      </c>
      <c r="F88" s="130">
        <v>3.6</v>
      </c>
      <c r="H88">
        <v>200</v>
      </c>
      <c r="I88" s="130">
        <v>2</v>
      </c>
    </row>
    <row r="91" spans="2:9">
      <c r="B91" t="s">
        <v>376</v>
      </c>
    </row>
    <row r="92" spans="2:9">
      <c r="B92" t="s">
        <v>377</v>
      </c>
    </row>
    <row r="93" spans="2:9" ht="13.2" customHeight="1"/>
    <row r="94" spans="2:9" ht="13.2" customHeight="1">
      <c r="B94" s="821" t="s">
        <v>379</v>
      </c>
      <c r="C94" s="821"/>
      <c r="E94" s="821" t="s">
        <v>380</v>
      </c>
      <c r="F94" s="821"/>
    </row>
    <row r="95" spans="2:9" ht="13.2" customHeight="1">
      <c r="B95" s="821"/>
      <c r="C95" s="821"/>
      <c r="E95" s="821"/>
      <c r="F95" s="821"/>
    </row>
    <row r="96" spans="2:9" ht="13.95" customHeight="1">
      <c r="B96" s="821"/>
      <c r="C96" s="821"/>
      <c r="E96" s="821"/>
      <c r="F96" s="821"/>
    </row>
    <row r="97" spans="2:6" ht="13.8">
      <c r="B97" s="822" t="s">
        <v>373</v>
      </c>
      <c r="C97" s="822"/>
      <c r="E97" s="822" t="s">
        <v>373</v>
      </c>
      <c r="F97" s="822"/>
    </row>
    <row r="98" spans="2:6">
      <c r="B98" s="757">
        <v>0.25</v>
      </c>
      <c r="C98" s="757"/>
      <c r="E98" s="757">
        <v>0.5</v>
      </c>
      <c r="F98" s="757"/>
    </row>
    <row r="100" spans="2:6" ht="13.2" customHeight="1"/>
    <row r="101" spans="2:6" ht="13.2" customHeight="1">
      <c r="B101" s="821" t="s">
        <v>374</v>
      </c>
      <c r="C101" s="821"/>
      <c r="E101" s="821" t="s">
        <v>375</v>
      </c>
      <c r="F101" s="821"/>
    </row>
    <row r="102" spans="2:6" ht="13.2" customHeight="1">
      <c r="B102" s="821"/>
      <c r="C102" s="821"/>
      <c r="E102" s="821"/>
      <c r="F102" s="821"/>
    </row>
    <row r="103" spans="2:6" ht="13.2" customHeight="1">
      <c r="B103" s="821"/>
      <c r="C103" s="821"/>
      <c r="E103" s="821"/>
      <c r="F103" s="821"/>
    </row>
    <row r="104" spans="2:6" ht="13.2" customHeight="1">
      <c r="B104" s="821"/>
      <c r="C104" s="821"/>
      <c r="E104" s="821"/>
      <c r="F104" s="821"/>
    </row>
    <row r="105" spans="2:6" ht="13.2" customHeight="1">
      <c r="B105" s="821"/>
      <c r="C105" s="821"/>
      <c r="E105" s="821"/>
      <c r="F105" s="821"/>
    </row>
    <row r="106" spans="2:6">
      <c r="B106">
        <v>0</v>
      </c>
      <c r="C106">
        <f>2*C77+2*F77+I77</f>
        <v>0</v>
      </c>
      <c r="E106">
        <v>0</v>
      </c>
      <c r="F106">
        <f>2*(C77+$B$98)+2*(F77+$E$98)+I77</f>
        <v>1.5</v>
      </c>
    </row>
    <row r="107" spans="2:6">
      <c r="B107">
        <v>2</v>
      </c>
      <c r="C107">
        <f t="shared" ref="C107:C117" si="2">2*C78+2*F78+I78</f>
        <v>0.82000000000000006</v>
      </c>
      <c r="E107">
        <v>2</v>
      </c>
      <c r="F107">
        <f t="shared" ref="F107:F117" si="3">2*(C78+$B$98)+2*(F78+$E$98)+I78</f>
        <v>2.3199999999999998</v>
      </c>
    </row>
    <row r="108" spans="2:6">
      <c r="B108">
        <v>5</v>
      </c>
      <c r="C108">
        <f t="shared" si="2"/>
        <v>1.4836</v>
      </c>
      <c r="E108">
        <v>5</v>
      </c>
      <c r="F108">
        <f t="shared" si="3"/>
        <v>2.9835999999999996</v>
      </c>
    </row>
    <row r="109" spans="2:6">
      <c r="B109">
        <v>10</v>
      </c>
      <c r="C109">
        <f t="shared" si="2"/>
        <v>2.1320000000000001</v>
      </c>
      <c r="E109">
        <v>10</v>
      </c>
      <c r="F109">
        <f t="shared" si="3"/>
        <v>3.6320000000000001</v>
      </c>
    </row>
    <row r="110" spans="2:6">
      <c r="B110">
        <v>15</v>
      </c>
      <c r="C110">
        <f t="shared" si="2"/>
        <v>2.6139999999999999</v>
      </c>
      <c r="E110">
        <v>15</v>
      </c>
      <c r="F110">
        <f t="shared" si="3"/>
        <v>4.1139999999999999</v>
      </c>
    </row>
    <row r="111" spans="2:6">
      <c r="B111">
        <v>20</v>
      </c>
      <c r="C111">
        <f t="shared" si="2"/>
        <v>3.048</v>
      </c>
      <c r="E111">
        <v>20</v>
      </c>
      <c r="F111">
        <f t="shared" si="3"/>
        <v>4.5480000000000009</v>
      </c>
    </row>
    <row r="112" spans="2:6">
      <c r="B112">
        <v>30</v>
      </c>
      <c r="C112">
        <f t="shared" si="2"/>
        <v>4.0759999999999996</v>
      </c>
      <c r="E112">
        <v>30</v>
      </c>
      <c r="F112">
        <f t="shared" si="3"/>
        <v>5.5759999999999996</v>
      </c>
    </row>
    <row r="113" spans="1:13">
      <c r="B113">
        <v>60</v>
      </c>
      <c r="C113">
        <f t="shared" si="2"/>
        <v>5.9439999999999991</v>
      </c>
      <c r="E113">
        <v>60</v>
      </c>
      <c r="F113">
        <f t="shared" si="3"/>
        <v>7.4439999999999991</v>
      </c>
    </row>
    <row r="114" spans="1:13">
      <c r="B114">
        <v>80</v>
      </c>
      <c r="C114">
        <f t="shared" si="2"/>
        <v>7.1871999999999998</v>
      </c>
      <c r="E114">
        <v>80</v>
      </c>
      <c r="F114">
        <f t="shared" si="3"/>
        <v>8.6872000000000007</v>
      </c>
    </row>
    <row r="115" spans="1:13">
      <c r="B115">
        <v>100</v>
      </c>
      <c r="C115">
        <f t="shared" si="2"/>
        <v>8.36</v>
      </c>
      <c r="E115">
        <v>100</v>
      </c>
      <c r="F115">
        <f t="shared" si="3"/>
        <v>9.86</v>
      </c>
    </row>
    <row r="116" spans="1:13">
      <c r="B116">
        <v>150</v>
      </c>
      <c r="C116">
        <f t="shared" si="2"/>
        <v>11.068000000000001</v>
      </c>
      <c r="E116">
        <v>150</v>
      </c>
      <c r="F116">
        <f t="shared" si="3"/>
        <v>12.568000000000001</v>
      </c>
    </row>
    <row r="117" spans="1:13">
      <c r="B117">
        <v>200</v>
      </c>
      <c r="C117">
        <f t="shared" si="2"/>
        <v>13.52</v>
      </c>
      <c r="E117">
        <v>200</v>
      </c>
      <c r="F117">
        <f t="shared" si="3"/>
        <v>15.02</v>
      </c>
    </row>
    <row r="123" spans="1:13">
      <c r="A123" s="73" t="s">
        <v>260</v>
      </c>
      <c r="B123" s="73" t="s">
        <v>469</v>
      </c>
    </row>
    <row r="124" spans="1:13">
      <c r="A124" s="171"/>
      <c r="B124" s="172"/>
      <c r="C124" s="172"/>
      <c r="D124" s="172"/>
      <c r="E124" s="172"/>
      <c r="F124" s="172"/>
      <c r="G124" s="172"/>
      <c r="H124" s="172"/>
      <c r="I124" s="172"/>
      <c r="J124" s="172"/>
      <c r="K124" s="172"/>
      <c r="L124" s="172"/>
      <c r="M124" s="172"/>
    </row>
    <row r="125" spans="1:13">
      <c r="A125" s="173" t="s">
        <v>261</v>
      </c>
      <c r="B125" s="819" t="s">
        <v>489</v>
      </c>
      <c r="C125" s="820"/>
      <c r="D125" s="820"/>
      <c r="E125" s="820"/>
      <c r="F125" s="820"/>
      <c r="G125" s="820"/>
      <c r="H125" s="820"/>
      <c r="I125" s="820"/>
      <c r="J125" s="820"/>
      <c r="K125" s="820"/>
      <c r="L125" s="820"/>
      <c r="M125" s="820"/>
    </row>
    <row r="126" spans="1:13">
      <c r="A126" s="172"/>
      <c r="B126" s="820"/>
      <c r="C126" s="820"/>
      <c r="D126" s="820"/>
      <c r="E126" s="820"/>
      <c r="F126" s="820"/>
      <c r="G126" s="820"/>
      <c r="H126" s="820"/>
      <c r="I126" s="820"/>
      <c r="J126" s="820"/>
      <c r="K126" s="820"/>
      <c r="L126" s="820"/>
      <c r="M126" s="820"/>
    </row>
    <row r="127" spans="1:13">
      <c r="A127" s="172"/>
      <c r="B127" s="820"/>
      <c r="C127" s="820"/>
      <c r="D127" s="820"/>
      <c r="E127" s="820"/>
      <c r="F127" s="820"/>
      <c r="G127" s="820"/>
      <c r="H127" s="820"/>
      <c r="I127" s="820"/>
      <c r="J127" s="820"/>
      <c r="K127" s="820"/>
      <c r="L127" s="820"/>
      <c r="M127" s="820"/>
    </row>
    <row r="128" spans="1:13">
      <c r="A128" s="172"/>
      <c r="B128" s="820"/>
      <c r="C128" s="820"/>
      <c r="D128" s="820"/>
      <c r="E128" s="820"/>
      <c r="F128" s="820"/>
      <c r="G128" s="820"/>
      <c r="H128" s="820"/>
      <c r="I128" s="820"/>
      <c r="J128" s="820"/>
      <c r="K128" s="820"/>
      <c r="L128" s="820"/>
      <c r="M128" s="820"/>
    </row>
    <row r="129" spans="1:13">
      <c r="A129" s="172"/>
      <c r="B129" s="820"/>
      <c r="C129" s="820"/>
      <c r="D129" s="820"/>
      <c r="E129" s="820"/>
      <c r="F129" s="820"/>
      <c r="G129" s="820"/>
      <c r="H129" s="820"/>
      <c r="I129" s="820"/>
      <c r="J129" s="820"/>
      <c r="K129" s="820"/>
      <c r="L129" s="820"/>
      <c r="M129" s="820"/>
    </row>
    <row r="130" spans="1:13">
      <c r="A130" s="172"/>
      <c r="B130" s="820"/>
      <c r="C130" s="820"/>
      <c r="D130" s="820"/>
      <c r="E130" s="820"/>
      <c r="F130" s="820"/>
      <c r="G130" s="820"/>
      <c r="H130" s="820"/>
      <c r="I130" s="820"/>
      <c r="J130" s="820"/>
      <c r="K130" s="820"/>
      <c r="L130" s="820"/>
      <c r="M130" s="820"/>
    </row>
    <row r="131" spans="1:13">
      <c r="A131" s="172"/>
      <c r="B131" s="820"/>
      <c r="C131" s="820"/>
      <c r="D131" s="820"/>
      <c r="E131" s="820"/>
      <c r="F131" s="820"/>
      <c r="G131" s="820"/>
      <c r="H131" s="820"/>
      <c r="I131" s="820"/>
      <c r="J131" s="820"/>
      <c r="K131" s="820"/>
      <c r="L131" s="820"/>
      <c r="M131" s="820"/>
    </row>
    <row r="132" spans="1:13">
      <c r="A132" s="170"/>
      <c r="B132" s="820"/>
      <c r="C132" s="820"/>
      <c r="D132" s="820"/>
      <c r="E132" s="820"/>
      <c r="F132" s="820"/>
      <c r="G132" s="820"/>
      <c r="H132" s="820"/>
      <c r="I132" s="820"/>
      <c r="J132" s="820"/>
      <c r="K132" s="820"/>
      <c r="L132" s="820"/>
      <c r="M132" s="820"/>
    </row>
    <row r="134" spans="1:13">
      <c r="A134" s="750" t="s">
        <v>1098</v>
      </c>
      <c r="B134" s="750"/>
      <c r="C134" s="750"/>
      <c r="D134" s="750"/>
      <c r="E134" s="750"/>
      <c r="F134" s="750"/>
      <c r="G134" s="750"/>
      <c r="H134" s="750"/>
      <c r="I134" s="750"/>
      <c r="J134" s="750"/>
      <c r="K134" s="750"/>
      <c r="L134" s="750"/>
      <c r="M134" s="750"/>
    </row>
    <row r="136" spans="1:13">
      <c r="A136" s="73" t="s">
        <v>260</v>
      </c>
      <c r="B136" s="73" t="s">
        <v>338</v>
      </c>
    </row>
    <row r="137" spans="1:13">
      <c r="A137" s="73"/>
    </row>
    <row r="138" spans="1:13">
      <c r="A138" s="73" t="s">
        <v>261</v>
      </c>
      <c r="B138" t="s">
        <v>1099</v>
      </c>
    </row>
    <row r="141" spans="1:13">
      <c r="A141" s="73" t="s">
        <v>260</v>
      </c>
      <c r="B141" s="73" t="s">
        <v>716</v>
      </c>
    </row>
    <row r="142" spans="1:13">
      <c r="A142" s="73"/>
      <c r="B142" s="73"/>
    </row>
    <row r="143" spans="1:13" ht="13.2" customHeight="1">
      <c r="A143" s="73" t="s">
        <v>261</v>
      </c>
      <c r="B143" s="819" t="s">
        <v>718</v>
      </c>
      <c r="C143" s="819"/>
      <c r="D143" s="819"/>
      <c r="E143" s="819"/>
      <c r="F143" s="819"/>
      <c r="G143" s="819"/>
      <c r="H143" s="819"/>
      <c r="I143" s="819"/>
      <c r="J143" s="819"/>
      <c r="K143" s="819"/>
      <c r="L143" s="819"/>
      <c r="M143" s="819"/>
    </row>
    <row r="144" spans="1:13">
      <c r="A144" s="73"/>
      <c r="B144" s="819"/>
      <c r="C144" s="819"/>
      <c r="D144" s="819"/>
      <c r="E144" s="819"/>
      <c r="F144" s="819"/>
      <c r="G144" s="819"/>
      <c r="H144" s="819"/>
      <c r="I144" s="819"/>
      <c r="J144" s="819"/>
      <c r="K144" s="819"/>
      <c r="L144" s="819"/>
      <c r="M144" s="819"/>
    </row>
    <row r="145" spans="1:13">
      <c r="B145" s="819"/>
      <c r="C145" s="819"/>
      <c r="D145" s="819"/>
      <c r="E145" s="819"/>
      <c r="F145" s="819"/>
      <c r="G145" s="819"/>
      <c r="H145" s="819"/>
      <c r="I145" s="819"/>
      <c r="J145" s="819"/>
      <c r="K145" s="819"/>
      <c r="L145" s="819"/>
      <c r="M145" s="819"/>
    </row>
    <row r="146" spans="1:13">
      <c r="B146" s="819"/>
      <c r="C146" s="819"/>
      <c r="D146" s="819"/>
      <c r="E146" s="819"/>
      <c r="F146" s="819"/>
      <c r="G146" s="819"/>
      <c r="H146" s="819"/>
      <c r="I146" s="819"/>
      <c r="J146" s="819"/>
      <c r="K146" s="819"/>
      <c r="L146" s="819"/>
      <c r="M146" s="819"/>
    </row>
    <row r="147" spans="1:13">
      <c r="B147" s="819"/>
      <c r="C147" s="819"/>
      <c r="D147" s="819"/>
      <c r="E147" s="819"/>
      <c r="F147" s="819"/>
      <c r="G147" s="819"/>
      <c r="H147" s="819"/>
      <c r="I147" s="819"/>
      <c r="J147" s="819"/>
      <c r="K147" s="819"/>
      <c r="L147" s="819"/>
      <c r="M147" s="819"/>
    </row>
    <row r="148" spans="1:13">
      <c r="B148" s="249"/>
    </row>
    <row r="149" spans="1:13">
      <c r="B149" s="249"/>
    </row>
    <row r="150" spans="1:13">
      <c r="A150" s="73" t="s">
        <v>260</v>
      </c>
      <c r="B150" s="126" t="s">
        <v>717</v>
      </c>
    </row>
    <row r="151" spans="1:13">
      <c r="A151" s="73"/>
    </row>
    <row r="152" spans="1:13">
      <c r="A152" s="73" t="s">
        <v>261</v>
      </c>
      <c r="B152" s="127" t="s">
        <v>360</v>
      </c>
    </row>
    <row r="153" spans="1:13">
      <c r="B153" s="127" t="s">
        <v>361</v>
      </c>
    </row>
    <row r="154" spans="1:13">
      <c r="B154" s="127"/>
    </row>
    <row r="155" spans="1:13">
      <c r="B155" s="127"/>
    </row>
    <row r="156" spans="1:13" s="303" customFormat="1">
      <c r="A156" s="476" t="s">
        <v>260</v>
      </c>
      <c r="B156" s="476" t="s">
        <v>1097</v>
      </c>
      <c r="C156" s="61"/>
      <c r="D156" s="61"/>
      <c r="E156" s="61"/>
      <c r="F156" s="61"/>
      <c r="G156" s="61"/>
      <c r="H156" s="61"/>
      <c r="I156" s="61"/>
    </row>
    <row r="157" spans="1:13" s="303" customFormat="1">
      <c r="A157" s="476"/>
      <c r="B157" s="507"/>
      <c r="C157" s="61"/>
      <c r="D157" s="61"/>
      <c r="E157" s="61"/>
      <c r="F157" s="61"/>
      <c r="G157" s="61"/>
      <c r="H157" s="61"/>
      <c r="I157" s="61"/>
    </row>
    <row r="158" spans="1:13">
      <c r="A158" s="476" t="s">
        <v>261</v>
      </c>
      <c r="B158" s="465" t="s">
        <v>1085</v>
      </c>
      <c r="C158" s="61"/>
      <c r="D158" s="61"/>
      <c r="E158" s="61"/>
      <c r="F158" s="61"/>
      <c r="G158" s="61"/>
      <c r="H158" s="61"/>
      <c r="I158" s="61"/>
      <c r="J158" s="303"/>
      <c r="K158" s="303"/>
      <c r="L158" s="303"/>
      <c r="M158" s="303"/>
    </row>
    <row r="159" spans="1:13">
      <c r="A159" s="476"/>
      <c r="B159" s="465" t="s">
        <v>1086</v>
      </c>
      <c r="C159" s="61"/>
      <c r="D159" s="61"/>
      <c r="E159" s="61"/>
      <c r="F159" s="61"/>
      <c r="G159" s="61"/>
      <c r="H159" s="61"/>
      <c r="I159" s="61"/>
      <c r="J159" s="303"/>
      <c r="K159" s="303"/>
      <c r="L159" s="303"/>
      <c r="M159" s="303"/>
    </row>
    <row r="160" spans="1:13">
      <c r="A160" s="476"/>
      <c r="B160" s="465"/>
      <c r="C160" s="61"/>
      <c r="D160" s="61"/>
      <c r="E160" s="61"/>
      <c r="F160" s="61"/>
      <c r="G160" s="61"/>
      <c r="H160" s="61"/>
      <c r="I160" s="61"/>
      <c r="J160" s="303"/>
      <c r="K160" s="303"/>
      <c r="L160" s="303"/>
      <c r="M160" s="303"/>
    </row>
    <row r="161" spans="1:13">
      <c r="A161" s="476"/>
      <c r="B161" s="465"/>
      <c r="C161" s="61"/>
      <c r="D161" s="61"/>
      <c r="E161" s="61"/>
      <c r="F161" s="61"/>
      <c r="G161" s="61"/>
      <c r="H161" s="61"/>
      <c r="I161" s="61"/>
      <c r="J161" s="303"/>
      <c r="K161" s="303"/>
      <c r="L161" s="303"/>
      <c r="M161" s="303"/>
    </row>
    <row r="162" spans="1:13">
      <c r="A162" s="476"/>
      <c r="B162" s="465" t="s">
        <v>1087</v>
      </c>
      <c r="C162" s="61" t="s">
        <v>1088</v>
      </c>
      <c r="D162" s="61"/>
      <c r="E162" s="61"/>
      <c r="F162" s="61"/>
      <c r="G162" s="61"/>
      <c r="H162" s="61"/>
      <c r="I162" s="61"/>
      <c r="J162" s="303"/>
      <c r="K162" s="303"/>
      <c r="L162" s="303"/>
      <c r="M162" s="303"/>
    </row>
    <row r="163" spans="1:13">
      <c r="A163" s="476"/>
      <c r="B163" s="465" t="s">
        <v>1089</v>
      </c>
      <c r="C163" s="61" t="s">
        <v>1096</v>
      </c>
      <c r="D163" s="61"/>
      <c r="E163" s="61"/>
      <c r="F163" s="61"/>
      <c r="G163" s="61"/>
      <c r="H163" s="61"/>
      <c r="I163" s="61"/>
      <c r="J163" s="303"/>
      <c r="K163" s="303"/>
      <c r="L163" s="303"/>
      <c r="M163" s="303"/>
    </row>
    <row r="164" spans="1:13" ht="13.2" customHeight="1">
      <c r="A164" s="476"/>
      <c r="B164" s="465" t="s">
        <v>1090</v>
      </c>
      <c r="C164" s="61" t="s">
        <v>1091</v>
      </c>
      <c r="D164" s="61"/>
      <c r="E164" s="61"/>
      <c r="F164" s="61"/>
      <c r="G164" s="61"/>
      <c r="H164" s="61"/>
      <c r="I164" s="61"/>
      <c r="J164" s="303"/>
      <c r="K164" s="303"/>
      <c r="L164" s="303"/>
      <c r="M164" s="303"/>
    </row>
    <row r="165" spans="1:13">
      <c r="A165" s="61"/>
      <c r="B165" s="465" t="s">
        <v>1092</v>
      </c>
      <c r="C165" s="61"/>
      <c r="D165" s="61"/>
      <c r="E165" s="61"/>
      <c r="F165" s="61"/>
      <c r="G165" s="61"/>
      <c r="H165" s="61"/>
      <c r="I165" s="61"/>
    </row>
    <row r="166" spans="1:13">
      <c r="A166" s="61"/>
      <c r="B166" s="465"/>
      <c r="C166" s="61"/>
      <c r="D166" s="61"/>
      <c r="E166" s="61"/>
      <c r="F166" s="61"/>
      <c r="G166" s="61"/>
      <c r="H166" s="61"/>
      <c r="I166" s="61"/>
    </row>
    <row r="167" spans="1:13">
      <c r="A167" s="476" t="s">
        <v>260</v>
      </c>
      <c r="B167" s="507" t="s">
        <v>1093</v>
      </c>
      <c r="C167" s="61"/>
      <c r="D167" s="61"/>
      <c r="E167" s="61"/>
      <c r="F167" s="61"/>
      <c r="G167" s="61"/>
      <c r="H167" s="61"/>
      <c r="I167" s="61"/>
    </row>
    <row r="168" spans="1:13">
      <c r="A168" s="61"/>
      <c r="B168" s="465"/>
      <c r="C168" s="61"/>
      <c r="D168" s="61"/>
      <c r="E168" s="61"/>
      <c r="F168" s="61"/>
      <c r="G168" s="61"/>
      <c r="H168" s="61"/>
      <c r="I168" s="61"/>
    </row>
    <row r="169" spans="1:13">
      <c r="A169" s="476" t="s">
        <v>261</v>
      </c>
      <c r="B169" s="465" t="s">
        <v>1094</v>
      </c>
      <c r="C169" s="61"/>
      <c r="D169" s="61"/>
      <c r="E169" s="61"/>
      <c r="F169" s="61"/>
      <c r="G169" s="61"/>
      <c r="H169" s="61"/>
      <c r="I169" s="61"/>
    </row>
    <row r="170" spans="1:13">
      <c r="A170" s="61"/>
      <c r="B170" s="465" t="s">
        <v>1095</v>
      </c>
      <c r="C170" s="61"/>
      <c r="D170" s="61"/>
      <c r="E170" s="61"/>
      <c r="F170" s="61"/>
      <c r="G170" s="61"/>
      <c r="H170" s="61"/>
      <c r="I170" s="61"/>
    </row>
    <row r="171" spans="1:13">
      <c r="B171" s="485"/>
    </row>
    <row r="172" spans="1:13">
      <c r="B172" s="485"/>
    </row>
    <row r="173" spans="1:13">
      <c r="B173" s="485"/>
    </row>
    <row r="174" spans="1:13" ht="13.2" customHeight="1">
      <c r="B174" s="485"/>
    </row>
    <row r="175" spans="1:13">
      <c r="B175" s="485"/>
    </row>
    <row r="176" spans="1:13">
      <c r="B176" s="485"/>
    </row>
    <row r="177" spans="1:13">
      <c r="B177" s="485"/>
    </row>
    <row r="178" spans="1:13">
      <c r="B178" s="485"/>
    </row>
    <row r="179" spans="1:13">
      <c r="B179" s="485"/>
    </row>
    <row r="180" spans="1:13" ht="13.2" customHeight="1">
      <c r="B180" s="485"/>
    </row>
    <row r="181" spans="1:13">
      <c r="B181" s="485"/>
    </row>
    <row r="182" spans="1:13" ht="15" customHeight="1"/>
    <row r="183" spans="1:13" ht="15" customHeight="1"/>
    <row r="184" spans="1:13" ht="15" customHeight="1">
      <c r="A184" s="750" t="s">
        <v>488</v>
      </c>
      <c r="B184" s="750"/>
      <c r="C184" s="750"/>
      <c r="D184" s="750"/>
      <c r="E184" s="750"/>
      <c r="F184" s="750"/>
      <c r="G184" s="750"/>
      <c r="H184" s="750"/>
      <c r="I184" s="750"/>
      <c r="J184" s="750"/>
      <c r="K184" s="750"/>
      <c r="L184" s="750"/>
      <c r="M184" s="750"/>
    </row>
    <row r="185" spans="1:13" ht="15" customHeight="1"/>
    <row r="186" spans="1:13" ht="15" customHeight="1">
      <c r="A186" s="73" t="s">
        <v>260</v>
      </c>
      <c r="B186" s="73" t="s">
        <v>487</v>
      </c>
    </row>
    <row r="187" spans="1:13" ht="15" customHeight="1">
      <c r="A187" s="73"/>
      <c r="B187" s="73"/>
    </row>
    <row r="188" spans="1:13" ht="15" customHeight="1">
      <c r="A188" s="73" t="s">
        <v>261</v>
      </c>
      <c r="B188" s="819" t="s">
        <v>490</v>
      </c>
      <c r="C188" s="819"/>
      <c r="D188" s="819"/>
      <c r="E188" s="819"/>
      <c r="F188" s="819"/>
      <c r="G188" s="819"/>
      <c r="H188" s="819"/>
      <c r="I188" s="819"/>
      <c r="J188" s="819"/>
      <c r="K188" s="819"/>
      <c r="L188" s="819"/>
      <c r="M188" s="819"/>
    </row>
    <row r="189" spans="1:13" ht="15" customHeight="1">
      <c r="A189" s="73"/>
      <c r="B189" s="819"/>
      <c r="C189" s="819"/>
      <c r="D189" s="819"/>
      <c r="E189" s="819"/>
      <c r="F189" s="819"/>
      <c r="G189" s="819"/>
      <c r="H189" s="819"/>
      <c r="I189" s="819"/>
      <c r="J189" s="819"/>
      <c r="K189" s="819"/>
      <c r="L189" s="819"/>
      <c r="M189" s="819"/>
    </row>
    <row r="190" spans="1:13" ht="15" customHeight="1">
      <c r="B190" s="819"/>
      <c r="C190" s="819"/>
      <c r="D190" s="819"/>
      <c r="E190" s="819"/>
      <c r="F190" s="819"/>
      <c r="G190" s="819"/>
      <c r="H190" s="819"/>
      <c r="I190" s="819"/>
      <c r="J190" s="819"/>
      <c r="K190" s="819"/>
      <c r="L190" s="819"/>
      <c r="M190" s="819"/>
    </row>
    <row r="191" spans="1:13" ht="15" customHeight="1"/>
    <row r="192" spans="1:13" ht="15" customHeight="1"/>
    <row r="193" spans="1:13" ht="15" customHeight="1"/>
    <row r="194" spans="1:13" ht="15" customHeight="1">
      <c r="A194" s="186" t="s">
        <v>534</v>
      </c>
      <c r="B194" s="187"/>
      <c r="C194" s="187"/>
      <c r="D194" s="187"/>
      <c r="E194" s="187"/>
      <c r="F194" s="187"/>
      <c r="G194" s="187"/>
      <c r="H194" s="187"/>
      <c r="I194" s="187"/>
      <c r="J194" s="187"/>
      <c r="K194" s="187"/>
      <c r="L194" s="187"/>
      <c r="M194" s="187"/>
    </row>
    <row r="195" spans="1:13" ht="15" customHeight="1"/>
    <row r="196" spans="1:13" ht="15" customHeight="1">
      <c r="A196" s="73" t="s">
        <v>260</v>
      </c>
      <c r="B196" s="73" t="s">
        <v>532</v>
      </c>
    </row>
    <row r="197" spans="1:13" ht="15" customHeight="1"/>
    <row r="198" spans="1:13" ht="15" customHeight="1">
      <c r="A198" s="73" t="s">
        <v>261</v>
      </c>
      <c r="B198" s="817" t="s">
        <v>565</v>
      </c>
      <c r="C198" s="817"/>
      <c r="D198" s="817"/>
      <c r="E198" s="817"/>
      <c r="F198" s="817"/>
      <c r="G198" s="817"/>
      <c r="H198" s="817"/>
      <c r="I198" s="817"/>
      <c r="J198" s="817"/>
      <c r="K198" s="817"/>
      <c r="L198" s="817"/>
      <c r="M198" s="817"/>
    </row>
    <row r="199" spans="1:13" ht="15" customHeight="1">
      <c r="B199" s="817"/>
      <c r="C199" s="817"/>
      <c r="D199" s="817"/>
      <c r="E199" s="817"/>
      <c r="F199" s="817"/>
      <c r="G199" s="817"/>
      <c r="H199" s="817"/>
      <c r="I199" s="817"/>
      <c r="J199" s="817"/>
      <c r="K199" s="817"/>
      <c r="L199" s="817"/>
      <c r="M199" s="817"/>
    </row>
    <row r="200" spans="1:13" ht="15" customHeight="1">
      <c r="B200" s="817"/>
      <c r="C200" s="817"/>
      <c r="D200" s="817"/>
      <c r="E200" s="817"/>
      <c r="F200" s="817"/>
      <c r="G200" s="817"/>
      <c r="H200" s="817"/>
      <c r="I200" s="817"/>
      <c r="J200" s="817"/>
      <c r="K200" s="817"/>
      <c r="L200" s="817"/>
      <c r="M200" s="817"/>
    </row>
    <row r="201" spans="1:13" ht="15" customHeight="1">
      <c r="B201" s="817"/>
      <c r="C201" s="817"/>
      <c r="D201" s="817"/>
      <c r="E201" s="817"/>
      <c r="F201" s="817"/>
      <c r="G201" s="817"/>
      <c r="H201" s="817"/>
      <c r="I201" s="817"/>
      <c r="J201" s="817"/>
      <c r="K201" s="817"/>
      <c r="L201" s="817"/>
      <c r="M201" s="817"/>
    </row>
    <row r="202" spans="1:13" ht="15" customHeight="1">
      <c r="B202" s="183"/>
      <c r="C202" s="183"/>
      <c r="D202" s="183"/>
      <c r="E202" s="183"/>
      <c r="F202" s="183"/>
      <c r="G202" s="183"/>
      <c r="H202" s="183"/>
      <c r="I202" s="183"/>
      <c r="J202" s="183"/>
      <c r="K202" s="183"/>
      <c r="L202" s="183"/>
      <c r="M202" s="183"/>
    </row>
    <row r="203" spans="1:13" ht="15" customHeight="1">
      <c r="B203" s="183"/>
      <c r="C203" s="183"/>
      <c r="D203" s="183"/>
      <c r="E203" s="183"/>
      <c r="F203" s="183"/>
      <c r="G203" s="183"/>
      <c r="H203" s="183"/>
      <c r="I203" s="183"/>
      <c r="J203" s="183"/>
      <c r="K203" s="183"/>
      <c r="L203" s="183"/>
      <c r="M203" s="183"/>
    </row>
    <row r="204" spans="1:13" ht="15" customHeight="1">
      <c r="A204" s="73" t="s">
        <v>260</v>
      </c>
      <c r="B204" s="812" t="s">
        <v>536</v>
      </c>
      <c r="C204" s="812"/>
      <c r="D204" s="812"/>
      <c r="E204" s="812"/>
      <c r="F204" s="812"/>
      <c r="G204" s="812"/>
      <c r="H204" s="812"/>
      <c r="I204" s="812"/>
      <c r="J204" s="812"/>
      <c r="K204" s="812"/>
      <c r="L204" s="812"/>
      <c r="M204" s="812"/>
    </row>
    <row r="205" spans="1:13">
      <c r="B205" s="183"/>
      <c r="C205" s="183"/>
      <c r="D205" s="183"/>
      <c r="E205" s="183"/>
      <c r="F205" s="183"/>
      <c r="G205" s="183"/>
      <c r="H205" s="183"/>
      <c r="I205" s="183"/>
      <c r="J205" s="183"/>
      <c r="K205" s="183"/>
      <c r="L205" s="183"/>
      <c r="M205" s="183"/>
    </row>
    <row r="206" spans="1:13">
      <c r="A206" s="73" t="s">
        <v>261</v>
      </c>
      <c r="B206" s="813" t="s">
        <v>537</v>
      </c>
      <c r="C206" s="813"/>
      <c r="D206" s="813"/>
      <c r="E206" s="813"/>
      <c r="F206" s="813"/>
      <c r="G206" s="813"/>
      <c r="H206" s="813"/>
      <c r="I206" s="813"/>
      <c r="J206" s="813"/>
      <c r="K206" s="813"/>
      <c r="L206" s="813"/>
      <c r="M206" s="813"/>
    </row>
    <row r="207" spans="1:13">
      <c r="A207" s="73"/>
      <c r="B207" s="181"/>
      <c r="C207" s="181"/>
      <c r="D207" s="181"/>
      <c r="E207" s="181"/>
      <c r="F207" s="181"/>
      <c r="G207" s="181"/>
      <c r="H207" s="181"/>
      <c r="I207" s="181"/>
      <c r="J207" s="181"/>
      <c r="K207" s="181"/>
      <c r="L207" s="181"/>
      <c r="M207" s="181"/>
    </row>
    <row r="208" spans="1:13">
      <c r="B208" s="183"/>
      <c r="C208" s="183"/>
      <c r="D208" s="183"/>
      <c r="E208" s="183"/>
      <c r="F208" s="183"/>
      <c r="G208" s="183"/>
      <c r="H208" s="183"/>
      <c r="I208" s="183"/>
      <c r="J208" s="183"/>
      <c r="K208" s="183"/>
      <c r="L208" s="183"/>
      <c r="M208" s="183"/>
    </row>
    <row r="209" spans="1:13">
      <c r="A209" s="73" t="s">
        <v>260</v>
      </c>
      <c r="B209" s="812" t="s">
        <v>538</v>
      </c>
      <c r="C209" s="812"/>
      <c r="D209" s="812"/>
      <c r="E209" s="812"/>
      <c r="F209" s="812"/>
      <c r="G209" s="812"/>
      <c r="H209" s="812"/>
      <c r="I209" s="812"/>
      <c r="J209" s="812"/>
      <c r="K209" s="812"/>
      <c r="L209" s="812"/>
      <c r="M209" s="812"/>
    </row>
    <row r="210" spans="1:13">
      <c r="B210" s="183"/>
      <c r="C210" s="183"/>
      <c r="D210" s="183"/>
      <c r="E210" s="183"/>
      <c r="F210" s="183"/>
      <c r="G210" s="183"/>
      <c r="H210" s="183"/>
      <c r="I210" s="183"/>
      <c r="J210" s="183"/>
      <c r="K210" s="183"/>
      <c r="L210" s="183"/>
      <c r="M210" s="183"/>
    </row>
    <row r="211" spans="1:13">
      <c r="A211" s="73" t="s">
        <v>261</v>
      </c>
      <c r="B211" s="813" t="s">
        <v>566</v>
      </c>
      <c r="C211" s="813"/>
      <c r="D211" s="813"/>
      <c r="E211" s="813"/>
      <c r="F211" s="813"/>
      <c r="G211" s="813"/>
      <c r="H211" s="813"/>
      <c r="I211" s="813"/>
      <c r="J211" s="813"/>
      <c r="K211" s="813"/>
      <c r="L211" s="813"/>
      <c r="M211" s="813"/>
    </row>
    <row r="212" spans="1:13">
      <c r="B212" s="813"/>
      <c r="C212" s="813"/>
      <c r="D212" s="813"/>
      <c r="E212" s="813"/>
      <c r="F212" s="813"/>
      <c r="G212" s="813"/>
      <c r="H212" s="813"/>
      <c r="I212" s="813"/>
      <c r="J212" s="813"/>
      <c r="K212" s="813"/>
      <c r="L212" s="813"/>
      <c r="M212" s="813"/>
    </row>
    <row r="213" spans="1:13">
      <c r="B213" s="184"/>
      <c r="C213" s="184"/>
      <c r="D213" s="184"/>
      <c r="E213" s="184"/>
      <c r="F213" s="184"/>
      <c r="G213" s="184"/>
      <c r="H213" s="184"/>
      <c r="I213" s="184"/>
      <c r="J213" s="184"/>
      <c r="K213" s="184"/>
      <c r="L213" s="184"/>
      <c r="M213" s="184"/>
    </row>
    <row r="214" spans="1:13">
      <c r="B214" s="184"/>
      <c r="C214" s="184"/>
      <c r="D214" s="184"/>
      <c r="E214" s="184"/>
      <c r="F214" s="184"/>
      <c r="G214" s="184"/>
      <c r="H214" s="184"/>
      <c r="I214" s="184"/>
      <c r="J214" s="184"/>
      <c r="K214" s="184"/>
      <c r="L214" s="184"/>
      <c r="M214" s="184"/>
    </row>
    <row r="215" spans="1:13">
      <c r="A215" s="73" t="s">
        <v>260</v>
      </c>
      <c r="B215" s="812" t="s">
        <v>539</v>
      </c>
      <c r="C215" s="812"/>
      <c r="D215" s="812"/>
      <c r="E215" s="812"/>
      <c r="F215" s="812"/>
      <c r="G215" s="812"/>
      <c r="H215" s="812"/>
      <c r="I215" s="812"/>
      <c r="J215" s="812"/>
      <c r="K215" s="812"/>
      <c r="L215" s="812"/>
      <c r="M215" s="812"/>
    </row>
    <row r="216" spans="1:13">
      <c r="B216" s="184"/>
      <c r="C216" s="184"/>
      <c r="D216" s="184"/>
      <c r="E216" s="184"/>
      <c r="F216" s="184"/>
      <c r="G216" s="184"/>
      <c r="H216" s="184"/>
      <c r="I216" s="184"/>
      <c r="J216" s="184"/>
      <c r="K216" s="184"/>
      <c r="L216" s="184"/>
      <c r="M216" s="184"/>
    </row>
    <row r="217" spans="1:13">
      <c r="A217" s="73" t="s">
        <v>261</v>
      </c>
      <c r="B217" s="813" t="s">
        <v>567</v>
      </c>
      <c r="C217" s="813"/>
      <c r="D217" s="813"/>
      <c r="E217" s="813"/>
      <c r="F217" s="813"/>
      <c r="G217" s="813"/>
      <c r="H217" s="813"/>
      <c r="I217" s="813"/>
      <c r="J217" s="813"/>
      <c r="K217" s="813"/>
      <c r="L217" s="813"/>
      <c r="M217" s="813"/>
    </row>
    <row r="218" spans="1:13">
      <c r="B218" s="813"/>
      <c r="C218" s="813"/>
      <c r="D218" s="813"/>
      <c r="E218" s="813"/>
      <c r="F218" s="813"/>
      <c r="G218" s="813"/>
      <c r="H218" s="813"/>
      <c r="I218" s="813"/>
      <c r="J218" s="813"/>
      <c r="K218" s="813"/>
      <c r="L218" s="813"/>
      <c r="M218" s="813"/>
    </row>
    <row r="219" spans="1:13">
      <c r="B219" s="181"/>
      <c r="C219" s="181"/>
      <c r="D219" s="181"/>
      <c r="E219" s="181"/>
      <c r="F219" s="181"/>
      <c r="G219" s="181"/>
      <c r="H219" s="181"/>
      <c r="I219" s="181"/>
      <c r="J219" s="181"/>
      <c r="K219" s="181"/>
      <c r="L219" s="181"/>
      <c r="M219" s="181"/>
    </row>
    <row r="220" spans="1:13">
      <c r="B220" s="181"/>
      <c r="C220" s="181"/>
      <c r="D220" s="181"/>
      <c r="E220" s="181"/>
      <c r="F220" s="181"/>
      <c r="G220" s="181"/>
      <c r="H220" s="181"/>
      <c r="I220" s="181"/>
      <c r="J220" s="181"/>
      <c r="K220" s="181"/>
      <c r="L220" s="181"/>
      <c r="M220" s="181"/>
    </row>
    <row r="221" spans="1:13">
      <c r="A221" s="73" t="s">
        <v>260</v>
      </c>
      <c r="B221" s="812" t="s">
        <v>541</v>
      </c>
      <c r="C221" s="812"/>
      <c r="D221" s="812"/>
      <c r="E221" s="812"/>
      <c r="F221" s="812"/>
      <c r="G221" s="812"/>
      <c r="H221" s="812"/>
      <c r="I221" s="812"/>
      <c r="J221" s="812"/>
      <c r="K221" s="812"/>
      <c r="L221" s="812"/>
      <c r="M221" s="812"/>
    </row>
    <row r="222" spans="1:13">
      <c r="B222" s="181"/>
      <c r="C222" s="181"/>
      <c r="D222" s="181"/>
      <c r="E222" s="181"/>
      <c r="F222" s="181"/>
      <c r="G222" s="181"/>
      <c r="H222" s="181"/>
      <c r="I222" s="181"/>
      <c r="J222" s="181"/>
      <c r="K222" s="181"/>
      <c r="L222" s="181"/>
      <c r="M222" s="181"/>
    </row>
    <row r="223" spans="1:13">
      <c r="A223" s="73" t="s">
        <v>261</v>
      </c>
      <c r="B223" s="813" t="s">
        <v>542</v>
      </c>
      <c r="C223" s="813"/>
      <c r="D223" s="813"/>
      <c r="E223" s="813"/>
      <c r="F223" s="813"/>
      <c r="G223" s="813"/>
      <c r="H223" s="813"/>
      <c r="I223" s="813"/>
      <c r="J223" s="813"/>
      <c r="K223" s="813"/>
      <c r="L223" s="813"/>
      <c r="M223" s="813"/>
    </row>
    <row r="224" spans="1:13">
      <c r="B224" s="181"/>
      <c r="C224" s="181"/>
      <c r="D224" s="181"/>
      <c r="E224" s="181"/>
      <c r="F224" s="181"/>
      <c r="G224" s="181"/>
      <c r="H224" s="181"/>
      <c r="I224" s="181"/>
      <c r="J224" s="181"/>
      <c r="K224" s="181"/>
      <c r="L224" s="181"/>
      <c r="M224" s="181"/>
    </row>
    <row r="225" spans="1:13">
      <c r="B225" s="181"/>
      <c r="C225" s="181"/>
      <c r="D225" s="181"/>
      <c r="E225" s="181"/>
      <c r="F225" s="181"/>
      <c r="G225" s="181"/>
      <c r="H225" s="181"/>
      <c r="I225" s="181"/>
      <c r="J225" s="181"/>
      <c r="K225" s="181"/>
      <c r="L225" s="181"/>
      <c r="M225" s="181"/>
    </row>
    <row r="226" spans="1:13">
      <c r="B226" s="181"/>
      <c r="C226" s="181"/>
      <c r="D226" s="181"/>
      <c r="E226" s="181"/>
      <c r="F226" s="181"/>
      <c r="G226" s="181"/>
      <c r="H226" s="181"/>
      <c r="I226" s="181"/>
      <c r="J226" s="181"/>
      <c r="K226" s="181"/>
      <c r="L226" s="181"/>
      <c r="M226" s="181"/>
    </row>
    <row r="227" spans="1:13">
      <c r="A227" s="73" t="s">
        <v>260</v>
      </c>
      <c r="B227" s="812" t="s">
        <v>540</v>
      </c>
      <c r="C227" s="812"/>
      <c r="D227" s="812"/>
      <c r="E227" s="812"/>
      <c r="F227" s="812"/>
      <c r="G227" s="812"/>
      <c r="H227" s="812"/>
      <c r="I227" s="812"/>
      <c r="J227" s="812"/>
      <c r="K227" s="812"/>
      <c r="L227" s="812"/>
      <c r="M227" s="812"/>
    </row>
    <row r="228" spans="1:13">
      <c r="A228" s="73"/>
      <c r="B228" s="185"/>
      <c r="C228" s="185"/>
      <c r="D228" s="185"/>
      <c r="E228" s="185"/>
      <c r="F228" s="185"/>
      <c r="G228" s="185"/>
      <c r="H228" s="185"/>
      <c r="I228" s="185"/>
      <c r="J228" s="185"/>
      <c r="K228" s="185"/>
      <c r="L228" s="185"/>
      <c r="M228" s="185"/>
    </row>
    <row r="229" spans="1:13">
      <c r="A229" s="73" t="s">
        <v>261</v>
      </c>
      <c r="B229" s="813" t="s">
        <v>568</v>
      </c>
      <c r="C229" s="813"/>
      <c r="D229" s="813"/>
      <c r="E229" s="813"/>
      <c r="F229" s="813"/>
      <c r="G229" s="813"/>
      <c r="H229" s="813"/>
      <c r="I229" s="813"/>
      <c r="J229" s="813"/>
      <c r="K229" s="813"/>
      <c r="L229" s="813"/>
      <c r="M229" s="813"/>
    </row>
    <row r="230" spans="1:13">
      <c r="B230" s="813"/>
      <c r="C230" s="813"/>
      <c r="D230" s="813"/>
      <c r="E230" s="813"/>
      <c r="F230" s="813"/>
      <c r="G230" s="813"/>
      <c r="H230" s="813"/>
      <c r="I230" s="813"/>
      <c r="J230" s="813"/>
      <c r="K230" s="813"/>
      <c r="L230" s="813"/>
      <c r="M230" s="813"/>
    </row>
    <row r="231" spans="1:13">
      <c r="B231" s="181"/>
      <c r="C231" s="182"/>
      <c r="D231" s="182"/>
      <c r="E231" s="182"/>
      <c r="F231" s="182"/>
      <c r="G231" s="182"/>
      <c r="H231" s="182"/>
      <c r="I231" s="182"/>
      <c r="J231" s="182"/>
      <c r="K231" s="182"/>
      <c r="L231" s="182"/>
      <c r="M231" s="182"/>
    </row>
    <row r="233" spans="1:13">
      <c r="A233" s="73" t="s">
        <v>260</v>
      </c>
      <c r="B233" s="73" t="s">
        <v>543</v>
      </c>
    </row>
    <row r="235" spans="1:13">
      <c r="A235" s="73" t="s">
        <v>261</v>
      </c>
      <c r="B235" t="s">
        <v>533</v>
      </c>
    </row>
    <row r="236" spans="1:13">
      <c r="A236" s="73"/>
    </row>
    <row r="237" spans="1:13">
      <c r="A237" s="73"/>
    </row>
    <row r="238" spans="1:13">
      <c r="A238" s="73"/>
    </row>
    <row r="239" spans="1:13">
      <c r="A239" s="186" t="s">
        <v>626</v>
      </c>
      <c r="B239" s="186"/>
      <c r="C239" s="186"/>
      <c r="D239" s="186"/>
      <c r="E239" s="186"/>
      <c r="F239" s="186"/>
      <c r="G239" s="186"/>
      <c r="H239" s="186"/>
      <c r="I239" s="186"/>
      <c r="J239" s="186"/>
      <c r="K239" s="186"/>
      <c r="L239" s="186"/>
      <c r="M239" s="186"/>
    </row>
    <row r="241" spans="1:10">
      <c r="A241" s="73" t="s">
        <v>260</v>
      </c>
      <c r="B241" s="73" t="s">
        <v>581</v>
      </c>
    </row>
    <row r="243" spans="1:10">
      <c r="A243" s="73" t="s">
        <v>261</v>
      </c>
      <c r="B243" t="s">
        <v>582</v>
      </c>
    </row>
    <row r="244" spans="1:10" ht="13.8" thickBot="1">
      <c r="B244" t="s">
        <v>591</v>
      </c>
    </row>
    <row r="245" spans="1:10" ht="46.2" thickBot="1">
      <c r="B245" s="195" t="s">
        <v>415</v>
      </c>
      <c r="C245" s="195" t="s">
        <v>416</v>
      </c>
      <c r="D245" s="799" t="s">
        <v>417</v>
      </c>
      <c r="E245" s="800"/>
      <c r="F245" s="195" t="s">
        <v>583</v>
      </c>
      <c r="G245" s="195" t="s">
        <v>584</v>
      </c>
      <c r="H245" s="195" t="s">
        <v>605</v>
      </c>
      <c r="I245" s="195" t="s">
        <v>585</v>
      </c>
      <c r="J245" s="195" t="s">
        <v>586</v>
      </c>
    </row>
    <row r="246" spans="1:10" ht="13.8" thickTop="1">
      <c r="B246" s="783" t="s">
        <v>420</v>
      </c>
      <c r="C246" s="783" t="s">
        <v>421</v>
      </c>
      <c r="D246" s="801" t="s">
        <v>422</v>
      </c>
      <c r="E246" s="802"/>
      <c r="F246" s="783" t="s">
        <v>587</v>
      </c>
      <c r="G246" s="783" t="s">
        <v>423</v>
      </c>
      <c r="H246" s="783" t="s">
        <v>424</v>
      </c>
      <c r="I246" s="761" t="s">
        <v>613</v>
      </c>
      <c r="J246" s="761" t="s">
        <v>615</v>
      </c>
    </row>
    <row r="247" spans="1:10">
      <c r="B247" s="784"/>
      <c r="C247" s="784"/>
      <c r="D247" s="795"/>
      <c r="E247" s="796"/>
      <c r="F247" s="784"/>
      <c r="G247" s="784"/>
      <c r="H247" s="784"/>
      <c r="I247" s="762"/>
      <c r="J247" s="762"/>
    </row>
    <row r="248" spans="1:10">
      <c r="B248" s="784"/>
      <c r="C248" s="784"/>
      <c r="D248" s="795"/>
      <c r="E248" s="796"/>
      <c r="F248" s="784"/>
      <c r="G248" s="784"/>
      <c r="H248" s="784"/>
      <c r="I248" s="762"/>
      <c r="J248" s="762"/>
    </row>
    <row r="249" spans="1:10">
      <c r="B249" s="784"/>
      <c r="C249" s="784"/>
      <c r="D249" s="795"/>
      <c r="E249" s="796"/>
      <c r="F249" s="784"/>
      <c r="G249" s="784"/>
      <c r="H249" s="784"/>
      <c r="I249" s="762"/>
      <c r="J249" s="762"/>
    </row>
    <row r="250" spans="1:10" ht="13.8" thickBot="1">
      <c r="B250" s="785"/>
      <c r="C250" s="784"/>
      <c r="D250" s="797"/>
      <c r="E250" s="798"/>
      <c r="F250" s="785"/>
      <c r="G250" s="785"/>
      <c r="H250" s="785"/>
      <c r="I250" s="763"/>
      <c r="J250" s="763"/>
    </row>
    <row r="251" spans="1:10">
      <c r="B251" s="811" t="s">
        <v>425</v>
      </c>
      <c r="C251" s="784"/>
      <c r="D251" s="787" t="s">
        <v>426</v>
      </c>
      <c r="E251" s="788"/>
      <c r="F251" s="811" t="s">
        <v>588</v>
      </c>
      <c r="G251" s="811" t="s">
        <v>427</v>
      </c>
      <c r="H251" s="811" t="s">
        <v>428</v>
      </c>
      <c r="I251" s="765" t="s">
        <v>619</v>
      </c>
      <c r="J251" s="765" t="s">
        <v>621</v>
      </c>
    </row>
    <row r="252" spans="1:10">
      <c r="B252" s="806"/>
      <c r="C252" s="784"/>
      <c r="D252" s="789"/>
      <c r="E252" s="790"/>
      <c r="F252" s="806"/>
      <c r="G252" s="806"/>
      <c r="H252" s="806"/>
      <c r="I252" s="766"/>
      <c r="J252" s="766"/>
    </row>
    <row r="253" spans="1:10">
      <c r="B253" s="806"/>
      <c r="C253" s="784"/>
      <c r="D253" s="789"/>
      <c r="E253" s="790"/>
      <c r="F253" s="806"/>
      <c r="G253" s="806"/>
      <c r="H253" s="806"/>
      <c r="I253" s="766"/>
      <c r="J253" s="766"/>
    </row>
    <row r="254" spans="1:10">
      <c r="B254" s="806"/>
      <c r="C254" s="784"/>
      <c r="D254" s="789"/>
      <c r="E254" s="790"/>
      <c r="F254" s="806"/>
      <c r="G254" s="806"/>
      <c r="H254" s="806"/>
      <c r="I254" s="766"/>
      <c r="J254" s="766"/>
    </row>
    <row r="255" spans="1:10" ht="13.8" thickBot="1">
      <c r="B255" s="807"/>
      <c r="C255" s="784"/>
      <c r="D255" s="791"/>
      <c r="E255" s="792"/>
      <c r="F255" s="807"/>
      <c r="G255" s="807"/>
      <c r="H255" s="807"/>
      <c r="I255" s="767"/>
      <c r="J255" s="767"/>
    </row>
    <row r="256" spans="1:10">
      <c r="B256" s="809" t="s">
        <v>429</v>
      </c>
      <c r="C256" s="784"/>
      <c r="D256" s="793" t="s">
        <v>430</v>
      </c>
      <c r="E256" s="794"/>
      <c r="F256" s="809" t="s">
        <v>588</v>
      </c>
      <c r="G256" s="809" t="s">
        <v>427</v>
      </c>
      <c r="H256" s="809" t="s">
        <v>431</v>
      </c>
      <c r="I256" s="808" t="s">
        <v>620</v>
      </c>
      <c r="J256" s="808" t="s">
        <v>621</v>
      </c>
    </row>
    <row r="257" spans="2:10">
      <c r="B257" s="784"/>
      <c r="C257" s="784"/>
      <c r="D257" s="795"/>
      <c r="E257" s="796"/>
      <c r="F257" s="784"/>
      <c r="G257" s="784"/>
      <c r="H257" s="784"/>
      <c r="I257" s="762"/>
      <c r="J257" s="762"/>
    </row>
    <row r="258" spans="2:10" ht="16.2" customHeight="1">
      <c r="B258" s="784"/>
      <c r="C258" s="784"/>
      <c r="D258" s="795"/>
      <c r="E258" s="796"/>
      <c r="F258" s="784"/>
      <c r="G258" s="784"/>
      <c r="H258" s="784"/>
      <c r="I258" s="762"/>
      <c r="J258" s="762"/>
    </row>
    <row r="259" spans="2:10" ht="16.2" customHeight="1">
      <c r="B259" s="784"/>
      <c r="C259" s="784"/>
      <c r="D259" s="795"/>
      <c r="E259" s="796"/>
      <c r="F259" s="784"/>
      <c r="G259" s="784"/>
      <c r="H259" s="784"/>
      <c r="I259" s="762"/>
      <c r="J259" s="762"/>
    </row>
    <row r="260" spans="2:10" ht="16.2" customHeight="1" thickBot="1">
      <c r="B260" s="784"/>
      <c r="C260" s="784"/>
      <c r="D260" s="795"/>
      <c r="E260" s="796"/>
      <c r="F260" s="784"/>
      <c r="G260" s="784"/>
      <c r="H260" s="784"/>
      <c r="I260" s="762"/>
      <c r="J260" s="762"/>
    </row>
    <row r="261" spans="2:10" ht="16.2" customHeight="1">
      <c r="B261" s="805" t="s">
        <v>432</v>
      </c>
      <c r="C261" s="805" t="s">
        <v>433</v>
      </c>
      <c r="D261" s="803" t="s">
        <v>434</v>
      </c>
      <c r="E261" s="804"/>
      <c r="F261" s="805" t="s">
        <v>589</v>
      </c>
      <c r="G261" s="805" t="s">
        <v>424</v>
      </c>
      <c r="H261" s="805" t="s">
        <v>435</v>
      </c>
      <c r="I261" s="810" t="s">
        <v>613</v>
      </c>
      <c r="J261" s="810" t="s">
        <v>615</v>
      </c>
    </row>
    <row r="262" spans="2:10" ht="16.2" customHeight="1">
      <c r="B262" s="806"/>
      <c r="C262" s="806"/>
      <c r="D262" s="789"/>
      <c r="E262" s="790"/>
      <c r="F262" s="806"/>
      <c r="G262" s="806"/>
      <c r="H262" s="806"/>
      <c r="I262" s="766"/>
      <c r="J262" s="766"/>
    </row>
    <row r="263" spans="2:10" ht="16.2" customHeight="1">
      <c r="B263" s="806"/>
      <c r="C263" s="806"/>
      <c r="D263" s="789"/>
      <c r="E263" s="790"/>
      <c r="F263" s="806"/>
      <c r="G263" s="806"/>
      <c r="H263" s="806"/>
      <c r="I263" s="766"/>
      <c r="J263" s="766"/>
    </row>
    <row r="264" spans="2:10" ht="16.2" customHeight="1">
      <c r="B264" s="806"/>
      <c r="C264" s="806"/>
      <c r="D264" s="789"/>
      <c r="E264" s="790"/>
      <c r="F264" s="806"/>
      <c r="G264" s="806"/>
      <c r="H264" s="806"/>
      <c r="I264" s="766"/>
      <c r="J264" s="766"/>
    </row>
    <row r="265" spans="2:10" ht="16.2" customHeight="1" thickBot="1">
      <c r="B265" s="806"/>
      <c r="C265" s="806"/>
      <c r="D265" s="789"/>
      <c r="E265" s="790"/>
      <c r="F265" s="806"/>
      <c r="G265" s="806"/>
      <c r="H265" s="806"/>
      <c r="I265" s="767"/>
      <c r="J265" s="767"/>
    </row>
    <row r="266" spans="2:10" ht="13.2" customHeight="1">
      <c r="B266" s="806"/>
      <c r="C266" s="806"/>
      <c r="D266" s="789"/>
      <c r="E266" s="790"/>
      <c r="F266" s="806"/>
      <c r="G266" s="806"/>
      <c r="H266" s="806"/>
      <c r="I266" s="808" t="s">
        <v>614</v>
      </c>
      <c r="J266" s="808" t="s">
        <v>616</v>
      </c>
    </row>
    <row r="267" spans="2:10">
      <c r="B267" s="806"/>
      <c r="C267" s="806"/>
      <c r="D267" s="789"/>
      <c r="E267" s="790"/>
      <c r="F267" s="806"/>
      <c r="G267" s="806"/>
      <c r="H267" s="806"/>
      <c r="I267" s="762"/>
      <c r="J267" s="762"/>
    </row>
    <row r="268" spans="2:10">
      <c r="B268" s="806"/>
      <c r="C268" s="806"/>
      <c r="D268" s="789"/>
      <c r="E268" s="790"/>
      <c r="F268" s="806"/>
      <c r="G268" s="806"/>
      <c r="H268" s="806"/>
      <c r="I268" s="762"/>
      <c r="J268" s="762"/>
    </row>
    <row r="269" spans="2:10">
      <c r="B269" s="806"/>
      <c r="C269" s="806"/>
      <c r="D269" s="789"/>
      <c r="E269" s="790"/>
      <c r="F269" s="806"/>
      <c r="G269" s="806"/>
      <c r="H269" s="806"/>
      <c r="I269" s="762"/>
      <c r="J269" s="762"/>
    </row>
    <row r="270" spans="2:10" ht="13.8" thickBot="1">
      <c r="B270" s="807"/>
      <c r="C270" s="806"/>
      <c r="D270" s="791"/>
      <c r="E270" s="792"/>
      <c r="F270" s="807"/>
      <c r="G270" s="807"/>
      <c r="H270" s="807"/>
      <c r="I270" s="763"/>
      <c r="J270" s="763"/>
    </row>
    <row r="271" spans="2:10">
      <c r="B271" s="811" t="s">
        <v>436</v>
      </c>
      <c r="C271" s="806"/>
      <c r="D271" s="787" t="s">
        <v>437</v>
      </c>
      <c r="E271" s="788"/>
      <c r="F271" s="811" t="s">
        <v>588</v>
      </c>
      <c r="G271" s="811" t="s">
        <v>424</v>
      </c>
      <c r="H271" s="811" t="s">
        <v>438</v>
      </c>
      <c r="I271" s="765" t="s">
        <v>614</v>
      </c>
      <c r="J271" s="765" t="s">
        <v>617</v>
      </c>
    </row>
    <row r="272" spans="2:10">
      <c r="B272" s="806"/>
      <c r="C272" s="806"/>
      <c r="D272" s="789"/>
      <c r="E272" s="790"/>
      <c r="F272" s="806"/>
      <c r="G272" s="806"/>
      <c r="H272" s="806"/>
      <c r="I272" s="766"/>
      <c r="J272" s="766"/>
    </row>
    <row r="273" spans="2:12">
      <c r="B273" s="806"/>
      <c r="C273" s="806"/>
      <c r="D273" s="789"/>
      <c r="E273" s="790"/>
      <c r="F273" s="806"/>
      <c r="G273" s="806"/>
      <c r="H273" s="806"/>
      <c r="I273" s="766"/>
      <c r="J273" s="766"/>
    </row>
    <row r="274" spans="2:12" ht="16.2" customHeight="1">
      <c r="B274" s="806"/>
      <c r="C274" s="806"/>
      <c r="D274" s="789"/>
      <c r="E274" s="790"/>
      <c r="F274" s="806"/>
      <c r="G274" s="806"/>
      <c r="H274" s="806"/>
      <c r="I274" s="766"/>
      <c r="J274" s="766"/>
    </row>
    <row r="275" spans="2:12" ht="16.2" customHeight="1" thickBot="1">
      <c r="B275" s="807"/>
      <c r="C275" s="806"/>
      <c r="D275" s="791"/>
      <c r="E275" s="792"/>
      <c r="F275" s="807"/>
      <c r="G275" s="807"/>
      <c r="H275" s="807"/>
      <c r="I275" s="767"/>
      <c r="J275" s="767"/>
    </row>
    <row r="276" spans="2:12" ht="16.2" customHeight="1">
      <c r="B276" s="809" t="s">
        <v>439</v>
      </c>
      <c r="C276" s="806"/>
      <c r="D276" s="793" t="s">
        <v>440</v>
      </c>
      <c r="E276" s="794"/>
      <c r="F276" s="809" t="s">
        <v>588</v>
      </c>
      <c r="G276" s="809" t="s">
        <v>424</v>
      </c>
      <c r="H276" s="809" t="s">
        <v>441</v>
      </c>
      <c r="I276" s="808" t="s">
        <v>614</v>
      </c>
      <c r="J276" s="808" t="s">
        <v>618</v>
      </c>
    </row>
    <row r="277" spans="2:12" ht="16.2" customHeight="1">
      <c r="B277" s="784"/>
      <c r="C277" s="806"/>
      <c r="D277" s="795"/>
      <c r="E277" s="796"/>
      <c r="F277" s="784"/>
      <c r="G277" s="784"/>
      <c r="H277" s="784"/>
      <c r="I277" s="762"/>
      <c r="J277" s="762"/>
    </row>
    <row r="278" spans="2:12" ht="19.95" customHeight="1">
      <c r="B278" s="784"/>
      <c r="C278" s="806"/>
      <c r="D278" s="795"/>
      <c r="E278" s="796"/>
      <c r="F278" s="784"/>
      <c r="G278" s="784"/>
      <c r="H278" s="784"/>
      <c r="I278" s="762"/>
      <c r="J278" s="762"/>
    </row>
    <row r="279" spans="2:12" ht="19.95" customHeight="1">
      <c r="B279" s="784"/>
      <c r="C279" s="806"/>
      <c r="D279" s="795"/>
      <c r="E279" s="796"/>
      <c r="F279" s="784"/>
      <c r="G279" s="784"/>
      <c r="H279" s="784"/>
      <c r="I279" s="762"/>
      <c r="J279" s="762"/>
    </row>
    <row r="280" spans="2:12" ht="19.95" customHeight="1" thickBot="1">
      <c r="B280" s="785"/>
      <c r="C280" s="807"/>
      <c r="D280" s="797"/>
      <c r="E280" s="798"/>
      <c r="F280" s="785"/>
      <c r="G280" s="785"/>
      <c r="H280" s="785"/>
      <c r="I280" s="762"/>
      <c r="J280" s="762"/>
    </row>
    <row r="281" spans="2:12" ht="19.95" customHeight="1">
      <c r="D281" t="s">
        <v>590</v>
      </c>
    </row>
    <row r="283" spans="2:12" ht="13.8" thickBot="1">
      <c r="B283" t="s">
        <v>625</v>
      </c>
    </row>
    <row r="284" spans="2:12" ht="46.2" thickBot="1">
      <c r="C284" s="195" t="s">
        <v>416</v>
      </c>
      <c r="D284" s="799" t="s">
        <v>417</v>
      </c>
      <c r="E284" s="800"/>
      <c r="F284" s="195" t="s">
        <v>583</v>
      </c>
      <c r="G284" s="195"/>
      <c r="H284" s="195" t="s">
        <v>606</v>
      </c>
      <c r="I284" s="195" t="s">
        <v>585</v>
      </c>
      <c r="J284" s="195" t="s">
        <v>586</v>
      </c>
      <c r="K284" s="300" t="s">
        <v>822</v>
      </c>
      <c r="L284" s="195" t="s">
        <v>586</v>
      </c>
    </row>
    <row r="285" spans="2:12" ht="13.8" thickTop="1">
      <c r="C285" s="783" t="s">
        <v>592</v>
      </c>
      <c r="D285" s="771" t="s">
        <v>601</v>
      </c>
      <c r="E285" s="772"/>
      <c r="F285" s="783" t="s">
        <v>593</v>
      </c>
      <c r="G285" s="196"/>
      <c r="H285" s="786" t="s">
        <v>594</v>
      </c>
      <c r="I285" s="764" t="s">
        <v>607</v>
      </c>
      <c r="J285" s="761" t="s">
        <v>612</v>
      </c>
      <c r="K285" s="764" t="s">
        <v>823</v>
      </c>
      <c r="L285" s="761" t="s">
        <v>612</v>
      </c>
    </row>
    <row r="286" spans="2:12">
      <c r="C286" s="784"/>
      <c r="D286" s="773"/>
      <c r="E286" s="774"/>
      <c r="F286" s="784"/>
      <c r="G286" s="199"/>
      <c r="H286" s="781"/>
      <c r="I286" s="759"/>
      <c r="J286" s="762"/>
      <c r="K286" s="759"/>
      <c r="L286" s="762"/>
    </row>
    <row r="287" spans="2:12">
      <c r="C287" s="784"/>
      <c r="D287" s="773"/>
      <c r="E287" s="774"/>
      <c r="F287" s="784"/>
      <c r="G287" s="199"/>
      <c r="H287" s="781"/>
      <c r="I287" s="759"/>
      <c r="J287" s="762"/>
      <c r="K287" s="759"/>
      <c r="L287" s="762"/>
    </row>
    <row r="288" spans="2:12">
      <c r="C288" s="784"/>
      <c r="D288" s="773"/>
      <c r="E288" s="774"/>
      <c r="F288" s="784"/>
      <c r="G288" s="199"/>
      <c r="H288" s="781"/>
      <c r="I288" s="759"/>
      <c r="J288" s="762"/>
      <c r="K288" s="759"/>
      <c r="L288" s="762"/>
    </row>
    <row r="289" spans="3:12">
      <c r="C289" s="784"/>
      <c r="D289" s="773"/>
      <c r="E289" s="774"/>
      <c r="F289" s="784"/>
      <c r="G289" s="199"/>
      <c r="H289" s="781"/>
      <c r="I289" s="759"/>
      <c r="J289" s="762"/>
      <c r="K289" s="759"/>
      <c r="L289" s="762"/>
    </row>
    <row r="290" spans="3:12">
      <c r="C290" s="784"/>
      <c r="D290" s="773"/>
      <c r="E290" s="774"/>
      <c r="F290" s="784"/>
      <c r="G290" s="199"/>
      <c r="H290" s="781"/>
      <c r="I290" s="759"/>
      <c r="J290" s="762"/>
      <c r="K290" s="759"/>
      <c r="L290" s="762"/>
    </row>
    <row r="291" spans="3:12">
      <c r="C291" s="784"/>
      <c r="D291" s="773"/>
      <c r="E291" s="774"/>
      <c r="F291" s="784"/>
      <c r="G291" s="199"/>
      <c r="H291" s="781"/>
      <c r="I291" s="759"/>
      <c r="J291" s="762"/>
      <c r="K291" s="759"/>
      <c r="L291" s="762"/>
    </row>
    <row r="292" spans="3:12" ht="13.8" thickBot="1">
      <c r="C292" s="785"/>
      <c r="D292" s="775"/>
      <c r="E292" s="776"/>
      <c r="F292" s="785"/>
      <c r="G292" s="200"/>
      <c r="H292" s="782"/>
      <c r="I292" s="760"/>
      <c r="J292" s="763"/>
      <c r="K292" s="760"/>
      <c r="L292" s="763"/>
    </row>
    <row r="293" spans="3:12">
      <c r="C293" s="811" t="s">
        <v>595</v>
      </c>
      <c r="D293" s="826" t="s">
        <v>596</v>
      </c>
      <c r="E293" s="827"/>
      <c r="F293" s="830" t="s">
        <v>597</v>
      </c>
      <c r="G293" s="197"/>
      <c r="H293" s="768" t="s">
        <v>598</v>
      </c>
      <c r="I293" s="777" t="s">
        <v>608</v>
      </c>
      <c r="J293" s="765" t="s">
        <v>611</v>
      </c>
      <c r="K293" s="777" t="s">
        <v>824</v>
      </c>
      <c r="L293" s="765" t="s">
        <v>825</v>
      </c>
    </row>
    <row r="294" spans="3:12">
      <c r="C294" s="806"/>
      <c r="D294" s="828"/>
      <c r="E294" s="829"/>
      <c r="F294" s="831"/>
      <c r="G294" s="198"/>
      <c r="H294" s="769"/>
      <c r="I294" s="778"/>
      <c r="J294" s="766"/>
      <c r="K294" s="778"/>
      <c r="L294" s="766"/>
    </row>
    <row r="295" spans="3:12">
      <c r="C295" s="806"/>
      <c r="D295" s="828"/>
      <c r="E295" s="829"/>
      <c r="F295" s="831"/>
      <c r="G295" s="198"/>
      <c r="H295" s="769"/>
      <c r="I295" s="778"/>
      <c r="J295" s="766"/>
      <c r="K295" s="778"/>
      <c r="L295" s="766"/>
    </row>
    <row r="296" spans="3:12" ht="13.8" thickBot="1">
      <c r="C296" s="807"/>
      <c r="D296" s="828"/>
      <c r="E296" s="829"/>
      <c r="F296" s="831"/>
      <c r="G296" s="198"/>
      <c r="H296" s="770"/>
      <c r="I296" s="779"/>
      <c r="J296" s="767"/>
      <c r="K296" s="779"/>
      <c r="L296" s="767"/>
    </row>
    <row r="297" spans="3:12" ht="13.8" thickTop="1">
      <c r="C297" s="780" t="s">
        <v>602</v>
      </c>
      <c r="D297" s="828"/>
      <c r="E297" s="829"/>
      <c r="F297" s="831"/>
      <c r="G297" s="198"/>
      <c r="H297" s="780" t="s">
        <v>599</v>
      </c>
      <c r="I297" s="758" t="s">
        <v>609</v>
      </c>
      <c r="J297" s="761" t="s">
        <v>611</v>
      </c>
      <c r="K297" s="758" t="s">
        <v>826</v>
      </c>
      <c r="L297" s="761" t="s">
        <v>827</v>
      </c>
    </row>
    <row r="298" spans="3:12">
      <c r="C298" s="781"/>
      <c r="D298" s="828"/>
      <c r="E298" s="829"/>
      <c r="F298" s="831"/>
      <c r="G298" s="198"/>
      <c r="H298" s="781"/>
      <c r="I298" s="759"/>
      <c r="J298" s="762"/>
      <c r="K298" s="759"/>
      <c r="L298" s="762"/>
    </row>
    <row r="299" spans="3:12">
      <c r="C299" s="781"/>
      <c r="D299" s="828"/>
      <c r="E299" s="829"/>
      <c r="F299" s="831"/>
      <c r="G299" s="198"/>
      <c r="H299" s="781"/>
      <c r="I299" s="759"/>
      <c r="J299" s="762"/>
      <c r="K299" s="759"/>
      <c r="L299" s="762"/>
    </row>
    <row r="300" spans="3:12" ht="13.8" thickBot="1">
      <c r="C300" s="782"/>
      <c r="D300" s="828"/>
      <c r="E300" s="829"/>
      <c r="F300" s="831"/>
      <c r="G300" s="198"/>
      <c r="H300" s="782"/>
      <c r="I300" s="760"/>
      <c r="J300" s="762"/>
      <c r="K300" s="760"/>
      <c r="L300" s="762"/>
    </row>
    <row r="301" spans="3:12">
      <c r="C301" s="823" t="s">
        <v>604</v>
      </c>
      <c r="D301" s="828"/>
      <c r="E301" s="829"/>
      <c r="F301" s="831"/>
      <c r="G301" s="198"/>
      <c r="H301" s="768" t="s">
        <v>603</v>
      </c>
      <c r="I301" s="777" t="s">
        <v>609</v>
      </c>
      <c r="J301" s="765" t="s">
        <v>611</v>
      </c>
      <c r="K301" s="777" t="s">
        <v>826</v>
      </c>
      <c r="L301" s="765" t="s">
        <v>827</v>
      </c>
    </row>
    <row r="302" spans="3:12">
      <c r="C302" s="824"/>
      <c r="D302" s="828"/>
      <c r="E302" s="829"/>
      <c r="F302" s="831"/>
      <c r="G302" s="198"/>
      <c r="H302" s="769"/>
      <c r="I302" s="778"/>
      <c r="J302" s="766"/>
      <c r="K302" s="778"/>
      <c r="L302" s="766"/>
    </row>
    <row r="303" spans="3:12">
      <c r="C303" s="824"/>
      <c r="D303" s="828"/>
      <c r="E303" s="829"/>
      <c r="F303" s="831"/>
      <c r="G303" s="198"/>
      <c r="H303" s="769"/>
      <c r="I303" s="778"/>
      <c r="J303" s="766"/>
      <c r="K303" s="778"/>
      <c r="L303" s="766"/>
    </row>
    <row r="304" spans="3:12" ht="13.8" thickBot="1">
      <c r="C304" s="825"/>
      <c r="D304" s="828"/>
      <c r="E304" s="829"/>
      <c r="F304" s="831"/>
      <c r="G304" s="198"/>
      <c r="H304" s="770"/>
      <c r="I304" s="779"/>
      <c r="J304" s="767"/>
      <c r="K304" s="779"/>
      <c r="L304" s="767"/>
    </row>
    <row r="305" spans="3:12" ht="13.8" thickTop="1">
      <c r="C305" s="780" t="s">
        <v>820</v>
      </c>
      <c r="D305" s="828"/>
      <c r="E305" s="829"/>
      <c r="F305" s="831"/>
      <c r="G305" s="198"/>
      <c r="H305" s="780" t="s">
        <v>600</v>
      </c>
      <c r="I305" s="758" t="s">
        <v>610</v>
      </c>
      <c r="J305" s="761" t="s">
        <v>611</v>
      </c>
      <c r="K305" s="758" t="s">
        <v>828</v>
      </c>
      <c r="L305" s="761" t="s">
        <v>827</v>
      </c>
    </row>
    <row r="306" spans="3:12">
      <c r="C306" s="781"/>
      <c r="D306" s="828"/>
      <c r="E306" s="829"/>
      <c r="F306" s="831"/>
      <c r="G306" s="198"/>
      <c r="H306" s="781"/>
      <c r="I306" s="759"/>
      <c r="J306" s="762"/>
      <c r="K306" s="759"/>
      <c r="L306" s="762"/>
    </row>
    <row r="307" spans="3:12">
      <c r="C307" s="781"/>
      <c r="D307" s="828"/>
      <c r="E307" s="829"/>
      <c r="F307" s="831"/>
      <c r="G307" s="198"/>
      <c r="H307" s="781"/>
      <c r="I307" s="759"/>
      <c r="J307" s="762"/>
      <c r="K307" s="759"/>
      <c r="L307" s="762"/>
    </row>
    <row r="308" spans="3:12" ht="13.8" thickBot="1">
      <c r="C308" s="782"/>
      <c r="D308" s="828"/>
      <c r="E308" s="829"/>
      <c r="F308" s="831"/>
      <c r="G308" s="198"/>
      <c r="H308" s="782"/>
      <c r="I308" s="760"/>
      <c r="J308" s="762"/>
      <c r="K308" s="760"/>
      <c r="L308" s="762"/>
    </row>
    <row r="309" spans="3:12">
      <c r="C309" s="823" t="s">
        <v>821</v>
      </c>
      <c r="D309" s="828"/>
      <c r="E309" s="829"/>
      <c r="F309" s="831"/>
      <c r="G309" s="198"/>
      <c r="H309" s="768" t="s">
        <v>600</v>
      </c>
      <c r="I309" s="777" t="s">
        <v>610</v>
      </c>
      <c r="J309" s="765" t="s">
        <v>611</v>
      </c>
      <c r="K309" s="777" t="s">
        <v>829</v>
      </c>
      <c r="L309" s="765" t="s">
        <v>827</v>
      </c>
    </row>
    <row r="310" spans="3:12">
      <c r="C310" s="824"/>
      <c r="D310" s="828"/>
      <c r="E310" s="829"/>
      <c r="F310" s="831"/>
      <c r="G310" s="198"/>
      <c r="H310" s="769"/>
      <c r="I310" s="778"/>
      <c r="J310" s="766"/>
      <c r="K310" s="778"/>
      <c r="L310" s="766"/>
    </row>
    <row r="311" spans="3:12">
      <c r="C311" s="824"/>
      <c r="D311" s="828"/>
      <c r="E311" s="829"/>
      <c r="F311" s="831"/>
      <c r="G311" s="198"/>
      <c r="H311" s="769"/>
      <c r="I311" s="778"/>
      <c r="J311" s="766"/>
      <c r="K311" s="778"/>
      <c r="L311" s="766"/>
    </row>
    <row r="312" spans="3:12" ht="13.8" thickBot="1">
      <c r="C312" s="825"/>
      <c r="D312" s="828"/>
      <c r="E312" s="829"/>
      <c r="F312" s="831"/>
      <c r="G312" s="198"/>
      <c r="H312" s="770"/>
      <c r="I312" s="779"/>
      <c r="J312" s="767"/>
      <c r="K312" s="779"/>
      <c r="L312" s="767"/>
    </row>
  </sheetData>
  <sheetProtection formatColumns="0" formatRows="0"/>
  <mergeCells count="128">
    <mergeCell ref="C309:C312"/>
    <mergeCell ref="D293:E312"/>
    <mergeCell ref="F293:F312"/>
    <mergeCell ref="H309:H312"/>
    <mergeCell ref="I309:I312"/>
    <mergeCell ref="J309:J312"/>
    <mergeCell ref="K285:K292"/>
    <mergeCell ref="L285:L292"/>
    <mergeCell ref="K293:K296"/>
    <mergeCell ref="L293:L296"/>
    <mergeCell ref="K297:K300"/>
    <mergeCell ref="L297:L300"/>
    <mergeCell ref="K301:K304"/>
    <mergeCell ref="L301:L304"/>
    <mergeCell ref="K305:K308"/>
    <mergeCell ref="L305:L308"/>
    <mergeCell ref="K309:K312"/>
    <mergeCell ref="L309:L312"/>
    <mergeCell ref="C293:C296"/>
    <mergeCell ref="H293:H296"/>
    <mergeCell ref="H305:H308"/>
    <mergeCell ref="C297:C300"/>
    <mergeCell ref="C301:C304"/>
    <mergeCell ref="C305:C308"/>
    <mergeCell ref="B40:D40"/>
    <mergeCell ref="B41:D41"/>
    <mergeCell ref="B42:D42"/>
    <mergeCell ref="B43:D43"/>
    <mergeCell ref="B44:D44"/>
    <mergeCell ref="B98:C98"/>
    <mergeCell ref="E98:F98"/>
    <mergeCell ref="A134:M134"/>
    <mergeCell ref="A184:M184"/>
    <mergeCell ref="B46:D46"/>
    <mergeCell ref="E94:F96"/>
    <mergeCell ref="B58:D58"/>
    <mergeCell ref="B59:D59"/>
    <mergeCell ref="B60:D60"/>
    <mergeCell ref="B61:D61"/>
    <mergeCell ref="B143:M147"/>
    <mergeCell ref="B227:M227"/>
    <mergeCell ref="B223:M223"/>
    <mergeCell ref="B229:M230"/>
    <mergeCell ref="B221:M221"/>
    <mergeCell ref="B209:M209"/>
    <mergeCell ref="B211:M212"/>
    <mergeCell ref="B215:M215"/>
    <mergeCell ref="B217:M218"/>
    <mergeCell ref="B45:D45"/>
    <mergeCell ref="B198:M201"/>
    <mergeCell ref="B204:M204"/>
    <mergeCell ref="B206:M206"/>
    <mergeCell ref="B54:D54"/>
    <mergeCell ref="B55:D55"/>
    <mergeCell ref="B188:M190"/>
    <mergeCell ref="B125:M132"/>
    <mergeCell ref="B101:C105"/>
    <mergeCell ref="E101:F105"/>
    <mergeCell ref="B73:C75"/>
    <mergeCell ref="E73:F75"/>
    <mergeCell ref="H73:I75"/>
    <mergeCell ref="B97:C97"/>
    <mergeCell ref="E97:F97"/>
    <mergeCell ref="B94:C96"/>
    <mergeCell ref="B251:B255"/>
    <mergeCell ref="F251:F255"/>
    <mergeCell ref="G251:G255"/>
    <mergeCell ref="H251:H255"/>
    <mergeCell ref="B246:B250"/>
    <mergeCell ref="C246:C260"/>
    <mergeCell ref="F246:F250"/>
    <mergeCell ref="G246:G250"/>
    <mergeCell ref="B256:B260"/>
    <mergeCell ref="F256:F260"/>
    <mergeCell ref="G256:G260"/>
    <mergeCell ref="B261:B270"/>
    <mergeCell ref="C261:C280"/>
    <mergeCell ref="G261:G270"/>
    <mergeCell ref="H261:H270"/>
    <mergeCell ref="B271:B275"/>
    <mergeCell ref="F271:F275"/>
    <mergeCell ref="G271:G275"/>
    <mergeCell ref="H271:H275"/>
    <mergeCell ref="B276:B280"/>
    <mergeCell ref="J246:J250"/>
    <mergeCell ref="I246:I250"/>
    <mergeCell ref="J251:J255"/>
    <mergeCell ref="I251:I255"/>
    <mergeCell ref="I256:I260"/>
    <mergeCell ref="J256:J260"/>
    <mergeCell ref="F276:F280"/>
    <mergeCell ref="G276:G280"/>
    <mergeCell ref="H276:H280"/>
    <mergeCell ref="H256:H260"/>
    <mergeCell ref="H246:H250"/>
    <mergeCell ref="I271:I275"/>
    <mergeCell ref="J271:J275"/>
    <mergeCell ref="I276:I280"/>
    <mergeCell ref="J276:J280"/>
    <mergeCell ref="I261:I265"/>
    <mergeCell ref="J261:J265"/>
    <mergeCell ref="I266:I270"/>
    <mergeCell ref="J266:J270"/>
    <mergeCell ref="C285:C292"/>
    <mergeCell ref="F285:F292"/>
    <mergeCell ref="H285:H292"/>
    <mergeCell ref="D271:E275"/>
    <mergeCell ref="D276:E280"/>
    <mergeCell ref="D284:E284"/>
    <mergeCell ref="D245:E245"/>
    <mergeCell ref="D246:E250"/>
    <mergeCell ref="D251:E255"/>
    <mergeCell ref="D256:E260"/>
    <mergeCell ref="D261:E270"/>
    <mergeCell ref="F261:F270"/>
    <mergeCell ref="I305:I308"/>
    <mergeCell ref="J285:J292"/>
    <mergeCell ref="I285:I292"/>
    <mergeCell ref="J293:J296"/>
    <mergeCell ref="J297:J300"/>
    <mergeCell ref="H301:H304"/>
    <mergeCell ref="J301:J304"/>
    <mergeCell ref="J305:J308"/>
    <mergeCell ref="D285:E292"/>
    <mergeCell ref="I293:I296"/>
    <mergeCell ref="H297:H300"/>
    <mergeCell ref="I297:I300"/>
    <mergeCell ref="I301:I304"/>
  </mergeCells>
  <dataValidations count="5">
    <dataValidation allowBlank="1" showInputMessage="1" showErrorMessage="1" errorTitle="Please note" error="Please only decimal number with &quot;,&quot; in Nm/bar between 5 and 30" sqref="F45:T46" xr:uid="{00000000-0002-0000-0500-000000000000}"/>
    <dataValidation type="decimal" allowBlank="1" showInputMessage="1" showErrorMessage="1" errorTitle="Please note" error="Please only decimal number with &quot;,&quot;  between 0 and 1" sqref="F40:T40" xr:uid="{00000000-0002-0000-0500-000001000000}">
      <formula1>0</formula1>
      <formula2>1</formula2>
    </dataValidation>
    <dataValidation type="decimal" allowBlank="1" showInputMessage="1" showErrorMessage="1" errorTitle="Please note" error="Please only decimal number with &quot;,&quot; in mm² between 5 and 300" sqref="F44:T44" xr:uid="{00000000-0002-0000-0500-000002000000}">
      <formula1>5</formula1>
      <formula2>300</formula2>
    </dataValidation>
    <dataValidation type="decimal" allowBlank="1" showInputMessage="1" showErrorMessage="1" errorTitle="Please note" error="Please only decimal number with &quot;,&quot; in mm between 5 and 300" sqref="F43:T43" xr:uid="{00000000-0002-0000-0500-000003000000}">
      <formula1>5</formula1>
      <formula2>300</formula2>
    </dataValidation>
    <dataValidation type="decimal" allowBlank="1" showInputMessage="1" showErrorMessage="1" errorTitle="Please note" error="Please only decimal number with &quot;,&quot; in mm² between 5 and 10000" sqref="F41:T42" xr:uid="{00000000-0002-0000-0500-000004000000}">
      <formula1>5</formula1>
      <formula2>10000</formula2>
    </dataValidation>
  </dataValidations>
  <pageMargins left="0.7" right="0.7" top="0.78740157499999996" bottom="0.78740157499999996"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P168"/>
  <sheetViews>
    <sheetView topLeftCell="A92" zoomScaleNormal="100" workbookViewId="0">
      <selection activeCell="F107" sqref="F107"/>
    </sheetView>
  </sheetViews>
  <sheetFormatPr defaultColWidth="9.109375" defaultRowHeight="13.2"/>
  <cols>
    <col min="1" max="1" width="20.109375" bestFit="1" customWidth="1"/>
    <col min="2" max="4" width="14.109375" customWidth="1"/>
    <col min="5" max="5" width="16.33203125" customWidth="1"/>
    <col min="6" max="16" width="14.109375" customWidth="1"/>
  </cols>
  <sheetData>
    <row r="2" spans="1:16">
      <c r="D2" s="73" t="s">
        <v>26</v>
      </c>
    </row>
    <row r="3" spans="1:16" ht="13.8" thickBot="1">
      <c r="A3" s="73" t="s">
        <v>341</v>
      </c>
    </row>
    <row r="4" spans="1:16">
      <c r="A4" s="118"/>
      <c r="B4" s="119" t="s">
        <v>100</v>
      </c>
      <c r="C4" s="119" t="s">
        <v>101</v>
      </c>
      <c r="D4" s="119" t="s">
        <v>102</v>
      </c>
      <c r="E4" s="119" t="s">
        <v>103</v>
      </c>
      <c r="F4" s="119" t="s">
        <v>104</v>
      </c>
      <c r="G4" s="119" t="s">
        <v>105</v>
      </c>
      <c r="H4" s="119" t="s">
        <v>108</v>
      </c>
      <c r="I4" s="119" t="s">
        <v>106</v>
      </c>
      <c r="J4" s="119" t="s">
        <v>107</v>
      </c>
      <c r="K4" s="119" t="s">
        <v>149</v>
      </c>
      <c r="L4" s="119" t="s">
        <v>150</v>
      </c>
      <c r="M4" s="119" t="s">
        <v>151</v>
      </c>
      <c r="N4" s="119" t="s">
        <v>152</v>
      </c>
      <c r="O4" s="119" t="s">
        <v>153</v>
      </c>
      <c r="P4" s="120" t="s">
        <v>154</v>
      </c>
    </row>
    <row r="5" spans="1:16" ht="13.8" thickBot="1">
      <c r="A5" s="121" t="s">
        <v>348</v>
      </c>
      <c r="B5" s="122" t="str">
        <f>IF(AND((Parameter_Template!G109+Parameter_Template!G108)&gt;'TMC Matrix'!$B$7,(Parameter_Template!G109+Parameter_Template!G108)&lt;'TMC Matrix'!$C$7),"Normal stroke 1",IF(AND((Parameter_Template!G109+Parameter_Template!G108)&gt;='TMC Matrix'!$D$7,(Parameter_Template!G109+Parameter_Template!G108)&lt;'TMC Matrix'!$E$7),"Normal stroke 2",IF(AND((Parameter_Template!G109+Parameter_Template!G108)&gt;='TMC Matrix'!$F$7,(Parameter_Template!G109+Parameter_Template!G108)&lt;'TMC Matrix'!$G$7),"Long stroke",)))</f>
        <v>Normal stroke 1</v>
      </c>
      <c r="C5" s="122" t="str">
        <f>IF(AND((Parameter_Template!H109+Parameter_Template!H108)&gt;'TMC Matrix'!$B$7,(Parameter_Template!H109+Parameter_Template!H108)&lt;'TMC Matrix'!$C$7),"Normal stroke 1",IF(AND((Parameter_Template!H109+Parameter_Template!H108)&gt;='TMC Matrix'!$D$7,(Parameter_Template!H109+Parameter_Template!H108)&lt;'TMC Matrix'!$E$7),"Normal stroke 2",IF(AND((Parameter_Template!H109+Parameter_Template!H108)&gt;='TMC Matrix'!$F$7,(Parameter_Template!H109+Parameter_Template!H108)&lt;'TMC Matrix'!$G$7),"Long stroke",)))</f>
        <v>Normal stroke 1</v>
      </c>
      <c r="D5" s="122" t="str">
        <f>IF(AND((Parameter_Template!I109+Parameter_Template!I108)&gt;'TMC Matrix'!$B$7,(Parameter_Template!I109+Parameter_Template!I108)&lt;'TMC Matrix'!$C$7),"Normal stroke 1",IF(AND((Parameter_Template!I109+Parameter_Template!I108)&gt;='TMC Matrix'!$D$7,(Parameter_Template!I109+Parameter_Template!I108)&lt;'TMC Matrix'!$E$7),"Normal stroke 2",IF(AND((Parameter_Template!I109+Parameter_Template!I108)&gt;='TMC Matrix'!$F$7,(Parameter_Template!I109+Parameter_Template!I108)&lt;'TMC Matrix'!$G$7),"Long stroke",)))</f>
        <v>Normal stroke 1</v>
      </c>
      <c r="E5" s="122" t="str">
        <f>IF(AND((Parameter_Template!J109+Parameter_Template!J108)&gt;'TMC Matrix'!$B$7,(Parameter_Template!J109+Parameter_Template!J108)&lt;'TMC Matrix'!$C$7),"Normal stroke 1",IF(AND((Parameter_Template!J109+Parameter_Template!J108)&gt;='TMC Matrix'!$D$7,(Parameter_Template!J109+Parameter_Template!J108)&lt;'TMC Matrix'!$E$7),"Normal stroke 2",IF(AND((Parameter_Template!J109+Parameter_Template!J108)&gt;='TMC Matrix'!$F$7,(Parameter_Template!J109+Parameter_Template!J108)&lt;'TMC Matrix'!$G$7),"Long stroke",)))</f>
        <v>Normal stroke 1</v>
      </c>
      <c r="F5" s="122" t="str">
        <f>IF(AND((Parameter_Template!K109+Parameter_Template!K108)&gt;'TMC Matrix'!$B$7,(Parameter_Template!K109+Parameter_Template!K108)&lt;'TMC Matrix'!$C$7),"Normal stroke 1",IF(AND((Parameter_Template!K109+Parameter_Template!K108)&gt;='TMC Matrix'!$D$7,(Parameter_Template!K109+Parameter_Template!K108)&lt;'TMC Matrix'!$E$7),"Normal stroke 2",IF(AND((Parameter_Template!K109+Parameter_Template!K108)&gt;='TMC Matrix'!$F$7,(Parameter_Template!K109+Parameter_Template!K108)&lt;'TMC Matrix'!$G$7),"Long stroke",)))</f>
        <v>Normal stroke 1</v>
      </c>
      <c r="G5" s="122" t="str">
        <f>IF(AND((Parameter_Template!L109+Parameter_Template!L108)&gt;'TMC Matrix'!$B$7,(Parameter_Template!L109+Parameter_Template!L108)&lt;'TMC Matrix'!$C$7),"Normal stroke 1",IF(AND((Parameter_Template!L109+Parameter_Template!L108)&gt;='TMC Matrix'!$D$7,(Parameter_Template!L109+Parameter_Template!L108)&lt;'TMC Matrix'!$E$7),"Normal stroke 2",IF(AND((Parameter_Template!L109+Parameter_Template!L108)&gt;='TMC Matrix'!$F$7,(Parameter_Template!L109+Parameter_Template!L108)&lt;'TMC Matrix'!$G$7),"Long stroke",)))</f>
        <v>Normal stroke 1</v>
      </c>
      <c r="H5" s="122" t="str">
        <f>IF(AND((Parameter_Template!M109+Parameter_Template!M108)&gt;'TMC Matrix'!$B$7,(Parameter_Template!M109+Parameter_Template!M108)&lt;'TMC Matrix'!$C$7),"Normal stroke 1",IF(AND((Parameter_Template!M109+Parameter_Template!M108)&gt;='TMC Matrix'!$D$7,(Parameter_Template!M109+Parameter_Template!M108)&lt;'TMC Matrix'!$E$7),"Normal stroke 2",IF(AND((Parameter_Template!M109+Parameter_Template!M108)&gt;='TMC Matrix'!$F$7,(Parameter_Template!M109+Parameter_Template!M108)&lt;'TMC Matrix'!$G$7),"Long stroke",)))</f>
        <v>Normal stroke 1</v>
      </c>
      <c r="I5" s="122">
        <f>IF(AND((Parameter_Template!N109+Parameter_Template!N108)&gt;'TMC Matrix'!$B$7,(Parameter_Template!N109+Parameter_Template!N108)&lt;'TMC Matrix'!$C$7),"Normal stroke 1",IF(AND((Parameter_Template!N109+Parameter_Template!N108)&gt;='TMC Matrix'!$D$7,(Parameter_Template!N109+Parameter_Template!N108)&lt;'TMC Matrix'!$E$7),"Normal stroke 2",IF(AND((Parameter_Template!N109+Parameter_Template!N108)&gt;='TMC Matrix'!$F$7,(Parameter_Template!N109+Parameter_Template!N108)&lt;'TMC Matrix'!$G$7),"Long stroke",)))</f>
        <v>0</v>
      </c>
      <c r="J5" s="122">
        <f>IF(AND((Parameter_Template!O109+Parameter_Template!O108)&gt;'TMC Matrix'!$B$7,(Parameter_Template!O109+Parameter_Template!O108)&lt;'TMC Matrix'!$C$7),"Normal stroke 1",IF(AND((Parameter_Template!O109+Parameter_Template!O108)&gt;='TMC Matrix'!$D$7,(Parameter_Template!O109+Parameter_Template!O108)&lt;'TMC Matrix'!$E$7),"Normal stroke 2",IF(AND((Parameter_Template!O109+Parameter_Template!O108)&gt;='TMC Matrix'!$F$7,(Parameter_Template!O109+Parameter_Template!O108)&lt;'TMC Matrix'!$G$7),"Long stroke",)))</f>
        <v>0</v>
      </c>
      <c r="K5" s="122">
        <f>IF(AND((Parameter_Template!P109+Parameter_Template!P108)&gt;'TMC Matrix'!$B$7,(Parameter_Template!P109+Parameter_Template!P108)&lt;'TMC Matrix'!$C$7),"Normal stroke 1",IF(AND((Parameter_Template!P109+Parameter_Template!P108)&gt;='TMC Matrix'!$D$7,(Parameter_Template!P109+Parameter_Template!P108)&lt;'TMC Matrix'!$E$7),"Normal stroke 2",IF(AND((Parameter_Template!P109+Parameter_Template!P108)&gt;='TMC Matrix'!$F$7,(Parameter_Template!P109+Parameter_Template!P108)&lt;'TMC Matrix'!$G$7),"Long stroke",)))</f>
        <v>0</v>
      </c>
      <c r="L5" s="122">
        <f>IF(AND((Parameter_Template!Q109+Parameter_Template!Q108)&gt;'TMC Matrix'!$B$7,(Parameter_Template!Q109+Parameter_Template!Q108)&lt;'TMC Matrix'!$C$7),"Normal stroke 1",IF(AND((Parameter_Template!Q109+Parameter_Template!Q108)&gt;='TMC Matrix'!$D$7,(Parameter_Template!Q109+Parameter_Template!Q108)&lt;'TMC Matrix'!$E$7),"Normal stroke 2",IF(AND((Parameter_Template!Q109+Parameter_Template!Q108)&gt;='TMC Matrix'!$F$7,(Parameter_Template!Q109+Parameter_Template!Q108)&lt;'TMC Matrix'!$G$7),"Long stroke",)))</f>
        <v>0</v>
      </c>
      <c r="M5" s="122">
        <f>IF(AND((Parameter_Template!R109+Parameter_Template!R108)&gt;'TMC Matrix'!$B$7,(Parameter_Template!R109+Parameter_Template!R108)&lt;'TMC Matrix'!$C$7),"Normal stroke 1",IF(AND((Parameter_Template!R109+Parameter_Template!R108)&gt;='TMC Matrix'!$D$7,(Parameter_Template!R109+Parameter_Template!R108)&lt;'TMC Matrix'!$E$7),"Normal stroke 2",IF(AND((Parameter_Template!R109+Parameter_Template!R108)&gt;='TMC Matrix'!$F$7,(Parameter_Template!R109+Parameter_Template!R108)&lt;'TMC Matrix'!$G$7),"Long stroke",)))</f>
        <v>0</v>
      </c>
      <c r="N5" s="122">
        <f>IF(AND((Parameter_Template!S109+Parameter_Template!S108)&gt;'TMC Matrix'!$B$7,(Parameter_Template!S109+Parameter_Template!S108)&lt;'TMC Matrix'!$C$7),"Normal stroke 1",IF(AND((Parameter_Template!S109+Parameter_Template!S108)&gt;='TMC Matrix'!$D$7,(Parameter_Template!S109+Parameter_Template!S108)&lt;'TMC Matrix'!$E$7),"Normal stroke 2",IF(AND((Parameter_Template!S109+Parameter_Template!S108)&gt;='TMC Matrix'!$F$7,(Parameter_Template!S109+Parameter_Template!S108)&lt;'TMC Matrix'!$G$7),"Long stroke",)))</f>
        <v>0</v>
      </c>
      <c r="O5" s="122">
        <f>IF(AND((Parameter_Template!T109+Parameter_Template!T108)&gt;'TMC Matrix'!$B$7,(Parameter_Template!T109+Parameter_Template!T108)&lt;'TMC Matrix'!$C$7),"Normal stroke 1",IF(AND((Parameter_Template!T109+Parameter_Template!T108)&gt;='TMC Matrix'!$D$7,(Parameter_Template!T109+Parameter_Template!T108)&lt;'TMC Matrix'!$E$7),"Normal stroke 2",IF(AND((Parameter_Template!T109+Parameter_Template!T108)&gt;='TMC Matrix'!$F$7,(Parameter_Template!T109+Parameter_Template!T108)&lt;'TMC Matrix'!$G$7),"Long stroke",)))</f>
        <v>0</v>
      </c>
      <c r="P5" s="122">
        <f>IF(AND((Parameter_Template!U109+Parameter_Template!U108)&gt;'TMC Matrix'!$B$7,(Parameter_Template!U109+Parameter_Template!U108)&lt;'TMC Matrix'!$C$7),"Normal stroke 1",IF(AND((Parameter_Template!U109+Parameter_Template!U108)&gt;='TMC Matrix'!$D$7,(Parameter_Template!U109+Parameter_Template!U108)&lt;'TMC Matrix'!$E$7),"Normal stroke 2",IF(AND((Parameter_Template!U109+Parameter_Template!U108)&gt;='TMC Matrix'!$F$7,(Parameter_Template!U109+Parameter_Template!U108)&lt;'TMC Matrix'!$G$7),"Long stroke",)))</f>
        <v>0</v>
      </c>
    </row>
    <row r="6" spans="1:16">
      <c r="A6" s="118"/>
      <c r="B6" s="847" t="s">
        <v>345</v>
      </c>
      <c r="C6" s="847"/>
      <c r="D6" s="847" t="s">
        <v>346</v>
      </c>
      <c r="E6" s="847"/>
      <c r="F6" s="847" t="s">
        <v>347</v>
      </c>
      <c r="G6" s="848"/>
    </row>
    <row r="7" spans="1:16">
      <c r="A7" s="7" t="s">
        <v>342</v>
      </c>
      <c r="B7" s="229">
        <v>30</v>
      </c>
      <c r="C7" s="229">
        <v>36</v>
      </c>
      <c r="D7" s="229">
        <v>36</v>
      </c>
      <c r="E7" s="229">
        <v>42</v>
      </c>
      <c r="F7" s="229">
        <v>42</v>
      </c>
      <c r="G7" s="123">
        <v>50</v>
      </c>
    </row>
    <row r="8" spans="1:16">
      <c r="A8" s="124">
        <v>19.05</v>
      </c>
      <c r="B8" s="845">
        <v>62</v>
      </c>
      <c r="C8" s="845"/>
      <c r="D8" s="845">
        <v>62</v>
      </c>
      <c r="E8" s="845"/>
      <c r="F8" s="845">
        <v>62</v>
      </c>
      <c r="G8" s="846"/>
    </row>
    <row r="9" spans="1:16">
      <c r="A9" s="124">
        <v>20.64</v>
      </c>
      <c r="B9" s="845">
        <v>71</v>
      </c>
      <c r="C9" s="845"/>
      <c r="D9" s="845">
        <v>71</v>
      </c>
      <c r="E9" s="845"/>
      <c r="F9" s="845">
        <v>71</v>
      </c>
      <c r="G9" s="846"/>
    </row>
    <row r="10" spans="1:16">
      <c r="A10" s="124">
        <v>22.2</v>
      </c>
      <c r="B10" s="757">
        <v>95</v>
      </c>
      <c r="C10" s="757"/>
      <c r="D10" s="757">
        <v>95</v>
      </c>
      <c r="E10" s="757"/>
      <c r="F10" s="845">
        <v>95</v>
      </c>
      <c r="G10" s="846"/>
    </row>
    <row r="11" spans="1:16">
      <c r="A11" s="124">
        <v>23.81</v>
      </c>
      <c r="B11" s="757">
        <v>95</v>
      </c>
      <c r="C11" s="757"/>
      <c r="D11" s="757">
        <v>95</v>
      </c>
      <c r="E11" s="757"/>
      <c r="F11" s="757">
        <v>95</v>
      </c>
      <c r="G11" s="834"/>
    </row>
    <row r="12" spans="1:16">
      <c r="A12" s="124">
        <v>25.4</v>
      </c>
      <c r="B12" s="757">
        <v>95</v>
      </c>
      <c r="C12" s="757"/>
      <c r="D12" s="757">
        <v>95</v>
      </c>
      <c r="E12" s="757"/>
      <c r="F12" s="757">
        <v>95</v>
      </c>
      <c r="G12" s="834"/>
    </row>
    <row r="13" spans="1:16">
      <c r="A13" s="124">
        <v>27</v>
      </c>
      <c r="B13" s="845">
        <v>116</v>
      </c>
      <c r="C13" s="845"/>
      <c r="D13" s="845">
        <v>116</v>
      </c>
      <c r="E13" s="845"/>
      <c r="F13" s="845">
        <v>116</v>
      </c>
      <c r="G13" s="846"/>
    </row>
    <row r="14" spans="1:16">
      <c r="A14" s="124">
        <v>28.57</v>
      </c>
      <c r="B14" s="845">
        <v>116</v>
      </c>
      <c r="C14" s="845"/>
      <c r="D14" s="845">
        <v>116</v>
      </c>
      <c r="E14" s="845"/>
      <c r="F14" s="845">
        <v>116</v>
      </c>
      <c r="G14" s="846"/>
    </row>
    <row r="15" spans="1:16">
      <c r="A15" s="124">
        <v>30.16</v>
      </c>
      <c r="B15" s="845">
        <v>109</v>
      </c>
      <c r="C15" s="845"/>
      <c r="D15" s="843">
        <v>138</v>
      </c>
      <c r="E15" s="843"/>
      <c r="F15" s="843" t="s">
        <v>673</v>
      </c>
      <c r="G15" s="844"/>
    </row>
    <row r="16" spans="1:16">
      <c r="A16" s="124">
        <v>31.75</v>
      </c>
      <c r="B16" s="845">
        <v>138</v>
      </c>
      <c r="C16" s="845"/>
      <c r="D16" s="757">
        <v>138</v>
      </c>
      <c r="E16" s="757"/>
      <c r="F16" s="843" t="s">
        <v>673</v>
      </c>
      <c r="G16" s="844"/>
    </row>
    <row r="17" spans="1:16">
      <c r="A17" s="124">
        <v>33.340000000000003</v>
      </c>
      <c r="B17" s="845">
        <v>138</v>
      </c>
      <c r="C17" s="845"/>
      <c r="D17" s="757">
        <v>138</v>
      </c>
      <c r="E17" s="757"/>
      <c r="F17" s="843" t="s">
        <v>673</v>
      </c>
      <c r="G17" s="844"/>
    </row>
    <row r="18" spans="1:16">
      <c r="A18" s="124">
        <v>34.93</v>
      </c>
      <c r="B18" s="757" t="s">
        <v>673</v>
      </c>
      <c r="C18" s="757"/>
      <c r="D18" s="757" t="s">
        <v>673</v>
      </c>
      <c r="E18" s="757"/>
      <c r="F18" s="757" t="s">
        <v>673</v>
      </c>
      <c r="G18" s="834"/>
    </row>
    <row r="19" spans="1:16">
      <c r="A19" s="124">
        <v>36.51</v>
      </c>
      <c r="B19" s="757" t="s">
        <v>673</v>
      </c>
      <c r="C19" s="757"/>
      <c r="D19" s="757" t="s">
        <v>673</v>
      </c>
      <c r="E19" s="757"/>
      <c r="F19" s="757" t="s">
        <v>673</v>
      </c>
      <c r="G19" s="834"/>
    </row>
    <row r="20" spans="1:16">
      <c r="A20" s="124">
        <v>38.1</v>
      </c>
      <c r="B20" s="757" t="s">
        <v>673</v>
      </c>
      <c r="C20" s="757"/>
      <c r="D20" s="757" t="s">
        <v>673</v>
      </c>
      <c r="E20" s="757"/>
      <c r="F20" s="757" t="s">
        <v>673</v>
      </c>
      <c r="G20" s="834"/>
    </row>
    <row r="21" spans="1:16">
      <c r="A21" s="124">
        <v>39.69</v>
      </c>
      <c r="B21" s="757" t="s">
        <v>673</v>
      </c>
      <c r="C21" s="757"/>
      <c r="D21" s="757" t="s">
        <v>673</v>
      </c>
      <c r="E21" s="757"/>
      <c r="F21" s="757" t="s">
        <v>673</v>
      </c>
      <c r="G21" s="834"/>
    </row>
    <row r="22" spans="1:16">
      <c r="A22" s="124">
        <v>41.28</v>
      </c>
      <c r="B22" s="757" t="s">
        <v>673</v>
      </c>
      <c r="C22" s="757"/>
      <c r="D22" s="757" t="s">
        <v>673</v>
      </c>
      <c r="E22" s="757"/>
      <c r="F22" s="757" t="s">
        <v>673</v>
      </c>
      <c r="G22" s="834"/>
    </row>
    <row r="23" spans="1:16" ht="13.8" thickBot="1">
      <c r="A23" s="125">
        <v>50.58</v>
      </c>
      <c r="B23" s="832" t="s">
        <v>673</v>
      </c>
      <c r="C23" s="832"/>
      <c r="D23" s="832" t="s">
        <v>673</v>
      </c>
      <c r="E23" s="832"/>
      <c r="F23" s="832" t="s">
        <v>673</v>
      </c>
      <c r="G23" s="833"/>
    </row>
    <row r="25" spans="1:16" ht="13.8" thickBot="1">
      <c r="A25" s="73" t="s">
        <v>344</v>
      </c>
    </row>
    <row r="26" spans="1:16">
      <c r="A26" s="118"/>
      <c r="B26" s="119" t="s">
        <v>100</v>
      </c>
      <c r="C26" s="119" t="s">
        <v>101</v>
      </c>
      <c r="D26" s="119" t="s">
        <v>102</v>
      </c>
      <c r="E26" s="119" t="s">
        <v>103</v>
      </c>
      <c r="F26" s="119" t="s">
        <v>104</v>
      </c>
      <c r="G26" s="119" t="s">
        <v>105</v>
      </c>
      <c r="H26" s="119" t="s">
        <v>108</v>
      </c>
      <c r="I26" s="119" t="s">
        <v>106</v>
      </c>
      <c r="J26" s="119" t="s">
        <v>107</v>
      </c>
      <c r="K26" s="119" t="s">
        <v>149</v>
      </c>
      <c r="L26" s="119" t="s">
        <v>150</v>
      </c>
      <c r="M26" s="119" t="s">
        <v>151</v>
      </c>
      <c r="N26" s="119" t="s">
        <v>152</v>
      </c>
      <c r="O26" s="119" t="s">
        <v>153</v>
      </c>
      <c r="P26" s="120" t="s">
        <v>154</v>
      </c>
    </row>
    <row r="27" spans="1:16" ht="13.8" thickBot="1">
      <c r="A27" s="121" t="s">
        <v>348</v>
      </c>
      <c r="B27" s="122" t="str">
        <f>IF(AND((Parameter_Template!G109+Parameter_Template!G108)&gt;'TMC Matrix'!$B$29,(Parameter_Template!G109+Parameter_Template!G108)&lt;'TMC Matrix'!$C$29),"Normal stroke 1",IF(AND((Parameter_Template!G109+Parameter_Template!G108)&gt;='TMC Matrix'!$D$29,(Parameter_Template!G109+Parameter_Template!G108)&lt;'TMC Matrix'!$E$29),"Normal stroke 2",IF(AND((Parameter_Template!G109+Parameter_Template!G108)&gt;='TMC Matrix'!$F$29,(Parameter_Template!G109+Parameter_Template!G108)&lt;'TMC Matrix'!$G$29),"Long stroke",)))</f>
        <v>Normal stroke 1</v>
      </c>
      <c r="C27" s="122" t="str">
        <f>IF(AND((Parameter_Template!H109+Parameter_Template!H108)&gt;'TMC Matrix'!$B$29,(Parameter_Template!H109+Parameter_Template!H108)&lt;'TMC Matrix'!$C$29),"Normal stroke 1",IF(AND((Parameter_Template!H109+Parameter_Template!H108)&gt;='TMC Matrix'!$D$29,(Parameter_Template!H109+Parameter_Template!H108)&lt;'TMC Matrix'!$E$29),"Normal stroke 2",IF(AND((Parameter_Template!H109+Parameter_Template!H108)&gt;='TMC Matrix'!$F$29,(Parameter_Template!H109+Parameter_Template!H108)&lt;'TMC Matrix'!$G$29),"Long stroke",)))</f>
        <v>Normal stroke 1</v>
      </c>
      <c r="D27" s="122" t="str">
        <f>IF(AND((Parameter_Template!I109+Parameter_Template!I108)&gt;'TMC Matrix'!$B$29,(Parameter_Template!I109+Parameter_Template!I108)&lt;'TMC Matrix'!$C$29),"Normal stroke 1",IF(AND((Parameter_Template!I109+Parameter_Template!I108)&gt;='TMC Matrix'!$D$29,(Parameter_Template!I109+Parameter_Template!I108)&lt;'TMC Matrix'!$E$29),"Normal stroke 2",IF(AND((Parameter_Template!I109+Parameter_Template!I108)&gt;='TMC Matrix'!$F$29,(Parameter_Template!I109+Parameter_Template!I108)&lt;'TMC Matrix'!$G$29),"Long stroke",)))</f>
        <v>Normal stroke 1</v>
      </c>
      <c r="E27" s="122" t="str">
        <f>IF(AND((Parameter_Template!J109+Parameter_Template!J108)&gt;'TMC Matrix'!$B$29,(Parameter_Template!J109+Parameter_Template!J108)&lt;'TMC Matrix'!$C$29),"Normal stroke 1",IF(AND((Parameter_Template!J109+Parameter_Template!J108)&gt;='TMC Matrix'!$D$29,(Parameter_Template!J109+Parameter_Template!J108)&lt;'TMC Matrix'!$E$29),"Normal stroke 2",IF(AND((Parameter_Template!J109+Parameter_Template!J108)&gt;='TMC Matrix'!$F$29,(Parameter_Template!J109+Parameter_Template!J108)&lt;'TMC Matrix'!$G$29),"Long stroke",)))</f>
        <v>Normal stroke 1</v>
      </c>
      <c r="F27" s="122" t="str">
        <f>IF(AND((Parameter_Template!K109+Parameter_Template!K108)&gt;'TMC Matrix'!$B$29,(Parameter_Template!K109+Parameter_Template!K108)&lt;'TMC Matrix'!$C$29),"Normal stroke 1",IF(AND((Parameter_Template!K109+Parameter_Template!K108)&gt;='TMC Matrix'!$D$29,(Parameter_Template!K109+Parameter_Template!K108)&lt;'TMC Matrix'!$E$29),"Normal stroke 2",IF(AND((Parameter_Template!K109+Parameter_Template!K108)&gt;='TMC Matrix'!$F$29,(Parameter_Template!K109+Parameter_Template!K108)&lt;'TMC Matrix'!$G$29),"Long stroke",)))</f>
        <v>Normal stroke 1</v>
      </c>
      <c r="G27" s="122" t="str">
        <f>IF(AND((Parameter_Template!L109+Parameter_Template!L108)&gt;'TMC Matrix'!$B$29,(Parameter_Template!L109+Parameter_Template!L108)&lt;'TMC Matrix'!$C$29),"Normal stroke 1",IF(AND((Parameter_Template!L109+Parameter_Template!L108)&gt;='TMC Matrix'!$D$29,(Parameter_Template!L109+Parameter_Template!L108)&lt;'TMC Matrix'!$E$29),"Normal stroke 2",IF(AND((Parameter_Template!L109+Parameter_Template!L108)&gt;='TMC Matrix'!$F$29,(Parameter_Template!L109+Parameter_Template!L108)&lt;'TMC Matrix'!$G$29),"Long stroke",)))</f>
        <v>Normal stroke 1</v>
      </c>
      <c r="H27" s="122" t="str">
        <f>IF(AND((Parameter_Template!M109+Parameter_Template!M108)&gt;'TMC Matrix'!$B$29,(Parameter_Template!M109+Parameter_Template!M108)&lt;'TMC Matrix'!$C$29),"Normal stroke 1",IF(AND((Parameter_Template!M109+Parameter_Template!M108)&gt;='TMC Matrix'!$D$29,(Parameter_Template!M109+Parameter_Template!M108)&lt;'TMC Matrix'!$E$29),"Normal stroke 2",IF(AND((Parameter_Template!M109+Parameter_Template!M108)&gt;='TMC Matrix'!$F$29,(Parameter_Template!M109+Parameter_Template!M108)&lt;'TMC Matrix'!$G$29),"Long stroke",)))</f>
        <v>Normal stroke 1</v>
      </c>
      <c r="I27" s="122">
        <f>IF(AND((Parameter_Template!N109+Parameter_Template!N108)&gt;'TMC Matrix'!$B$29,(Parameter_Template!N109+Parameter_Template!N108)&lt;'TMC Matrix'!$C$29),"Normal stroke 1",IF(AND((Parameter_Template!N109+Parameter_Template!N108)&gt;='TMC Matrix'!$D$29,(Parameter_Template!N109+Parameter_Template!N108)&lt;'TMC Matrix'!$E$29),"Normal stroke 2",IF(AND((Parameter_Template!N109+Parameter_Template!N108)&gt;='TMC Matrix'!$F$29,(Parameter_Template!N109+Parameter_Template!N108)&lt;'TMC Matrix'!$G$29),"Long stroke",)))</f>
        <v>0</v>
      </c>
      <c r="J27" s="122">
        <f>IF(AND((Parameter_Template!O109+Parameter_Template!O108)&gt;'TMC Matrix'!$B$29,(Parameter_Template!O109+Parameter_Template!O108)&lt;'TMC Matrix'!$C$29),"Normal stroke 1",IF(AND((Parameter_Template!O109+Parameter_Template!O108)&gt;='TMC Matrix'!$D$29,(Parameter_Template!O109+Parameter_Template!O108)&lt;'TMC Matrix'!$E$29),"Normal stroke 2",IF(AND((Parameter_Template!O109+Parameter_Template!O108)&gt;='TMC Matrix'!$F$29,(Parameter_Template!O109+Parameter_Template!O108)&lt;'TMC Matrix'!$G$29),"Long stroke",)))</f>
        <v>0</v>
      </c>
      <c r="K27" s="122">
        <f>IF(AND((Parameter_Template!P109+Parameter_Template!P108)&gt;'TMC Matrix'!$B$29,(Parameter_Template!P109+Parameter_Template!P108)&lt;'TMC Matrix'!$C$29),"Normal stroke 1",IF(AND((Parameter_Template!P109+Parameter_Template!P108)&gt;='TMC Matrix'!$D$29,(Parameter_Template!P109+Parameter_Template!P108)&lt;'TMC Matrix'!$E$29),"Normal stroke 2",IF(AND((Parameter_Template!P109+Parameter_Template!P108)&gt;='TMC Matrix'!$F$29,(Parameter_Template!P109+Parameter_Template!P108)&lt;'TMC Matrix'!$G$29),"Long stroke",)))</f>
        <v>0</v>
      </c>
      <c r="L27" s="122">
        <f>IF(AND((Parameter_Template!Q109+Parameter_Template!Q108)&gt;'TMC Matrix'!$B$29,(Parameter_Template!Q109+Parameter_Template!Q108)&lt;'TMC Matrix'!$C$29),"Normal stroke 1",IF(AND((Parameter_Template!Q109+Parameter_Template!Q108)&gt;='TMC Matrix'!$D$29,(Parameter_Template!Q109+Parameter_Template!Q108)&lt;'TMC Matrix'!$E$29),"Normal stroke 2",IF(AND((Parameter_Template!Q109+Parameter_Template!Q108)&gt;='TMC Matrix'!$F$29,(Parameter_Template!Q109+Parameter_Template!Q108)&lt;'TMC Matrix'!$G$29),"Long stroke",)))</f>
        <v>0</v>
      </c>
      <c r="M27" s="122">
        <f>IF(AND((Parameter_Template!R109+Parameter_Template!R108)&gt;'TMC Matrix'!$B$29,(Parameter_Template!R109+Parameter_Template!R108)&lt;'TMC Matrix'!$C$29),"Normal stroke 1",IF(AND((Parameter_Template!R109+Parameter_Template!R108)&gt;='TMC Matrix'!$D$29,(Parameter_Template!R109+Parameter_Template!R108)&lt;'TMC Matrix'!$E$29),"Normal stroke 2",IF(AND((Parameter_Template!R109+Parameter_Template!R108)&gt;='TMC Matrix'!$F$29,(Parameter_Template!R109+Parameter_Template!R108)&lt;'TMC Matrix'!$G$29),"Long stroke",)))</f>
        <v>0</v>
      </c>
      <c r="N27" s="122">
        <f>IF(AND((Parameter_Template!S109+Parameter_Template!S108)&gt;'TMC Matrix'!$B$29,(Parameter_Template!S109+Parameter_Template!S108)&lt;'TMC Matrix'!$C$29),"Normal stroke 1",IF(AND((Parameter_Template!S109+Parameter_Template!S108)&gt;='TMC Matrix'!$D$29,(Parameter_Template!S109+Parameter_Template!S108)&lt;'TMC Matrix'!$E$29),"Normal stroke 2",IF(AND((Parameter_Template!S109+Parameter_Template!S108)&gt;='TMC Matrix'!$F$29,(Parameter_Template!S109+Parameter_Template!S108)&lt;'TMC Matrix'!$G$29),"Long stroke",)))</f>
        <v>0</v>
      </c>
      <c r="O27" s="122">
        <f>IF(AND((Parameter_Template!T109+Parameter_Template!T108)&gt;'TMC Matrix'!$B$29,(Parameter_Template!T109+Parameter_Template!T108)&lt;'TMC Matrix'!$C$29),"Normal stroke 1",IF(AND((Parameter_Template!T109+Parameter_Template!T108)&gt;='TMC Matrix'!$D$29,(Parameter_Template!T109+Parameter_Template!T108)&lt;'TMC Matrix'!$E$29),"Normal stroke 2",IF(AND((Parameter_Template!T109+Parameter_Template!T108)&gt;='TMC Matrix'!$F$29,(Parameter_Template!T109+Parameter_Template!T108)&lt;'TMC Matrix'!$G$29),"Long stroke",)))</f>
        <v>0</v>
      </c>
      <c r="P27" s="122">
        <f>IF(AND((Parameter_Template!U109+Parameter_Template!U108)&gt;'TMC Matrix'!$B$29,(Parameter_Template!U109+Parameter_Template!U108)&lt;'TMC Matrix'!$C$29),"Normal stroke 1",IF(AND((Parameter_Template!U109+Parameter_Template!U108)&gt;='TMC Matrix'!$D$29,(Parameter_Template!U109+Parameter_Template!U108)&lt;'TMC Matrix'!$E$29),"Normal stroke 2",IF(AND((Parameter_Template!U109+Parameter_Template!U108)&gt;='TMC Matrix'!$F$29,(Parameter_Template!U109+Parameter_Template!U108)&lt;'TMC Matrix'!$G$29),"Long stroke",)))</f>
        <v>0</v>
      </c>
    </row>
    <row r="28" spans="1:16">
      <c r="A28" s="118"/>
      <c r="B28" s="847" t="s">
        <v>343</v>
      </c>
      <c r="C28" s="847"/>
      <c r="D28" s="847" t="s">
        <v>343</v>
      </c>
      <c r="E28" s="847"/>
      <c r="F28" s="847" t="s">
        <v>347</v>
      </c>
      <c r="G28" s="848"/>
    </row>
    <row r="29" spans="1:16">
      <c r="A29" s="7" t="s">
        <v>342</v>
      </c>
      <c r="B29" s="229">
        <v>30</v>
      </c>
      <c r="C29" s="229">
        <v>36</v>
      </c>
      <c r="D29" s="229">
        <v>36</v>
      </c>
      <c r="E29" s="229">
        <v>42</v>
      </c>
      <c r="F29" s="229">
        <v>42</v>
      </c>
      <c r="G29" s="123">
        <v>50</v>
      </c>
    </row>
    <row r="30" spans="1:16">
      <c r="A30" s="124">
        <v>19.05</v>
      </c>
      <c r="B30" s="845">
        <v>36</v>
      </c>
      <c r="C30" s="845"/>
      <c r="D30" s="845">
        <v>36</v>
      </c>
      <c r="E30" s="845"/>
      <c r="F30" s="845">
        <v>36</v>
      </c>
      <c r="G30" s="846"/>
    </row>
    <row r="31" spans="1:16">
      <c r="A31" s="124">
        <v>20.64</v>
      </c>
      <c r="B31" s="845">
        <v>41</v>
      </c>
      <c r="C31" s="845"/>
      <c r="D31" s="845">
        <v>41</v>
      </c>
      <c r="E31" s="845"/>
      <c r="F31" s="845">
        <v>41</v>
      </c>
      <c r="G31" s="846"/>
    </row>
    <row r="32" spans="1:16">
      <c r="A32" s="124">
        <v>22.2</v>
      </c>
      <c r="B32" s="757">
        <v>60</v>
      </c>
      <c r="C32" s="757"/>
      <c r="D32" s="757">
        <v>60</v>
      </c>
      <c r="E32" s="757"/>
      <c r="F32" s="843">
        <v>44</v>
      </c>
      <c r="G32" s="844"/>
    </row>
    <row r="33" spans="1:16">
      <c r="A33" s="124">
        <v>23.81</v>
      </c>
      <c r="B33" s="757">
        <v>60</v>
      </c>
      <c r="C33" s="757"/>
      <c r="D33" s="757">
        <v>60</v>
      </c>
      <c r="E33" s="757"/>
      <c r="F33" s="757">
        <v>60</v>
      </c>
      <c r="G33" s="834"/>
    </row>
    <row r="34" spans="1:16">
      <c r="A34" s="124">
        <v>25.4</v>
      </c>
      <c r="B34" s="757">
        <v>60</v>
      </c>
      <c r="C34" s="757"/>
      <c r="D34" s="757">
        <v>60</v>
      </c>
      <c r="E34" s="757"/>
      <c r="F34" s="757">
        <v>60</v>
      </c>
      <c r="G34" s="834"/>
    </row>
    <row r="35" spans="1:16">
      <c r="A35" s="124">
        <v>27</v>
      </c>
      <c r="B35" s="845">
        <v>71</v>
      </c>
      <c r="C35" s="845"/>
      <c r="D35" s="757">
        <v>71</v>
      </c>
      <c r="E35" s="757"/>
      <c r="F35" s="843" t="s">
        <v>673</v>
      </c>
      <c r="G35" s="844"/>
    </row>
    <row r="36" spans="1:16">
      <c r="A36" s="124">
        <v>28.57</v>
      </c>
      <c r="B36" s="845">
        <v>71</v>
      </c>
      <c r="C36" s="845"/>
      <c r="D36" s="757">
        <v>71</v>
      </c>
      <c r="E36" s="757"/>
      <c r="F36" s="843" t="s">
        <v>673</v>
      </c>
      <c r="G36" s="844"/>
    </row>
    <row r="37" spans="1:16">
      <c r="A37" s="124">
        <v>30.16</v>
      </c>
      <c r="B37" s="845">
        <v>96</v>
      </c>
      <c r="C37" s="845"/>
      <c r="D37" s="757">
        <v>96</v>
      </c>
      <c r="E37" s="757"/>
      <c r="F37" s="843" t="s">
        <v>673</v>
      </c>
      <c r="G37" s="844"/>
    </row>
    <row r="38" spans="1:16">
      <c r="A38" s="124">
        <v>31.75</v>
      </c>
      <c r="B38" s="845">
        <v>96</v>
      </c>
      <c r="C38" s="845"/>
      <c r="D38" s="757">
        <v>96</v>
      </c>
      <c r="E38" s="757"/>
      <c r="F38" s="843" t="s">
        <v>673</v>
      </c>
      <c r="G38" s="844"/>
    </row>
    <row r="39" spans="1:16">
      <c r="A39" s="124">
        <v>33.340000000000003</v>
      </c>
      <c r="B39" s="845">
        <v>96</v>
      </c>
      <c r="C39" s="845"/>
      <c r="D39" s="757">
        <v>96</v>
      </c>
      <c r="E39" s="757"/>
      <c r="F39" s="843" t="s">
        <v>673</v>
      </c>
      <c r="G39" s="844"/>
    </row>
    <row r="40" spans="1:16">
      <c r="A40" s="124">
        <v>34.93</v>
      </c>
      <c r="B40" s="757" t="s">
        <v>673</v>
      </c>
      <c r="C40" s="757"/>
      <c r="D40" s="757" t="s">
        <v>673</v>
      </c>
      <c r="E40" s="757"/>
      <c r="F40" s="757" t="s">
        <v>673</v>
      </c>
      <c r="G40" s="834"/>
    </row>
    <row r="41" spans="1:16">
      <c r="A41" s="124">
        <v>36.51</v>
      </c>
      <c r="B41" s="757" t="s">
        <v>673</v>
      </c>
      <c r="C41" s="757"/>
      <c r="D41" s="757" t="s">
        <v>673</v>
      </c>
      <c r="E41" s="757"/>
      <c r="F41" s="757" t="s">
        <v>673</v>
      </c>
      <c r="G41" s="834"/>
    </row>
    <row r="42" spans="1:16">
      <c r="A42" s="124">
        <v>38.1</v>
      </c>
      <c r="B42" s="757" t="s">
        <v>673</v>
      </c>
      <c r="C42" s="757"/>
      <c r="D42" s="757" t="s">
        <v>673</v>
      </c>
      <c r="E42" s="757"/>
      <c r="F42" s="757" t="s">
        <v>673</v>
      </c>
      <c r="G42" s="834"/>
    </row>
    <row r="43" spans="1:16">
      <c r="A43" s="124">
        <v>39.69</v>
      </c>
      <c r="B43" s="757" t="s">
        <v>673</v>
      </c>
      <c r="C43" s="757"/>
      <c r="D43" s="757" t="s">
        <v>673</v>
      </c>
      <c r="E43" s="757"/>
      <c r="F43" s="757" t="s">
        <v>673</v>
      </c>
      <c r="G43" s="834"/>
    </row>
    <row r="44" spans="1:16">
      <c r="A44" s="124">
        <v>41.28</v>
      </c>
      <c r="B44" s="757" t="s">
        <v>673</v>
      </c>
      <c r="C44" s="757"/>
      <c r="D44" s="757" t="s">
        <v>673</v>
      </c>
      <c r="E44" s="757"/>
      <c r="F44" s="757" t="s">
        <v>673</v>
      </c>
      <c r="G44" s="834"/>
    </row>
    <row r="45" spans="1:16" ht="13.8" thickBot="1">
      <c r="A45" s="125">
        <v>50.58</v>
      </c>
      <c r="B45" s="832" t="s">
        <v>673</v>
      </c>
      <c r="C45" s="832"/>
      <c r="D45" s="832" t="s">
        <v>673</v>
      </c>
      <c r="E45" s="832"/>
      <c r="F45" s="832" t="s">
        <v>673</v>
      </c>
      <c r="G45" s="833"/>
    </row>
    <row r="46" spans="1:16">
      <c r="A46" s="229"/>
      <c r="B46" s="60"/>
      <c r="C46" s="60"/>
      <c r="D46" s="60"/>
      <c r="E46" s="60"/>
      <c r="F46" s="60"/>
      <c r="G46" s="60"/>
    </row>
    <row r="47" spans="1:16">
      <c r="B47" t="s">
        <v>100</v>
      </c>
      <c r="C47" t="s">
        <v>101</v>
      </c>
      <c r="D47" t="s">
        <v>102</v>
      </c>
      <c r="E47" t="s">
        <v>103</v>
      </c>
      <c r="F47" t="s">
        <v>104</v>
      </c>
      <c r="G47" t="s">
        <v>105</v>
      </c>
      <c r="H47" t="s">
        <v>108</v>
      </c>
      <c r="I47" t="s">
        <v>106</v>
      </c>
      <c r="J47" t="s">
        <v>107</v>
      </c>
      <c r="K47" t="s">
        <v>149</v>
      </c>
      <c r="L47" t="s">
        <v>150</v>
      </c>
      <c r="M47" t="s">
        <v>151</v>
      </c>
      <c r="N47" t="s">
        <v>152</v>
      </c>
      <c r="O47" t="s">
        <v>153</v>
      </c>
      <c r="P47" t="s">
        <v>154</v>
      </c>
    </row>
    <row r="48" spans="1:16">
      <c r="A48" t="s">
        <v>672</v>
      </c>
      <c r="B48">
        <f>VLOOKUP(B$59,'TMC Matrix'!$A$6:$G$23,IF('TMC Matrix'!B5="Normal stroke 1",2,IF('TMC Matrix'!B5="Normal stroke 2",4,IF('TMC Matrix'!B5="Long stroke",6,))),FALSE)</f>
        <v>71</v>
      </c>
      <c r="C48">
        <f>VLOOKUP(C$59,'TMC Matrix'!$A$6:$G$23,IF('TMC Matrix'!C5="Normal stroke 1",2,IF('TMC Matrix'!C5="Normal stroke 2",4,IF('TMC Matrix'!C5="Long stroke",6,))),FALSE)</f>
        <v>71</v>
      </c>
      <c r="D48">
        <f>VLOOKUP(D$59,'TMC Matrix'!$A$6:$G$23,IF('TMC Matrix'!D5="Normal stroke 1",2,IF('TMC Matrix'!D5="Normal stroke 2",4,IF('TMC Matrix'!D5="Long stroke",6,))),FALSE)</f>
        <v>71</v>
      </c>
      <c r="E48">
        <f>VLOOKUP(E$59,'TMC Matrix'!$A$6:$G$23,IF('TMC Matrix'!E5="Normal stroke 1",2,IF('TMC Matrix'!E5="Normal stroke 2",4,IF('TMC Matrix'!E5="Long stroke",6,))),FALSE)</f>
        <v>71</v>
      </c>
      <c r="F48">
        <f>VLOOKUP(F$59,'TMC Matrix'!$A$6:$G$23,IF('TMC Matrix'!F5="Normal stroke 1",2,IF('TMC Matrix'!F5="Normal stroke 2",4,IF('TMC Matrix'!F5="Long stroke",6,))),FALSE)</f>
        <v>71</v>
      </c>
      <c r="G48">
        <f>VLOOKUP(G$59,'TMC Matrix'!$A$6:$G$23,IF('TMC Matrix'!G5="Normal stroke 1",2,IF('TMC Matrix'!G5="Normal stroke 2",4,IF('TMC Matrix'!G5="Long stroke",6,))),FALSE)</f>
        <v>71</v>
      </c>
      <c r="H48">
        <f>VLOOKUP(H$59,'TMC Matrix'!$A$6:$G$23,IF('TMC Matrix'!H5="Normal stroke 1",2,IF('TMC Matrix'!H5="Normal stroke 2",4,IF('TMC Matrix'!H5="Long stroke",6,))),FALSE)</f>
        <v>71</v>
      </c>
      <c r="I48" t="e">
        <f>VLOOKUP(I$59,'TMC Matrix'!$A$6:$G$23,IF('TMC Matrix'!I5="Normal stroke 1",2,IF('TMC Matrix'!I5="Normal stroke 2",4,IF('TMC Matrix'!I5="Long stroke",6,))),FALSE)</f>
        <v>#N/A</v>
      </c>
      <c r="J48" t="e">
        <f>VLOOKUP(J$59,'TMC Matrix'!$A$6:$G$23,IF('TMC Matrix'!J5="Normal stroke 1",2,IF('TMC Matrix'!J5="Normal stroke 2",4,IF('TMC Matrix'!J5="Long stroke",6,))),FALSE)</f>
        <v>#N/A</v>
      </c>
      <c r="K48" t="e">
        <f>VLOOKUP(K$59,'TMC Matrix'!$A$6:$G$23,IF('TMC Matrix'!K5="Normal stroke 1",2,IF('TMC Matrix'!K5="Normal stroke 2",4,IF('TMC Matrix'!K5="Long stroke",6,))),FALSE)</f>
        <v>#N/A</v>
      </c>
      <c r="L48" t="e">
        <f>VLOOKUP(L$59,'TMC Matrix'!$A$6:$G$23,IF('TMC Matrix'!L5="Normal stroke 1",2,IF('TMC Matrix'!L5="Normal stroke 2",4,IF('TMC Matrix'!L5="Long stroke",6,))),FALSE)</f>
        <v>#N/A</v>
      </c>
      <c r="M48" t="e">
        <f>VLOOKUP(M$59,'TMC Matrix'!$A$6:$G$23,IF('TMC Matrix'!M5="Normal stroke 1",2,IF('TMC Matrix'!M5="Normal stroke 2",4,IF('TMC Matrix'!M5="Long stroke",6,))),FALSE)</f>
        <v>#N/A</v>
      </c>
      <c r="N48" t="e">
        <f>VLOOKUP(N$59,'TMC Matrix'!$A$6:$G$23,IF('TMC Matrix'!N5="Normal stroke 1",2,IF('TMC Matrix'!N5="Normal stroke 2",4,IF('TMC Matrix'!N5="Long stroke",6,))),FALSE)</f>
        <v>#N/A</v>
      </c>
      <c r="O48" t="e">
        <f>VLOOKUP(O$59,'TMC Matrix'!$A$6:$G$23,IF('TMC Matrix'!O5="Normal stroke 1",2,IF('TMC Matrix'!O5="Normal stroke 2",4,IF('TMC Matrix'!O5="Long stroke",6,))),FALSE)</f>
        <v>#N/A</v>
      </c>
      <c r="P48" t="e">
        <f>VLOOKUP(P$59,'TMC Matrix'!$A$6:$G$23,IF('TMC Matrix'!P5="Normal stroke 1",2,IF('TMC Matrix'!P5="Normal stroke 2",4,IF('TMC Matrix'!P5="Long stroke",6,))),FALSE)</f>
        <v>#N/A</v>
      </c>
    </row>
    <row r="49" spans="1:16">
      <c r="A49" t="s">
        <v>671</v>
      </c>
      <c r="B49">
        <f>VLOOKUP(B$59,'TMC Matrix'!$A$28:$G$45,IF('TMC Matrix'!B27="Normal stroke 1",2,IF('TMC Matrix'!B27="Normal stroke 2",4,IF('TMC Matrix'!B27="Long stroke",6))),FALSE)</f>
        <v>41</v>
      </c>
      <c r="C49">
        <f>VLOOKUP(C$59,'TMC Matrix'!$A$28:$G$45,IF('TMC Matrix'!C27="Normal stroke 1",2,IF('TMC Matrix'!C27="Normal stroke 2",4,IF('TMC Matrix'!C27="Long stroke",6))),FALSE)</f>
        <v>41</v>
      </c>
      <c r="D49">
        <f>VLOOKUP(D$59,'TMC Matrix'!$A$28:$G$45,IF('TMC Matrix'!D27="Normal stroke 1",2,IF('TMC Matrix'!D27="Normal stroke 2",4,IF('TMC Matrix'!D27="Long stroke",6))),FALSE)</f>
        <v>41</v>
      </c>
      <c r="E49">
        <f>VLOOKUP(E$59,'TMC Matrix'!$A$28:$G$45,IF('TMC Matrix'!E27="Normal stroke 1",2,IF('TMC Matrix'!E27="Normal stroke 2",4,IF('TMC Matrix'!E27="Long stroke",6))),FALSE)</f>
        <v>41</v>
      </c>
      <c r="F49">
        <f>VLOOKUP(F$59,'TMC Matrix'!$A$28:$G$45,IF('TMC Matrix'!F27="Normal stroke 1",2,IF('TMC Matrix'!F27="Normal stroke 2",4,IF('TMC Matrix'!F27="Long stroke",6))),FALSE)</f>
        <v>41</v>
      </c>
      <c r="G49">
        <f>VLOOKUP(G$59,'TMC Matrix'!$A$28:$G$45,IF('TMC Matrix'!G27="Normal stroke 1",2,IF('TMC Matrix'!G27="Normal stroke 2",4,IF('TMC Matrix'!G27="Long stroke",6))),FALSE)</f>
        <v>41</v>
      </c>
      <c r="H49">
        <f>VLOOKUP(H$59,'TMC Matrix'!$A$28:$G$45,IF('TMC Matrix'!H27="Normal stroke 1",2,IF('TMC Matrix'!H27="Normal stroke 2",4,IF('TMC Matrix'!H27="Long stroke",6))),FALSE)</f>
        <v>41</v>
      </c>
      <c r="I49" t="e">
        <f>VLOOKUP(I$59,'TMC Matrix'!$A$28:$G$45,IF('TMC Matrix'!I27="Normal stroke 1",2,IF('TMC Matrix'!I27="Normal stroke 2",4,IF('TMC Matrix'!I27="Long stroke",6))),FALSE)</f>
        <v>#N/A</v>
      </c>
      <c r="J49" t="e">
        <f>VLOOKUP(J$59,'TMC Matrix'!$A$28:$G$45,IF('TMC Matrix'!J27="Normal stroke 1",2,IF('TMC Matrix'!J27="Normal stroke 2",4,IF('TMC Matrix'!J27="Long stroke",6))),FALSE)</f>
        <v>#N/A</v>
      </c>
      <c r="K49" t="e">
        <f>VLOOKUP(K$59,'TMC Matrix'!$A$28:$G$45,IF('TMC Matrix'!K27="Normal stroke 1",2,IF('TMC Matrix'!K27="Normal stroke 2",4,IF('TMC Matrix'!K27="Long stroke",6))),FALSE)</f>
        <v>#N/A</v>
      </c>
      <c r="L49" t="e">
        <f>VLOOKUP(L$59,'TMC Matrix'!$A$28:$G$45,IF('TMC Matrix'!L27="Normal stroke 1",2,IF('TMC Matrix'!L27="Normal stroke 2",4,IF('TMC Matrix'!L27="Long stroke",6))),FALSE)</f>
        <v>#N/A</v>
      </c>
      <c r="M49" t="e">
        <f>VLOOKUP(M$59,'TMC Matrix'!$A$28:$G$45,IF('TMC Matrix'!M27="Normal stroke 1",2,IF('TMC Matrix'!M27="Normal stroke 2",4,IF('TMC Matrix'!M27="Long stroke",6))),FALSE)</f>
        <v>#N/A</v>
      </c>
      <c r="N49" t="e">
        <f>VLOOKUP(N$59,'TMC Matrix'!$A$28:$G$45,IF('TMC Matrix'!N27="Normal stroke 1",2,IF('TMC Matrix'!N27="Normal stroke 2",4,IF('TMC Matrix'!N27="Long stroke",6))),FALSE)</f>
        <v>#N/A</v>
      </c>
      <c r="O49" t="e">
        <f>VLOOKUP(O$59,'TMC Matrix'!$A$28:$G$45,IF('TMC Matrix'!O27="Normal stroke 1",2,IF('TMC Matrix'!O27="Normal stroke 2",4,IF('TMC Matrix'!O27="Long stroke",6))),FALSE)</f>
        <v>#N/A</v>
      </c>
      <c r="P49" t="e">
        <f>VLOOKUP(P$59,'TMC Matrix'!$A$28:$G$45,IF('TMC Matrix'!P27="Normal stroke 1",2,IF('TMC Matrix'!P27="Normal stroke 2",4,IF('TMC Matrix'!P27="Long stroke",6))),FALSE)</f>
        <v>#N/A</v>
      </c>
    </row>
    <row r="52" spans="1:16">
      <c r="D52" s="73" t="s">
        <v>698</v>
      </c>
    </row>
    <row r="53" spans="1:16">
      <c r="A53" t="s">
        <v>29</v>
      </c>
      <c r="B53" t="str">
        <f>Parameter_Template!G19</f>
        <v>X-Split</v>
      </c>
    </row>
    <row r="55" spans="1:16">
      <c r="B55" t="s">
        <v>100</v>
      </c>
      <c r="C55" t="s">
        <v>101</v>
      </c>
      <c r="D55" t="s">
        <v>102</v>
      </c>
      <c r="E55" t="s">
        <v>103</v>
      </c>
      <c r="F55" t="s">
        <v>104</v>
      </c>
      <c r="G55" t="s">
        <v>105</v>
      </c>
      <c r="H55" t="s">
        <v>108</v>
      </c>
      <c r="I55" t="s">
        <v>106</v>
      </c>
      <c r="J55" t="s">
        <v>107</v>
      </c>
      <c r="K55" t="s">
        <v>149</v>
      </c>
      <c r="L55" t="s">
        <v>150</v>
      </c>
      <c r="M55" t="s">
        <v>151</v>
      </c>
      <c r="N55" t="s">
        <v>152</v>
      </c>
      <c r="O55" t="s">
        <v>153</v>
      </c>
      <c r="P55" t="s">
        <v>154</v>
      </c>
    </row>
    <row r="56" spans="1:16">
      <c r="A56" t="s">
        <v>669</v>
      </c>
      <c r="B56">
        <f>Parameter_Template!G108</f>
        <v>17</v>
      </c>
      <c r="C56">
        <f>Parameter_Template!H108</f>
        <v>17</v>
      </c>
      <c r="D56">
        <f>Parameter_Template!I108</f>
        <v>17</v>
      </c>
      <c r="E56">
        <f>Parameter_Template!J108</f>
        <v>17</v>
      </c>
      <c r="F56">
        <f>Parameter_Template!K108</f>
        <v>17</v>
      </c>
      <c r="G56">
        <f>Parameter_Template!L108</f>
        <v>17</v>
      </c>
      <c r="H56">
        <f>Parameter_Template!M108</f>
        <v>17</v>
      </c>
      <c r="I56">
        <f>Parameter_Template!N108</f>
        <v>0</v>
      </c>
      <c r="J56">
        <f>Parameter_Template!O108</f>
        <v>0</v>
      </c>
      <c r="K56">
        <f>Parameter_Template!P108</f>
        <v>0</v>
      </c>
      <c r="L56">
        <f>Parameter_Template!Q108</f>
        <v>0</v>
      </c>
      <c r="M56">
        <f>Parameter_Template!R108</f>
        <v>0</v>
      </c>
      <c r="N56">
        <f>Parameter_Template!S108</f>
        <v>0</v>
      </c>
      <c r="O56">
        <f>Parameter_Template!T108</f>
        <v>0</v>
      </c>
      <c r="P56">
        <f>Parameter_Template!U108</f>
        <v>0</v>
      </c>
    </row>
    <row r="57" spans="1:16">
      <c r="A57" t="s">
        <v>670</v>
      </c>
      <c r="B57">
        <f>Parameter_Template!G109</f>
        <v>17</v>
      </c>
      <c r="C57">
        <f>Parameter_Template!H109</f>
        <v>17</v>
      </c>
      <c r="D57">
        <f>Parameter_Template!I109</f>
        <v>17</v>
      </c>
      <c r="E57">
        <f>Parameter_Template!J109</f>
        <v>17</v>
      </c>
      <c r="F57">
        <f>Parameter_Template!K109</f>
        <v>17</v>
      </c>
      <c r="G57">
        <f>Parameter_Template!L109</f>
        <v>17</v>
      </c>
      <c r="H57">
        <f>Parameter_Template!M109</f>
        <v>17</v>
      </c>
      <c r="I57">
        <f>Parameter_Template!N109</f>
        <v>0</v>
      </c>
      <c r="J57">
        <f>Parameter_Template!O109</f>
        <v>0</v>
      </c>
      <c r="K57">
        <f>Parameter_Template!P109</f>
        <v>0</v>
      </c>
      <c r="L57">
        <f>Parameter_Template!Q109</f>
        <v>0</v>
      </c>
      <c r="M57">
        <f>Parameter_Template!R109</f>
        <v>0</v>
      </c>
      <c r="N57">
        <f>Parameter_Template!S109</f>
        <v>0</v>
      </c>
      <c r="O57">
        <f>Parameter_Template!T109</f>
        <v>0</v>
      </c>
      <c r="P57">
        <f>Parameter_Template!U109</f>
        <v>0</v>
      </c>
    </row>
    <row r="58" spans="1:16">
      <c r="A58" t="s">
        <v>688</v>
      </c>
      <c r="B58">
        <f>SUM(B56:B57)</f>
        <v>34</v>
      </c>
      <c r="C58">
        <f>SUM(C56:C57)</f>
        <v>34</v>
      </c>
      <c r="D58">
        <f t="shared" ref="D58:P58" si="0">SUM(D56:D57)</f>
        <v>34</v>
      </c>
      <c r="E58">
        <f t="shared" si="0"/>
        <v>34</v>
      </c>
      <c r="F58">
        <f t="shared" si="0"/>
        <v>34</v>
      </c>
      <c r="G58">
        <f t="shared" si="0"/>
        <v>34</v>
      </c>
      <c r="H58">
        <f t="shared" si="0"/>
        <v>34</v>
      </c>
      <c r="I58">
        <f t="shared" si="0"/>
        <v>0</v>
      </c>
      <c r="J58">
        <f t="shared" si="0"/>
        <v>0</v>
      </c>
      <c r="K58">
        <f t="shared" si="0"/>
        <v>0</v>
      </c>
      <c r="L58">
        <f t="shared" si="0"/>
        <v>0</v>
      </c>
      <c r="M58">
        <f t="shared" si="0"/>
        <v>0</v>
      </c>
      <c r="N58">
        <f t="shared" si="0"/>
        <v>0</v>
      </c>
      <c r="O58">
        <f t="shared" si="0"/>
        <v>0</v>
      </c>
      <c r="P58">
        <f t="shared" si="0"/>
        <v>0</v>
      </c>
    </row>
    <row r="59" spans="1:16">
      <c r="A59" t="s">
        <v>230</v>
      </c>
      <c r="B59" s="229">
        <f>Parameter_Template!G107</f>
        <v>20.64</v>
      </c>
      <c r="C59" s="229">
        <f>Parameter_Template!H107</f>
        <v>20.64</v>
      </c>
      <c r="D59" s="229">
        <f>Parameter_Template!I107</f>
        <v>20.64</v>
      </c>
      <c r="E59" s="229">
        <f>Parameter_Template!J107</f>
        <v>20.64</v>
      </c>
      <c r="F59" s="229">
        <f>Parameter_Template!K107</f>
        <v>20.64</v>
      </c>
      <c r="G59" s="229">
        <f>Parameter_Template!L107</f>
        <v>20.64</v>
      </c>
      <c r="H59" s="229">
        <f>Parameter_Template!M107</f>
        <v>20.64</v>
      </c>
      <c r="I59" s="229">
        <f>Parameter_Template!N107</f>
        <v>0</v>
      </c>
      <c r="J59" s="229">
        <f>Parameter_Template!O107</f>
        <v>0</v>
      </c>
      <c r="K59" s="229">
        <f>Parameter_Template!P107</f>
        <v>0</v>
      </c>
      <c r="L59" s="229">
        <f>Parameter_Template!Q107</f>
        <v>0</v>
      </c>
      <c r="M59" s="229">
        <f>Parameter_Template!R107</f>
        <v>0</v>
      </c>
      <c r="N59" s="229">
        <f>Parameter_Template!S107</f>
        <v>0</v>
      </c>
      <c r="O59" s="229">
        <f>Parameter_Template!T107</f>
        <v>0</v>
      </c>
      <c r="P59" s="229">
        <f>Parameter_Template!U107</f>
        <v>0</v>
      </c>
    </row>
    <row r="60" spans="1:16">
      <c r="B60" s="229"/>
      <c r="C60" s="229"/>
      <c r="D60" s="229"/>
      <c r="E60" s="229"/>
      <c r="F60" s="229"/>
      <c r="G60" s="229"/>
      <c r="H60" s="229"/>
      <c r="I60" s="229"/>
      <c r="J60" s="229"/>
      <c r="K60" s="229"/>
      <c r="L60" s="229"/>
      <c r="M60" s="229"/>
      <c r="N60" s="229"/>
      <c r="O60" s="229"/>
      <c r="P60" s="229"/>
    </row>
    <row r="61" spans="1:16">
      <c r="B61" s="229"/>
      <c r="C61" s="229"/>
      <c r="D61" s="229"/>
      <c r="E61" s="229"/>
      <c r="F61" s="229"/>
      <c r="G61" s="229"/>
      <c r="H61" s="229"/>
      <c r="I61" s="229"/>
      <c r="J61" s="229"/>
      <c r="K61" s="229"/>
      <c r="L61" s="229"/>
      <c r="M61" s="229"/>
      <c r="N61" s="229"/>
      <c r="O61" s="229"/>
      <c r="P61" s="229"/>
    </row>
    <row r="62" spans="1:16">
      <c r="B62" s="229"/>
      <c r="C62" s="229"/>
      <c r="D62" s="73" t="s">
        <v>668</v>
      </c>
      <c r="E62" s="229"/>
      <c r="F62" s="229"/>
      <c r="G62" s="229"/>
      <c r="H62" s="229"/>
      <c r="I62" s="229"/>
      <c r="J62" s="229"/>
      <c r="K62" s="229"/>
      <c r="L62" s="229"/>
      <c r="M62" s="229"/>
      <c r="N62" s="229"/>
      <c r="O62" s="229"/>
      <c r="P62" s="229"/>
    </row>
    <row r="63" spans="1:16">
      <c r="B63" s="229"/>
      <c r="C63" s="229"/>
      <c r="D63" s="229"/>
      <c r="E63" s="229"/>
      <c r="F63" s="229"/>
      <c r="G63" s="229"/>
      <c r="H63" s="229"/>
      <c r="I63" s="229"/>
      <c r="J63" s="229"/>
      <c r="K63" s="229"/>
      <c r="L63" s="229"/>
      <c r="M63" s="229"/>
      <c r="N63" s="229"/>
      <c r="O63" s="229"/>
      <c r="P63" s="229"/>
    </row>
    <row r="64" spans="1:16">
      <c r="A64" s="230" t="s">
        <v>701</v>
      </c>
      <c r="B64" s="269">
        <f>IF($B$53="X-Split",B$68,B$77)</f>
        <v>51</v>
      </c>
      <c r="C64" s="269">
        <f t="shared" ref="C64:P64" si="1">IF($B$53="X-Split",C$68,C$77)</f>
        <v>51</v>
      </c>
      <c r="D64" s="269">
        <f t="shared" si="1"/>
        <v>51</v>
      </c>
      <c r="E64" s="269">
        <f t="shared" si="1"/>
        <v>51</v>
      </c>
      <c r="F64" s="269">
        <f t="shared" si="1"/>
        <v>51</v>
      </c>
      <c r="G64" s="269">
        <f t="shared" si="1"/>
        <v>51</v>
      </c>
      <c r="H64" s="269">
        <f t="shared" si="1"/>
        <v>51</v>
      </c>
      <c r="I64" s="269" t="str">
        <f t="shared" si="1"/>
        <v>n.a.</v>
      </c>
      <c r="J64" s="269" t="str">
        <f t="shared" si="1"/>
        <v>n.a.</v>
      </c>
      <c r="K64" s="269" t="str">
        <f t="shared" si="1"/>
        <v>n.a.</v>
      </c>
      <c r="L64" s="269" t="str">
        <f t="shared" si="1"/>
        <v>n.a.</v>
      </c>
      <c r="M64" s="269" t="str">
        <f t="shared" si="1"/>
        <v>n.a.</v>
      </c>
      <c r="N64" s="269" t="str">
        <f t="shared" si="1"/>
        <v>n.a.</v>
      </c>
      <c r="O64" s="269" t="str">
        <f t="shared" si="1"/>
        <v>n.a.</v>
      </c>
      <c r="P64" s="269" t="str">
        <f t="shared" si="1"/>
        <v>n.a.</v>
      </c>
    </row>
    <row r="65" spans="1:16">
      <c r="A65" s="230" t="s">
        <v>702</v>
      </c>
      <c r="B65" s="269">
        <f>IF($B$53="X-Split",B$69,B$78)</f>
        <v>81</v>
      </c>
      <c r="C65" s="269">
        <f t="shared" ref="C65:P65" si="2">IF($B$53="X-Split",C$69,C$78)</f>
        <v>81</v>
      </c>
      <c r="D65" s="269">
        <f t="shared" si="2"/>
        <v>81</v>
      </c>
      <c r="E65" s="269">
        <f t="shared" si="2"/>
        <v>81</v>
      </c>
      <c r="F65" s="269">
        <f t="shared" si="2"/>
        <v>81</v>
      </c>
      <c r="G65" s="269">
        <f t="shared" si="2"/>
        <v>81</v>
      </c>
      <c r="H65" s="269">
        <f t="shared" si="2"/>
        <v>81</v>
      </c>
      <c r="I65" s="269" t="str">
        <f t="shared" si="2"/>
        <v>n.a.</v>
      </c>
      <c r="J65" s="269" t="str">
        <f t="shared" si="2"/>
        <v>n.a.</v>
      </c>
      <c r="K65" s="269" t="str">
        <f t="shared" si="2"/>
        <v>n.a.</v>
      </c>
      <c r="L65" s="269" t="str">
        <f t="shared" si="2"/>
        <v>n.a.</v>
      </c>
      <c r="M65" s="269" t="str">
        <f t="shared" si="2"/>
        <v>n.a.</v>
      </c>
      <c r="N65" s="269" t="str">
        <f t="shared" si="2"/>
        <v>n.a.</v>
      </c>
      <c r="O65" s="269" t="str">
        <f t="shared" si="2"/>
        <v>n.a.</v>
      </c>
      <c r="P65" s="269" t="str">
        <f t="shared" si="2"/>
        <v>n.a.</v>
      </c>
    </row>
    <row r="66" spans="1:16">
      <c r="B66" s="229"/>
    </row>
    <row r="67" spans="1:16">
      <c r="A67" s="231" t="s">
        <v>30</v>
      </c>
    </row>
    <row r="68" spans="1:16">
      <c r="A68" t="s">
        <v>700</v>
      </c>
      <c r="B68" s="60">
        <f>IF(B$59&gt;0,VLOOKUP(B$59,'TMC Matrix'!$A$84:$C$99,2,FALSE),"n.a.")</f>
        <v>51</v>
      </c>
      <c r="C68" s="60">
        <f>IF(C$59&gt;0,VLOOKUP(C$59,'TMC Matrix'!$A$84:$C$99,2,FALSE),"n.a.")</f>
        <v>51</v>
      </c>
      <c r="D68" s="60">
        <f>IF(D$59&gt;0,VLOOKUP(D$59,'TMC Matrix'!$A$84:$C$99,2,FALSE),"n.a.")</f>
        <v>51</v>
      </c>
      <c r="E68" s="60">
        <f>IF(E$59&gt;0,VLOOKUP(E$59,'TMC Matrix'!$A$84:$C$99,2,FALSE),"n.a.")</f>
        <v>51</v>
      </c>
      <c r="F68" s="60">
        <f>IF(F$59&gt;0,VLOOKUP(F$59,'TMC Matrix'!$A$84:$C$99,2,FALSE),"n.a.")</f>
        <v>51</v>
      </c>
      <c r="G68" s="60">
        <f>IF(G$59&gt;0,VLOOKUP(G$59,'TMC Matrix'!$A$84:$C$99,2,FALSE),"n.a.")</f>
        <v>51</v>
      </c>
      <c r="H68" s="60">
        <f>IF(H$59&gt;0,VLOOKUP(H$59,'TMC Matrix'!$A$84:$C$99,2,FALSE),"n.a.")</f>
        <v>51</v>
      </c>
      <c r="I68" s="60" t="str">
        <f>IF(I$59&gt;0,VLOOKUP(I$59,'TMC Matrix'!$A$84:$C$99,2,FALSE),"n.a.")</f>
        <v>n.a.</v>
      </c>
      <c r="J68" s="60" t="str">
        <f>IF(J$59&gt;0,VLOOKUP(J$59,'TMC Matrix'!$A$84:$C$99,2,FALSE),"n.a.")</f>
        <v>n.a.</v>
      </c>
      <c r="K68" s="60" t="str">
        <f>IF(K$59&gt;0,VLOOKUP(K$59,'TMC Matrix'!$A$84:$C$99,2,FALSE),"n.a.")</f>
        <v>n.a.</v>
      </c>
      <c r="L68" s="60" t="str">
        <f>IF(L$59&gt;0,VLOOKUP(L$59,'TMC Matrix'!$A$84:$C$99,2,FALSE),"n.a.")</f>
        <v>n.a.</v>
      </c>
      <c r="M68" s="60" t="str">
        <f>IF(M$59&gt;0,VLOOKUP(M$59,'TMC Matrix'!$A$84:$C$99,2,FALSE),"n.a.")</f>
        <v>n.a.</v>
      </c>
      <c r="N68" s="60" t="str">
        <f>IF(N$59&gt;0,VLOOKUP(N$59,'TMC Matrix'!$A$84:$C$99,2,FALSE),"n.a.")</f>
        <v>n.a.</v>
      </c>
      <c r="O68" s="60" t="str">
        <f>IF(O$59&gt;0,VLOOKUP(O$59,'TMC Matrix'!$A$84:$C$99,2,FALSE),"n.a.")</f>
        <v>n.a.</v>
      </c>
      <c r="P68" s="60" t="str">
        <f>IF(P$59&gt;0,VLOOKUP(P$59,'TMC Matrix'!$A$84:$C$99,2,FALSE),"n.a.")</f>
        <v>n.a.</v>
      </c>
    </row>
    <row r="69" spans="1:16">
      <c r="A69" t="s">
        <v>699</v>
      </c>
      <c r="B69" s="60">
        <f>IF(B$59&gt;0,VLOOKUP(B$59,'TMC Matrix'!$A$84:$C$99,3,FALSE),"n.a.")</f>
        <v>81</v>
      </c>
      <c r="C69" s="60">
        <f>IF(C$59&gt;0,VLOOKUP(C$59,'TMC Matrix'!$A$84:$C$99,3,FALSE),"n.a.")</f>
        <v>81</v>
      </c>
      <c r="D69" s="60">
        <f>IF(D$59&gt;0,VLOOKUP(D$59,'TMC Matrix'!$A$84:$C$99,3,FALSE),"n.a.")</f>
        <v>81</v>
      </c>
      <c r="E69" s="60">
        <f>IF(E$59&gt;0,VLOOKUP(E$59,'TMC Matrix'!$A$84:$C$99,3,FALSE),"n.a.")</f>
        <v>81</v>
      </c>
      <c r="F69" s="60">
        <f>IF(F$59&gt;0,VLOOKUP(F$59,'TMC Matrix'!$A$84:$C$99,3,FALSE),"n.a.")</f>
        <v>81</v>
      </c>
      <c r="G69" s="60">
        <f>IF(G$59&gt;0,VLOOKUP(G$59,'TMC Matrix'!$A$84:$C$99,3,FALSE),"n.a.")</f>
        <v>81</v>
      </c>
      <c r="H69" s="60">
        <f>IF(H$59&gt;0,VLOOKUP(H$59,'TMC Matrix'!$A$84:$C$99,3,FALSE),"n.a.")</f>
        <v>81</v>
      </c>
      <c r="I69" s="60" t="str">
        <f>IF(I$59&gt;0,VLOOKUP(I$59,'TMC Matrix'!$A$84:$C$99,3,FALSE),"n.a.")</f>
        <v>n.a.</v>
      </c>
      <c r="J69" s="60" t="str">
        <f>IF(J$59&gt;0,VLOOKUP(J$59,'TMC Matrix'!$A$84:$C$99,3,FALSE),"n.a.")</f>
        <v>n.a.</v>
      </c>
      <c r="K69" s="60" t="str">
        <f>IF(K$59&gt;0,VLOOKUP(K$59,'TMC Matrix'!$A$84:$C$99,3,FALSE),"n.a.")</f>
        <v>n.a.</v>
      </c>
      <c r="L69" s="60" t="str">
        <f>IF(L$59&gt;0,VLOOKUP(L$59,'TMC Matrix'!$A$84:$C$99,3,FALSE),"n.a.")</f>
        <v>n.a.</v>
      </c>
      <c r="M69" s="60" t="str">
        <f>IF(M$59&gt;0,VLOOKUP(M$59,'TMC Matrix'!$A$84:$C$99,3,FALSE),"n.a.")</f>
        <v>n.a.</v>
      </c>
      <c r="N69" s="60" t="str">
        <f>IF(N$59&gt;0,VLOOKUP(N$59,'TMC Matrix'!$A$84:$C$99,3,FALSE),"n.a.")</f>
        <v>n.a.</v>
      </c>
      <c r="O69" s="60" t="str">
        <f>IF(O$59&gt;0,VLOOKUP(O$59,'TMC Matrix'!$A$84:$C$99,3,FALSE),"n.a.")</f>
        <v>n.a.</v>
      </c>
      <c r="P69" s="60" t="str">
        <f>IF(P$59&gt;0,VLOOKUP(P$59,'TMC Matrix'!$A$84:$C$99,3,FALSE),"n.a.")</f>
        <v>n.a.</v>
      </c>
    </row>
    <row r="71" spans="1:16">
      <c r="A71" s="231" t="s">
        <v>31</v>
      </c>
    </row>
    <row r="72" spans="1:16">
      <c r="A72" t="s">
        <v>689</v>
      </c>
      <c r="B72" t="str">
        <f>IF(AND(B$58&lt;=41,B$56&lt;=25,B$57&lt;=16,B$59&gt;0),"yes","no")</f>
        <v>no</v>
      </c>
      <c r="C72" t="str">
        <f>IF(AND(C$58&lt;=41,C$56&lt;=25,C$57&lt;=16,C$59&gt;0),"yes","no")</f>
        <v>no</v>
      </c>
      <c r="D72" t="str">
        <f t="shared" ref="D72:P72" si="3">IF(AND(D$58&lt;=41,D$56&lt;=25,D$57&lt;=16,D$59&gt;0),"yes","no")</f>
        <v>no</v>
      </c>
      <c r="E72" t="str">
        <f t="shared" si="3"/>
        <v>no</v>
      </c>
      <c r="F72" t="str">
        <f t="shared" si="3"/>
        <v>no</v>
      </c>
      <c r="G72" t="str">
        <f t="shared" si="3"/>
        <v>no</v>
      </c>
      <c r="H72" t="str">
        <f t="shared" si="3"/>
        <v>no</v>
      </c>
      <c r="I72" t="str">
        <f t="shared" si="3"/>
        <v>no</v>
      </c>
      <c r="J72" t="str">
        <f t="shared" si="3"/>
        <v>no</v>
      </c>
      <c r="K72" t="str">
        <f t="shared" si="3"/>
        <v>no</v>
      </c>
      <c r="L72" t="str">
        <f t="shared" si="3"/>
        <v>no</v>
      </c>
      <c r="M72" t="str">
        <f t="shared" si="3"/>
        <v>no</v>
      </c>
      <c r="N72" t="str">
        <f t="shared" si="3"/>
        <v>no</v>
      </c>
      <c r="O72" t="str">
        <f t="shared" si="3"/>
        <v>no</v>
      </c>
      <c r="P72" t="str">
        <f t="shared" si="3"/>
        <v>no</v>
      </c>
    </row>
    <row r="73" spans="1:16">
      <c r="A73" t="s">
        <v>690</v>
      </c>
      <c r="B73" t="str">
        <f>IF(AND(B$58&lt;=42,B$56&lt;=27,B$57&lt;=15,B$59&gt;0),"yes","no")</f>
        <v>no</v>
      </c>
      <c r="C73" t="str">
        <f>IF(AND(C$58&lt;=42,C$56&lt;=27,C$57&lt;=15,C$59&gt;0),"yes","no")</f>
        <v>no</v>
      </c>
      <c r="D73" t="str">
        <f t="shared" ref="D73:P73" si="4">IF(AND(D$58&lt;=42,D$56&lt;=27,D$57&lt;=15,D$59&gt;0),"yes","no")</f>
        <v>no</v>
      </c>
      <c r="E73" t="str">
        <f t="shared" si="4"/>
        <v>no</v>
      </c>
      <c r="F73" t="str">
        <f t="shared" si="4"/>
        <v>no</v>
      </c>
      <c r="G73" t="str">
        <f t="shared" si="4"/>
        <v>no</v>
      </c>
      <c r="H73" t="str">
        <f t="shared" si="4"/>
        <v>no</v>
      </c>
      <c r="I73" t="str">
        <f t="shared" si="4"/>
        <v>no</v>
      </c>
      <c r="J73" t="str">
        <f t="shared" si="4"/>
        <v>no</v>
      </c>
      <c r="K73" t="str">
        <f t="shared" si="4"/>
        <v>no</v>
      </c>
      <c r="L73" t="str">
        <f t="shared" si="4"/>
        <v>no</v>
      </c>
      <c r="M73" t="str">
        <f t="shared" si="4"/>
        <v>no</v>
      </c>
      <c r="N73" t="str">
        <f t="shared" si="4"/>
        <v>no</v>
      </c>
      <c r="O73" t="str">
        <f t="shared" si="4"/>
        <v>no</v>
      </c>
      <c r="P73" t="str">
        <f t="shared" si="4"/>
        <v>no</v>
      </c>
    </row>
    <row r="74" spans="1:16">
      <c r="A74" t="s">
        <v>691</v>
      </c>
      <c r="B74" t="str">
        <f>IF(AND(B$58&lt;=42,B$56&lt;=30,B$57&lt;=12,B$59&gt;0),"yes","no")</f>
        <v>no</v>
      </c>
      <c r="C74" t="str">
        <f>IF(AND(C$58&lt;=42,C$56&lt;=30,C$57&lt;=12,C$59&gt;0),"yes","no")</f>
        <v>no</v>
      </c>
      <c r="D74" t="str">
        <f t="shared" ref="D74:P74" si="5">IF(AND(D$58&lt;=42,D$56&lt;=30,D$57&lt;=12,D$59&gt;0),"yes","no")</f>
        <v>no</v>
      </c>
      <c r="E74" t="str">
        <f t="shared" si="5"/>
        <v>no</v>
      </c>
      <c r="F74" t="str">
        <f t="shared" si="5"/>
        <v>no</v>
      </c>
      <c r="G74" t="str">
        <f t="shared" si="5"/>
        <v>no</v>
      </c>
      <c r="H74" t="str">
        <f t="shared" si="5"/>
        <v>no</v>
      </c>
      <c r="I74" t="str">
        <f t="shared" si="5"/>
        <v>no</v>
      </c>
      <c r="J74" t="str">
        <f t="shared" si="5"/>
        <v>no</v>
      </c>
      <c r="K74" t="str">
        <f t="shared" si="5"/>
        <v>no</v>
      </c>
      <c r="L74" t="str">
        <f t="shared" si="5"/>
        <v>no</v>
      </c>
      <c r="M74" t="str">
        <f t="shared" si="5"/>
        <v>no</v>
      </c>
      <c r="N74" t="str">
        <f t="shared" si="5"/>
        <v>no</v>
      </c>
      <c r="O74" t="str">
        <f t="shared" si="5"/>
        <v>no</v>
      </c>
      <c r="P74" t="str">
        <f t="shared" si="5"/>
        <v>no</v>
      </c>
    </row>
    <row r="75" spans="1:16">
      <c r="B75">
        <f>IF(B$72="yes","A",IF(B$73="yes","B",IF(B$74="yes","C",0)))</f>
        <v>0</v>
      </c>
      <c r="C75">
        <f>IF(C$72="yes","A",IF(C$73="yes","B",IF(C$74="yes","C",0)))</f>
        <v>0</v>
      </c>
      <c r="D75">
        <f t="shared" ref="D75:P75" si="6">IF(D$72="yes","A",IF(D$73="yes","B",IF(D$74="yes","C",0)))</f>
        <v>0</v>
      </c>
      <c r="E75">
        <f t="shared" si="6"/>
        <v>0</v>
      </c>
      <c r="F75">
        <f t="shared" si="6"/>
        <v>0</v>
      </c>
      <c r="G75">
        <f t="shared" si="6"/>
        <v>0</v>
      </c>
      <c r="H75">
        <f t="shared" si="6"/>
        <v>0</v>
      </c>
      <c r="I75">
        <f t="shared" si="6"/>
        <v>0</v>
      </c>
      <c r="J75">
        <f t="shared" si="6"/>
        <v>0</v>
      </c>
      <c r="K75">
        <f t="shared" si="6"/>
        <v>0</v>
      </c>
      <c r="L75">
        <f t="shared" si="6"/>
        <v>0</v>
      </c>
      <c r="M75">
        <f t="shared" si="6"/>
        <v>0</v>
      </c>
      <c r="N75">
        <f t="shared" si="6"/>
        <v>0</v>
      </c>
      <c r="O75">
        <f t="shared" si="6"/>
        <v>0</v>
      </c>
      <c r="P75">
        <f t="shared" si="6"/>
        <v>0</v>
      </c>
    </row>
    <row r="77" spans="1:16">
      <c r="A77" t="s">
        <v>700</v>
      </c>
      <c r="B77" s="60" t="str">
        <f>IF(B$75="A",VLOOKUP(B$59,$E$86:$G$101,2,FALSE),IF(B$75="B",VLOOKUP(B$59,$E$86:$I$101,4,FALSE),IF(B$75="C",VLOOKUP(B$59,$E$86:$K$101,6,FALSE),"n.a.")))</f>
        <v>n.a.</v>
      </c>
      <c r="C77" s="60" t="str">
        <f t="shared" ref="C77:P77" si="7">IF(C$75="A",VLOOKUP(C$59,$E$86:$G$101,2,FALSE),IF(C$75="B",VLOOKUP(C$59,$E$86:$I$101,4,FALSE),IF(C$75="C",VLOOKUP(C$59,$E$86:$K$101,6,FALSE),"n.a.")))</f>
        <v>n.a.</v>
      </c>
      <c r="D77" s="60" t="str">
        <f t="shared" si="7"/>
        <v>n.a.</v>
      </c>
      <c r="E77" s="60" t="str">
        <f t="shared" si="7"/>
        <v>n.a.</v>
      </c>
      <c r="F77" s="60" t="str">
        <f t="shared" si="7"/>
        <v>n.a.</v>
      </c>
      <c r="G77" s="60" t="str">
        <f t="shared" si="7"/>
        <v>n.a.</v>
      </c>
      <c r="H77" s="60" t="str">
        <f t="shared" si="7"/>
        <v>n.a.</v>
      </c>
      <c r="I77" s="60" t="str">
        <f t="shared" si="7"/>
        <v>n.a.</v>
      </c>
      <c r="J77" s="60" t="str">
        <f t="shared" si="7"/>
        <v>n.a.</v>
      </c>
      <c r="K77" s="60" t="str">
        <f t="shared" si="7"/>
        <v>n.a.</v>
      </c>
      <c r="L77" s="60" t="str">
        <f t="shared" si="7"/>
        <v>n.a.</v>
      </c>
      <c r="M77" s="60" t="str">
        <f t="shared" si="7"/>
        <v>n.a.</v>
      </c>
      <c r="N77" s="60" t="str">
        <f t="shared" si="7"/>
        <v>n.a.</v>
      </c>
      <c r="O77" s="60" t="str">
        <f t="shared" si="7"/>
        <v>n.a.</v>
      </c>
      <c r="P77" s="60" t="str">
        <f t="shared" si="7"/>
        <v>n.a.</v>
      </c>
    </row>
    <row r="78" spans="1:16">
      <c r="A78" t="s">
        <v>699</v>
      </c>
      <c r="B78" s="60" t="str">
        <f>IF(B$75="A",VLOOKUP(B$59,$E$86:$G$101,3,FALSE),IF(B$75="B",VLOOKUP(B$59,$E$86:$I$101,5,FALSE),IF(B$75="C",VLOOKUP(B$59,$E$86:$K$101,7,FALSE),"n.a.")))</f>
        <v>n.a.</v>
      </c>
      <c r="C78" s="60" t="str">
        <f t="shared" ref="C78:P78" si="8">IF(C$75="A",VLOOKUP(C$59,$E$86:$G$101,3,FALSE),IF(C$75="B",VLOOKUP(C$59,$E$86:$I$101,5,FALSE),IF(C$75="C",VLOOKUP(C$59,$E$86:$K$101,7,FALSE),"n.a.")))</f>
        <v>n.a.</v>
      </c>
      <c r="D78" s="60" t="str">
        <f t="shared" si="8"/>
        <v>n.a.</v>
      </c>
      <c r="E78" s="60" t="str">
        <f t="shared" si="8"/>
        <v>n.a.</v>
      </c>
      <c r="F78" s="60" t="str">
        <f t="shared" si="8"/>
        <v>n.a.</v>
      </c>
      <c r="G78" s="60" t="str">
        <f t="shared" si="8"/>
        <v>n.a.</v>
      </c>
      <c r="H78" s="60" t="str">
        <f t="shared" si="8"/>
        <v>n.a.</v>
      </c>
      <c r="I78" s="60" t="str">
        <f t="shared" si="8"/>
        <v>n.a.</v>
      </c>
      <c r="J78" s="60" t="str">
        <f t="shared" si="8"/>
        <v>n.a.</v>
      </c>
      <c r="K78" s="60" t="str">
        <f t="shared" si="8"/>
        <v>n.a.</v>
      </c>
      <c r="L78" s="60" t="str">
        <f t="shared" si="8"/>
        <v>n.a.</v>
      </c>
      <c r="M78" s="60" t="str">
        <f t="shared" si="8"/>
        <v>n.a.</v>
      </c>
      <c r="N78" s="60" t="str">
        <f t="shared" si="8"/>
        <v>n.a.</v>
      </c>
      <c r="O78" s="60" t="str">
        <f t="shared" si="8"/>
        <v>n.a.</v>
      </c>
      <c r="P78" s="60" t="str">
        <f t="shared" si="8"/>
        <v>n.a.</v>
      </c>
    </row>
    <row r="80" spans="1:16">
      <c r="B80" s="211" t="s">
        <v>30</v>
      </c>
      <c r="I80" s="211" t="s">
        <v>31</v>
      </c>
    </row>
    <row r="81" spans="1:11" ht="13.8" thickBot="1">
      <c r="B81" s="211"/>
      <c r="F81" s="832" t="s">
        <v>692</v>
      </c>
      <c r="G81" s="832"/>
      <c r="H81" s="832" t="s">
        <v>693</v>
      </c>
      <c r="I81" s="832"/>
      <c r="J81" s="832" t="s">
        <v>694</v>
      </c>
      <c r="K81" s="832"/>
    </row>
    <row r="82" spans="1:11" ht="13.8" thickBot="1">
      <c r="A82" s="270" t="s">
        <v>674</v>
      </c>
      <c r="B82" s="267" t="s">
        <v>675</v>
      </c>
      <c r="C82" s="271" t="s">
        <v>676</v>
      </c>
      <c r="E82" s="228" t="s">
        <v>679</v>
      </c>
      <c r="F82" s="835" t="s">
        <v>680</v>
      </c>
      <c r="G82" s="835"/>
      <c r="H82" s="836" t="s">
        <v>683</v>
      </c>
      <c r="I82" s="836"/>
      <c r="J82" s="838" t="s">
        <v>683</v>
      </c>
      <c r="K82" s="839"/>
    </row>
    <row r="83" spans="1:11" ht="13.8" thickTop="1">
      <c r="A83" s="272" t="s">
        <v>342</v>
      </c>
      <c r="B83" s="273" t="s">
        <v>671</v>
      </c>
      <c r="C83" s="274" t="s">
        <v>672</v>
      </c>
      <c r="E83" s="49" t="s">
        <v>678</v>
      </c>
      <c r="F83" s="842" t="s">
        <v>681</v>
      </c>
      <c r="G83" s="842"/>
      <c r="H83" s="837" t="s">
        <v>684</v>
      </c>
      <c r="I83" s="837"/>
      <c r="J83" s="840" t="s">
        <v>686</v>
      </c>
      <c r="K83" s="841"/>
    </row>
    <row r="84" spans="1:11">
      <c r="A84" s="275">
        <v>19.05</v>
      </c>
      <c r="B84" s="276" t="s">
        <v>673</v>
      </c>
      <c r="C84" s="277" t="s">
        <v>673</v>
      </c>
      <c r="E84" s="49" t="s">
        <v>677</v>
      </c>
      <c r="F84" s="842" t="s">
        <v>682</v>
      </c>
      <c r="G84" s="842"/>
      <c r="H84" s="837" t="s">
        <v>685</v>
      </c>
      <c r="I84" s="837"/>
      <c r="J84" s="840" t="s">
        <v>687</v>
      </c>
      <c r="K84" s="841"/>
    </row>
    <row r="85" spans="1:11">
      <c r="A85" s="278">
        <v>20.64</v>
      </c>
      <c r="B85" s="279">
        <v>51</v>
      </c>
      <c r="C85" s="280">
        <v>81</v>
      </c>
      <c r="E85" s="7" t="s">
        <v>342</v>
      </c>
      <c r="F85" s="225" t="s">
        <v>671</v>
      </c>
      <c r="G85" s="226" t="s">
        <v>672</v>
      </c>
      <c r="H85" s="225" t="s">
        <v>671</v>
      </c>
      <c r="I85" s="227" t="s">
        <v>672</v>
      </c>
      <c r="J85" s="49" t="s">
        <v>671</v>
      </c>
      <c r="K85" s="50" t="s">
        <v>672</v>
      </c>
    </row>
    <row r="86" spans="1:11">
      <c r="A86" s="275">
        <v>22.2</v>
      </c>
      <c r="B86" s="452">
        <v>60</v>
      </c>
      <c r="C86" s="453">
        <v>95</v>
      </c>
      <c r="E86" s="224">
        <v>19.05</v>
      </c>
      <c r="F86" s="212" t="s">
        <v>673</v>
      </c>
      <c r="G86" s="214" t="s">
        <v>673</v>
      </c>
      <c r="H86" s="216" t="s">
        <v>673</v>
      </c>
      <c r="I86" s="217" t="s">
        <v>673</v>
      </c>
      <c r="J86" s="220" t="s">
        <v>673</v>
      </c>
      <c r="K86" s="221" t="s">
        <v>673</v>
      </c>
    </row>
    <row r="87" spans="1:11">
      <c r="A87" s="278">
        <v>23.81</v>
      </c>
      <c r="B87" s="279">
        <v>75</v>
      </c>
      <c r="C87" s="280">
        <v>110</v>
      </c>
      <c r="E87" s="224">
        <v>20.64</v>
      </c>
      <c r="F87" s="212" t="s">
        <v>673</v>
      </c>
      <c r="G87" s="214" t="s">
        <v>673</v>
      </c>
      <c r="H87" s="216" t="s">
        <v>673</v>
      </c>
      <c r="I87" s="217" t="s">
        <v>673</v>
      </c>
      <c r="J87" s="220" t="s">
        <v>673</v>
      </c>
      <c r="K87" s="221" t="s">
        <v>673</v>
      </c>
    </row>
    <row r="88" spans="1:11">
      <c r="A88" s="275">
        <v>25.4</v>
      </c>
      <c r="B88" s="276">
        <v>75</v>
      </c>
      <c r="C88" s="277">
        <v>110</v>
      </c>
      <c r="E88" s="224">
        <v>22.2</v>
      </c>
      <c r="F88" s="212" t="s">
        <v>673</v>
      </c>
      <c r="G88" s="214" t="s">
        <v>673</v>
      </c>
      <c r="H88" s="216" t="s">
        <v>673</v>
      </c>
      <c r="I88" s="217" t="s">
        <v>673</v>
      </c>
      <c r="J88" s="220" t="s">
        <v>673</v>
      </c>
      <c r="K88" s="221" t="s">
        <v>673</v>
      </c>
    </row>
    <row r="89" spans="1:11">
      <c r="A89" s="278">
        <v>27</v>
      </c>
      <c r="B89" s="279">
        <v>86</v>
      </c>
      <c r="C89" s="280">
        <v>131</v>
      </c>
      <c r="E89" s="224">
        <v>23.81</v>
      </c>
      <c r="F89" s="212">
        <v>75</v>
      </c>
      <c r="G89" s="214">
        <v>110</v>
      </c>
      <c r="H89" s="216" t="s">
        <v>673</v>
      </c>
      <c r="I89" s="217" t="s">
        <v>673</v>
      </c>
      <c r="J89" s="220">
        <v>75</v>
      </c>
      <c r="K89" s="221">
        <v>110</v>
      </c>
    </row>
    <row r="90" spans="1:11">
      <c r="A90" s="275">
        <v>28.57</v>
      </c>
      <c r="B90" s="276">
        <v>86</v>
      </c>
      <c r="C90" s="277">
        <v>131</v>
      </c>
      <c r="E90" s="224">
        <v>25.4</v>
      </c>
      <c r="F90" s="212">
        <v>75</v>
      </c>
      <c r="G90" s="214">
        <v>110</v>
      </c>
      <c r="H90" s="216">
        <v>75</v>
      </c>
      <c r="I90" s="217">
        <v>110</v>
      </c>
      <c r="J90" s="220">
        <v>75</v>
      </c>
      <c r="K90" s="221">
        <v>110</v>
      </c>
    </row>
    <row r="91" spans="1:11">
      <c r="A91" s="278">
        <v>30.16</v>
      </c>
      <c r="B91" s="279" t="s">
        <v>673</v>
      </c>
      <c r="C91" s="280" t="s">
        <v>673</v>
      </c>
      <c r="E91" s="224">
        <v>27</v>
      </c>
      <c r="F91" s="212">
        <v>79</v>
      </c>
      <c r="G91" s="214">
        <v>115</v>
      </c>
      <c r="H91" s="216">
        <v>86</v>
      </c>
      <c r="I91" s="217">
        <v>131</v>
      </c>
      <c r="J91" s="220" t="s">
        <v>673</v>
      </c>
      <c r="K91" s="221" t="s">
        <v>673</v>
      </c>
    </row>
    <row r="92" spans="1:11">
      <c r="A92" s="275">
        <v>31.75</v>
      </c>
      <c r="B92" s="276" t="s">
        <v>673</v>
      </c>
      <c r="C92" s="277" t="s">
        <v>673</v>
      </c>
      <c r="E92" s="224">
        <v>28.57</v>
      </c>
      <c r="F92" s="212" t="s">
        <v>673</v>
      </c>
      <c r="G92" s="214" t="s">
        <v>673</v>
      </c>
      <c r="H92" s="216">
        <v>86</v>
      </c>
      <c r="I92" s="217">
        <v>131</v>
      </c>
      <c r="J92" s="220" t="s">
        <v>673</v>
      </c>
      <c r="K92" s="221" t="s">
        <v>673</v>
      </c>
    </row>
    <row r="93" spans="1:11">
      <c r="A93" s="281">
        <v>33.340000000000003</v>
      </c>
      <c r="B93" s="282" t="s">
        <v>673</v>
      </c>
      <c r="C93" s="283" t="s">
        <v>673</v>
      </c>
      <c r="E93" s="224">
        <v>30.16</v>
      </c>
      <c r="F93" s="212" t="s">
        <v>673</v>
      </c>
      <c r="G93" s="214" t="s">
        <v>673</v>
      </c>
      <c r="H93" s="216" t="s">
        <v>673</v>
      </c>
      <c r="I93" s="217" t="s">
        <v>673</v>
      </c>
      <c r="J93" s="220" t="s">
        <v>673</v>
      </c>
      <c r="K93" s="221" t="s">
        <v>673</v>
      </c>
    </row>
    <row r="94" spans="1:11">
      <c r="A94" s="375">
        <v>34.93</v>
      </c>
      <c r="B94" s="373" t="s">
        <v>673</v>
      </c>
      <c r="C94" s="374" t="s">
        <v>673</v>
      </c>
      <c r="E94" s="224">
        <v>31.75</v>
      </c>
      <c r="F94" s="212" t="s">
        <v>673</v>
      </c>
      <c r="G94" s="214" t="s">
        <v>673</v>
      </c>
      <c r="H94" s="216" t="s">
        <v>673</v>
      </c>
      <c r="I94" s="217" t="s">
        <v>673</v>
      </c>
      <c r="J94" s="220" t="s">
        <v>673</v>
      </c>
      <c r="K94" s="221" t="s">
        <v>673</v>
      </c>
    </row>
    <row r="95" spans="1:11">
      <c r="A95" s="376">
        <v>36.51</v>
      </c>
      <c r="B95" s="282" t="s">
        <v>673</v>
      </c>
      <c r="C95" s="283" t="s">
        <v>673</v>
      </c>
      <c r="E95" s="224">
        <v>33.340000000000003</v>
      </c>
      <c r="F95" s="362" t="s">
        <v>673</v>
      </c>
      <c r="G95" s="363" t="s">
        <v>673</v>
      </c>
      <c r="H95" s="364" t="s">
        <v>673</v>
      </c>
      <c r="I95" s="365" t="s">
        <v>673</v>
      </c>
      <c r="J95" s="366" t="s">
        <v>673</v>
      </c>
      <c r="K95" s="367" t="s">
        <v>673</v>
      </c>
    </row>
    <row r="96" spans="1:11">
      <c r="A96" s="375">
        <v>38.1</v>
      </c>
      <c r="B96" s="373" t="s">
        <v>673</v>
      </c>
      <c r="C96" s="374" t="s">
        <v>673</v>
      </c>
      <c r="E96" s="368">
        <v>34.93</v>
      </c>
      <c r="F96" s="362" t="s">
        <v>673</v>
      </c>
      <c r="G96" s="363" t="s">
        <v>673</v>
      </c>
      <c r="H96" s="364" t="s">
        <v>673</v>
      </c>
      <c r="I96" s="365" t="s">
        <v>673</v>
      </c>
      <c r="J96" s="366" t="s">
        <v>673</v>
      </c>
      <c r="K96" s="367" t="s">
        <v>673</v>
      </c>
    </row>
    <row r="97" spans="1:11">
      <c r="A97" s="376">
        <v>39.69</v>
      </c>
      <c r="B97" s="282" t="s">
        <v>673</v>
      </c>
      <c r="C97" s="283" t="s">
        <v>673</v>
      </c>
      <c r="E97" s="368">
        <v>36.51</v>
      </c>
      <c r="F97" s="362" t="s">
        <v>673</v>
      </c>
      <c r="G97" s="363" t="s">
        <v>673</v>
      </c>
      <c r="H97" s="364" t="s">
        <v>673</v>
      </c>
      <c r="I97" s="365" t="s">
        <v>673</v>
      </c>
      <c r="J97" s="366" t="s">
        <v>673</v>
      </c>
      <c r="K97" s="367" t="s">
        <v>673</v>
      </c>
    </row>
    <row r="98" spans="1:11">
      <c r="A98" s="375">
        <v>41.28</v>
      </c>
      <c r="B98" s="373" t="s">
        <v>673</v>
      </c>
      <c r="C98" s="374" t="s">
        <v>673</v>
      </c>
      <c r="E98" s="368">
        <v>38.1</v>
      </c>
      <c r="F98" s="362" t="s">
        <v>673</v>
      </c>
      <c r="G98" s="363" t="s">
        <v>673</v>
      </c>
      <c r="H98" s="364" t="s">
        <v>673</v>
      </c>
      <c r="I98" s="365" t="s">
        <v>673</v>
      </c>
      <c r="J98" s="366" t="s">
        <v>673</v>
      </c>
      <c r="K98" s="367" t="s">
        <v>673</v>
      </c>
    </row>
    <row r="99" spans="1:11">
      <c r="A99" s="379">
        <v>50.58</v>
      </c>
      <c r="B99" s="377" t="s">
        <v>673</v>
      </c>
      <c r="C99" s="283" t="s">
        <v>673</v>
      </c>
      <c r="E99" s="368">
        <v>39.69</v>
      </c>
      <c r="F99" s="362" t="s">
        <v>673</v>
      </c>
      <c r="G99" s="363" t="s">
        <v>673</v>
      </c>
      <c r="H99" s="364" t="s">
        <v>673</v>
      </c>
      <c r="I99" s="365" t="s">
        <v>673</v>
      </c>
      <c r="J99" s="366" t="s">
        <v>673</v>
      </c>
      <c r="K99" s="367" t="s">
        <v>673</v>
      </c>
    </row>
    <row r="100" spans="1:11">
      <c r="A100" s="378"/>
      <c r="B100" s="371"/>
      <c r="C100" s="372"/>
      <c r="E100" s="368">
        <v>41.28</v>
      </c>
      <c r="F100" s="362" t="s">
        <v>673</v>
      </c>
      <c r="G100" s="363" t="s">
        <v>673</v>
      </c>
      <c r="H100" s="364" t="s">
        <v>673</v>
      </c>
      <c r="I100" s="365" t="s">
        <v>673</v>
      </c>
      <c r="J100" s="366" t="s">
        <v>673</v>
      </c>
      <c r="K100" s="367" t="s">
        <v>673</v>
      </c>
    </row>
    <row r="101" spans="1:11" ht="13.8" thickBot="1">
      <c r="A101" s="370"/>
      <c r="B101" s="371"/>
      <c r="C101" s="372"/>
      <c r="E101" s="369">
        <v>50.58</v>
      </c>
      <c r="F101" s="213" t="s">
        <v>673</v>
      </c>
      <c r="G101" s="215" t="s">
        <v>673</v>
      </c>
      <c r="H101" s="218" t="s">
        <v>673</v>
      </c>
      <c r="I101" s="219" t="s">
        <v>673</v>
      </c>
      <c r="J101" s="222" t="s">
        <v>673</v>
      </c>
      <c r="K101" s="223" t="s">
        <v>673</v>
      </c>
    </row>
    <row r="107" spans="1:11">
      <c r="D107" s="73" t="s">
        <v>695</v>
      </c>
    </row>
    <row r="108" spans="1:11">
      <c r="C108" t="s">
        <v>700</v>
      </c>
      <c r="D108">
        <v>110</v>
      </c>
    </row>
    <row r="109" spans="1:11">
      <c r="C109" t="s">
        <v>699</v>
      </c>
      <c r="D109">
        <v>90</v>
      </c>
    </row>
    <row r="113" spans="2:4">
      <c r="D113" s="73" t="s">
        <v>931</v>
      </c>
    </row>
    <row r="114" spans="2:4" ht="13.8" thickBot="1">
      <c r="B114" s="270" t="s">
        <v>674</v>
      </c>
      <c r="C114" s="267" t="s">
        <v>675</v>
      </c>
      <c r="D114" s="271" t="s">
        <v>676</v>
      </c>
    </row>
    <row r="115" spans="2:4" ht="13.8" thickTop="1">
      <c r="B115" s="272" t="s">
        <v>342</v>
      </c>
      <c r="C115" s="273" t="s">
        <v>671</v>
      </c>
      <c r="D115" s="274" t="s">
        <v>672</v>
      </c>
    </row>
    <row r="116" spans="2:4">
      <c r="B116" s="275">
        <v>19.05</v>
      </c>
      <c r="C116" s="276" t="s">
        <v>673</v>
      </c>
      <c r="D116" s="277" t="s">
        <v>673</v>
      </c>
    </row>
    <row r="117" spans="2:4">
      <c r="B117" s="278">
        <v>20.64</v>
      </c>
      <c r="C117" s="279" t="s">
        <v>673</v>
      </c>
      <c r="D117" s="280" t="s">
        <v>673</v>
      </c>
    </row>
    <row r="118" spans="2:4">
      <c r="B118" s="275">
        <v>22.2</v>
      </c>
      <c r="C118" s="276" t="s">
        <v>673</v>
      </c>
      <c r="D118" s="277" t="s">
        <v>673</v>
      </c>
    </row>
    <row r="119" spans="2:4">
      <c r="B119" s="278">
        <v>23.81</v>
      </c>
      <c r="C119" s="279">
        <v>75</v>
      </c>
      <c r="D119" s="280">
        <v>110</v>
      </c>
    </row>
    <row r="120" spans="2:4">
      <c r="B120" s="275">
        <v>25.4</v>
      </c>
      <c r="C120" s="276">
        <v>75</v>
      </c>
      <c r="D120" s="277">
        <v>110</v>
      </c>
    </row>
    <row r="121" spans="2:4">
      <c r="B121" s="278">
        <v>27</v>
      </c>
      <c r="C121" s="279">
        <v>86</v>
      </c>
      <c r="D121" s="280">
        <v>131</v>
      </c>
    </row>
    <row r="122" spans="2:4">
      <c r="B122" s="275">
        <v>28.57</v>
      </c>
      <c r="C122" s="276" t="s">
        <v>673</v>
      </c>
      <c r="D122" s="277" t="s">
        <v>673</v>
      </c>
    </row>
    <row r="123" spans="2:4">
      <c r="B123" s="278">
        <v>30.16</v>
      </c>
      <c r="C123" s="279" t="s">
        <v>673</v>
      </c>
      <c r="D123" s="280" t="s">
        <v>673</v>
      </c>
    </row>
    <row r="124" spans="2:4">
      <c r="B124" s="275">
        <v>31.75</v>
      </c>
      <c r="C124" s="276" t="s">
        <v>673</v>
      </c>
      <c r="D124" s="277" t="s">
        <v>673</v>
      </c>
    </row>
    <row r="125" spans="2:4">
      <c r="B125" s="281">
        <v>33.340000000000003</v>
      </c>
      <c r="C125" s="282" t="s">
        <v>673</v>
      </c>
      <c r="D125" s="283" t="s">
        <v>673</v>
      </c>
    </row>
    <row r="126" spans="2:4">
      <c r="B126" s="375">
        <v>34.93</v>
      </c>
      <c r="C126" s="373" t="s">
        <v>673</v>
      </c>
      <c r="D126" s="374" t="s">
        <v>673</v>
      </c>
    </row>
    <row r="127" spans="2:4">
      <c r="B127" s="376">
        <v>36.51</v>
      </c>
      <c r="C127" s="282" t="s">
        <v>673</v>
      </c>
      <c r="D127" s="283" t="s">
        <v>673</v>
      </c>
    </row>
    <row r="128" spans="2:4">
      <c r="B128" s="375">
        <v>38.1</v>
      </c>
      <c r="C128" s="373" t="s">
        <v>673</v>
      </c>
      <c r="D128" s="374" t="s">
        <v>673</v>
      </c>
    </row>
    <row r="129" spans="1:16">
      <c r="B129" s="376">
        <v>39.69</v>
      </c>
      <c r="C129" s="282" t="s">
        <v>673</v>
      </c>
      <c r="D129" s="283" t="s">
        <v>673</v>
      </c>
    </row>
    <row r="130" spans="1:16">
      <c r="B130" s="375">
        <v>41.28</v>
      </c>
      <c r="C130" s="373" t="s">
        <v>673</v>
      </c>
      <c r="D130" s="374" t="s">
        <v>673</v>
      </c>
    </row>
    <row r="131" spans="1:16">
      <c r="B131" s="379">
        <v>50.58</v>
      </c>
      <c r="C131" s="377" t="s">
        <v>673</v>
      </c>
      <c r="D131" s="283" t="s">
        <v>673</v>
      </c>
    </row>
    <row r="133" spans="1:16">
      <c r="B133" t="s">
        <v>100</v>
      </c>
      <c r="C133" t="s">
        <v>101</v>
      </c>
      <c r="D133" t="s">
        <v>102</v>
      </c>
      <c r="E133" t="s">
        <v>103</v>
      </c>
      <c r="F133" t="s">
        <v>104</v>
      </c>
      <c r="G133" t="s">
        <v>105</v>
      </c>
      <c r="H133" t="s">
        <v>108</v>
      </c>
      <c r="I133" t="s">
        <v>106</v>
      </c>
      <c r="J133" t="s">
        <v>107</v>
      </c>
      <c r="K133" t="s">
        <v>149</v>
      </c>
      <c r="L133" t="s">
        <v>150</v>
      </c>
      <c r="M133" t="s">
        <v>151</v>
      </c>
      <c r="N133" t="s">
        <v>152</v>
      </c>
      <c r="O133" t="s">
        <v>153</v>
      </c>
      <c r="P133" t="s">
        <v>154</v>
      </c>
    </row>
    <row r="134" spans="1:16">
      <c r="A134" t="s">
        <v>699</v>
      </c>
      <c r="B134" t="str">
        <f>IF(B$59&gt;0,VLOOKUP(B$59,'TMC Matrix'!$B$116:$D$131,3,FALSE),"n.a.")</f>
        <v>n.a.</v>
      </c>
      <c r="C134" t="str">
        <f>IF(C$59&gt;0,VLOOKUP(C$59,'TMC Matrix'!$B$116:$D$131,3,FALSE),"n.a.")</f>
        <v>n.a.</v>
      </c>
      <c r="D134" t="str">
        <f>IF(D$59&gt;0,VLOOKUP(D$59,'TMC Matrix'!$B$116:$D$131,3,FALSE),"n.a.")</f>
        <v>n.a.</v>
      </c>
      <c r="E134" t="str">
        <f>IF(E$59&gt;0,VLOOKUP(E$59,'TMC Matrix'!$B$116:$D$131,3,FALSE),"n.a.")</f>
        <v>n.a.</v>
      </c>
      <c r="F134" t="str">
        <f>IF(F$59&gt;0,VLOOKUP(F$59,'TMC Matrix'!$B$116:$D$131,3,FALSE),"n.a.")</f>
        <v>n.a.</v>
      </c>
      <c r="G134" t="str">
        <f>IF(G$59&gt;0,VLOOKUP(G$59,'TMC Matrix'!$B$116:$D$131,3,FALSE),"n.a.")</f>
        <v>n.a.</v>
      </c>
      <c r="H134" t="str">
        <f>IF(H$59&gt;0,VLOOKUP(H$59,'TMC Matrix'!$B$116:$D$131,3,FALSE),"n.a.")</f>
        <v>n.a.</v>
      </c>
      <c r="I134" t="str">
        <f>IF(I$59&gt;0,VLOOKUP(I$59,'TMC Matrix'!$B$116:$D$131,3,FALSE),"n.a.")</f>
        <v>n.a.</v>
      </c>
      <c r="J134" t="str">
        <f>IF(J$59&gt;0,VLOOKUP(J$59,'TMC Matrix'!$B$116:$D$131,3,FALSE),"n.a.")</f>
        <v>n.a.</v>
      </c>
      <c r="K134" t="str">
        <f>IF(K$59&gt;0,VLOOKUP(K$59,'TMC Matrix'!$B$116:$D$131,3,FALSE),"n.a.")</f>
        <v>n.a.</v>
      </c>
      <c r="L134" t="str">
        <f>IF(L$59&gt;0,VLOOKUP(L$59,'TMC Matrix'!$B$116:$D$131,3,FALSE),"n.a.")</f>
        <v>n.a.</v>
      </c>
      <c r="M134" t="str">
        <f>IF(M$59&gt;0,VLOOKUP(M$59,'TMC Matrix'!$B$116:$D$131,3,FALSE),"n.a.")</f>
        <v>n.a.</v>
      </c>
      <c r="N134" t="str">
        <f>IF(N$59&gt;0,VLOOKUP(N$59,'TMC Matrix'!$B$116:$D$131,3,FALSE),"n.a.")</f>
        <v>n.a.</v>
      </c>
      <c r="O134" t="str">
        <f>IF(O$59&gt;0,VLOOKUP(O$59,'TMC Matrix'!$B$116:$D$131,3,FALSE),"n.a.")</f>
        <v>n.a.</v>
      </c>
      <c r="P134" t="str">
        <f>IF(P$59&gt;0,VLOOKUP(P$59,'TMC Matrix'!$B$116:$D$131,3,FALSE),"n.a.")</f>
        <v>n.a.</v>
      </c>
    </row>
    <row r="135" spans="1:16">
      <c r="A135" t="s">
        <v>700</v>
      </c>
      <c r="B135" t="str">
        <f>IF(B$59&gt;0,VLOOKUP(B$59,'TMC Matrix'!$B$116:$D$131,2,FALSE),"n.a.")</f>
        <v>n.a.</v>
      </c>
      <c r="C135" t="str">
        <f>IF(C$59&gt;0,VLOOKUP(C$59,'TMC Matrix'!$B$116:$D$131,2,FALSE),"n.a.")</f>
        <v>n.a.</v>
      </c>
      <c r="D135" t="str">
        <f>IF(D$59&gt;0,VLOOKUP(D$59,'TMC Matrix'!$B$116:$D$131,2,FALSE),"n.a.")</f>
        <v>n.a.</v>
      </c>
      <c r="E135" t="str">
        <f>IF(E$59&gt;0,VLOOKUP(E$59,'TMC Matrix'!$B$116:$D$131,2,FALSE),"n.a.")</f>
        <v>n.a.</v>
      </c>
      <c r="F135" t="str">
        <f>IF(F$59&gt;0,VLOOKUP(F$59,'TMC Matrix'!$B$116:$D$131,2,FALSE),"n.a.")</f>
        <v>n.a.</v>
      </c>
      <c r="G135" t="str">
        <f>IF(G$59&gt;0,VLOOKUP(G$59,'TMC Matrix'!$B$116:$D$131,2,FALSE),"n.a.")</f>
        <v>n.a.</v>
      </c>
      <c r="H135" t="str">
        <f>IF(H$59&gt;0,VLOOKUP(H$59,'TMC Matrix'!$B$116:$D$131,2,FALSE),"n.a.")</f>
        <v>n.a.</v>
      </c>
      <c r="I135" t="str">
        <f>IF(I$59&gt;0,VLOOKUP(I$59,'TMC Matrix'!$B$116:$D$131,2,FALSE),"n.a.")</f>
        <v>n.a.</v>
      </c>
      <c r="J135" t="str">
        <f>IF(J$59&gt;0,VLOOKUP(J$59,'TMC Matrix'!$B$116:$D$131,2,FALSE),"n.a.")</f>
        <v>n.a.</v>
      </c>
      <c r="K135" t="str">
        <f>IF(K$59&gt;0,VLOOKUP(K$59,'TMC Matrix'!$B$116:$D$131,2,FALSE),"n.a.")</f>
        <v>n.a.</v>
      </c>
      <c r="L135" t="str">
        <f>IF(L$59&gt;0,VLOOKUP(L$59,'TMC Matrix'!$B$116:$D$131,2,FALSE),"n.a.")</f>
        <v>n.a.</v>
      </c>
      <c r="M135" t="str">
        <f>IF(M$59&gt;0,VLOOKUP(M$59,'TMC Matrix'!$B$116:$D$131,2,FALSE),"n.a.")</f>
        <v>n.a.</v>
      </c>
      <c r="N135" t="str">
        <f>IF(N$59&gt;0,VLOOKUP(N$59,'TMC Matrix'!$B$116:$D$131,2,FALSE),"n.a.")</f>
        <v>n.a.</v>
      </c>
      <c r="O135" t="str">
        <f>IF(O$59&gt;0,VLOOKUP(O$59,'TMC Matrix'!$B$116:$D$131,2,FALSE),"n.a.")</f>
        <v>n.a.</v>
      </c>
      <c r="P135" t="str">
        <f>IF(P$59&gt;0,VLOOKUP(P$59,'TMC Matrix'!$B$116:$D$131,2,FALSE),"n.a.")</f>
        <v>n.a.</v>
      </c>
    </row>
    <row r="138" spans="1:16">
      <c r="D138" s="73" t="s">
        <v>1040</v>
      </c>
    </row>
    <row r="140" spans="1:16" ht="13.8" thickBot="1">
      <c r="A140" s="270" t="s">
        <v>674</v>
      </c>
      <c r="B140" s="267" t="s">
        <v>675</v>
      </c>
      <c r="C140" s="271" t="s">
        <v>676</v>
      </c>
    </row>
    <row r="141" spans="1:16" ht="13.8" thickTop="1">
      <c r="A141" s="272" t="s">
        <v>342</v>
      </c>
      <c r="B141" s="273" t="s">
        <v>671</v>
      </c>
      <c r="C141" s="274" t="s">
        <v>672</v>
      </c>
    </row>
    <row r="142" spans="1:16">
      <c r="A142" s="275">
        <v>19.05</v>
      </c>
      <c r="B142" s="276" t="s">
        <v>673</v>
      </c>
      <c r="C142" s="277" t="s">
        <v>673</v>
      </c>
    </row>
    <row r="143" spans="1:16">
      <c r="A143" s="278">
        <v>20.64</v>
      </c>
      <c r="B143" s="279">
        <v>51</v>
      </c>
      <c r="C143" s="280">
        <v>81</v>
      </c>
    </row>
    <row r="144" spans="1:16">
      <c r="A144" s="275">
        <v>22.2</v>
      </c>
      <c r="B144" s="452">
        <v>60</v>
      </c>
      <c r="C144" s="453">
        <v>95</v>
      </c>
    </row>
    <row r="145" spans="1:16">
      <c r="A145" s="278">
        <v>23.81</v>
      </c>
      <c r="B145" s="279">
        <v>75</v>
      </c>
      <c r="C145" s="280">
        <v>110</v>
      </c>
    </row>
    <row r="146" spans="1:16">
      <c r="A146" s="275">
        <v>25.4</v>
      </c>
      <c r="B146" s="276">
        <v>75</v>
      </c>
      <c r="C146" s="277">
        <v>110</v>
      </c>
    </row>
    <row r="147" spans="1:16">
      <c r="A147" s="278">
        <v>27</v>
      </c>
      <c r="B147" s="279" t="s">
        <v>673</v>
      </c>
      <c r="C147" s="280" t="s">
        <v>673</v>
      </c>
    </row>
    <row r="148" spans="1:16">
      <c r="A148" s="275">
        <v>28.57</v>
      </c>
      <c r="B148" s="276" t="s">
        <v>673</v>
      </c>
      <c r="C148" s="277" t="s">
        <v>673</v>
      </c>
    </row>
    <row r="149" spans="1:16">
      <c r="A149" s="278">
        <v>30.16</v>
      </c>
      <c r="B149" s="279" t="s">
        <v>673</v>
      </c>
      <c r="C149" s="280" t="s">
        <v>673</v>
      </c>
    </row>
    <row r="150" spans="1:16">
      <c r="A150" s="275">
        <v>31.75</v>
      </c>
      <c r="B150" s="276" t="s">
        <v>673</v>
      </c>
      <c r="C150" s="277" t="s">
        <v>673</v>
      </c>
    </row>
    <row r="151" spans="1:16">
      <c r="A151" s="281">
        <v>33.340000000000003</v>
      </c>
      <c r="B151" s="282" t="s">
        <v>673</v>
      </c>
      <c r="C151" s="283" t="s">
        <v>673</v>
      </c>
    </row>
    <row r="152" spans="1:16">
      <c r="A152" s="375">
        <v>34.93</v>
      </c>
      <c r="B152" s="373" t="s">
        <v>673</v>
      </c>
      <c r="C152" s="374" t="s">
        <v>673</v>
      </c>
    </row>
    <row r="153" spans="1:16">
      <c r="A153" s="376">
        <v>36.51</v>
      </c>
      <c r="B153" s="282" t="s">
        <v>673</v>
      </c>
      <c r="C153" s="283" t="s">
        <v>673</v>
      </c>
    </row>
    <row r="154" spans="1:16">
      <c r="A154" s="375">
        <v>38.1</v>
      </c>
      <c r="B154" s="373" t="s">
        <v>673</v>
      </c>
      <c r="C154" s="374" t="s">
        <v>673</v>
      </c>
    </row>
    <row r="155" spans="1:16">
      <c r="A155" s="376">
        <v>39.69</v>
      </c>
      <c r="B155" s="282" t="s">
        <v>673</v>
      </c>
      <c r="C155" s="283" t="s">
        <v>673</v>
      </c>
    </row>
    <row r="156" spans="1:16">
      <c r="A156" s="375">
        <v>41.28</v>
      </c>
      <c r="B156" s="373" t="s">
        <v>673</v>
      </c>
      <c r="C156" s="374" t="s">
        <v>673</v>
      </c>
    </row>
    <row r="157" spans="1:16">
      <c r="A157" s="379">
        <v>50.58</v>
      </c>
      <c r="B157" s="377" t="s">
        <v>673</v>
      </c>
      <c r="C157" s="283" t="s">
        <v>673</v>
      </c>
    </row>
    <row r="158" spans="1:16">
      <c r="A158" s="455"/>
      <c r="B158" s="60"/>
      <c r="C158" s="60"/>
    </row>
    <row r="159" spans="1:16">
      <c r="A159" t="s">
        <v>700</v>
      </c>
      <c r="B159" s="60">
        <f>IF(B$59&gt;0,VLOOKUP(B$59,'TMC Matrix'!$A$142:$C$157,2,FALSE),"n.a.")</f>
        <v>51</v>
      </c>
      <c r="C159" s="60">
        <f>IF(C$59&gt;0,VLOOKUP(C$59,'TMC Matrix'!$A$142:$C$157,2,FALSE),"n.a.")</f>
        <v>51</v>
      </c>
      <c r="D159" s="60">
        <f>IF(D$59&gt;0,VLOOKUP(D$59,'TMC Matrix'!$A$142:$C$157,2,FALSE),"n.a.")</f>
        <v>51</v>
      </c>
      <c r="E159" s="60">
        <f>IF(E$59&gt;0,VLOOKUP(E$59,'TMC Matrix'!$A$142:$C$157,2,FALSE),"n.a.")</f>
        <v>51</v>
      </c>
      <c r="F159" s="60">
        <f>IF(F$59&gt;0,VLOOKUP(F$59,'TMC Matrix'!$A$142:$C$157,2,FALSE),"n.a.")</f>
        <v>51</v>
      </c>
      <c r="G159" s="60">
        <f>IF(G$59&gt;0,VLOOKUP(G$59,'TMC Matrix'!$A$142:$C$157,2,FALSE),"n.a.")</f>
        <v>51</v>
      </c>
      <c r="H159" s="60">
        <f>IF(H$59&gt;0,VLOOKUP(H$59,'TMC Matrix'!$A$142:$C$157,2,FALSE),"n.a.")</f>
        <v>51</v>
      </c>
      <c r="I159" s="60" t="str">
        <f>IF(I$59&gt;0,VLOOKUP(I$59,'TMC Matrix'!$A$142:$C$157,2,FALSE),"n.a.")</f>
        <v>n.a.</v>
      </c>
      <c r="J159" s="60" t="str">
        <f>IF(J$59&gt;0,VLOOKUP(J$59,'TMC Matrix'!$A$142:$C$157,2,FALSE),"n.a.")</f>
        <v>n.a.</v>
      </c>
      <c r="K159" s="60" t="str">
        <f>IF(K$59&gt;0,VLOOKUP(K$59,'TMC Matrix'!$A$142:$C$157,2,FALSE),"n.a.")</f>
        <v>n.a.</v>
      </c>
      <c r="L159" s="60" t="str">
        <f>IF(L$59&gt;0,VLOOKUP(L$59,'TMC Matrix'!$A$142:$C$157,2,FALSE),"n.a.")</f>
        <v>n.a.</v>
      </c>
      <c r="M159" s="60" t="str">
        <f>IF(M$59&gt;0,VLOOKUP(M$59,'TMC Matrix'!$A$142:$C$157,2,FALSE),"n.a.")</f>
        <v>n.a.</v>
      </c>
      <c r="N159" s="60" t="str">
        <f>IF(N$59&gt;0,VLOOKUP(N$59,'TMC Matrix'!$A$142:$C$157,2,FALSE),"n.a.")</f>
        <v>n.a.</v>
      </c>
      <c r="O159" s="60" t="str">
        <f>IF(O$59&gt;0,VLOOKUP(O$59,'TMC Matrix'!$A$142:$C$157,2,FALSE),"n.a.")</f>
        <v>n.a.</v>
      </c>
      <c r="P159" s="60" t="str">
        <f>IF(P$59&gt;0,VLOOKUP(P$59,'TMC Matrix'!$A$142:$C$157,2,FALSE),"n.a.")</f>
        <v>n.a.</v>
      </c>
    </row>
    <row r="160" spans="1:16">
      <c r="A160" t="s">
        <v>699</v>
      </c>
      <c r="B160" s="60">
        <f>IF(B$59&gt;0,VLOOKUP(B$59,'TMC Matrix'!$A$142:$C$157,3,FALSE),"n.a.")</f>
        <v>81</v>
      </c>
      <c r="C160" s="60">
        <f>IF(C$59&gt;0,VLOOKUP(C$59,'TMC Matrix'!$A$142:$C$157,3,FALSE),"n.a.")</f>
        <v>81</v>
      </c>
      <c r="D160" s="60">
        <f>IF(D$59&gt;0,VLOOKUP(D$59,'TMC Matrix'!$A$142:$C$157,3,FALSE),"n.a.")</f>
        <v>81</v>
      </c>
      <c r="E160" s="60">
        <f>IF(E$59&gt;0,VLOOKUP(E$59,'TMC Matrix'!$A$142:$C$157,3,FALSE),"n.a.")</f>
        <v>81</v>
      </c>
      <c r="F160" s="60">
        <f>IF(F$59&gt;0,VLOOKUP(F$59,'TMC Matrix'!$A$142:$C$157,3,FALSE),"n.a.")</f>
        <v>81</v>
      </c>
      <c r="G160" s="60">
        <f>IF(G$59&gt;0,VLOOKUP(G$59,'TMC Matrix'!$A$142:$C$157,3,FALSE),"n.a.")</f>
        <v>81</v>
      </c>
      <c r="H160" s="60">
        <f>IF(H$59&gt;0,VLOOKUP(H$59,'TMC Matrix'!$A$142:$C$157,3,FALSE),"n.a.")</f>
        <v>81</v>
      </c>
      <c r="I160" s="60" t="str">
        <f>IF(I$59&gt;0,VLOOKUP(I$59,'TMC Matrix'!$A$142:$C$157,3,FALSE),"n.a.")</f>
        <v>n.a.</v>
      </c>
      <c r="J160" s="60" t="str">
        <f>IF(J$59&gt;0,VLOOKUP(J$59,'TMC Matrix'!$A$142:$C$157,3,FALSE),"n.a.")</f>
        <v>n.a.</v>
      </c>
      <c r="K160" s="60" t="str">
        <f>IF(K$59&gt;0,VLOOKUP(K$59,'TMC Matrix'!$A$142:$C$157,3,FALSE),"n.a.")</f>
        <v>n.a.</v>
      </c>
      <c r="L160" s="60" t="str">
        <f>IF(L$59&gt;0,VLOOKUP(L$59,'TMC Matrix'!$A$142:$C$157,3,FALSE),"n.a.")</f>
        <v>n.a.</v>
      </c>
      <c r="M160" s="60" t="str">
        <f>IF(M$59&gt;0,VLOOKUP(M$59,'TMC Matrix'!$A$142:$C$157,3,FALSE),"n.a.")</f>
        <v>n.a.</v>
      </c>
      <c r="N160" s="60" t="str">
        <f>IF(N$59&gt;0,VLOOKUP(N$59,'TMC Matrix'!$A$142:$C$157,3,FALSE),"n.a.")</f>
        <v>n.a.</v>
      </c>
      <c r="O160" s="60" t="str">
        <f>IF(O$59&gt;0,VLOOKUP(O$59,'TMC Matrix'!$A$142:$C$157,3,FALSE),"n.a.")</f>
        <v>n.a.</v>
      </c>
      <c r="P160" s="60" t="str">
        <f>IF(P$59&gt;0,VLOOKUP(P$59,'TMC Matrix'!$A$142:$C$157,3,FALSE),"n.a.")</f>
        <v>n.a.</v>
      </c>
    </row>
    <row r="162" spans="1:16">
      <c r="D162" s="73" t="s">
        <v>696</v>
      </c>
    </row>
    <row r="164" spans="1:16">
      <c r="B164" t="s">
        <v>100</v>
      </c>
      <c r="C164" t="s">
        <v>101</v>
      </c>
      <c r="D164" t="s">
        <v>102</v>
      </c>
      <c r="E164" t="s">
        <v>103</v>
      </c>
      <c r="F164" t="s">
        <v>104</v>
      </c>
      <c r="G164" t="s">
        <v>105</v>
      </c>
      <c r="H164" t="s">
        <v>108</v>
      </c>
      <c r="I164" t="s">
        <v>106</v>
      </c>
      <c r="J164" t="s">
        <v>107</v>
      </c>
      <c r="K164" t="s">
        <v>149</v>
      </c>
      <c r="L164" t="s">
        <v>150</v>
      </c>
      <c r="M164" t="s">
        <v>151</v>
      </c>
      <c r="N164" t="s">
        <v>152</v>
      </c>
      <c r="O164" t="s">
        <v>153</v>
      </c>
      <c r="P164" t="s">
        <v>154</v>
      </c>
    </row>
    <row r="165" spans="1:16">
      <c r="A165" t="s">
        <v>699</v>
      </c>
      <c r="B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L"),$D$109,IF(Parameter_Template!$G$15="iBoosterGen2",B$65,IF(Parameter_Template!$G$15="iBoosterGen2evo",B$160,IF(OR(Parameter_Template!$G$15="BWA Size S",Parameter_Template!$G$15="BWA Size M"),B$134,B$48))))</f>
        <v>90</v>
      </c>
      <c r="C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L"),$D$109,IF(Parameter_Template!$G$15="iBoosterGen2",C$65,IF(Parameter_Template!$G$15="iBoosterGen2evo",C$160,IF(OR(Parameter_Template!$G$15="BWA Size S",Parameter_Template!$G$15="BWA Size M"),C$134,C$48))))</f>
        <v>90</v>
      </c>
      <c r="D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L"),$D$109,IF(Parameter_Template!$G$15="iBoosterGen2",D$65,IF(Parameter_Template!$G$15="iBoosterGen2evo",D$160,IF(OR(Parameter_Template!$G$15="BWA Size S",Parameter_Template!$G$15="BWA Size M"),D$134,D$48))))</f>
        <v>90</v>
      </c>
      <c r="E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L"),$D$109,IF(Parameter_Template!$G$15="iBoosterGen2",E$65,IF(Parameter_Template!$G$15="iBoosterGen2evo",E$160,IF(OR(Parameter_Template!$G$15="BWA Size S",Parameter_Template!$G$15="BWA Size M"),E$134,E$48))))</f>
        <v>90</v>
      </c>
      <c r="F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L"),$D$109,IF(Parameter_Template!$G$15="iBoosterGen2",F$65,IF(Parameter_Template!$G$15="iBoosterGen2evo",F$160,IF(OR(Parameter_Template!$G$15="BWA Size S",Parameter_Template!$G$15="BWA Size M"),F$134,F$48))))</f>
        <v>90</v>
      </c>
      <c r="G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L"),$D$109,IF(Parameter_Template!$G$15="iBoosterGen2",G$65,IF(Parameter_Template!$G$15="iBoosterGen2evo",G$160,IF(OR(Parameter_Template!$G$15="BWA Size S",Parameter_Template!$G$15="BWA Size M"),G$134,G$48))))</f>
        <v>90</v>
      </c>
      <c r="H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L"),$D$109,IF(Parameter_Template!$G$15="iBoosterGen2",H$65,IF(Parameter_Template!$G$15="iBoosterGen2evo",H$160,IF(OR(Parameter_Template!$G$15="BWA Size S",Parameter_Template!$G$15="BWA Size M"),H$134,H$48))))</f>
        <v>90</v>
      </c>
      <c r="I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L"),$D$109,IF(Parameter_Template!$G$15="iBoosterGen2",I$65,IF(Parameter_Template!$G$15="iBoosterGen2evo",I$160,IF(OR(Parameter_Template!$G$15="BWA Size S",Parameter_Template!$G$15="BWA Size M"),I$134,I$48))))</f>
        <v>90</v>
      </c>
      <c r="J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L"),$D$109,IF(Parameter_Template!$G$15="iBoosterGen2",J$65,IF(Parameter_Template!$G$15="iBoosterGen2evo",J$160,IF(OR(Parameter_Template!$G$15="BWA Size S",Parameter_Template!$G$15="BWA Size M"),J$134,J$48))))</f>
        <v>90</v>
      </c>
      <c r="K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L"),$D$109,IF(Parameter_Template!$G$15="iBoosterGen2",K$65,IF(Parameter_Template!$G$15="iBoosterGen2evo",K$160,IF(OR(Parameter_Template!$G$15="BWA Size S",Parameter_Template!$G$15="BWA Size M"),K$134,K$48))))</f>
        <v>90</v>
      </c>
      <c r="L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L"),$D$109,IF(Parameter_Template!$G$15="iBoosterGen2",L$65,IF(Parameter_Template!$G$15="iBoosterGen2evo",L$160,IF(OR(Parameter_Template!$G$15="BWA Size S",Parameter_Template!$G$15="BWA Size M"),L$134,L$48))))</f>
        <v>90</v>
      </c>
      <c r="M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L"),$D$109,IF(Parameter_Template!$G$15="iBoosterGen2",M$65,IF(Parameter_Template!$G$15="iBoosterGen2evo",M$160,IF(OR(Parameter_Template!$G$15="BWA Size S",Parameter_Template!$G$15="BWA Size M"),M$134,M$48))))</f>
        <v>90</v>
      </c>
      <c r="N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L"),$D$109,IF(Parameter_Template!$G$15="iBoosterGen2",N$65,IF(Parameter_Template!$G$15="iBoosterGen2evo",N$160,IF(OR(Parameter_Template!$G$15="BWA Size S",Parameter_Template!$G$15="BWA Size M"),N$134,N$48))))</f>
        <v>90</v>
      </c>
      <c r="O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L"),$D$109,IF(Parameter_Template!$G$15="iBoosterGen2",O$65,IF(Parameter_Template!$G$15="iBoosterGen2evo",O$160,IF(OR(Parameter_Template!$G$15="BWA Size S",Parameter_Template!$G$15="BWA Size M"),O$134,O$48))))</f>
        <v>90</v>
      </c>
      <c r="P165"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L"),$D$109,IF(Parameter_Template!$G$15="iBoosterGen2",P$65,IF(Parameter_Template!$G$15="iBoosterGen2evo",P$160,IF(OR(Parameter_Template!$G$15="BWA Size S",Parameter_Template!$G$15="BWA Size M"),P$134,P$48))))</f>
        <v>90</v>
      </c>
    </row>
    <row r="166" spans="1:16">
      <c r="A166" t="s">
        <v>700</v>
      </c>
      <c r="B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L"),$D$108,IF(Parameter_Template!$G$15="iBoosterGen2",B$64,IF(Parameter_Template!$G$15="iBoosterGen2evo",B$159,IF(OR(Parameter_Template!$G$15="BWA Size S",Parameter_Template!$G$15="BWA Size M"),B$135,B$49))))</f>
        <v>110</v>
      </c>
      <c r="C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L"),$D$108,IF(Parameter_Template!$G$15="iBoosterGen2",C$64,IF(Parameter_Template!$G$15="iBoosterGen2evo",C$159,IF(OR(Parameter_Template!$G$15="BWA Size S",Parameter_Template!$G$15="BWA Size M"),C$135,C$49))))</f>
        <v>110</v>
      </c>
      <c r="D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L"),$D$108,IF(Parameter_Template!$G$15="iBoosterGen2",D$64,IF(Parameter_Template!$G$15="iBoosterGen2evo",D$159,IF(OR(Parameter_Template!$G$15="BWA Size S",Parameter_Template!$G$15="BWA Size M"),D$135,D$49))))</f>
        <v>110</v>
      </c>
      <c r="E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L"),$D$108,IF(Parameter_Template!$G$15="iBoosterGen2",E$64,IF(Parameter_Template!$G$15="iBoosterGen2evo",E$159,IF(OR(Parameter_Template!$G$15="BWA Size S",Parameter_Template!$G$15="BWA Size M"),E$135,E$49))))</f>
        <v>110</v>
      </c>
      <c r="F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L"),$D$108,IF(Parameter_Template!$G$15="iBoosterGen2",F$64,IF(Parameter_Template!$G$15="iBoosterGen2evo",F$159,IF(OR(Parameter_Template!$G$15="BWA Size S",Parameter_Template!$G$15="BWA Size M"),F$135,F$49))))</f>
        <v>110</v>
      </c>
      <c r="G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L"),$D$108,IF(Parameter_Template!$G$15="iBoosterGen2",G$64,IF(Parameter_Template!$G$15="iBoosterGen2evo",G$159,IF(OR(Parameter_Template!$G$15="BWA Size S",Parameter_Template!$G$15="BWA Size M"),G$135,G$49))))</f>
        <v>110</v>
      </c>
      <c r="H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L"),$D$108,IF(Parameter_Template!$G$15="iBoosterGen2",H$64,IF(Parameter_Template!$G$15="iBoosterGen2evo",H$159,IF(OR(Parameter_Template!$G$15="BWA Size S",Parameter_Template!$G$15="BWA Size M"),H$135,H$49))))</f>
        <v>110</v>
      </c>
      <c r="I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L"),$D$108,IF(Parameter_Template!$G$15="iBoosterGen2",I$64,IF(Parameter_Template!$G$15="iBoosterGen2evo",I$159,IF(OR(Parameter_Template!$G$15="BWA Size S",Parameter_Template!$G$15="BWA Size M"),I$135,I$49))))</f>
        <v>110</v>
      </c>
      <c r="J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L"),$D$108,IF(Parameter_Template!$G$15="iBoosterGen2",J$64,IF(Parameter_Template!$G$15="iBoosterGen2evo",J$159,IF(OR(Parameter_Template!$G$15="BWA Size S",Parameter_Template!$G$15="BWA Size M"),J$135,J$49))))</f>
        <v>110</v>
      </c>
      <c r="K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L"),$D$108,IF(Parameter_Template!$G$15="iBoosterGen2",K$64,IF(Parameter_Template!$G$15="iBoosterGen2evo",K$159,IF(OR(Parameter_Template!$G$15="BWA Size S",Parameter_Template!$G$15="BWA Size M"),K$135,K$49))))</f>
        <v>110</v>
      </c>
      <c r="L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L"),$D$108,IF(Parameter_Template!$G$15="iBoosterGen2",L$64,IF(Parameter_Template!$G$15="iBoosterGen2evo",L$159,IF(OR(Parameter_Template!$G$15="BWA Size S",Parameter_Template!$G$15="BWA Size M"),L$135,L$49))))</f>
        <v>110</v>
      </c>
      <c r="M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L"),$D$108,IF(Parameter_Template!$G$15="iBoosterGen2",M$64,IF(Parameter_Template!$G$15="iBoosterGen2evo",M$159,IF(OR(Parameter_Template!$G$15="BWA Size S",Parameter_Template!$G$15="BWA Size M"),M$135,M$49))))</f>
        <v>110</v>
      </c>
      <c r="N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L"),$D$108,IF(Parameter_Template!$G$15="iBoosterGen2",N$64,IF(Parameter_Template!$G$15="iBoosterGen2evo",N$159,IF(OR(Parameter_Template!$G$15="BWA Size S",Parameter_Template!$G$15="BWA Size M"),N$135,N$49))))</f>
        <v>110</v>
      </c>
      <c r="O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L"),$D$108,IF(Parameter_Template!$G$15="iBoosterGen2",O$64,IF(Parameter_Template!$G$15="iBoosterGen2evo",O$159,IF(OR(Parameter_Template!$G$15="BWA Size S",Parameter_Template!$G$15="BWA Size M"),O$135,O$49))))</f>
        <v>110</v>
      </c>
      <c r="P166" s="456">
        <f>IF(OR(Parameter_Template!$G$14="IPB 1.0 Size Se",Parameter_Template!$G$14="IPB 1.1 Size Sd",Parameter_Template!$G$14="IPB 1.1 Size Se",Parameter_Template!$G$14="IPB 2.0 Size S",Parameter_Template!$G$14="IPB 2.0 Size M",Parameter_Template!$G$14="IPB 2.0 Size L",Parameter_Template!$G$15="DPB Size M",Parameter_Template!$G$15="DPB Size L"),$D$108,IF(Parameter_Template!$G$15="iBoosterGen2",P$64,IF(Parameter_Template!$G$15="iBoosterGen2evo",P$159,IF(OR(Parameter_Template!$G$15="BWA Size S",Parameter_Template!$G$15="BWA Size M"),P$135,P$49))))</f>
        <v>110</v>
      </c>
    </row>
    <row r="168" spans="1:16">
      <c r="A168" t="s">
        <v>697</v>
      </c>
      <c r="B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C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D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E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F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G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H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I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J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K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L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M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N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O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c r="P168" s="60" t="str">
        <f>IF(OR(Parameter_Template!$G$14="IPB 1.0 Size Se",Parameter_Template!$G$14="IPB 1.1 Size Sd",Parameter_Template!$G$14="IPB 1.1 Size Se",Parameter_Template!$G$14="IPB 2.0 Size S",Parameter_Template!$G$14="IPB 2.0 Size M",Parameter_Template!$G$14="IPB 2.0 Size L",Parameter_Template!$G$15="DPB Size M",Parameter_Template!$G$15="DPB Size L"),"IPB / DPB",IF(Parameter_Template!$G$15="iBoosterGen2","iB2",IF(Parameter_Template!$G$15="iBoosterGen2evo","iB2evo",IF(OR(Parameter_Template!$G$15="BWA Size S",Parameter_Template!$G$15="BWA Size M"),"BWA","Vacuum B."))))</f>
        <v>IPB / DPB</v>
      </c>
    </row>
  </sheetData>
  <sheetProtection formatColumns="0" formatRows="0"/>
  <mergeCells count="114">
    <mergeCell ref="B6:C6"/>
    <mergeCell ref="D6:E6"/>
    <mergeCell ref="F6:G6"/>
    <mergeCell ref="B9:C9"/>
    <mergeCell ref="D9:E9"/>
    <mergeCell ref="F9:G9"/>
    <mergeCell ref="B8:C8"/>
    <mergeCell ref="D8:E8"/>
    <mergeCell ref="F8:G8"/>
    <mergeCell ref="F13:G13"/>
    <mergeCell ref="F14:G14"/>
    <mergeCell ref="F16:G16"/>
    <mergeCell ref="B17:C17"/>
    <mergeCell ref="D16:E16"/>
    <mergeCell ref="D17:E17"/>
    <mergeCell ref="B13:C13"/>
    <mergeCell ref="B14:C14"/>
    <mergeCell ref="D10:E10"/>
    <mergeCell ref="D11:E11"/>
    <mergeCell ref="D12:E12"/>
    <mergeCell ref="D13:E13"/>
    <mergeCell ref="D14:E14"/>
    <mergeCell ref="F10:G10"/>
    <mergeCell ref="F11:G11"/>
    <mergeCell ref="F12:G12"/>
    <mergeCell ref="B16:C16"/>
    <mergeCell ref="B10:C10"/>
    <mergeCell ref="B11:C11"/>
    <mergeCell ref="B12:C12"/>
    <mergeCell ref="F17:G17"/>
    <mergeCell ref="B15:C15"/>
    <mergeCell ref="D15:E15"/>
    <mergeCell ref="F15:G15"/>
    <mergeCell ref="F23:G23"/>
    <mergeCell ref="F18:G18"/>
    <mergeCell ref="F19:G19"/>
    <mergeCell ref="F20:G20"/>
    <mergeCell ref="F21:G21"/>
    <mergeCell ref="F22:G22"/>
    <mergeCell ref="B23:C23"/>
    <mergeCell ref="D18:E18"/>
    <mergeCell ref="D19:E19"/>
    <mergeCell ref="D20:E20"/>
    <mergeCell ref="D21:E21"/>
    <mergeCell ref="D22:E22"/>
    <mergeCell ref="D23:E23"/>
    <mergeCell ref="B18:C18"/>
    <mergeCell ref="B19:C19"/>
    <mergeCell ref="B20:C20"/>
    <mergeCell ref="B21:C21"/>
    <mergeCell ref="B22:C22"/>
    <mergeCell ref="B31:C31"/>
    <mergeCell ref="D31:E31"/>
    <mergeCell ref="F31:G31"/>
    <mergeCell ref="B32:C32"/>
    <mergeCell ref="D32:E32"/>
    <mergeCell ref="F32:G32"/>
    <mergeCell ref="B28:C28"/>
    <mergeCell ref="D28:E28"/>
    <mergeCell ref="F28:G28"/>
    <mergeCell ref="B30:C30"/>
    <mergeCell ref="D30:E30"/>
    <mergeCell ref="F30:G30"/>
    <mergeCell ref="F38:G38"/>
    <mergeCell ref="B39:C39"/>
    <mergeCell ref="D39:E39"/>
    <mergeCell ref="F39:G39"/>
    <mergeCell ref="B33:C33"/>
    <mergeCell ref="D33:E33"/>
    <mergeCell ref="F33:G33"/>
    <mergeCell ref="B34:C34"/>
    <mergeCell ref="D34:E34"/>
    <mergeCell ref="F34:G34"/>
    <mergeCell ref="B35:C35"/>
    <mergeCell ref="D35:E35"/>
    <mergeCell ref="F35:G35"/>
    <mergeCell ref="B36:C36"/>
    <mergeCell ref="D36:E36"/>
    <mergeCell ref="F36:G36"/>
    <mergeCell ref="B37:C37"/>
    <mergeCell ref="D37:E37"/>
    <mergeCell ref="F37:G37"/>
    <mergeCell ref="B38:C38"/>
    <mergeCell ref="D38:E38"/>
    <mergeCell ref="H81:I81"/>
    <mergeCell ref="J81:K81"/>
    <mergeCell ref="F82:G82"/>
    <mergeCell ref="H82:I82"/>
    <mergeCell ref="H83:I83"/>
    <mergeCell ref="F81:G81"/>
    <mergeCell ref="H84:I84"/>
    <mergeCell ref="J82:K82"/>
    <mergeCell ref="J83:K83"/>
    <mergeCell ref="J84:K84"/>
    <mergeCell ref="F83:G83"/>
    <mergeCell ref="F84:G84"/>
    <mergeCell ref="D41:E41"/>
    <mergeCell ref="F41:G41"/>
    <mergeCell ref="B44:C44"/>
    <mergeCell ref="D44:E44"/>
    <mergeCell ref="F44:G44"/>
    <mergeCell ref="B40:C40"/>
    <mergeCell ref="D40:E40"/>
    <mergeCell ref="F40:G40"/>
    <mergeCell ref="B41:C41"/>
    <mergeCell ref="B45:C45"/>
    <mergeCell ref="D45:E45"/>
    <mergeCell ref="F45:G45"/>
    <mergeCell ref="B42:C42"/>
    <mergeCell ref="D42:E42"/>
    <mergeCell ref="F42:G42"/>
    <mergeCell ref="B43:C43"/>
    <mergeCell ref="D43:E43"/>
    <mergeCell ref="F43:G43"/>
  </mergeCells>
  <conditionalFormatting sqref="B64:P64">
    <cfRule type="expression" dxfId="7" priority="1">
      <formula>IF(AND($B$53="II-Split",B$75="A"),TRUE,FALSE)</formula>
    </cfRule>
    <cfRule type="expression" dxfId="6" priority="2">
      <formula>IF(AND($B$53="X-Split",B$59&gt;0),TRUE,FALSE)</formula>
    </cfRule>
  </conditionalFormatting>
  <conditionalFormatting sqref="B65:P65">
    <cfRule type="expression" dxfId="5" priority="3">
      <formula>IF(AND($B$53="II-Split",B$75="C"),TRUE,FALSE)</formula>
    </cfRule>
    <cfRule type="expression" dxfId="4" priority="4">
      <formula>IF(AND($B$53="II-Split",B$75="B"),TRUE,FALSE)</formula>
    </cfRule>
    <cfRule type="expression" dxfId="3" priority="5">
      <formula>IF(AND($B$53="II-Split",B$75="A"),TRUE,FALSE)</formula>
    </cfRule>
    <cfRule type="expression" dxfId="2" priority="6">
      <formula>IF(AND($B$53="X-Split",B$59&gt;0),TRUE,FALSE)</formula>
    </cfRule>
  </conditionalFormatting>
  <conditionalFormatting sqref="B64:P64">
    <cfRule type="expression" dxfId="1" priority="7">
      <formula>IF(AND($B$53="II-Split",B$75="C"),TRUE,FALSE)</formula>
    </cfRule>
    <cfRule type="expression" dxfId="0" priority="8">
      <formula>IF(AND($B$53="II-Split",B$75="B"),TRUE,FALSE)</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Q51"/>
  <sheetViews>
    <sheetView zoomScale="130" zoomScaleNormal="130" workbookViewId="0">
      <selection activeCell="B11" sqref="B11:F11"/>
    </sheetView>
  </sheetViews>
  <sheetFormatPr defaultColWidth="11.44140625" defaultRowHeight="13.2"/>
  <cols>
    <col min="1" max="1" width="6.88671875" customWidth="1"/>
    <col min="2" max="2" width="13.5546875" customWidth="1"/>
    <col min="3" max="3" width="49.44140625" bestFit="1" customWidth="1"/>
  </cols>
  <sheetData>
    <row r="1" spans="2:17" ht="13.8" thickBot="1"/>
    <row r="2" spans="2:17">
      <c r="B2" s="53" t="s">
        <v>209</v>
      </c>
      <c r="C2" s="54" t="s">
        <v>210</v>
      </c>
    </row>
    <row r="3" spans="2:17">
      <c r="B3" s="49" t="s">
        <v>2</v>
      </c>
      <c r="C3" s="50" t="s">
        <v>173</v>
      </c>
    </row>
    <row r="4" spans="2:17">
      <c r="B4" s="49" t="s">
        <v>3</v>
      </c>
      <c r="C4" s="50" t="s">
        <v>174</v>
      </c>
    </row>
    <row r="5" spans="2:17">
      <c r="B5" s="49" t="s">
        <v>4</v>
      </c>
      <c r="C5" s="50" t="s">
        <v>165</v>
      </c>
    </row>
    <row r="6" spans="2:17">
      <c r="B6" s="49" t="s">
        <v>132</v>
      </c>
      <c r="C6" s="50" t="s">
        <v>161</v>
      </c>
    </row>
    <row r="7" spans="2:17" ht="24" customHeight="1">
      <c r="B7" s="56" t="s">
        <v>69</v>
      </c>
      <c r="C7" s="55" t="s">
        <v>213</v>
      </c>
    </row>
    <row r="8" spans="2:17">
      <c r="B8" s="49" t="s">
        <v>5</v>
      </c>
      <c r="C8" s="50" t="s">
        <v>175</v>
      </c>
    </row>
    <row r="9" spans="2:17">
      <c r="B9" s="49" t="s">
        <v>6</v>
      </c>
      <c r="C9" s="50" t="s">
        <v>177</v>
      </c>
    </row>
    <row r="10" spans="2:17">
      <c r="B10" s="49" t="s">
        <v>95</v>
      </c>
      <c r="C10" s="50" t="s">
        <v>176</v>
      </c>
      <c r="Q10" s="61"/>
    </row>
    <row r="11" spans="2:17">
      <c r="B11" s="49" t="s">
        <v>70</v>
      </c>
      <c r="C11" s="50" t="s">
        <v>200</v>
      </c>
      <c r="Q11" s="61"/>
    </row>
    <row r="12" spans="2:17">
      <c r="B12" s="49" t="s">
        <v>71</v>
      </c>
      <c r="C12" s="50" t="s">
        <v>178</v>
      </c>
      <c r="Q12" s="61"/>
    </row>
    <row r="13" spans="2:17">
      <c r="B13" s="49" t="s">
        <v>7</v>
      </c>
      <c r="C13" s="50" t="s">
        <v>179</v>
      </c>
      <c r="Q13" s="61"/>
    </row>
    <row r="14" spans="2:17">
      <c r="B14" s="49" t="s">
        <v>72</v>
      </c>
      <c r="C14" s="50" t="s">
        <v>180</v>
      </c>
      <c r="Q14" s="61"/>
    </row>
    <row r="15" spans="2:17">
      <c r="B15" s="49" t="s">
        <v>73</v>
      </c>
      <c r="C15" s="50" t="s">
        <v>181</v>
      </c>
      <c r="Q15" s="61"/>
    </row>
    <row r="16" spans="2:17">
      <c r="B16" s="49" t="s">
        <v>97</v>
      </c>
      <c r="C16" s="50" t="s">
        <v>167</v>
      </c>
      <c r="Q16" s="61"/>
    </row>
    <row r="17" spans="2:17">
      <c r="B17" s="49" t="s">
        <v>8</v>
      </c>
      <c r="C17" s="50" t="s">
        <v>182</v>
      </c>
      <c r="Q17" s="61"/>
    </row>
    <row r="18" spans="2:17">
      <c r="B18" s="49" t="s">
        <v>160</v>
      </c>
      <c r="C18" s="50" t="s">
        <v>208</v>
      </c>
      <c r="Q18" s="61"/>
    </row>
    <row r="19" spans="2:17">
      <c r="B19" s="49" t="s">
        <v>74</v>
      </c>
      <c r="C19" s="50" t="s">
        <v>201</v>
      </c>
      <c r="Q19" s="61"/>
    </row>
    <row r="20" spans="2:17">
      <c r="B20" s="49" t="s">
        <v>90</v>
      </c>
      <c r="C20" s="50" t="s">
        <v>183</v>
      </c>
      <c r="Q20" s="61"/>
    </row>
    <row r="21" spans="2:17">
      <c r="B21" s="49" t="s">
        <v>96</v>
      </c>
      <c r="C21" s="50" t="s">
        <v>184</v>
      </c>
      <c r="F21" t="s">
        <v>212</v>
      </c>
      <c r="Q21" s="61"/>
    </row>
    <row r="22" spans="2:17">
      <c r="B22" s="49" t="s">
        <v>91</v>
      </c>
      <c r="C22" s="50" t="s">
        <v>185</v>
      </c>
      <c r="Q22" s="61"/>
    </row>
    <row r="23" spans="2:17">
      <c r="B23" s="49" t="s">
        <v>9</v>
      </c>
      <c r="C23" s="50" t="s">
        <v>186</v>
      </c>
      <c r="Q23" s="61"/>
    </row>
    <row r="24" spans="2:17">
      <c r="B24" s="49" t="s">
        <v>156</v>
      </c>
      <c r="C24" s="50" t="s">
        <v>163</v>
      </c>
      <c r="Q24" s="61"/>
    </row>
    <row r="25" spans="2:17">
      <c r="B25" s="49" t="s">
        <v>172</v>
      </c>
      <c r="C25" s="50" t="s">
        <v>171</v>
      </c>
      <c r="Q25" s="61"/>
    </row>
    <row r="26" spans="2:17">
      <c r="B26" s="49" t="s">
        <v>10</v>
      </c>
      <c r="C26" s="50" t="s">
        <v>187</v>
      </c>
    </row>
    <row r="27" spans="2:17">
      <c r="B27" s="49" t="s">
        <v>92</v>
      </c>
      <c r="C27" s="50" t="s">
        <v>188</v>
      </c>
    </row>
    <row r="28" spans="2:17">
      <c r="B28" s="49" t="s">
        <v>11</v>
      </c>
      <c r="C28" s="50" t="s">
        <v>189</v>
      </c>
    </row>
    <row r="29" spans="2:17">
      <c r="B29" s="49" t="s">
        <v>94</v>
      </c>
      <c r="C29" s="50" t="s">
        <v>190</v>
      </c>
    </row>
    <row r="30" spans="2:17">
      <c r="B30" s="49" t="s">
        <v>12</v>
      </c>
      <c r="C30" s="50" t="s">
        <v>191</v>
      </c>
    </row>
    <row r="31" spans="2:17">
      <c r="B31" s="49" t="s">
        <v>13</v>
      </c>
      <c r="C31" s="50" t="s">
        <v>192</v>
      </c>
    </row>
    <row r="32" spans="2:17">
      <c r="B32" s="49" t="s">
        <v>120</v>
      </c>
      <c r="C32" s="50" t="s">
        <v>207</v>
      </c>
    </row>
    <row r="33" spans="2:3">
      <c r="B33" s="49" t="s">
        <v>14</v>
      </c>
      <c r="C33" s="50" t="s">
        <v>202</v>
      </c>
    </row>
    <row r="34" spans="2:3">
      <c r="B34" s="49" t="s">
        <v>122</v>
      </c>
      <c r="C34" s="50" t="s">
        <v>170</v>
      </c>
    </row>
    <row r="35" spans="2:3">
      <c r="B35" s="49" t="s">
        <v>518</v>
      </c>
      <c r="C35" s="50" t="s">
        <v>519</v>
      </c>
    </row>
    <row r="36" spans="2:3">
      <c r="B36" s="49" t="s">
        <v>75</v>
      </c>
      <c r="C36" s="50" t="s">
        <v>205</v>
      </c>
    </row>
    <row r="37" spans="2:3">
      <c r="B37" s="49" t="s">
        <v>76</v>
      </c>
      <c r="C37" s="50" t="s">
        <v>206</v>
      </c>
    </row>
    <row r="38" spans="2:3">
      <c r="B38" s="49" t="s">
        <v>77</v>
      </c>
      <c r="C38" s="50" t="s">
        <v>193</v>
      </c>
    </row>
    <row r="39" spans="2:3">
      <c r="B39" s="49" t="s">
        <v>155</v>
      </c>
      <c r="C39" s="50" t="s">
        <v>162</v>
      </c>
    </row>
    <row r="40" spans="2:3">
      <c r="B40" s="49" t="s">
        <v>15</v>
      </c>
      <c r="C40" s="50" t="s">
        <v>203</v>
      </c>
    </row>
    <row r="41" spans="2:3">
      <c r="B41" s="49" t="s">
        <v>16</v>
      </c>
      <c r="C41" s="50" t="s">
        <v>194</v>
      </c>
    </row>
    <row r="42" spans="2:3">
      <c r="B42" s="49" t="s">
        <v>93</v>
      </c>
      <c r="C42" s="50" t="s">
        <v>195</v>
      </c>
    </row>
    <row r="43" spans="2:3">
      <c r="B43" s="49" t="s">
        <v>158</v>
      </c>
      <c r="C43" s="50" t="s">
        <v>166</v>
      </c>
    </row>
    <row r="44" spans="2:3">
      <c r="B44" s="49" t="s">
        <v>17</v>
      </c>
      <c r="C44" s="50" t="s">
        <v>196</v>
      </c>
    </row>
    <row r="45" spans="2:3">
      <c r="B45" s="49" t="s">
        <v>78</v>
      </c>
      <c r="C45" s="50" t="s">
        <v>197</v>
      </c>
    </row>
    <row r="46" spans="2:3">
      <c r="B46" s="49" t="s">
        <v>79</v>
      </c>
      <c r="C46" s="50" t="s">
        <v>204</v>
      </c>
    </row>
    <row r="47" spans="2:3">
      <c r="B47" s="49" t="s">
        <v>121</v>
      </c>
      <c r="C47" s="50" t="s">
        <v>169</v>
      </c>
    </row>
    <row r="48" spans="2:3">
      <c r="B48" s="49" t="s">
        <v>159</v>
      </c>
      <c r="C48" s="50" t="s">
        <v>168</v>
      </c>
    </row>
    <row r="49" spans="2:3">
      <c r="B49" s="49" t="s">
        <v>18</v>
      </c>
      <c r="C49" s="50" t="s">
        <v>198</v>
      </c>
    </row>
    <row r="50" spans="2:3">
      <c r="B50" s="49" t="s">
        <v>157</v>
      </c>
      <c r="C50" s="50" t="s">
        <v>164</v>
      </c>
    </row>
    <row r="51" spans="2:3" ht="13.8" thickBot="1">
      <c r="B51" s="51" t="s">
        <v>80</v>
      </c>
      <c r="C51" s="52" t="s">
        <v>199</v>
      </c>
    </row>
  </sheetData>
  <sheetProtection password="E9DF" sheet="1" objects="1" scenarios="1"/>
  <sortState xmlns:xlrd2="http://schemas.microsoft.com/office/spreadsheetml/2017/richdata2" ref="B3:D49">
    <sortCondition ref="B3"/>
  </sortState>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
  <dimension ref="A2:H7"/>
  <sheetViews>
    <sheetView workbookViewId="0">
      <selection activeCell="A12" sqref="A12"/>
    </sheetView>
  </sheetViews>
  <sheetFormatPr defaultColWidth="11.44140625" defaultRowHeight="13.2"/>
  <sheetData>
    <row r="2" spans="1:8">
      <c r="A2" t="s">
        <v>813</v>
      </c>
    </row>
    <row r="3" spans="1:8">
      <c r="A3" t="s">
        <v>710</v>
      </c>
      <c r="D3" t="s">
        <v>780</v>
      </c>
      <c r="G3" t="s">
        <v>779</v>
      </c>
    </row>
    <row r="4" spans="1:8" ht="13.2" customHeight="1">
      <c r="A4" s="822" t="str">
        <f>IF(ISBLANK(Parameter_Template!U109),IF(ISBLANK(Parameter_Template!T109),IF(ISBLANK(Parameter_Template!S109),IF(ISBLANK(Parameter_Template!R109),IF(ISBLANK(Parameter_Template!Q109),IF(ISBLANK(Parameter_Template!P109),IF(ISBLANK(Parameter_Template!O109),IF(ISBLANK(Parameter_Template!N109),IF(ISBLANK(Parameter_Template!M109),IF(ISBLANK(Parameter_Template!L109),IF(ISBLANK(Parameter_Template!K109),IF(ISBLANK(Parameter_Template!J109),IF(ISBLANK(Parameter_Template!I109),IF(ISBLANK(Parameter_Template!H109),IF(ISBLANK(Parameter_Template!G109),"check",IF(Parameter_Template!G109&lt;&gt;14,"Attention: MC2 Piston Stroke must be 14mm for IPB + II-Split","check")),IF(Parameter_Template!H109&lt;&gt;14,"Attention: MC2 Piston Stroke must be 14mm for IPB + II-Split","check")),IF(Parameter_Template!I109&lt;&gt;14,"Attention: MC2 Piston Stroke must be 14mm for IPB + II-Split","check")),IF(Parameter_Template!J109&lt;&gt;14,"Attention: MC2 Piston Stroke must be 14mm for IPB + II-Split","check")),IF(Parameter_Template!K109&lt;&gt;14,"Attention: MC2 Piston Stroke must be 14mm for IPB + II-Split","check")),IF(Parameter_Template!L109&lt;&gt;14,"Attention: MC2 Piston Stroke must be 14mm for IPB + II-Split","check")),IF(Parameter_Template!M109&lt;&gt;14,"Attention: MC2 Piston Stroke must be 14mm for IPB + II-Split","check")),IF(Parameter_Template!N109&lt;&gt;14,"Attention: MC2 Piston Stroke must be 14mm for IPB + II-Split","check")),IF(Parameter_Template!O109&lt;&gt;14,"Attention: MC2 Piston Stroke must be 14mm for IPB + II-Split","check")),IF(Parameter_Template!P109&lt;&gt;14,"Attention: MC2 Piston Stroke must be 14mm for IPB + II-Split","check")),IF(Parameter_Template!Q109&lt;&gt;14,"Attention: MC2 Piston Stroke must be 14mm for IPB + II-Split","check")),IF(Parameter_Template!R109&lt;&gt;14,"Attention: MC2 Piston Stroke must be 14mm for IPB + II-Split","check")),IF(Parameter_Template!S109&lt;&gt;14,"Attention: MC2 Piston Stroke must be 14mm for IPB + II-Split","check")),IF(Parameter_Template!T109&lt;&gt;14,"Attention: MC2 Piston Stroke must be 14mm for IPB + II-Split","check")),IF(Parameter_Template!U109&lt;&gt;14,"Attention: MC2 Piston Stroke must be 14mm for IPB + II-Split","check"))</f>
        <v>Attention: MC2 Piston Stroke must be 14mm for IPB + II-Split</v>
      </c>
      <c r="B4" s="822"/>
      <c r="D4" s="822" t="str">
        <f>IF(ISBLANK(Parameter_Template!U109),IF(ISBLANK(Parameter_Template!T109),IF(ISBLANK(Parameter_Template!S109),IF(ISBLANK(Parameter_Template!R109),IF(ISBLANK(Parameter_Template!Q109),IF(ISBLANK(Parameter_Template!P109),IF(ISBLANK(Parameter_Template!O109),IF(ISBLANK(Parameter_Template!N109),IF(ISBLANK(Parameter_Template!M109),IF(ISBLANK(Parameter_Template!L109),IF(ISBLANK(Parameter_Template!K109),IF(ISBLANK(Parameter_Template!J109),IF(ISBLANK(Parameter_Template!I109),IF(ISBLANK(Parameter_Template!H109),IF(ISBLANK(Parameter_Template!G109),"check",IF(Parameter_Template!G109&lt;&gt;14,"Attention: MC2 Piston Stroke must be 14mm for DPB + II-Split","check")),IF(Parameter_Template!H109&lt;&gt;14,"Attention: MC2 Piston Stroke must be 14mm for DPB + II-Split","check")),IF(Parameter_Template!I109&lt;&gt;14,"Attention: MC2 Piston Stroke must be 14mm for DPB + II-Split","check")),IF(Parameter_Template!J109&lt;&gt;14,"Attention: MC2 Piston Stroke must be 14mm for DPB + II-Split","check")),IF(Parameter_Template!K109&lt;&gt;14,"Attention: MC2 Piston Stroke must be 14mm for DPB + II-Split","check")),IF(Parameter_Template!L109&lt;&gt;14,"Attention: MC2 Piston Stroke must be 14mm for DPB + II-Split","check")),IF(Parameter_Template!M109&lt;&gt;14,"Attention: MC2 Piston Stroke must be 14mm for DPB + II-Split","check")),IF(Parameter_Template!N109&lt;&gt;14,"Attention: MC2 Piston Stroke must be 14mm for DPB + II-Split","check")),IF(Parameter_Template!O109&lt;&gt;14,"Attention: MC2 Piston Stroke must be 14mm for DPB + II-Split","check")),IF(Parameter_Template!P109&lt;&gt;14,"Attention: MC2 Piston Stroke must be 14mm for DPB + II-Split","check")),IF(Parameter_Template!Q109&lt;&gt;14,"Attention: MC2 Piston Stroke must be 14mm for DPB + II-Split","check")),IF(Parameter_Template!R109&lt;&gt;14,"Attention: MC2 Piston Stroke must be 14mm for DPB + II-Split","check")),IF(Parameter_Template!S109&lt;&gt;14,"Attention: MC2 Piston Stroke must be 14mm for DPB + II-Split","check")),IF(Parameter_Template!T109&lt;&gt;14,"Attention: MC2 Piston Stroke must be 14mm for DPB + II-Split","check")),IF(Parameter_Template!U109&lt;&gt;14,"Attention: MC2 Piston Stroke must be 14mm for DPB + II-Split","check"))</f>
        <v>Attention: MC2 Piston Stroke must be 14mm for DPB + II-Split</v>
      </c>
      <c r="E4" s="822"/>
      <c r="G4" s="849" t="str">
        <f>IF(ISBLANK(Parameter_Template!U108),IF(ISBLANK(Parameter_Template!T108),IF(ISBLANK(Parameter_Template!S108),IF(ISBLANK(Parameter_Template!R108),IF(ISBLANK(Parameter_Template!Q108),IF(ISBLANK(Parameter_Template!P108),IF(ISBLANK(Parameter_Template!O108),IF(ISBLANK(Parameter_Template!N108),IF(ISBLANK(Parameter_Template!M108),IF(ISBLANK(Parameter_Template!L108),IF(ISBLANK(Parameter_Template!K108),IF(ISBLANK(Parameter_Template!J108),IF(ISBLANK(Parameter_Template!I108),IF(ISBLANK(Parameter_Template!H108),IF(ISBLANK(Parameter_Template!G108),"check",IF(SUM(Parameter_Template!G108,Parameter_Template!G109)&lt;Parameter_Template!Y108,"Attention,"&amp;CHAR(10)&amp;" the piston stroke is below the usual range: "&amp;Parameter_Template!Y108&amp;Parameter_Template!D108,IF(SUM(Parameter_Template!G108,Parameter_Template!G109)&gt;Parameter_Template!Z108,"Attention,"&amp;CHAR(10)&amp;" the piston stroke is above the usual range: "&amp;Parameter_Template!Z108&amp;Parameter_Template!D108,"check"))),IF(SUM(Parameter_Template!H108,Parameter_Template!H109)&lt;Parameter_Template!Y108,"Attention,"&amp;CHAR(10)&amp;" the piston stroke is below the usual range: "&amp;Parameter_Template!Y108&amp;Parameter_Template!D108,IF(SUM(Parameter_Template!H108,Parameter_Template!H109)&gt;Parameter_Template!Z108,"Attention,"&amp;CHAR(10)&amp;" the piston stroke is above the usual range: "&amp;Parameter_Template!Z108&amp;Parameter_Template!D108,"check"))),IF(SUM(Parameter_Template!I108,Parameter_Template!I109)&lt;Parameter_Template!Y108,"Attention,"&amp;CHAR(10)&amp;" the piston stroke is below the usual range: "&amp;Parameter_Template!Y108&amp;Parameter_Template!D108,IF(SUM(Parameter_Template!I108,Parameter_Template!I109)&gt;Parameter_Template!Z108,"Attention,"&amp;CHAR(10)&amp;" the piston stroke is above the usual range: "&amp;Parameter_Template!Z108&amp;Parameter_Template!D108,"check"))),IF(SUM(Parameter_Template!J108,Parameter_Template!J109)&lt;Parameter_Template!Y108,"Attention,"&amp;CHAR(10)&amp;" the piston stroke is below the usual range: "&amp;Parameter_Template!Y108&amp;Parameter_Template!D108,IF(SUM(Parameter_Template!J108,Parameter_Template!J109)&gt;Parameter_Template!Z108,"Attention,"&amp;CHAR(10)&amp;" the piston stroke is above the usual range: "&amp;Parameter_Template!Z108&amp;Parameter_Template!D108,"check"))),IF(SUM(Parameter_Template!K108,Parameter_Template!K109)&lt;Parameter_Template!Y108,"Attention,"&amp;CHAR(10)&amp;" the piston stroke is below the usual range: "&amp;Parameter_Template!Y108&amp;Parameter_Template!D108,IF(SUM(Parameter_Template!K108,Parameter_Template!K109)&gt;Parameter_Template!Z108,"Attention,"&amp;CHAR(10)&amp;" the piston stroke is above the usual range: "&amp;Parameter_Template!Z108&amp;Parameter_Template!D108,"check"))),IF(SUM(Parameter_Template!L108,Parameter_Template!L109)&lt;Parameter_Template!Y108,"Attention,"&amp;CHAR(10)&amp;" the piston stroke is below the usual range: "&amp;Parameter_Template!Y108&amp;Parameter_Template!D108,IF(SUM(Parameter_Template!L108,Parameter_Template!L109)&gt;Parameter_Template!Z108,"Attention,"&amp;CHAR(10)&amp;" the piston stroke is above the usual range: "&amp;Parameter_Template!Z108&amp;Parameter_Template!D108,"check"))),IF(SUM(Parameter_Template!M108,Parameter_Template!M109)&lt;Parameter_Template!Y108,"Attention,"&amp;CHAR(10)&amp;" the piston stroke is below the usual range: "&amp;Parameter_Template!Y108&amp;Parameter_Template!D108,IF(SUM(Parameter_Template!M108,Parameter_Template!M109)&gt;Parameter_Template!Z108,"Attention,"&amp;CHAR(10)&amp;" the piston stroke is above the usual range: "&amp;Parameter_Template!Z108&amp;Parameter_Template!D108,"check"))),IF(SUM(Parameter_Template!N108,Parameter_Template!N109)&lt;Parameter_Template!Y108,"Attention,"&amp;CHAR(10)&amp;" the piston stroke is below the usual range: "&amp;Parameter_Template!Y108&amp;Parameter_Template!D108,IF(SUM(Parameter_Template!N108,Parameter_Template!N109)&gt;Parameter_Template!Z108,"Attention,"&amp;CHAR(10)&amp;" the piston stroke is above the usual range: "&amp;Parameter_Template!Z108&amp;Parameter_Template!D108,"check"))),IF(SUM(Parameter_Template!O108,Parameter_Template!O109)&lt;Parameter_Template!Y108,"Attention,"&amp;CHAR(10)&amp;" the piston stroke is below the usual range: "&amp;Parameter_Template!Y108&amp;Parameter_Template!D108,IF(SUM(Parameter_Template!O108,Parameter_Template!O109)&gt;Parameter_Template!Z108,"Attention,"&amp;CHAR(10)&amp;" the piston stroke is above the usual range: "&amp;Parameter_Template!Z108&amp;Parameter_Template!D108,"check"))),IF(SUM(Parameter_Template!P108,Parameter_Template!P109)&lt;Parameter_Template!Y108,"Attention,"&amp;CHAR(10)&amp;" the piston stroke is below the usual range: "&amp;Parameter_Template!Y108&amp;Parameter_Template!D108,IF(SUM(Parameter_Template!P108,Parameter_Template!P109)&gt;Parameter_Template!Z108,"Attention,"&amp;CHAR(10)&amp;" the piston stroke is above the usual range: "&amp;Parameter_Template!Z108&amp;Parameter_Template!D108,"check"))),IF(SUM(Parameter_Template!Q108,Parameter_Template!Q109)&lt;Parameter_Template!Y108,"Attention,"&amp;CHAR(10)&amp;" the piston stroke is below the usual range: "&amp;Parameter_Template!Y108&amp;Parameter_Template!D108,IF(SUM(Parameter_Template!Q108,Parameter_Template!Q109)&gt;Parameter_Template!Z108,"Attention,"&amp;CHAR(10)&amp;" the piston stroke is above the usual range: "&amp;Parameter_Template!Z108&amp;Parameter_Template!D108,"check"))),IF(SUM(Parameter_Template!R108,Parameter_Template!R109)&lt;Parameter_Template!Y108,"Attention,"&amp;CHAR(10)&amp;" the piston stroke is below the usual range: "&amp;Parameter_Template!Y108&amp;Parameter_Template!D108,IF(SUM(Parameter_Template!R108,Parameter_Template!R109)&gt;Parameter_Template!Z108,"Attention,"&amp;CHAR(10)&amp;" the piston stroke is above the usual range: "&amp;Parameter_Template!Z108&amp;Parameter_Template!D108,"check"))),IF(SUM(Parameter_Template!S108,Parameter_Template!S109)&lt;Parameter_Template!Y108,"Attention,"&amp;CHAR(10)&amp;" the piston stroke is below the usual range: "&amp;Parameter_Template!Y108&amp;Parameter_Template!D108,IF(SUM(Parameter_Template!S108,Parameter_Template!S109)&gt;Parameter_Template!Z108,"Attention,"&amp;CHAR(10)&amp;" the piston stroke is above the usual range: "&amp;Parameter_Template!Z108&amp;Parameter_Template!D108,"check"))),IF(SUM(Parameter_Template!T108,Parameter_Template!T109)&lt;Parameter_Template!Y108,"Attention,"&amp;CHAR(10)&amp;" the piston stroke is below the usual range: "&amp;Parameter_Template!Y108&amp;Parameter_Template!D108,IF(SUM(Parameter_Template!T108,Parameter_Template!T109)&gt;Parameter_Template!Z108,"Attention,"&amp;CHAR(10)&amp;" the piston stroke is above the usual range: "&amp;Parameter_Template!Z108&amp;Parameter_Template!D108,"check"))),IF(SUM(Parameter_Template!U108,Parameter_Template!U109)&lt;Parameter_Template!Y108,"Attention,"&amp;CHAR(10)&amp;" the piston stroke is below the usual range: "&amp;Parameter_Template!Y108&amp;Parameter_Template!D108,IF(SUM(Parameter_Template!U108,Parameter_Template!U109)&gt;Parameter_Template!Z108,"Attention,"&amp;CHAR(10)&amp;" the piston stroke is above the usual range: "&amp;Parameter_Template!Z108&amp;Parameter_Template!D108,"check")))</f>
        <v>check</v>
      </c>
      <c r="H4" s="849"/>
    </row>
    <row r="5" spans="1:8">
      <c r="A5" s="822"/>
      <c r="B5" s="822"/>
      <c r="D5" s="822"/>
      <c r="E5" s="822"/>
      <c r="G5" s="849"/>
      <c r="H5" s="849"/>
    </row>
    <row r="6" spans="1:8">
      <c r="A6" s="822"/>
      <c r="B6" s="822"/>
      <c r="D6" s="822"/>
      <c r="E6" s="822"/>
      <c r="G6" s="849"/>
      <c r="H6" s="849"/>
    </row>
    <row r="7" spans="1:8">
      <c r="A7" s="174"/>
      <c r="B7" s="174"/>
    </row>
  </sheetData>
  <mergeCells count="3">
    <mergeCell ref="A4:B6"/>
    <mergeCell ref="D4:E6"/>
    <mergeCell ref="G4:H6"/>
  </mergeCells>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A2D8F11-AE1E-453E-9E1A-5745FECD4E4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Parameter_Template</vt:lpstr>
      <vt:lpstr>Features</vt:lpstr>
      <vt:lpstr>What is new  </vt:lpstr>
      <vt:lpstr>Dropdowns</vt:lpstr>
      <vt:lpstr>FAQ</vt:lpstr>
      <vt:lpstr>TMC Matrix</vt:lpstr>
      <vt:lpstr>acronyms</vt:lpstr>
      <vt:lpstr>Checkbox</vt:lpstr>
      <vt:lpstr>Features!tab_3</vt:lpstr>
      <vt:lpstr>tab_3</vt:lpstr>
      <vt:lpstr>tab_Booster_Jump_in_variant</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thomas.schmidt16@de.bosch.com</dc:creator>
  <cp:lastModifiedBy>Daraj Amjad (VM/EYV3-LO)</cp:lastModifiedBy>
  <cp:lastPrinted>2023-08-14T11:46:38Z</cp:lastPrinted>
  <dcterms:created xsi:type="dcterms:W3CDTF">2015-07-24T13:32:42Z</dcterms:created>
  <dcterms:modified xsi:type="dcterms:W3CDTF">2026-01-23T10:29:02Z</dcterms:modified>
</cp:coreProperties>
</file>