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D:\1 Projects\excel2calender\"/>
    </mc:Choice>
  </mc:AlternateContent>
  <xr:revisionPtr revIDLastSave="0" documentId="13_ncr:1_{9EEEE172-D6D0-413A-A136-918F01BA0305}" xr6:coauthVersionLast="47" xr6:coauthVersionMax="47" xr10:uidLastSave="{00000000-0000-0000-0000-000000000000}"/>
  <bookViews>
    <workbookView xWindow="-98" yWindow="-98" windowWidth="24496" windowHeight="15675" activeTab="5" xr2:uid="{00000000-000D-0000-FFFF-FFFF00000000}"/>
  </bookViews>
  <sheets>
    <sheet name="Instructions New" sheetId="1" r:id="rId1"/>
    <sheet name="Enter Projections" sheetId="3" r:id="rId2"/>
    <sheet name="Enter (Vac BFs TrCl MB" sheetId="2" r:id="rId3"/>
    <sheet name="Tactics" sheetId="8" r:id="rId4"/>
    <sheet name="Planner" sheetId="6" r:id="rId5"/>
    <sheet name="PROSPECT" sheetId="9" r:id="rId6"/>
    <sheet name="REGENT" sheetId="7" r:id="rId7"/>
    <sheet name="5 Weeks Sun Week Start" sheetId="10" state="hidden" r:id="rId8"/>
  </sheets>
  <definedNames>
    <definedName name="_xlnm.Print_Area" localSheetId="2">'Enter (Vac BFs TrCl MB'!$D$3:$AP$39</definedName>
    <definedName name="_xlnm.Print_Area" localSheetId="1">'Enter Projections'!$A$2:$O$55</definedName>
    <definedName name="_xlnm.Print_Area" localSheetId="0">'Instructions New'!$A$4:$AA$37</definedName>
    <definedName name="_xlnm.Print_Area" localSheetId="4">Planner!$D$2:$K$93</definedName>
    <definedName name="_xlnm.Print_Area" localSheetId="5">PROSPECT!$B$2:$AA$65</definedName>
    <definedName name="_xlnm.Print_Area" localSheetId="6">REGENT!$B$2:$AA$65</definedName>
    <definedName name="_xlnm.Print_Area" localSheetId="3">Tactics!$A$1:$H$20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F6" i="2" l="1"/>
  <c r="G6" i="2" s="1"/>
  <c r="O22" i="3"/>
  <c r="O17" i="3"/>
  <c r="E6" i="2"/>
  <c r="E5" i="2" s="1"/>
  <c r="B65" i="9"/>
  <c r="K65" i="10"/>
  <c r="B65" i="10"/>
  <c r="B64" i="9"/>
  <c r="K64" i="10"/>
  <c r="B64" i="10"/>
  <c r="B63" i="9"/>
  <c r="K63" i="10"/>
  <c r="B63" i="10"/>
  <c r="K62" i="10"/>
  <c r="B62" i="10"/>
  <c r="K61" i="10"/>
  <c r="B61" i="10"/>
  <c r="B60" i="9"/>
  <c r="K60" i="10"/>
  <c r="B60" i="10"/>
  <c r="K59" i="10"/>
  <c r="B59" i="10"/>
  <c r="B58" i="9"/>
  <c r="K58" i="10"/>
  <c r="B58" i="10"/>
  <c r="B57" i="9"/>
  <c r="K57" i="10"/>
  <c r="B57" i="10"/>
  <c r="B56" i="9"/>
  <c r="K56" i="10"/>
  <c r="B56" i="10"/>
  <c r="B55" i="9"/>
  <c r="K55" i="10"/>
  <c r="B55" i="10"/>
  <c r="B54" i="9"/>
  <c r="K54" i="10"/>
  <c r="B54" i="10"/>
  <c r="B53" i="9"/>
  <c r="K53" i="10"/>
  <c r="B53" i="10"/>
  <c r="B52" i="9"/>
  <c r="K52" i="10"/>
  <c r="B52" i="10"/>
  <c r="B51" i="9"/>
  <c r="K51" i="10"/>
  <c r="B51" i="10"/>
  <c r="B50" i="9"/>
  <c r="K50" i="10"/>
  <c r="B50" i="10"/>
  <c r="B49" i="9"/>
  <c r="K49" i="10"/>
  <c r="B49" i="10"/>
  <c r="B48" i="9"/>
  <c r="K48" i="10"/>
  <c r="B48" i="10"/>
  <c r="B47" i="9"/>
  <c r="K47" i="10"/>
  <c r="B47" i="10"/>
  <c r="B46" i="9"/>
  <c r="K46" i="10"/>
  <c r="B46" i="10"/>
  <c r="B45" i="9"/>
  <c r="K45" i="10"/>
  <c r="B45" i="10"/>
  <c r="B44" i="9"/>
  <c r="K44" i="10"/>
  <c r="B44" i="10"/>
  <c r="B18" i="6"/>
  <c r="B19" i="6" s="1"/>
  <c r="B20" i="6" s="1"/>
  <c r="I46" i="6" s="1"/>
  <c r="B7" i="9"/>
  <c r="K38" i="10"/>
  <c r="B38" i="10"/>
  <c r="B34" i="9"/>
  <c r="T34" i="10"/>
  <c r="K34" i="10"/>
  <c r="B34" i="10"/>
  <c r="B33" i="9"/>
  <c r="T33" i="10"/>
  <c r="K33" i="10"/>
  <c r="B33" i="10"/>
  <c r="B32" i="9"/>
  <c r="T32" i="10"/>
  <c r="K32" i="10"/>
  <c r="B32" i="10"/>
  <c r="T31" i="10"/>
  <c r="K31" i="10"/>
  <c r="B31" i="10"/>
  <c r="T30" i="10"/>
  <c r="K30" i="10"/>
  <c r="B30" i="10"/>
  <c r="B29" i="9"/>
  <c r="T29" i="10"/>
  <c r="K29" i="10"/>
  <c r="B29" i="10"/>
  <c r="T28" i="10"/>
  <c r="K28" i="10"/>
  <c r="B28" i="10"/>
  <c r="B27" i="9"/>
  <c r="T27" i="10"/>
  <c r="K27" i="10"/>
  <c r="B27" i="10"/>
  <c r="B26" i="9"/>
  <c r="T26" i="10"/>
  <c r="K26" i="10"/>
  <c r="B26" i="10"/>
  <c r="B25" i="9"/>
  <c r="T25" i="10"/>
  <c r="K25" i="10"/>
  <c r="B25" i="10"/>
  <c r="B24" i="9"/>
  <c r="T24" i="10"/>
  <c r="K24" i="10"/>
  <c r="B24" i="10"/>
  <c r="B23" i="9"/>
  <c r="T23" i="10"/>
  <c r="K23" i="10"/>
  <c r="B23" i="10"/>
  <c r="B22" i="9"/>
  <c r="T22" i="10"/>
  <c r="K22" i="10"/>
  <c r="B22" i="10"/>
  <c r="B21" i="9"/>
  <c r="T21" i="10"/>
  <c r="K21" i="10"/>
  <c r="B21" i="10"/>
  <c r="B20" i="9"/>
  <c r="T20" i="10"/>
  <c r="K20" i="10"/>
  <c r="B20" i="10"/>
  <c r="B19" i="9"/>
  <c r="T19" i="10"/>
  <c r="K19" i="10"/>
  <c r="B19" i="10"/>
  <c r="T18" i="10"/>
  <c r="K18" i="10"/>
  <c r="B18" i="10"/>
  <c r="B17" i="9"/>
  <c r="T17" i="10"/>
  <c r="K17" i="10"/>
  <c r="B17" i="10"/>
  <c r="B16" i="9"/>
  <c r="T16" i="10"/>
  <c r="K16" i="10"/>
  <c r="B16" i="10"/>
  <c r="B15" i="9"/>
  <c r="T15" i="10"/>
  <c r="K15" i="10"/>
  <c r="B15" i="10"/>
  <c r="B14" i="9"/>
  <c r="T14" i="10"/>
  <c r="K14" i="10"/>
  <c r="B14" i="10"/>
  <c r="B13" i="9"/>
  <c r="T13" i="10"/>
  <c r="K13" i="10"/>
  <c r="B13" i="10"/>
  <c r="T10" i="10"/>
  <c r="T7" i="10"/>
  <c r="K7" i="10"/>
  <c r="B7" i="10"/>
  <c r="Z3" i="10"/>
  <c r="L3" i="10"/>
  <c r="G3" i="10"/>
  <c r="C3" i="10"/>
  <c r="W2" i="10"/>
  <c r="G11" i="3"/>
  <c r="H11" i="3" s="1"/>
  <c r="B11" i="3"/>
  <c r="C11" i="3" s="1"/>
  <c r="G13" i="3"/>
  <c r="H13" i="3" s="1"/>
  <c r="G14" i="3"/>
  <c r="H14" i="3" s="1"/>
  <c r="G15" i="3"/>
  <c r="G16" i="3"/>
  <c r="H16" i="3" s="1"/>
  <c r="G17" i="3"/>
  <c r="H17" i="3" s="1"/>
  <c r="G18" i="3"/>
  <c r="G19" i="3" s="1"/>
  <c r="G12" i="3"/>
  <c r="H12" i="3" s="1"/>
  <c r="L11" i="7"/>
  <c r="M11" i="7" s="1"/>
  <c r="N11" i="7" s="1"/>
  <c r="O11" i="7" s="1"/>
  <c r="P11" i="7" s="1"/>
  <c r="Q11" i="7" s="1"/>
  <c r="R11" i="7" s="1"/>
  <c r="B13" i="3"/>
  <c r="K65" i="9"/>
  <c r="K64" i="9"/>
  <c r="K63" i="9"/>
  <c r="K58" i="9"/>
  <c r="K57" i="9"/>
  <c r="K56" i="9"/>
  <c r="K55" i="9"/>
  <c r="K54" i="9"/>
  <c r="K53" i="9"/>
  <c r="K52" i="9"/>
  <c r="K51" i="9"/>
  <c r="K50" i="9"/>
  <c r="K49" i="9"/>
  <c r="K48" i="9"/>
  <c r="K47" i="9"/>
  <c r="K46" i="9"/>
  <c r="K45" i="9"/>
  <c r="K44" i="9"/>
  <c r="K38" i="9"/>
  <c r="B38" i="9"/>
  <c r="T34" i="9"/>
  <c r="K34" i="9"/>
  <c r="T33" i="9"/>
  <c r="K33" i="9"/>
  <c r="T32" i="9"/>
  <c r="K32" i="9"/>
  <c r="T29" i="9"/>
  <c r="K29" i="9"/>
  <c r="T27" i="9"/>
  <c r="K27" i="9"/>
  <c r="T26" i="9"/>
  <c r="K26" i="9"/>
  <c r="T25" i="9"/>
  <c r="K25" i="9"/>
  <c r="T24" i="9"/>
  <c r="K24" i="9"/>
  <c r="T23" i="9"/>
  <c r="K23" i="9"/>
  <c r="T22" i="9"/>
  <c r="K22" i="9"/>
  <c r="T21" i="9"/>
  <c r="K21" i="9"/>
  <c r="T20" i="9"/>
  <c r="K20" i="9"/>
  <c r="T19" i="9"/>
  <c r="T18" i="9"/>
  <c r="K18" i="9"/>
  <c r="T17" i="9"/>
  <c r="K17" i="9"/>
  <c r="T16" i="9"/>
  <c r="K16" i="9"/>
  <c r="T15" i="9"/>
  <c r="K15" i="9"/>
  <c r="T14" i="9"/>
  <c r="K14" i="9"/>
  <c r="T13" i="9"/>
  <c r="K13" i="9"/>
  <c r="T10" i="9"/>
  <c r="T7" i="9"/>
  <c r="K7" i="9"/>
  <c r="Z3" i="9"/>
  <c r="C3" i="9"/>
  <c r="W2" i="9"/>
  <c r="B63" i="7"/>
  <c r="B60" i="7"/>
  <c r="B15" i="3"/>
  <c r="C15" i="3"/>
  <c r="B12" i="3"/>
  <c r="C12" i="3" s="1"/>
  <c r="B18" i="3"/>
  <c r="B19" i="3" s="1"/>
  <c r="B20" i="3" s="1"/>
  <c r="B21" i="3" s="1"/>
  <c r="C21" i="3" s="1"/>
  <c r="B16" i="3"/>
  <c r="C16" i="3" s="1"/>
  <c r="B14" i="3"/>
  <c r="C14" i="3" s="1"/>
  <c r="Z3" i="7"/>
  <c r="C3" i="7"/>
  <c r="B15" i="1"/>
  <c r="B36" i="1"/>
  <c r="B35" i="1"/>
  <c r="B34" i="1"/>
  <c r="A37" i="1"/>
  <c r="B32" i="1"/>
  <c r="B31" i="1"/>
  <c r="B30" i="1"/>
  <c r="B29" i="1"/>
  <c r="B27" i="1"/>
  <c r="B26" i="1"/>
  <c r="B25" i="1"/>
  <c r="B24" i="1"/>
  <c r="A23" i="1"/>
  <c r="B21" i="1"/>
  <c r="B20" i="1"/>
  <c r="B22" i="1"/>
  <c r="B19" i="1"/>
  <c r="B18" i="1"/>
  <c r="A16" i="1"/>
  <c r="B14" i="1"/>
  <c r="B13" i="1"/>
  <c r="B12" i="1"/>
  <c r="B11" i="1"/>
  <c r="B9" i="1"/>
  <c r="E4" i="1"/>
  <c r="A10" i="1"/>
  <c r="A28" i="1"/>
  <c r="A33" i="1"/>
  <c r="A7" i="1"/>
  <c r="A8" i="1"/>
  <c r="K38" i="7"/>
  <c r="T7" i="7"/>
  <c r="K7" i="7"/>
  <c r="B7" i="7"/>
  <c r="B38" i="7"/>
  <c r="B29" i="7"/>
  <c r="A1" i="3"/>
  <c r="T10" i="7"/>
  <c r="K10" i="9"/>
  <c r="T5" i="9"/>
  <c r="Y12" i="9"/>
  <c r="W12" i="9"/>
  <c r="B36" i="9"/>
  <c r="Q43" i="9"/>
  <c r="F43" i="9"/>
  <c r="I6" i="3"/>
  <c r="E11" i="8"/>
  <c r="D7" i="8"/>
  <c r="D12" i="8"/>
  <c r="G12" i="8"/>
  <c r="G11" i="8"/>
  <c r="H25" i="6"/>
  <c r="I7" i="3"/>
  <c r="B3" i="7"/>
  <c r="G37" i="2"/>
  <c r="P38" i="2"/>
  <c r="C4" i="3"/>
  <c r="D15" i="6"/>
  <c r="J10" i="3"/>
  <c r="I10" i="3"/>
  <c r="G2" i="6"/>
  <c r="X12" i="7"/>
  <c r="B10" i="7"/>
  <c r="Y12" i="7"/>
  <c r="K10" i="7"/>
  <c r="U12" i="7"/>
  <c r="V12" i="7"/>
  <c r="B40" i="7"/>
  <c r="B17" i="3"/>
  <c r="C17" i="3" s="1"/>
  <c r="W2" i="7"/>
  <c r="E7" i="6"/>
  <c r="E8" i="6"/>
  <c r="E9" i="6"/>
  <c r="E12" i="6"/>
  <c r="E14" i="6"/>
  <c r="E16" i="6"/>
  <c r="V93" i="6"/>
  <c r="U93" i="6"/>
  <c r="T93" i="6"/>
  <c r="S93" i="6"/>
  <c r="R93" i="6"/>
  <c r="P33" i="6"/>
  <c r="R33" i="6"/>
  <c r="U33" i="6"/>
  <c r="Q33" i="6"/>
  <c r="V33" i="6"/>
  <c r="P81" i="6"/>
  <c r="T45" i="6"/>
  <c r="Q45" i="6"/>
  <c r="Q81" i="6"/>
  <c r="S57" i="6"/>
  <c r="R45" i="6"/>
  <c r="T81" i="6"/>
  <c r="R81" i="6"/>
  <c r="P45" i="6"/>
  <c r="U69" i="6"/>
  <c r="Q57" i="6"/>
  <c r="S45" i="6"/>
  <c r="V57" i="6"/>
  <c r="Q69" i="6"/>
  <c r="V69" i="6"/>
  <c r="P57" i="6"/>
  <c r="U45" i="6"/>
  <c r="S33" i="6"/>
  <c r="P69" i="6"/>
  <c r="V45" i="6"/>
  <c r="T57" i="6"/>
  <c r="P93" i="6"/>
  <c r="S81" i="6"/>
  <c r="U81" i="6"/>
  <c r="U57" i="6"/>
  <c r="T69" i="6"/>
  <c r="R57" i="6"/>
  <c r="R69" i="6"/>
  <c r="S69" i="6"/>
  <c r="V81" i="6"/>
  <c r="T33" i="6"/>
  <c r="B8" i="2"/>
  <c r="B9" i="2" s="1"/>
  <c r="B10" i="2" s="1"/>
  <c r="C8" i="2"/>
  <c r="C7" i="2"/>
  <c r="H15" i="3"/>
  <c r="E11" i="6"/>
  <c r="G3" i="7"/>
  <c r="G3" i="9"/>
  <c r="D12" i="7"/>
  <c r="Q12" i="7"/>
  <c r="Z12" i="7"/>
  <c r="D9" i="6"/>
  <c r="P36" i="2"/>
  <c r="G38" i="2"/>
  <c r="E3" i="7"/>
  <c r="H7" i="8"/>
  <c r="F11" i="8"/>
  <c r="O43" i="9"/>
  <c r="B5" i="9"/>
  <c r="L43" i="9"/>
  <c r="M43" i="9"/>
  <c r="K41" i="9"/>
  <c r="Q12" i="9"/>
  <c r="D21" i="6"/>
  <c r="D18" i="8"/>
  <c r="D20" i="8"/>
  <c r="D9" i="8"/>
  <c r="E43" i="9"/>
  <c r="E12" i="7"/>
  <c r="U2" i="7"/>
  <c r="T9" i="7"/>
  <c r="B9" i="7"/>
  <c r="L43" i="7"/>
  <c r="H12" i="7"/>
  <c r="B36" i="7"/>
  <c r="L24" i="3"/>
  <c r="L18" i="3"/>
  <c r="D10" i="6"/>
  <c r="D5" i="6"/>
  <c r="AH3" i="2"/>
  <c r="AE3" i="2"/>
  <c r="E85" i="6"/>
  <c r="E26" i="6"/>
  <c r="H49" i="6"/>
  <c r="F8" i="8"/>
  <c r="D10" i="8"/>
  <c r="H9" i="8"/>
  <c r="F10" i="8"/>
  <c r="U2" i="9"/>
  <c r="C12" i="9"/>
  <c r="B9" i="9"/>
  <c r="I12" i="9"/>
  <c r="C2" i="9"/>
  <c r="X3" i="9"/>
  <c r="E3" i="9"/>
  <c r="Z12" i="9"/>
  <c r="H14" i="8"/>
  <c r="E12" i="8"/>
  <c r="W12" i="7"/>
  <c r="P12" i="7"/>
  <c r="L22" i="3"/>
  <c r="D6" i="6"/>
  <c r="U3" i="7"/>
  <c r="H37" i="6"/>
  <c r="C9" i="8"/>
  <c r="P43" i="9"/>
  <c r="C43" i="9"/>
  <c r="D15" i="8"/>
  <c r="D19" i="8"/>
  <c r="N12" i="7"/>
  <c r="C12" i="7"/>
  <c r="K9" i="7"/>
  <c r="H43" i="7"/>
  <c r="L25" i="3"/>
  <c r="D13" i="6"/>
  <c r="E73" i="6"/>
  <c r="E86" i="6"/>
  <c r="O12" i="9"/>
  <c r="I21" i="6"/>
  <c r="K5" i="7"/>
  <c r="B5" i="7"/>
  <c r="M43" i="7"/>
  <c r="C2" i="7"/>
  <c r="B43" i="7"/>
  <c r="K36" i="7"/>
  <c r="T5" i="7"/>
  <c r="L17" i="3"/>
  <c r="L26" i="3"/>
  <c r="D11" i="6"/>
  <c r="D7" i="6"/>
  <c r="E49" i="6"/>
  <c r="F4" i="2"/>
  <c r="E25" i="6"/>
  <c r="J21" i="6"/>
  <c r="H61" i="6"/>
  <c r="G8" i="8"/>
  <c r="H12" i="8"/>
  <c r="E8" i="8"/>
  <c r="E9" i="8"/>
  <c r="B12" i="9"/>
  <c r="L12" i="9"/>
  <c r="K9" i="9"/>
  <c r="V12" i="9"/>
  <c r="Q3" i="9"/>
  <c r="AA12" i="9"/>
  <c r="F12" i="9"/>
  <c r="D43" i="9"/>
  <c r="A5" i="8"/>
  <c r="G10" i="8"/>
  <c r="H15" i="8"/>
  <c r="H18" i="8"/>
  <c r="L12" i="7"/>
  <c r="K43" i="7"/>
  <c r="C2" i="3"/>
  <c r="L23" i="3"/>
  <c r="AO3" i="2"/>
  <c r="E38" i="6"/>
  <c r="H10" i="8"/>
  <c r="G7" i="8"/>
  <c r="G9" i="8"/>
  <c r="R12" i="9"/>
  <c r="K2" i="9"/>
  <c r="T9" i="9"/>
  <c r="K36" i="9"/>
  <c r="H12" i="9"/>
  <c r="N3" i="9"/>
  <c r="D13" i="8"/>
  <c r="E21" i="6"/>
  <c r="R43" i="7"/>
  <c r="O12" i="7"/>
  <c r="I8" i="3"/>
  <c r="N35" i="2"/>
  <c r="F21" i="6"/>
  <c r="F12" i="8"/>
  <c r="U12" i="9"/>
  <c r="I43" i="9"/>
  <c r="N43" i="9"/>
  <c r="H16" i="8"/>
  <c r="H19" i="8"/>
  <c r="Q93" i="6"/>
  <c r="I3" i="9"/>
  <c r="D14" i="8"/>
  <c r="D17" i="8"/>
  <c r="M12" i="7"/>
  <c r="K2" i="7"/>
  <c r="AA3" i="2"/>
  <c r="G21" i="6"/>
  <c r="C43" i="7"/>
  <c r="AA12" i="7"/>
  <c r="D10" i="3"/>
  <c r="D12" i="6"/>
  <c r="D16" i="6"/>
  <c r="E37" i="6"/>
  <c r="H8" i="8"/>
  <c r="C7" i="8"/>
  <c r="K12" i="9"/>
  <c r="K43" i="9"/>
  <c r="B10" i="9"/>
  <c r="X12" i="9"/>
  <c r="C5" i="8"/>
  <c r="P43" i="7"/>
  <c r="O43" i="7"/>
  <c r="N43" i="7"/>
  <c r="T12" i="7"/>
  <c r="I43" i="7"/>
  <c r="R12" i="7"/>
  <c r="Q43" i="7"/>
  <c r="G12" i="7"/>
  <c r="E10" i="3"/>
  <c r="L27" i="3"/>
  <c r="D14" i="6"/>
  <c r="B12" i="7"/>
  <c r="AK3" i="2"/>
  <c r="G36" i="2"/>
  <c r="Q3" i="7"/>
  <c r="H21" i="6"/>
  <c r="H85" i="6"/>
  <c r="H73" i="6"/>
  <c r="E7" i="8"/>
  <c r="G13" i="8"/>
  <c r="F13" i="8"/>
  <c r="T12" i="9"/>
  <c r="K40" i="9"/>
  <c r="K5" i="9"/>
  <c r="E12" i="9"/>
  <c r="G12" i="9"/>
  <c r="D12" i="9"/>
  <c r="B43" i="9"/>
  <c r="I3" i="7"/>
  <c r="E5" i="8"/>
  <c r="H13" i="8"/>
  <c r="H17" i="8"/>
  <c r="D19" i="6"/>
  <c r="K41" i="7"/>
  <c r="L30" i="3"/>
  <c r="R43" i="9"/>
  <c r="K21" i="6"/>
  <c r="F12" i="7"/>
  <c r="P37" i="2"/>
  <c r="D8" i="8"/>
  <c r="B3" i="9"/>
  <c r="F43" i="7"/>
  <c r="E43" i="7"/>
  <c r="D43" i="7"/>
  <c r="K12" i="7"/>
  <c r="B41" i="7"/>
  <c r="I12" i="7"/>
  <c r="K40" i="7"/>
  <c r="D2" i="6"/>
  <c r="L21" i="3"/>
  <c r="L20" i="3"/>
  <c r="D8" i="6"/>
  <c r="L19" i="3"/>
  <c r="E61" i="6"/>
  <c r="X3" i="2"/>
  <c r="X3" i="7"/>
  <c r="L16" i="3"/>
  <c r="H11" i="8"/>
  <c r="F7" i="8"/>
  <c r="D11" i="8"/>
  <c r="E10" i="8"/>
  <c r="B40" i="9"/>
  <c r="H43" i="9"/>
  <c r="M12" i="9"/>
  <c r="N12" i="9"/>
  <c r="P12" i="9"/>
  <c r="B41" i="9"/>
  <c r="U3" i="9"/>
  <c r="N3" i="7"/>
  <c r="G5" i="8"/>
  <c r="F14" i="8"/>
  <c r="D16" i="8"/>
  <c r="C18" i="3"/>
  <c r="L3" i="9"/>
  <c r="L3" i="7"/>
  <c r="E6" i="6"/>
  <c r="F76" i="6" l="1"/>
  <c r="E76" i="6"/>
  <c r="F40" i="6"/>
  <c r="E40" i="6"/>
  <c r="F26" i="6"/>
  <c r="F75" i="6"/>
  <c r="E50" i="6"/>
  <c r="E75" i="6"/>
  <c r="F62" i="6"/>
  <c r="E39" i="6"/>
  <c r="E28" i="6"/>
  <c r="E27" i="6"/>
  <c r="F9" i="8"/>
  <c r="K2" i="3"/>
  <c r="I12" i="10"/>
  <c r="H12" i="10"/>
  <c r="F12" i="10"/>
  <c r="G12" i="10"/>
  <c r="D12" i="10"/>
  <c r="E12" i="10"/>
  <c r="C12" i="10"/>
  <c r="D33" i="2"/>
  <c r="R43" i="10"/>
  <c r="Q43" i="10"/>
  <c r="P43" i="10"/>
  <c r="O43" i="10"/>
  <c r="N43" i="10"/>
  <c r="M43" i="10"/>
  <c r="L43" i="10"/>
  <c r="K43" i="10"/>
  <c r="I43" i="10"/>
  <c r="H43" i="10"/>
  <c r="F43" i="10"/>
  <c r="E43" i="10"/>
  <c r="D43" i="10"/>
  <c r="C43" i="10"/>
  <c r="B43" i="10"/>
  <c r="K41" i="10"/>
  <c r="B41" i="10"/>
  <c r="K40" i="10"/>
  <c r="B40" i="10"/>
  <c r="K36" i="10"/>
  <c r="B36" i="10"/>
  <c r="AA12" i="10"/>
  <c r="Z12" i="10"/>
  <c r="Y12" i="10"/>
  <c r="X12" i="10"/>
  <c r="W12" i="10"/>
  <c r="V12" i="10"/>
  <c r="U12" i="10"/>
  <c r="T12" i="10"/>
  <c r="R12" i="10"/>
  <c r="Q12" i="10"/>
  <c r="P12" i="10"/>
  <c r="O12" i="10"/>
  <c r="N12" i="10"/>
  <c r="M12" i="10"/>
  <c r="L12" i="10"/>
  <c r="K12" i="10"/>
  <c r="B12" i="10"/>
  <c r="K10" i="10"/>
  <c r="B10" i="10"/>
  <c r="T9" i="10"/>
  <c r="K9" i="10"/>
  <c r="B9" i="10"/>
  <c r="T5" i="10"/>
  <c r="K5" i="10"/>
  <c r="B5" i="10"/>
  <c r="X3" i="10"/>
  <c r="U3" i="10"/>
  <c r="Q3" i="10"/>
  <c r="N3" i="10"/>
  <c r="I3" i="10"/>
  <c r="E3" i="10"/>
  <c r="B3" i="10"/>
  <c r="U2" i="10"/>
  <c r="K2" i="10"/>
  <c r="C2" i="10"/>
  <c r="F5" i="2"/>
  <c r="B2" i="7"/>
  <c r="B2" i="9"/>
  <c r="B2" i="10"/>
  <c r="B21" i="6"/>
  <c r="E15" i="6"/>
  <c r="W3" i="7"/>
  <c r="W3" i="9"/>
  <c r="T3" i="9"/>
  <c r="T3" i="7"/>
  <c r="W3" i="10"/>
  <c r="T3" i="10"/>
  <c r="E13" i="6"/>
  <c r="O21" i="3"/>
  <c r="I82" i="6"/>
  <c r="G46" i="6"/>
  <c r="I70" i="6"/>
  <c r="G82" i="6"/>
  <c r="F82" i="6"/>
  <c r="E22" i="6"/>
  <c r="E82" i="6"/>
  <c r="B22" i="3"/>
  <c r="C22" i="3" s="1"/>
  <c r="C19" i="3"/>
  <c r="G5" i="2"/>
  <c r="E46" i="6"/>
  <c r="G22" i="6"/>
  <c r="E34" i="6"/>
  <c r="G34" i="6"/>
  <c r="C10" i="2"/>
  <c r="B11" i="2"/>
  <c r="H82" i="6"/>
  <c r="J22" i="6"/>
  <c r="M21" i="6" s="1"/>
  <c r="J34" i="6"/>
  <c r="J46" i="6"/>
  <c r="K82" i="6"/>
  <c r="J82" i="6"/>
  <c r="C9" i="2"/>
  <c r="K22" i="6"/>
  <c r="K34" i="6"/>
  <c r="K46" i="6"/>
  <c r="F70" i="6"/>
  <c r="F22" i="6"/>
  <c r="F34" i="6"/>
  <c r="F46" i="6"/>
  <c r="H22" i="6"/>
  <c r="H34" i="6"/>
  <c r="H46" i="6"/>
  <c r="I22" i="6"/>
  <c r="I34" i="6"/>
  <c r="G20" i="3"/>
  <c r="H19" i="3"/>
  <c r="H18" i="3"/>
  <c r="B23" i="3"/>
  <c r="C20" i="3"/>
  <c r="K70" i="6"/>
  <c r="K58" i="6"/>
  <c r="J70" i="6"/>
  <c r="J58" i="6"/>
  <c r="H70" i="6"/>
  <c r="H58" i="6"/>
  <c r="G70" i="6"/>
  <c r="G58" i="6"/>
  <c r="C13" i="3"/>
  <c r="E58" i="6"/>
  <c r="F58" i="6"/>
  <c r="I58" i="6"/>
  <c r="H6" i="2"/>
  <c r="E70" i="6"/>
  <c r="E2" i="10" l="1"/>
  <c r="E2" i="9"/>
  <c r="A1" i="8"/>
  <c r="M34" i="9"/>
  <c r="E49" i="7"/>
  <c r="L34" i="9"/>
  <c r="E2" i="6"/>
  <c r="E2" i="7"/>
  <c r="B8" i="9"/>
  <c r="K39" i="10"/>
  <c r="B39" i="10"/>
  <c r="T8" i="10"/>
  <c r="K8" i="10"/>
  <c r="B8" i="10"/>
  <c r="K8" i="9"/>
  <c r="B39" i="7"/>
  <c r="K8" i="7"/>
  <c r="B8" i="7"/>
  <c r="K39" i="9"/>
  <c r="T8" i="7"/>
  <c r="T8" i="9"/>
  <c r="B39" i="9"/>
  <c r="K39" i="7"/>
  <c r="P3" i="10"/>
  <c r="E10" i="6"/>
  <c r="P3" i="7"/>
  <c r="P3" i="9"/>
  <c r="B12" i="2"/>
  <c r="C11" i="2"/>
  <c r="H20" i="3"/>
  <c r="G21" i="3"/>
  <c r="C23" i="3"/>
  <c r="B24" i="3"/>
  <c r="I6" i="2"/>
  <c r="H5" i="2"/>
  <c r="C12" i="2" l="1"/>
  <c r="B13" i="2"/>
  <c r="H21" i="3"/>
  <c r="G22" i="3"/>
  <c r="C24" i="3"/>
  <c r="B25" i="3"/>
  <c r="J6" i="2"/>
  <c r="I5" i="2"/>
  <c r="B14" i="2" l="1"/>
  <c r="C13" i="2"/>
  <c r="H22" i="3"/>
  <c r="G23" i="3"/>
  <c r="K6" i="2"/>
  <c r="J5" i="2"/>
  <c r="B26" i="3"/>
  <c r="C25" i="3"/>
  <c r="B15" i="2" l="1"/>
  <c r="C14" i="2"/>
  <c r="H23" i="3"/>
  <c r="G24" i="3"/>
  <c r="B27" i="3"/>
  <c r="C26" i="3"/>
  <c r="L6" i="2"/>
  <c r="K5" i="2"/>
  <c r="B16" i="2" l="1"/>
  <c r="C15" i="2"/>
  <c r="G25" i="3"/>
  <c r="H24" i="3"/>
  <c r="M6" i="2"/>
  <c r="L5" i="2"/>
  <c r="C27" i="3"/>
  <c r="B28" i="3"/>
  <c r="C16" i="2" l="1"/>
  <c r="B17" i="2"/>
  <c r="G26" i="3"/>
  <c r="H25" i="3"/>
  <c r="B29" i="3"/>
  <c r="C28" i="3"/>
  <c r="N6" i="2"/>
  <c r="M5" i="2"/>
  <c r="C17" i="2" l="1"/>
  <c r="B18" i="2"/>
  <c r="H26" i="3"/>
  <c r="G27" i="3"/>
  <c r="B30" i="3"/>
  <c r="C29" i="3"/>
  <c r="O6" i="2"/>
  <c r="N5" i="2"/>
  <c r="C18" i="2" l="1"/>
  <c r="B19" i="2"/>
  <c r="G28" i="3"/>
  <c r="H27" i="3"/>
  <c r="P6" i="2"/>
  <c r="O5" i="2"/>
  <c r="C30" i="3"/>
  <c r="B31" i="3"/>
  <c r="B20" i="2" l="1"/>
  <c r="C19" i="2"/>
  <c r="G29" i="3"/>
  <c r="H28" i="3"/>
  <c r="B32" i="3"/>
  <c r="C31" i="3"/>
  <c r="Q6" i="2"/>
  <c r="P5" i="2"/>
  <c r="B21" i="2" l="1"/>
  <c r="C20" i="2"/>
  <c r="G30" i="3"/>
  <c r="H29" i="3"/>
  <c r="R6" i="2"/>
  <c r="Q5" i="2"/>
  <c r="B33" i="3"/>
  <c r="C32" i="3"/>
  <c r="B22" i="2" l="1"/>
  <c r="C21" i="2"/>
  <c r="H30" i="3"/>
  <c r="G31" i="3"/>
  <c r="C33" i="3"/>
  <c r="B34" i="3"/>
  <c r="S6" i="2"/>
  <c r="R5" i="2"/>
  <c r="B23" i="2" l="1"/>
  <c r="C22" i="2"/>
  <c r="G32" i="3"/>
  <c r="H31" i="3"/>
  <c r="T6" i="2"/>
  <c r="S5" i="2"/>
  <c r="C34" i="3"/>
  <c r="B35" i="3"/>
  <c r="B24" i="2" l="1"/>
  <c r="C23" i="2"/>
  <c r="G33" i="3"/>
  <c r="H32" i="3"/>
  <c r="C35" i="3"/>
  <c r="B36" i="3"/>
  <c r="U6" i="2"/>
  <c r="T5" i="2"/>
  <c r="C24" i="2" l="1"/>
  <c r="B25" i="2"/>
  <c r="G34" i="3"/>
  <c r="H33" i="3"/>
  <c r="V6" i="2"/>
  <c r="U5" i="2"/>
  <c r="C36" i="3"/>
  <c r="B37" i="3"/>
  <c r="B26" i="2" l="1"/>
  <c r="C25" i="2"/>
  <c r="G35" i="3"/>
  <c r="H34" i="3"/>
  <c r="C37" i="3"/>
  <c r="B38" i="3"/>
  <c r="W6" i="2"/>
  <c r="V5" i="2"/>
  <c r="C26" i="2" l="1"/>
  <c r="B27" i="2"/>
  <c r="H35" i="3"/>
  <c r="G36" i="3"/>
  <c r="X6" i="2"/>
  <c r="W5" i="2"/>
  <c r="C38" i="3"/>
  <c r="B39" i="3"/>
  <c r="B28" i="2" l="1"/>
  <c r="C27" i="2"/>
  <c r="G37" i="3"/>
  <c r="H36" i="3"/>
  <c r="B40" i="3"/>
  <c r="C39" i="3"/>
  <c r="Y6" i="2"/>
  <c r="X5" i="2"/>
  <c r="B29" i="2" l="1"/>
  <c r="C28" i="2"/>
  <c r="H37" i="3"/>
  <c r="G38" i="3"/>
  <c r="Z6" i="2"/>
  <c r="Y5" i="2"/>
  <c r="B41" i="3"/>
  <c r="C40" i="3"/>
  <c r="C29" i="2" l="1"/>
  <c r="B30" i="2"/>
  <c r="H38" i="3"/>
  <c r="G39" i="3"/>
  <c r="C41" i="3"/>
  <c r="B42" i="3"/>
  <c r="AA6" i="2"/>
  <c r="Z5" i="2"/>
  <c r="C30" i="2" l="1"/>
  <c r="B31" i="2"/>
  <c r="G40" i="3"/>
  <c r="H39" i="3"/>
  <c r="AB6" i="2"/>
  <c r="AA5" i="2"/>
  <c r="C42" i="3"/>
  <c r="B43" i="3"/>
  <c r="B32" i="2" l="1"/>
  <c r="C31" i="2"/>
  <c r="G41" i="3"/>
  <c r="H40" i="3"/>
  <c r="B44" i="3"/>
  <c r="C43" i="3"/>
  <c r="AC6" i="2"/>
  <c r="AB5" i="2"/>
  <c r="C32" i="2" l="1"/>
  <c r="B33" i="2"/>
  <c r="H41" i="3"/>
  <c r="G42" i="3"/>
  <c r="AD6" i="2"/>
  <c r="AC5" i="2"/>
  <c r="C44" i="3"/>
  <c r="B45" i="3"/>
  <c r="B34" i="2" l="1"/>
  <c r="C33" i="2"/>
  <c r="G43" i="3"/>
  <c r="H42" i="3"/>
  <c r="C45" i="3"/>
  <c r="B46" i="3"/>
  <c r="AE6" i="2"/>
  <c r="AD5" i="2"/>
  <c r="C34" i="2" l="1"/>
  <c r="B35" i="2"/>
  <c r="H43" i="3"/>
  <c r="G44" i="3"/>
  <c r="AF6" i="2"/>
  <c r="AE5" i="2"/>
  <c r="C46" i="3"/>
  <c r="B47" i="3"/>
  <c r="B36" i="2" l="1"/>
  <c r="C35" i="2"/>
  <c r="G45" i="3"/>
  <c r="H44" i="3"/>
  <c r="C47" i="3"/>
  <c r="B48" i="3"/>
  <c r="E47" i="6"/>
  <c r="E24" i="6"/>
  <c r="H24" i="6"/>
  <c r="I23" i="6"/>
  <c r="E36" i="6"/>
  <c r="E48" i="6"/>
  <c r="G23" i="6"/>
  <c r="G35" i="6"/>
  <c r="F23" i="6"/>
  <c r="H23" i="6"/>
  <c r="K48" i="6"/>
  <c r="K23" i="6"/>
  <c r="I35" i="6"/>
  <c r="G36" i="6"/>
  <c r="J35" i="6"/>
  <c r="K24" i="6"/>
  <c r="E35" i="6"/>
  <c r="G48" i="6"/>
  <c r="I48" i="6"/>
  <c r="H36" i="6"/>
  <c r="J23" i="6"/>
  <c r="I24" i="6"/>
  <c r="K35" i="6"/>
  <c r="F60" i="6"/>
  <c r="J48" i="6"/>
  <c r="J36" i="6"/>
  <c r="F24" i="6"/>
  <c r="J24" i="6"/>
  <c r="F36" i="6"/>
  <c r="I36" i="6"/>
  <c r="H48" i="6"/>
  <c r="G24" i="6"/>
  <c r="F48" i="6"/>
  <c r="F35" i="6"/>
  <c r="K60" i="6"/>
  <c r="F47" i="6"/>
  <c r="I59" i="6"/>
  <c r="F59" i="6"/>
  <c r="H59" i="6"/>
  <c r="H60" i="6"/>
  <c r="G59" i="6"/>
  <c r="G47" i="6"/>
  <c r="I47" i="6"/>
  <c r="K47" i="6"/>
  <c r="H35" i="6"/>
  <c r="E71" i="6"/>
  <c r="E59" i="6"/>
  <c r="I60" i="6"/>
  <c r="J47" i="6"/>
  <c r="G60" i="6"/>
  <c r="H47" i="6"/>
  <c r="J60" i="6"/>
  <c r="K59" i="6"/>
  <c r="J59" i="6"/>
  <c r="K36" i="6"/>
  <c r="E60" i="6"/>
  <c r="AG6" i="2"/>
  <c r="AF5" i="2"/>
  <c r="B37" i="2" l="1"/>
  <c r="C37" i="2" s="1"/>
  <c r="C36" i="2"/>
  <c r="G46" i="3"/>
  <c r="H45" i="3"/>
  <c r="D40" i="7"/>
  <c r="D40" i="9"/>
  <c r="Q59" i="6"/>
  <c r="Q70" i="6" s="1"/>
  <c r="D40" i="10"/>
  <c r="P10" i="9"/>
  <c r="P10" i="10"/>
  <c r="P10" i="7"/>
  <c r="F10" i="10"/>
  <c r="G10" i="7"/>
  <c r="G10" i="9"/>
  <c r="N10" i="10"/>
  <c r="N10" i="7"/>
  <c r="U10" i="10"/>
  <c r="U10" i="7"/>
  <c r="U10" i="9"/>
  <c r="D48" i="6"/>
  <c r="G40" i="10"/>
  <c r="G40" i="7"/>
  <c r="G40" i="9"/>
  <c r="T59" i="6"/>
  <c r="T70" i="6" s="1"/>
  <c r="M10" i="9"/>
  <c r="M10" i="7"/>
  <c r="M10" i="10"/>
  <c r="G9" i="10"/>
  <c r="H9" i="9"/>
  <c r="H9" i="7"/>
  <c r="U23" i="6"/>
  <c r="U34" i="6" s="1"/>
  <c r="P9" i="10"/>
  <c r="T35" i="6"/>
  <c r="T46" i="6" s="1"/>
  <c r="P9" i="7"/>
  <c r="P9" i="9"/>
  <c r="I10" i="10"/>
  <c r="L10" i="10"/>
  <c r="L10" i="7"/>
  <c r="L10" i="9"/>
  <c r="D36" i="6"/>
  <c r="O9" i="9"/>
  <c r="O9" i="7"/>
  <c r="S35" i="6"/>
  <c r="S46" i="6" s="1"/>
  <c r="O9" i="10"/>
  <c r="AA9" i="10"/>
  <c r="AA9" i="9"/>
  <c r="AA9" i="7"/>
  <c r="V47" i="6"/>
  <c r="V58" i="6" s="1"/>
  <c r="Q47" i="6"/>
  <c r="Q58" i="6" s="1"/>
  <c r="V9" i="7"/>
  <c r="V9" i="10"/>
  <c r="V9" i="9"/>
  <c r="G10" i="10"/>
  <c r="H10" i="9"/>
  <c r="H10" i="7"/>
  <c r="O10" i="10"/>
  <c r="O10" i="9"/>
  <c r="O10" i="7"/>
  <c r="H9" i="10"/>
  <c r="I9" i="9"/>
  <c r="I9" i="7"/>
  <c r="V23" i="6"/>
  <c r="V34" i="6" s="1"/>
  <c r="F9" i="10"/>
  <c r="G9" i="7"/>
  <c r="T23" i="6"/>
  <c r="T34" i="6" s="1"/>
  <c r="G9" i="9"/>
  <c r="P71" i="6"/>
  <c r="P82" i="6" s="1"/>
  <c r="L40" i="7"/>
  <c r="L40" i="9"/>
  <c r="L40" i="10"/>
  <c r="S47" i="6"/>
  <c r="S58" i="6" s="1"/>
  <c r="X9" i="10"/>
  <c r="X9" i="7"/>
  <c r="X9" i="9"/>
  <c r="I41" i="9"/>
  <c r="I41" i="7"/>
  <c r="I41" i="10"/>
  <c r="C10" i="10"/>
  <c r="D10" i="7"/>
  <c r="D10" i="9"/>
  <c r="Y10" i="9"/>
  <c r="Y10" i="10"/>
  <c r="Y10" i="7"/>
  <c r="AA10" i="7"/>
  <c r="AA10" i="9"/>
  <c r="AA10" i="10"/>
  <c r="E10" i="10"/>
  <c r="F10" i="9"/>
  <c r="F10" i="7"/>
  <c r="I40" i="7"/>
  <c r="I40" i="9"/>
  <c r="I40" i="10"/>
  <c r="V59" i="6"/>
  <c r="V70" i="6" s="1"/>
  <c r="E41" i="7"/>
  <c r="E41" i="10"/>
  <c r="E41" i="9"/>
  <c r="M9" i="10"/>
  <c r="M9" i="9"/>
  <c r="M9" i="7"/>
  <c r="Q35" i="6"/>
  <c r="Q46" i="6" s="1"/>
  <c r="Q10" i="10"/>
  <c r="Q10" i="9"/>
  <c r="Q10" i="7"/>
  <c r="W10" i="7"/>
  <c r="W10" i="9"/>
  <c r="W10" i="10"/>
  <c r="E9" i="10"/>
  <c r="F9" i="9"/>
  <c r="S23" i="6"/>
  <c r="S34" i="6" s="1"/>
  <c r="F9" i="7"/>
  <c r="C10" i="9"/>
  <c r="C10" i="7"/>
  <c r="D24" i="6"/>
  <c r="H40" i="10"/>
  <c r="H40" i="7"/>
  <c r="U59" i="6"/>
  <c r="U70" i="6" s="1"/>
  <c r="H40" i="9"/>
  <c r="Y9" i="9"/>
  <c r="Y9" i="10"/>
  <c r="Y9" i="7"/>
  <c r="T47" i="6"/>
  <c r="T58" i="6" s="1"/>
  <c r="AH6" i="2"/>
  <c r="AG5" i="2"/>
  <c r="U47" i="6"/>
  <c r="U58" i="6" s="1"/>
  <c r="Z9" i="10"/>
  <c r="Z9" i="9"/>
  <c r="Z9" i="7"/>
  <c r="R59" i="6"/>
  <c r="R70" i="6" s="1"/>
  <c r="E40" i="9"/>
  <c r="E40" i="10"/>
  <c r="E40" i="7"/>
  <c r="V10" i="7"/>
  <c r="V10" i="9"/>
  <c r="V10" i="10"/>
  <c r="Z10" i="7"/>
  <c r="Z10" i="10"/>
  <c r="Z10" i="9"/>
  <c r="I9" i="10"/>
  <c r="L9" i="10"/>
  <c r="P35" i="6"/>
  <c r="P46" i="6" s="1"/>
  <c r="L9" i="7"/>
  <c r="L9" i="9"/>
  <c r="D35" i="6"/>
  <c r="C9" i="10"/>
  <c r="Q23" i="6"/>
  <c r="Q34" i="6" s="1"/>
  <c r="D9" i="9"/>
  <c r="D9" i="7"/>
  <c r="U9" i="10"/>
  <c r="U9" i="7"/>
  <c r="U9" i="9"/>
  <c r="P47" i="6"/>
  <c r="P58" i="6" s="1"/>
  <c r="D47" i="6"/>
  <c r="D60" i="6"/>
  <c r="C41" i="7"/>
  <c r="C41" i="10"/>
  <c r="C41" i="9"/>
  <c r="G41" i="9"/>
  <c r="G41" i="7"/>
  <c r="G41" i="10"/>
  <c r="F41" i="10"/>
  <c r="F41" i="7"/>
  <c r="F41" i="9"/>
  <c r="D10" i="10"/>
  <c r="E10" i="7"/>
  <c r="E10" i="9"/>
  <c r="D41" i="10"/>
  <c r="D41" i="9"/>
  <c r="D41" i="7"/>
  <c r="H10" i="10"/>
  <c r="I10" i="7"/>
  <c r="I10" i="9"/>
  <c r="N9" i="10"/>
  <c r="N9" i="9"/>
  <c r="N9" i="7"/>
  <c r="R35" i="6"/>
  <c r="R46" i="6" s="1"/>
  <c r="B49" i="3"/>
  <c r="C48" i="3"/>
  <c r="H41" i="9"/>
  <c r="H41" i="7"/>
  <c r="H41" i="10"/>
  <c r="R47" i="6"/>
  <c r="R58" i="6" s="1"/>
  <c r="W9" i="9"/>
  <c r="W9" i="7"/>
  <c r="W9" i="10"/>
  <c r="R10" i="9"/>
  <c r="R10" i="10"/>
  <c r="R10" i="7"/>
  <c r="C40" i="10"/>
  <c r="C40" i="9"/>
  <c r="C40" i="7"/>
  <c r="P59" i="6"/>
  <c r="P70" i="6" s="1"/>
  <c r="D59" i="6"/>
  <c r="F40" i="10"/>
  <c r="S59" i="6"/>
  <c r="S70" i="6" s="1"/>
  <c r="F40" i="9"/>
  <c r="F40" i="7"/>
  <c r="X10" i="9"/>
  <c r="X10" i="10"/>
  <c r="X10" i="7"/>
  <c r="R9" i="10"/>
  <c r="R9" i="9"/>
  <c r="V35" i="6"/>
  <c r="V46" i="6" s="1"/>
  <c r="R9" i="7"/>
  <c r="Q9" i="10"/>
  <c r="Q9" i="9"/>
  <c r="U35" i="6"/>
  <c r="U46" i="6" s="1"/>
  <c r="Q9" i="7"/>
  <c r="D9" i="10"/>
  <c r="E9" i="7"/>
  <c r="R23" i="6"/>
  <c r="R34" i="6" s="1"/>
  <c r="E9" i="9"/>
  <c r="J72" i="6" l="1"/>
  <c r="J71" i="6"/>
  <c r="H46" i="3"/>
  <c r="G47" i="3"/>
  <c r="AI6" i="2"/>
  <c r="AH5" i="2"/>
  <c r="B50" i="3"/>
  <c r="C49" i="3"/>
  <c r="K71" i="6" l="1"/>
  <c r="K72" i="6"/>
  <c r="Q40" i="10"/>
  <c r="Q40" i="7"/>
  <c r="U71" i="6"/>
  <c r="U82" i="6" s="1"/>
  <c r="Q40" i="9"/>
  <c r="Q41" i="7"/>
  <c r="Q41" i="9"/>
  <c r="Q41" i="10"/>
  <c r="H47" i="3"/>
  <c r="G48" i="3"/>
  <c r="C50" i="3"/>
  <c r="B51" i="3"/>
  <c r="AJ6" i="2"/>
  <c r="AI5" i="2"/>
  <c r="R49" i="7" l="1"/>
  <c r="E83" i="6"/>
  <c r="E84" i="6"/>
  <c r="R41" i="10"/>
  <c r="R41" i="7"/>
  <c r="R41" i="9"/>
  <c r="R40" i="7"/>
  <c r="R40" i="10"/>
  <c r="V71" i="6"/>
  <c r="V82" i="6" s="1"/>
  <c r="R40" i="9"/>
  <c r="G49" i="3"/>
  <c r="H48" i="3"/>
  <c r="AK6" i="2"/>
  <c r="AJ5" i="2"/>
  <c r="D52" i="7"/>
  <c r="H19" i="7"/>
  <c r="I18" i="7"/>
  <c r="G18" i="7"/>
  <c r="D53" i="7"/>
  <c r="Z33" i="7"/>
  <c r="R8" i="7"/>
  <c r="D19" i="7"/>
  <c r="AA21" i="7"/>
  <c r="I60" i="7"/>
  <c r="U17" i="7"/>
  <c r="I61" i="7"/>
  <c r="I17" i="7"/>
  <c r="G32" i="7"/>
  <c r="C57" i="7"/>
  <c r="G52" i="7"/>
  <c r="F50" i="7"/>
  <c r="I54" i="7"/>
  <c r="M18" i="7"/>
  <c r="H49" i="7"/>
  <c r="M50" i="7"/>
  <c r="I52" i="7"/>
  <c r="F65" i="7"/>
  <c r="H18" i="7"/>
  <c r="H52" i="7"/>
  <c r="M52" i="7"/>
  <c r="F63" i="7"/>
  <c r="I22" i="7"/>
  <c r="C18" i="7"/>
  <c r="D51" i="7"/>
  <c r="C52" i="7"/>
  <c r="N52" i="7"/>
  <c r="E18" i="7"/>
  <c r="F52" i="7"/>
  <c r="F28" i="7"/>
  <c r="E65" i="7"/>
  <c r="AA25" i="7"/>
  <c r="F20" i="7"/>
  <c r="Z28" i="7"/>
  <c r="U22" i="7"/>
  <c r="Q23" i="7"/>
  <c r="H64" i="7"/>
  <c r="Z24" i="7"/>
  <c r="X27" i="7"/>
  <c r="I39" i="7"/>
  <c r="Q32" i="7"/>
  <c r="F21" i="7"/>
  <c r="L28" i="7"/>
  <c r="C62" i="7"/>
  <c r="X26" i="7"/>
  <c r="AA33" i="7"/>
  <c r="E62" i="7"/>
  <c r="C22" i="7"/>
  <c r="M51" i="7"/>
  <c r="N26" i="7"/>
  <c r="L23" i="7"/>
  <c r="AA32" i="7"/>
  <c r="F51" i="7"/>
  <c r="E7" i="7"/>
  <c r="E64" i="7"/>
  <c r="L8" i="7"/>
  <c r="I30" i="7"/>
  <c r="C58" i="7"/>
  <c r="X20" i="7"/>
  <c r="W32" i="7"/>
  <c r="Z22" i="7"/>
  <c r="G23" i="7"/>
  <c r="P21" i="7"/>
  <c r="M22" i="7"/>
  <c r="O26" i="7"/>
  <c r="AA7" i="7"/>
  <c r="Z30" i="7"/>
  <c r="L55" i="7"/>
  <c r="H62" i="7"/>
  <c r="N19" i="7"/>
  <c r="D30" i="7"/>
  <c r="U26" i="7"/>
  <c r="E31" i="7"/>
  <c r="H61" i="7"/>
  <c r="I20" i="7"/>
  <c r="F57" i="7"/>
  <c r="I21" i="7"/>
  <c r="E26" i="7"/>
  <c r="L58" i="7"/>
  <c r="Q31" i="7"/>
  <c r="U34" i="7"/>
  <c r="H17" i="7"/>
  <c r="Y20" i="7"/>
  <c r="F60" i="7"/>
  <c r="U25" i="7"/>
  <c r="E39" i="7"/>
  <c r="I65" i="7"/>
  <c r="G50" i="7"/>
  <c r="F31" i="7"/>
  <c r="L63" i="7"/>
  <c r="D8" i="7"/>
  <c r="E30" i="7"/>
  <c r="Y31" i="7"/>
  <c r="G21" i="7"/>
  <c r="I48" i="7"/>
  <c r="E20" i="7"/>
  <c r="E59" i="7"/>
  <c r="G19" i="7"/>
  <c r="X24" i="7"/>
  <c r="M54" i="7"/>
  <c r="Q20" i="7"/>
  <c r="U30" i="7"/>
  <c r="M60" i="7"/>
  <c r="E29" i="7"/>
  <c r="G53" i="7"/>
  <c r="E63" i="7"/>
  <c r="I55" i="7"/>
  <c r="G49" i="7"/>
  <c r="W33" i="7"/>
  <c r="Y8" i="7"/>
  <c r="M32" i="7"/>
  <c r="Q34" i="7"/>
  <c r="E58" i="7"/>
  <c r="R21" i="7"/>
  <c r="G28" i="7"/>
  <c r="X33" i="7"/>
  <c r="V18" i="7"/>
  <c r="O22" i="7"/>
  <c r="L51" i="7"/>
  <c r="Q28" i="7"/>
  <c r="E22" i="7"/>
  <c r="R26" i="7"/>
  <c r="F33" i="7"/>
  <c r="M8" i="7"/>
  <c r="D56" i="7"/>
  <c r="I27" i="7"/>
  <c r="G54" i="7"/>
  <c r="V17" i="7"/>
  <c r="F27" i="7"/>
  <c r="R34" i="7"/>
  <c r="E52" i="7"/>
  <c r="G8" i="7"/>
  <c r="H30" i="7"/>
  <c r="C19" i="7"/>
  <c r="H20" i="7"/>
  <c r="I50" i="7"/>
  <c r="D21" i="7"/>
  <c r="Z17" i="7"/>
  <c r="H32" i="7"/>
  <c r="H21" i="7"/>
  <c r="O27" i="7"/>
  <c r="N61" i="7"/>
  <c r="N59" i="7"/>
  <c r="E21" i="7"/>
  <c r="N17" i="7"/>
  <c r="C17" i="7"/>
  <c r="D23" i="7"/>
  <c r="F62" i="7"/>
  <c r="L24" i="7"/>
  <c r="G30" i="7"/>
  <c r="L20" i="7"/>
  <c r="G61" i="7"/>
  <c r="P31" i="7"/>
  <c r="O28" i="7"/>
  <c r="W27" i="7"/>
  <c r="X8" i="7"/>
  <c r="Z20" i="7"/>
  <c r="Q33" i="7"/>
  <c r="W29" i="7"/>
  <c r="D27" i="7"/>
  <c r="L29" i="7"/>
  <c r="X23" i="7"/>
  <c r="F26" i="7"/>
  <c r="Z21" i="7"/>
  <c r="L60" i="7"/>
  <c r="Q25" i="7"/>
  <c r="V33" i="7"/>
  <c r="I53" i="7"/>
  <c r="V27" i="7"/>
  <c r="L49" i="7"/>
  <c r="G48" i="7"/>
  <c r="N54" i="7"/>
  <c r="V21" i="7"/>
  <c r="V24" i="7"/>
  <c r="D55" i="7"/>
  <c r="M19" i="7"/>
  <c r="I56" i="7"/>
  <c r="R29" i="7"/>
  <c r="O30" i="7"/>
  <c r="G59" i="7"/>
  <c r="Z34" i="7"/>
  <c r="N64" i="7"/>
  <c r="L56" i="7"/>
  <c r="G65" i="7"/>
  <c r="C61" i="7"/>
  <c r="G56" i="7"/>
  <c r="C38" i="7"/>
  <c r="C23" i="7"/>
  <c r="Y24" i="7"/>
  <c r="P26" i="7"/>
  <c r="X28" i="7"/>
  <c r="N48" i="7"/>
  <c r="E25" i="7"/>
  <c r="M24" i="7"/>
  <c r="V22" i="7"/>
  <c r="E53" i="7"/>
  <c r="G22" i="7"/>
  <c r="H60" i="7"/>
  <c r="Y17" i="7"/>
  <c r="G60" i="7"/>
  <c r="D54" i="7"/>
  <c r="M34" i="7"/>
  <c r="G24" i="7"/>
  <c r="Y33" i="7"/>
  <c r="P34" i="7"/>
  <c r="L61" i="7"/>
  <c r="U27" i="7"/>
  <c r="V30" i="7"/>
  <c r="M30" i="7"/>
  <c r="D58" i="7"/>
  <c r="Y7" i="7"/>
  <c r="G64" i="7"/>
  <c r="E19" i="7"/>
  <c r="G17" i="7"/>
  <c r="M56" i="7"/>
  <c r="N32" i="7"/>
  <c r="AA31" i="7"/>
  <c r="AA8" i="7"/>
  <c r="N34" i="7"/>
  <c r="E27" i="7"/>
  <c r="M27" i="7"/>
  <c r="H27" i="7"/>
  <c r="X31" i="7"/>
  <c r="P17" i="7"/>
  <c r="E60" i="7"/>
  <c r="M57" i="7"/>
  <c r="W31" i="7"/>
  <c r="O8" i="7"/>
  <c r="AA29" i="7"/>
  <c r="M26" i="7"/>
  <c r="I57" i="7"/>
  <c r="N33" i="7"/>
  <c r="X22" i="7"/>
  <c r="H63" i="7"/>
  <c r="D25" i="7"/>
  <c r="M53" i="7"/>
  <c r="R25" i="7"/>
  <c r="E32" i="7"/>
  <c r="I19" i="7"/>
  <c r="Y25" i="7"/>
  <c r="L54" i="7"/>
  <c r="Z32" i="7"/>
  <c r="F32" i="7"/>
  <c r="E57" i="7"/>
  <c r="I7" i="7"/>
  <c r="D31" i="7"/>
  <c r="O7" i="7"/>
  <c r="D38" i="7"/>
  <c r="G33" i="7"/>
  <c r="U32" i="7"/>
  <c r="M64" i="7"/>
  <c r="F29" i="7"/>
  <c r="G63" i="7"/>
  <c r="I32" i="7"/>
  <c r="U28" i="7"/>
  <c r="E51" i="7"/>
  <c r="E55" i="7"/>
  <c r="L62" i="7"/>
  <c r="D24" i="7"/>
  <c r="V31" i="7"/>
  <c r="W21" i="7"/>
  <c r="V28" i="7"/>
  <c r="C53" i="7"/>
  <c r="Q29" i="7"/>
  <c r="C29" i="7"/>
  <c r="D7" i="7"/>
  <c r="I29" i="7"/>
  <c r="N51" i="7"/>
  <c r="N21" i="7"/>
  <c r="N7" i="7"/>
  <c r="Y29" i="7"/>
  <c r="P23" i="7"/>
  <c r="L32" i="7"/>
  <c r="W23" i="7"/>
  <c r="N28" i="7"/>
  <c r="F18" i="7"/>
  <c r="I34" i="7"/>
  <c r="E33" i="7"/>
  <c r="D29" i="7"/>
  <c r="Z26" i="7"/>
  <c r="I33" i="7"/>
  <c r="F22" i="7"/>
  <c r="I31" i="7"/>
  <c r="O20" i="7"/>
  <c r="F19" i="7"/>
  <c r="M28" i="7"/>
  <c r="F58" i="7"/>
  <c r="R20" i="7"/>
  <c r="C65" i="7"/>
  <c r="X21" i="7"/>
  <c r="N31" i="7"/>
  <c r="G29" i="7"/>
  <c r="W28" i="7"/>
  <c r="H50" i="7"/>
  <c r="I38" i="7"/>
  <c r="F30" i="7"/>
  <c r="N65" i="7"/>
  <c r="D20" i="7"/>
  <c r="M29" i="7"/>
  <c r="F53" i="7"/>
  <c r="F23" i="7"/>
  <c r="U20" i="7"/>
  <c r="C64" i="7"/>
  <c r="P32" i="7"/>
  <c r="P8" i="7"/>
  <c r="H25" i="7"/>
  <c r="V23" i="7"/>
  <c r="I23" i="7"/>
  <c r="AA27" i="7"/>
  <c r="Q24" i="7"/>
  <c r="L21" i="7"/>
  <c r="O19" i="7"/>
  <c r="G62" i="7"/>
  <c r="P19" i="7"/>
  <c r="M62" i="7"/>
  <c r="C39" i="7"/>
  <c r="C49" i="7"/>
  <c r="H39" i="7"/>
  <c r="R7" i="7"/>
  <c r="H26" i="7"/>
  <c r="R27" i="7"/>
  <c r="AA23" i="7"/>
  <c r="E54" i="7"/>
  <c r="P28" i="7"/>
  <c r="O21" i="7"/>
  <c r="D62" i="7"/>
  <c r="V29" i="7"/>
  <c r="L25" i="7"/>
  <c r="R28" i="7"/>
  <c r="M49" i="7"/>
  <c r="M25" i="7"/>
  <c r="N30" i="7"/>
  <c r="M31" i="7"/>
  <c r="G39" i="7"/>
  <c r="H24" i="7"/>
  <c r="P20" i="7"/>
  <c r="N50" i="7"/>
  <c r="O25" i="7"/>
  <c r="D61" i="7"/>
  <c r="D63" i="7"/>
  <c r="V26" i="7"/>
  <c r="AA26" i="7"/>
  <c r="F25" i="7"/>
  <c r="H8" i="7"/>
  <c r="AA34" i="7"/>
  <c r="G27" i="7"/>
  <c r="R30" i="7"/>
  <c r="U33" i="7"/>
  <c r="P27" i="7"/>
  <c r="H57" i="7"/>
  <c r="L17" i="7"/>
  <c r="U23" i="7"/>
  <c r="M48" i="7"/>
  <c r="O23" i="7"/>
  <c r="D65" i="7"/>
  <c r="E24" i="7"/>
  <c r="W34" i="7"/>
  <c r="N22" i="7"/>
  <c r="C63" i="7"/>
  <c r="E56" i="7"/>
  <c r="C33" i="7"/>
  <c r="Y34" i="7"/>
  <c r="I62" i="7"/>
  <c r="C51" i="7"/>
  <c r="R24" i="7"/>
  <c r="Q19" i="7"/>
  <c r="L7" i="7"/>
  <c r="U31" i="7"/>
  <c r="X34" i="7"/>
  <c r="U21" i="7"/>
  <c r="P30" i="7"/>
  <c r="AA28" i="7"/>
  <c r="N60" i="7"/>
  <c r="I24" i="7"/>
  <c r="I58" i="7"/>
  <c r="I25" i="7"/>
  <c r="C50" i="7"/>
  <c r="P22" i="7"/>
  <c r="Q27" i="7"/>
  <c r="V20" i="7"/>
  <c r="G20" i="7"/>
  <c r="G38" i="7"/>
  <c r="AA19" i="7"/>
  <c r="H56" i="7"/>
  <c r="C34" i="7"/>
  <c r="Q8" i="7"/>
  <c r="X7" i="7"/>
  <c r="H51" i="7"/>
  <c r="Z29" i="7"/>
  <c r="O32" i="7"/>
  <c r="M55" i="7"/>
  <c r="D18" i="7"/>
  <c r="D59" i="7"/>
  <c r="H59" i="7"/>
  <c r="W18" i="7"/>
  <c r="U29" i="7"/>
  <c r="H38" i="7"/>
  <c r="M65" i="7"/>
  <c r="L30" i="7"/>
  <c r="D28" i="7"/>
  <c r="AA24" i="7"/>
  <c r="E8" i="7"/>
  <c r="F54" i="7"/>
  <c r="W26" i="7"/>
  <c r="M7" i="7"/>
  <c r="N27" i="7"/>
  <c r="M63" i="7"/>
  <c r="X25" i="7"/>
  <c r="G51" i="7"/>
  <c r="Z27" i="7"/>
  <c r="H31" i="7"/>
  <c r="M23" i="7"/>
  <c r="M58" i="7"/>
  <c r="L34" i="7"/>
  <c r="L31" i="7"/>
  <c r="M20" i="7"/>
  <c r="L52" i="7"/>
  <c r="D26" i="7"/>
  <c r="N29" i="7"/>
  <c r="X32" i="7"/>
  <c r="H53" i="7"/>
  <c r="I63" i="7"/>
  <c r="C24" i="7"/>
  <c r="H33" i="7"/>
  <c r="L22" i="7"/>
  <c r="N57" i="7"/>
  <c r="D64" i="7"/>
  <c r="R22" i="7"/>
  <c r="C21" i="7"/>
  <c r="N56" i="7"/>
  <c r="H23" i="7"/>
  <c r="I51" i="7"/>
  <c r="G34" i="7"/>
  <c r="Z25" i="7"/>
  <c r="H55" i="7"/>
  <c r="F55" i="7"/>
  <c r="C25" i="7"/>
  <c r="D39" i="7"/>
  <c r="D50" i="7"/>
  <c r="F8" i="7"/>
  <c r="O31" i="7"/>
  <c r="G58" i="7"/>
  <c r="G25" i="7"/>
  <c r="U19" i="7"/>
  <c r="W25" i="7"/>
  <c r="V32" i="7"/>
  <c r="Q26" i="7"/>
  <c r="O24" i="7"/>
  <c r="N53" i="7"/>
  <c r="Q22" i="7"/>
  <c r="W24" i="7"/>
  <c r="N49" i="7"/>
  <c r="L53" i="7"/>
  <c r="M59" i="7"/>
  <c r="Y21" i="7"/>
  <c r="D22" i="7"/>
  <c r="C32" i="7"/>
  <c r="E38" i="7"/>
  <c r="Y27" i="7"/>
  <c r="M61" i="7"/>
  <c r="O29" i="7"/>
  <c r="V19" i="7"/>
  <c r="U24" i="7"/>
  <c r="F24" i="7"/>
  <c r="H58" i="7"/>
  <c r="P25" i="7"/>
  <c r="M17" i="7"/>
  <c r="AA20" i="7"/>
  <c r="N23" i="7"/>
  <c r="I49" i="7"/>
  <c r="L26" i="7"/>
  <c r="N63" i="7"/>
  <c r="V25" i="7"/>
  <c r="Z23" i="7"/>
  <c r="M33" i="7"/>
  <c r="X30" i="7"/>
  <c r="Z19" i="7"/>
  <c r="R31" i="7"/>
  <c r="N25" i="7"/>
  <c r="D57" i="7"/>
  <c r="D32" i="7"/>
  <c r="C20" i="7"/>
  <c r="L27" i="7"/>
  <c r="C55" i="7"/>
  <c r="Q7" i="7"/>
  <c r="L19" i="7"/>
  <c r="P29" i="7"/>
  <c r="V8" i="7"/>
  <c r="L57" i="7"/>
  <c r="G26" i="7"/>
  <c r="G7" i="7"/>
  <c r="C26" i="7"/>
  <c r="P7" i="7"/>
  <c r="L18" i="7"/>
  <c r="D17" i="7"/>
  <c r="F38" i="7"/>
  <c r="C7" i="7"/>
  <c r="H48" i="7"/>
  <c r="L33" i="7"/>
  <c r="E34" i="7"/>
  <c r="I59" i="7"/>
  <c r="E50" i="7"/>
  <c r="C8" i="7"/>
  <c r="R32" i="7"/>
  <c r="H34" i="7"/>
  <c r="H29" i="7"/>
  <c r="AA17" i="7"/>
  <c r="L64" i="7"/>
  <c r="G57" i="7"/>
  <c r="L65" i="7"/>
  <c r="C28" i="7"/>
  <c r="F17" i="7"/>
  <c r="R19" i="7"/>
  <c r="E61" i="7"/>
  <c r="Y28" i="7"/>
  <c r="F39" i="7"/>
  <c r="O33" i="7"/>
  <c r="Y19" i="7"/>
  <c r="Q21" i="7"/>
  <c r="G31" i="7"/>
  <c r="N58" i="7"/>
  <c r="W8" i="7"/>
  <c r="M21" i="7"/>
  <c r="H54" i="7"/>
  <c r="Y26" i="7"/>
  <c r="Y30" i="7"/>
  <c r="P33" i="7"/>
  <c r="I64" i="7"/>
  <c r="Z7" i="7"/>
  <c r="D33" i="7"/>
  <c r="H7" i="7"/>
  <c r="N24" i="7"/>
  <c r="V7" i="7"/>
  <c r="C56" i="7"/>
  <c r="H28" i="7"/>
  <c r="Z8" i="7"/>
  <c r="C54" i="7"/>
  <c r="AA30" i="7"/>
  <c r="Y22" i="7"/>
  <c r="F7" i="7"/>
  <c r="Q30" i="7"/>
  <c r="Y32" i="7"/>
  <c r="V34" i="7"/>
  <c r="AA22" i="7"/>
  <c r="R33" i="7"/>
  <c r="F56" i="7"/>
  <c r="C31" i="7"/>
  <c r="E28" i="7"/>
  <c r="I26" i="7"/>
  <c r="P24" i="7"/>
  <c r="W30" i="7"/>
  <c r="L59" i="7"/>
  <c r="Y23" i="7"/>
  <c r="C60" i="7"/>
  <c r="U8" i="7"/>
  <c r="H22" i="7"/>
  <c r="I28" i="7"/>
  <c r="X29" i="7"/>
  <c r="N20" i="7"/>
  <c r="N8" i="7"/>
  <c r="D34" i="7"/>
  <c r="W22" i="7"/>
  <c r="D49" i="7"/>
  <c r="R23" i="7"/>
  <c r="N55" i="7"/>
  <c r="F59" i="7"/>
  <c r="L48" i="7"/>
  <c r="N62" i="7"/>
  <c r="Z31" i="7"/>
  <c r="I8" i="7"/>
  <c r="F34" i="7"/>
  <c r="U7" i="7"/>
  <c r="W7" i="7"/>
  <c r="D60" i="7"/>
  <c r="F61" i="7"/>
  <c r="O34" i="7"/>
  <c r="C59" i="7"/>
  <c r="W20" i="7"/>
  <c r="E23" i="7"/>
  <c r="C30" i="7"/>
  <c r="F64" i="7"/>
  <c r="G55" i="7"/>
  <c r="B52" i="3"/>
  <c r="C51" i="3"/>
  <c r="H71" i="6"/>
  <c r="I72" i="6"/>
  <c r="H72" i="6"/>
  <c r="I71" i="6"/>
  <c r="G72" i="6"/>
  <c r="F84" i="6" l="1"/>
  <c r="F83" i="6"/>
  <c r="P83" i="6"/>
  <c r="P94" i="6" s="1"/>
  <c r="H49" i="3"/>
  <c r="G50" i="3"/>
  <c r="N41" i="10"/>
  <c r="N41" i="7"/>
  <c r="N41" i="9"/>
  <c r="P40" i="9"/>
  <c r="T71" i="6"/>
  <c r="T82" i="6" s="1"/>
  <c r="P40" i="7"/>
  <c r="P40" i="10"/>
  <c r="O41" i="10"/>
  <c r="O41" i="9"/>
  <c r="O41" i="7"/>
  <c r="P41" i="10"/>
  <c r="P41" i="9"/>
  <c r="P41" i="7"/>
  <c r="O40" i="10"/>
  <c r="O40" i="9"/>
  <c r="S71" i="6"/>
  <c r="S82" i="6" s="1"/>
  <c r="O40" i="7"/>
  <c r="B53" i="3"/>
  <c r="C52" i="3"/>
  <c r="AL6" i="2"/>
  <c r="AK5" i="2"/>
  <c r="G83" i="6" l="1"/>
  <c r="G84" i="6"/>
  <c r="Q83" i="6"/>
  <c r="Q94" i="6" s="1"/>
  <c r="H50" i="3"/>
  <c r="G51" i="3"/>
  <c r="AM6" i="2"/>
  <c r="AL5" i="2"/>
  <c r="B54" i="3"/>
  <c r="C53" i="3"/>
  <c r="E72" i="6"/>
  <c r="H84" i="6" l="1"/>
  <c r="H83" i="6"/>
  <c r="R83" i="6"/>
  <c r="R94" i="6" s="1"/>
  <c r="H51" i="3"/>
  <c r="G52" i="3"/>
  <c r="C54" i="3"/>
  <c r="B55" i="3"/>
  <c r="E23" i="6"/>
  <c r="L41" i="7"/>
  <c r="L41" i="10"/>
  <c r="L41" i="9"/>
  <c r="AN6" i="2"/>
  <c r="AM5" i="2"/>
  <c r="I84" i="6" l="1"/>
  <c r="I83" i="6"/>
  <c r="S83" i="6"/>
  <c r="S94" i="6" s="1"/>
  <c r="G53" i="3"/>
  <c r="H52" i="3"/>
  <c r="C9" i="7"/>
  <c r="D23" i="6"/>
  <c r="P23" i="6"/>
  <c r="P34" i="6" s="1"/>
  <c r="C9" i="9"/>
  <c r="AO6" i="2"/>
  <c r="AN5" i="2"/>
  <c r="C55" i="3"/>
  <c r="B56" i="3"/>
  <c r="F71" i="6"/>
  <c r="F72" i="6"/>
  <c r="G71" i="6"/>
  <c r="J84" i="6" l="1"/>
  <c r="J83" i="6"/>
  <c r="T83" i="6"/>
  <c r="T94" i="6" s="1"/>
  <c r="H53" i="3"/>
  <c r="G54" i="3"/>
  <c r="AP6" i="2"/>
  <c r="AO5" i="2"/>
  <c r="M41" i="10"/>
  <c r="M41" i="7"/>
  <c r="M41" i="9"/>
  <c r="D72" i="6"/>
  <c r="C56" i="3"/>
  <c r="B57" i="3"/>
  <c r="N40" i="10"/>
  <c r="N40" i="7"/>
  <c r="R71" i="6"/>
  <c r="R82" i="6" s="1"/>
  <c r="N40" i="9"/>
  <c r="M40" i="10"/>
  <c r="M40" i="9"/>
  <c r="Q71" i="6"/>
  <c r="Q82" i="6" s="1"/>
  <c r="M40" i="7"/>
  <c r="D71" i="6"/>
  <c r="K83" i="6" l="1"/>
  <c r="K84" i="6"/>
  <c r="U83" i="6"/>
  <c r="U94" i="6" s="1"/>
  <c r="O39" i="9"/>
  <c r="O38" i="9"/>
  <c r="P39" i="10"/>
  <c r="P38" i="7"/>
  <c r="O38" i="10"/>
  <c r="O39" i="10"/>
  <c r="P39" i="7"/>
  <c r="P38" i="10"/>
  <c r="O39" i="7"/>
  <c r="O38" i="7"/>
  <c r="P38" i="9"/>
  <c r="Q38" i="10"/>
  <c r="Q39" i="7"/>
  <c r="Q39" i="9"/>
  <c r="Q38" i="9"/>
  <c r="P39" i="9"/>
  <c r="R38" i="10"/>
  <c r="Q39" i="10"/>
  <c r="R39" i="9"/>
  <c r="R38" i="7"/>
  <c r="R38" i="9"/>
  <c r="R39" i="7"/>
  <c r="R39" i="10"/>
  <c r="Q38" i="7"/>
  <c r="G55" i="3"/>
  <c r="H54" i="3"/>
  <c r="C57" i="3"/>
  <c r="B58" i="3"/>
  <c r="AQ6" i="2"/>
  <c r="AP5" i="2"/>
  <c r="M39" i="10"/>
  <c r="L39" i="10"/>
  <c r="N38" i="10"/>
  <c r="M38" i="10"/>
  <c r="M38" i="7"/>
  <c r="N39" i="10"/>
  <c r="L38" i="10"/>
  <c r="M39" i="9"/>
  <c r="L38" i="9"/>
  <c r="N39" i="7"/>
  <c r="L39" i="7"/>
  <c r="L39" i="9"/>
  <c r="N38" i="9"/>
  <c r="N39" i="9"/>
  <c r="M39" i="7"/>
  <c r="L38" i="7"/>
  <c r="N38" i="7"/>
  <c r="D84" i="6" l="1"/>
  <c r="V83" i="6"/>
  <c r="V94" i="6" s="1"/>
  <c r="D83" i="6"/>
  <c r="G56" i="3"/>
  <c r="H55" i="3"/>
  <c r="AR6" i="2"/>
  <c r="AQ5" i="2"/>
  <c r="C58" i="3"/>
  <c r="B59" i="3"/>
  <c r="H56" i="3" l="1"/>
  <c r="G57" i="3"/>
  <c r="B60" i="3"/>
  <c r="C59" i="3"/>
  <c r="AS6" i="2"/>
  <c r="AR5" i="2"/>
  <c r="H57" i="3" l="1"/>
  <c r="G58" i="3"/>
  <c r="AT6" i="2"/>
  <c r="AS5" i="2"/>
  <c r="C60" i="3"/>
  <c r="B61" i="3"/>
  <c r="C61" i="3" s="1"/>
  <c r="G59" i="3" l="1"/>
  <c r="H58" i="3"/>
  <c r="AU6" i="2"/>
  <c r="AT5" i="2"/>
  <c r="O63" i="7" l="1"/>
  <c r="O49" i="10"/>
  <c r="O46" i="10"/>
  <c r="O60" i="10"/>
  <c r="O55" i="10"/>
  <c r="O48" i="7"/>
  <c r="P53" i="10"/>
  <c r="P47" i="10"/>
  <c r="O59" i="7"/>
  <c r="O59" i="10"/>
  <c r="O51" i="7"/>
  <c r="O52" i="7"/>
  <c r="O62" i="10"/>
  <c r="O57" i="7"/>
  <c r="O64" i="10"/>
  <c r="O61" i="10"/>
  <c r="O64" i="9"/>
  <c r="O50" i="7"/>
  <c r="P60" i="7"/>
  <c r="O50" i="10"/>
  <c r="O56" i="7"/>
  <c r="O60" i="9"/>
  <c r="O61" i="7"/>
  <c r="P56" i="7"/>
  <c r="P59" i="7"/>
  <c r="O51" i="10"/>
  <c r="P64" i="7"/>
  <c r="O45" i="10"/>
  <c r="O54" i="7"/>
  <c r="Q49" i="10"/>
  <c r="P59" i="10"/>
  <c r="P64" i="10"/>
  <c r="P65" i="10"/>
  <c r="P55" i="10"/>
  <c r="P65" i="7"/>
  <c r="P55" i="7"/>
  <c r="O57" i="10"/>
  <c r="O48" i="10"/>
  <c r="P45" i="10"/>
  <c r="O49" i="7"/>
  <c r="O54" i="10"/>
  <c r="O58" i="10"/>
  <c r="O53" i="7"/>
  <c r="Q62" i="10"/>
  <c r="P54" i="10"/>
  <c r="O55" i="7"/>
  <c r="P57" i="10"/>
  <c r="O58" i="7"/>
  <c r="P60" i="9"/>
  <c r="O65" i="10"/>
  <c r="O44" i="10"/>
  <c r="P53" i="7"/>
  <c r="Q52" i="10"/>
  <c r="P46" i="10"/>
  <c r="P50" i="10"/>
  <c r="P48" i="7"/>
  <c r="Q50" i="7"/>
  <c r="Q47" i="10"/>
  <c r="P58" i="7"/>
  <c r="P51" i="7"/>
  <c r="P58" i="10"/>
  <c r="Q49" i="7"/>
  <c r="P62" i="10"/>
  <c r="Q44" i="10"/>
  <c r="O62" i="7"/>
  <c r="O56" i="10"/>
  <c r="O53" i="10"/>
  <c r="Q63" i="10"/>
  <c r="P54" i="7"/>
  <c r="Q57" i="10"/>
  <c r="Q65" i="7"/>
  <c r="Q60" i="9"/>
  <c r="O63" i="10"/>
  <c r="P52" i="7"/>
  <c r="P52" i="10"/>
  <c r="P61" i="10"/>
  <c r="Q52" i="7"/>
  <c r="Q50" i="10"/>
  <c r="Q65" i="9"/>
  <c r="Q60" i="10"/>
  <c r="P60" i="10"/>
  <c r="P63" i="10"/>
  <c r="O47" i="10"/>
  <c r="P63" i="9"/>
  <c r="Q58" i="10"/>
  <c r="P63" i="7"/>
  <c r="P51" i="10"/>
  <c r="P61" i="7"/>
  <c r="O60" i="7"/>
  <c r="O65" i="7"/>
  <c r="Q56" i="7"/>
  <c r="P49" i="10"/>
  <c r="P49" i="7"/>
  <c r="Q55" i="10"/>
  <c r="P50" i="7"/>
  <c r="P64" i="9"/>
  <c r="Q59" i="10"/>
  <c r="Q62" i="7"/>
  <c r="Q63" i="9"/>
  <c r="Q64" i="10"/>
  <c r="Q55" i="7"/>
  <c r="P65" i="9"/>
  <c r="P44" i="10"/>
  <c r="O63" i="9"/>
  <c r="Q48" i="7"/>
  <c r="O52" i="10"/>
  <c r="P48" i="10"/>
  <c r="Q64" i="9"/>
  <c r="Q51" i="7"/>
  <c r="Q59" i="7"/>
  <c r="Q46" i="10"/>
  <c r="Q51" i="10"/>
  <c r="Q53" i="7"/>
  <c r="Q56" i="10"/>
  <c r="O64" i="7"/>
  <c r="Q45" i="10"/>
  <c r="Q65" i="10"/>
  <c r="Q60" i="7"/>
  <c r="P57" i="7"/>
  <c r="Q61" i="7"/>
  <c r="Q61" i="10"/>
  <c r="Q48" i="10"/>
  <c r="Q64" i="7"/>
  <c r="Q53" i="10"/>
  <c r="P62" i="7"/>
  <c r="Q54" i="7"/>
  <c r="Q57" i="7"/>
  <c r="Q63" i="7"/>
  <c r="R44" i="10"/>
  <c r="Q54" i="10"/>
  <c r="P56" i="10"/>
  <c r="Q58" i="7"/>
  <c r="R49" i="10"/>
  <c r="H59" i="3"/>
  <c r="G60" i="3"/>
  <c r="AU5" i="2"/>
  <c r="Y13" i="10"/>
  <c r="AA22" i="10"/>
  <c r="AA21" i="10"/>
  <c r="AA17" i="10"/>
  <c r="G46" i="10"/>
  <c r="E47" i="10"/>
  <c r="I61" i="10"/>
  <c r="P13" i="10"/>
  <c r="AA27" i="10"/>
  <c r="G27" i="10"/>
  <c r="I60" i="10"/>
  <c r="H64" i="10"/>
  <c r="U18" i="10"/>
  <c r="AA18" i="10"/>
  <c r="W29" i="10"/>
  <c r="R28" i="10"/>
  <c r="E31" i="10"/>
  <c r="Z15" i="10"/>
  <c r="L14" i="10"/>
  <c r="G13" i="10"/>
  <c r="I14" i="10"/>
  <c r="E14" i="10"/>
  <c r="N16" i="10"/>
  <c r="W16" i="10"/>
  <c r="M50" i="10"/>
  <c r="I22" i="10"/>
  <c r="D20" i="10"/>
  <c r="F30" i="10"/>
  <c r="V17" i="10"/>
  <c r="D48" i="10"/>
  <c r="F46" i="10"/>
  <c r="L49" i="10"/>
  <c r="P30" i="10"/>
  <c r="Z20" i="10"/>
  <c r="W21" i="10"/>
  <c r="G17" i="10"/>
  <c r="G47" i="10"/>
  <c r="F18" i="10"/>
  <c r="E24" i="10"/>
  <c r="I18" i="10"/>
  <c r="I62" i="10"/>
  <c r="L65" i="10"/>
  <c r="U20" i="10"/>
  <c r="E15" i="10"/>
  <c r="D17" i="10"/>
  <c r="I56" i="10"/>
  <c r="W32" i="10"/>
  <c r="F31" i="10"/>
  <c r="M47" i="10"/>
  <c r="C8" i="10"/>
  <c r="G30" i="10"/>
  <c r="C33" i="10"/>
  <c r="E63" i="10"/>
  <c r="P20" i="10"/>
  <c r="I17" i="10"/>
  <c r="D33" i="10"/>
  <c r="H14" i="10"/>
  <c r="I54" i="10"/>
  <c r="P22" i="10"/>
  <c r="N47" i="10"/>
  <c r="D49" i="10"/>
  <c r="L17" i="10"/>
  <c r="L60" i="10"/>
  <c r="X20" i="10"/>
  <c r="R33" i="10"/>
  <c r="N29" i="10"/>
  <c r="L23" i="10"/>
  <c r="O32" i="10"/>
  <c r="C50" i="10"/>
  <c r="M48" i="10"/>
  <c r="E16" i="10"/>
  <c r="E62" i="10"/>
  <c r="I25" i="10"/>
  <c r="U31" i="10"/>
  <c r="D56" i="10"/>
  <c r="D54" i="10"/>
  <c r="H61" i="10"/>
  <c r="E44" i="10"/>
  <c r="E60" i="10"/>
  <c r="M17" i="10"/>
  <c r="F49" i="10"/>
  <c r="P28" i="10"/>
  <c r="W23" i="10"/>
  <c r="G39" i="10"/>
  <c r="C54" i="10"/>
  <c r="Z26" i="10"/>
  <c r="L13" i="10"/>
  <c r="N7" i="9"/>
  <c r="Q8" i="9"/>
  <c r="M15" i="10"/>
  <c r="L56" i="10"/>
  <c r="C48" i="10"/>
  <c r="W24" i="10"/>
  <c r="V33" i="10"/>
  <c r="R20" i="10"/>
  <c r="O23" i="10"/>
  <c r="D47" i="10"/>
  <c r="Z21" i="10"/>
  <c r="R21" i="10"/>
  <c r="G8" i="10"/>
  <c r="Q32" i="10"/>
  <c r="D61" i="10"/>
  <c r="D24" i="10"/>
  <c r="I30" i="10"/>
  <c r="C64" i="10"/>
  <c r="H63" i="10"/>
  <c r="M18" i="10"/>
  <c r="H30" i="10"/>
  <c r="I28" i="10"/>
  <c r="N31" i="10"/>
  <c r="I52" i="10"/>
  <c r="E18" i="10"/>
  <c r="N65" i="10"/>
  <c r="H39" i="10"/>
  <c r="P19" i="10"/>
  <c r="F53" i="10"/>
  <c r="M61" i="10"/>
  <c r="U14" i="10"/>
  <c r="Q28" i="10"/>
  <c r="L64" i="10"/>
  <c r="D46" i="10"/>
  <c r="N17" i="10"/>
  <c r="O18" i="10"/>
  <c r="AA20" i="10"/>
  <c r="D58" i="10"/>
  <c r="M65" i="10"/>
  <c r="E61" i="10"/>
  <c r="L47" i="10"/>
  <c r="E48" i="10"/>
  <c r="D64" i="10"/>
  <c r="F21" i="10"/>
  <c r="H58" i="10"/>
  <c r="F60" i="10"/>
  <c r="F23" i="10"/>
  <c r="G20" i="10"/>
  <c r="G31" i="10"/>
  <c r="C57" i="10"/>
  <c r="L54" i="10"/>
  <c r="M54" i="10"/>
  <c r="C26" i="10"/>
  <c r="G54" i="10"/>
  <c r="D21" i="10"/>
  <c r="Q26" i="10"/>
  <c r="D59" i="10"/>
  <c r="U26" i="10"/>
  <c r="H48" i="10"/>
  <c r="D25" i="10"/>
  <c r="X28" i="10"/>
  <c r="Y29" i="10"/>
  <c r="V14" i="10"/>
  <c r="F65" i="10"/>
  <c r="L50" i="10"/>
  <c r="C47" i="10"/>
  <c r="G53" i="10"/>
  <c r="M20" i="10"/>
  <c r="E65" i="10"/>
  <c r="M62" i="10"/>
  <c r="N33" i="10"/>
  <c r="W20" i="10"/>
  <c r="C59" i="10"/>
  <c r="C58" i="10"/>
  <c r="D14" i="10"/>
  <c r="M46" i="10"/>
  <c r="X18" i="10"/>
  <c r="U17" i="10"/>
  <c r="X26" i="10"/>
  <c r="Q20" i="10"/>
  <c r="E20" i="10"/>
  <c r="Z28" i="10"/>
  <c r="G51" i="10"/>
  <c r="D32" i="10"/>
  <c r="W18" i="10"/>
  <c r="N44" i="10"/>
  <c r="F39" i="10"/>
  <c r="R27" i="10"/>
  <c r="Y30" i="10"/>
  <c r="AA28" i="10"/>
  <c r="O28" i="10"/>
  <c r="V20" i="10"/>
  <c r="G48" i="10"/>
  <c r="W14" i="10"/>
  <c r="Y21" i="10"/>
  <c r="R34" i="10"/>
  <c r="C21" i="10"/>
  <c r="D55" i="10"/>
  <c r="N18" i="10"/>
  <c r="D30" i="10"/>
  <c r="V18" i="10"/>
  <c r="X15" i="10"/>
  <c r="C52" i="9"/>
  <c r="U27" i="10"/>
  <c r="H26" i="10"/>
  <c r="E29" i="10"/>
  <c r="L58" i="10"/>
  <c r="I65" i="10"/>
  <c r="G63" i="10"/>
  <c r="AA25" i="10"/>
  <c r="Y27" i="10"/>
  <c r="O31" i="10"/>
  <c r="L52" i="10"/>
  <c r="O21" i="10"/>
  <c r="G29" i="10"/>
  <c r="C20" i="10"/>
  <c r="M60" i="10"/>
  <c r="F15" i="10"/>
  <c r="H18" i="10"/>
  <c r="V30" i="10"/>
  <c r="L20" i="10"/>
  <c r="E64" i="10"/>
  <c r="R14" i="10"/>
  <c r="G58" i="10"/>
  <c r="P21" i="10"/>
  <c r="Q29" i="10"/>
  <c r="D63" i="10"/>
  <c r="F51" i="10"/>
  <c r="N48" i="10"/>
  <c r="G62" i="10"/>
  <c r="C51" i="10"/>
  <c r="P18" i="10"/>
  <c r="H29" i="10"/>
  <c r="H38" i="10"/>
  <c r="I29" i="10"/>
  <c r="G22" i="10"/>
  <c r="C7" i="10"/>
  <c r="E32" i="10"/>
  <c r="Z29" i="10"/>
  <c r="I13" i="10"/>
  <c r="I39" i="10"/>
  <c r="D60" i="10"/>
  <c r="F52" i="10"/>
  <c r="G38" i="10"/>
  <c r="F20" i="10"/>
  <c r="F59" i="10"/>
  <c r="E21" i="10"/>
  <c r="I53" i="10"/>
  <c r="L31" i="10"/>
  <c r="R29" i="10"/>
  <c r="L33" i="10"/>
  <c r="I59" i="10"/>
  <c r="M58" i="10"/>
  <c r="I38" i="10"/>
  <c r="W31" i="10"/>
  <c r="G60" i="10"/>
  <c r="U33" i="10"/>
  <c r="Y31" i="10"/>
  <c r="I55" i="10"/>
  <c r="X32" i="10"/>
  <c r="C55" i="10"/>
  <c r="O20" i="10"/>
  <c r="F64" i="10"/>
  <c r="M21" i="10"/>
  <c r="G55" i="10"/>
  <c r="Y22" i="10"/>
  <c r="E8" i="10"/>
  <c r="C34" i="10"/>
  <c r="AA29" i="10"/>
  <c r="G65" i="10"/>
  <c r="C30" i="10"/>
  <c r="C62" i="10"/>
  <c r="M63" i="10"/>
  <c r="P27" i="10"/>
  <c r="Y18" i="10"/>
  <c r="Q17" i="10"/>
  <c r="L59" i="10"/>
  <c r="V24" i="10"/>
  <c r="I33" i="10"/>
  <c r="H60" i="10"/>
  <c r="F28" i="10"/>
  <c r="R18" i="10"/>
  <c r="C53" i="10"/>
  <c r="D34" i="10"/>
  <c r="D57" i="10"/>
  <c r="G32" i="10"/>
  <c r="P34" i="10"/>
  <c r="AA33" i="10"/>
  <c r="H21" i="10"/>
  <c r="N21" i="10"/>
  <c r="H34" i="10"/>
  <c r="F55" i="10"/>
  <c r="Q30" i="10"/>
  <c r="D65" i="10"/>
  <c r="D52" i="10"/>
  <c r="Z14" i="10"/>
  <c r="C49" i="10"/>
  <c r="Y20" i="10"/>
  <c r="L34" i="10"/>
  <c r="D39" i="10"/>
  <c r="H20" i="10"/>
  <c r="I50" i="10"/>
  <c r="V34" i="10"/>
  <c r="M55" i="10"/>
  <c r="H62" i="10"/>
  <c r="U25" i="10"/>
  <c r="G61" i="10"/>
  <c r="G18" i="10"/>
  <c r="M56" i="10"/>
  <c r="U23" i="10"/>
  <c r="F58" i="10"/>
  <c r="I20" i="10"/>
  <c r="N24" i="10"/>
  <c r="N32" i="10"/>
  <c r="H49" i="10"/>
  <c r="D53" i="10"/>
  <c r="Y34" i="10"/>
  <c r="L62" i="10"/>
  <c r="N49" i="10"/>
  <c r="F54" i="10"/>
  <c r="X21" i="10"/>
  <c r="C60" i="10"/>
  <c r="C56" i="10"/>
  <c r="Q18" i="10"/>
  <c r="N20" i="10"/>
  <c r="G59" i="10"/>
  <c r="F50" i="10"/>
  <c r="H59" i="10"/>
  <c r="C39" i="10"/>
  <c r="F44" i="10"/>
  <c r="C18" i="10"/>
  <c r="Q21" i="10"/>
  <c r="C52" i="10"/>
  <c r="M25" i="10"/>
  <c r="D51" i="10"/>
  <c r="L51" i="10"/>
  <c r="M59" i="10"/>
  <c r="X17" i="10"/>
  <c r="M44" i="10"/>
  <c r="L48" i="10"/>
  <c r="G49" i="10"/>
  <c r="P31" i="10"/>
  <c r="E38" i="10"/>
  <c r="W33" i="10"/>
  <c r="C63" i="10"/>
  <c r="Z30" i="10"/>
  <c r="G52" i="10"/>
  <c r="I21" i="10"/>
  <c r="F32" i="10"/>
  <c r="C17" i="10"/>
  <c r="F56" i="10"/>
  <c r="H47" i="10"/>
  <c r="Q14" i="10"/>
  <c r="D38" i="10"/>
  <c r="D62" i="10"/>
  <c r="Z18" i="10"/>
  <c r="E33" i="10"/>
  <c r="G34" i="10"/>
  <c r="G50" i="10"/>
  <c r="H45" i="10"/>
  <c r="U13" i="10"/>
  <c r="G57" i="10"/>
  <c r="I27" i="10"/>
  <c r="M30" i="10"/>
  <c r="M64" i="10"/>
  <c r="C31" i="10"/>
  <c r="N46" i="10"/>
  <c r="X30" i="10"/>
  <c r="F61" i="10"/>
  <c r="L26" i="10"/>
  <c r="L53" i="10"/>
  <c r="L61" i="10"/>
  <c r="E46" i="10"/>
  <c r="L55" i="10"/>
  <c r="M53" i="10"/>
  <c r="V32" i="10"/>
  <c r="M33" i="10"/>
  <c r="I57" i="10"/>
  <c r="C65" i="10"/>
  <c r="M32" i="10"/>
  <c r="M52" i="10"/>
  <c r="G56" i="10"/>
  <c r="I64" i="10"/>
  <c r="Y7" i="10"/>
  <c r="I46" i="10"/>
  <c r="M57" i="10"/>
  <c r="R25" i="10"/>
  <c r="L46" i="10"/>
  <c r="X23" i="10"/>
  <c r="L18" i="10"/>
  <c r="Z34" i="10"/>
  <c r="M49" i="10"/>
  <c r="U34" i="10"/>
  <c r="F57" i="10"/>
  <c r="F62" i="10"/>
  <c r="I63" i="10"/>
  <c r="M51" i="10"/>
  <c r="O30" i="10"/>
  <c r="D18" i="10"/>
  <c r="I51" i="10"/>
  <c r="E49" i="10"/>
  <c r="P29" i="10"/>
  <c r="C46" i="10"/>
  <c r="F63" i="10"/>
  <c r="V25" i="10"/>
  <c r="X31" i="10"/>
  <c r="H46" i="10"/>
  <c r="M34" i="10"/>
  <c r="D16" i="10"/>
  <c r="AA15" i="10"/>
  <c r="V15" i="10"/>
  <c r="M29" i="10"/>
  <c r="D27" i="10"/>
  <c r="E55" i="10"/>
  <c r="F33" i="10"/>
  <c r="V29" i="10"/>
  <c r="F17" i="10"/>
  <c r="O17" i="10"/>
  <c r="W27" i="10"/>
  <c r="H50" i="10"/>
  <c r="W17" i="10"/>
  <c r="N61" i="10"/>
  <c r="E22" i="10"/>
  <c r="I34" i="10"/>
  <c r="I26" i="10"/>
  <c r="E58" i="10"/>
  <c r="G33" i="10"/>
  <c r="U29" i="10"/>
  <c r="F47" i="10"/>
  <c r="I32" i="10"/>
  <c r="L19" i="10"/>
  <c r="E57" i="10"/>
  <c r="H15" i="10"/>
  <c r="U15" i="10"/>
  <c r="Q22" i="10"/>
  <c r="M45" i="10"/>
  <c r="L32" i="10"/>
  <c r="F14" i="10"/>
  <c r="H56" i="10"/>
  <c r="O8" i="10"/>
  <c r="Y25" i="10"/>
  <c r="R15" i="10"/>
  <c r="Q25" i="10"/>
  <c r="M14" i="10"/>
  <c r="M26" i="10"/>
  <c r="X34" i="10"/>
  <c r="H16" i="10"/>
  <c r="AA23" i="10"/>
  <c r="V7" i="10"/>
  <c r="H55" i="10"/>
  <c r="O22" i="10"/>
  <c r="X16" i="10"/>
  <c r="E7" i="10"/>
  <c r="G16" i="10"/>
  <c r="H51" i="10"/>
  <c r="V28" i="10"/>
  <c r="W7" i="10"/>
  <c r="N57" i="10"/>
  <c r="G7" i="10"/>
  <c r="D19" i="10"/>
  <c r="W28" i="10"/>
  <c r="E34" i="10"/>
  <c r="D31" i="10"/>
  <c r="M27" i="10"/>
  <c r="AA24" i="10"/>
  <c r="M23" i="10"/>
  <c r="V27" i="10"/>
  <c r="U7" i="10"/>
  <c r="AA30" i="10"/>
  <c r="L57" i="10"/>
  <c r="I47" i="10"/>
  <c r="N23" i="10"/>
  <c r="P7" i="10"/>
  <c r="Y19" i="10"/>
  <c r="O7" i="10"/>
  <c r="V22" i="10"/>
  <c r="E26" i="10"/>
  <c r="N55" i="10"/>
  <c r="W15" i="10"/>
  <c r="W8" i="10"/>
  <c r="C24" i="10"/>
  <c r="L28" i="10"/>
  <c r="E39" i="10"/>
  <c r="N62" i="10"/>
  <c r="H31" i="10"/>
  <c r="R24" i="10"/>
  <c r="L29" i="9"/>
  <c r="N15" i="10"/>
  <c r="H33" i="9"/>
  <c r="L29" i="10"/>
  <c r="U8" i="10"/>
  <c r="L8" i="9"/>
  <c r="V8" i="9"/>
  <c r="G21" i="10"/>
  <c r="U30" i="10"/>
  <c r="M24" i="10"/>
  <c r="H28" i="10"/>
  <c r="E51" i="10"/>
  <c r="F34" i="10"/>
  <c r="C33" i="9"/>
  <c r="O29" i="10"/>
  <c r="G23" i="10"/>
  <c r="I48" i="10"/>
  <c r="R33" i="9"/>
  <c r="E53" i="10"/>
  <c r="N52" i="10"/>
  <c r="M16" i="10"/>
  <c r="Z32" i="9"/>
  <c r="C28" i="10"/>
  <c r="L8" i="10"/>
  <c r="Q19" i="10"/>
  <c r="C61" i="10"/>
  <c r="O34" i="10"/>
  <c r="C38" i="10"/>
  <c r="AA19" i="10"/>
  <c r="P26" i="10"/>
  <c r="I31" i="10"/>
  <c r="X32" i="9"/>
  <c r="W19" i="10"/>
  <c r="I58" i="10"/>
  <c r="AA14" i="10"/>
  <c r="X33" i="10"/>
  <c r="N14" i="10"/>
  <c r="E54" i="10"/>
  <c r="AA7" i="10"/>
  <c r="C27" i="10"/>
  <c r="H52" i="10"/>
  <c r="C25" i="10"/>
  <c r="F7" i="10"/>
  <c r="Z23" i="10"/>
  <c r="N8" i="10"/>
  <c r="N27" i="10"/>
  <c r="N63" i="10"/>
  <c r="M32" i="9"/>
  <c r="L16" i="10"/>
  <c r="Y26" i="10"/>
  <c r="L24" i="10"/>
  <c r="C22" i="10"/>
  <c r="Y32" i="10"/>
  <c r="H27" i="10"/>
  <c r="E27" i="10"/>
  <c r="Q23" i="10"/>
  <c r="F29" i="10"/>
  <c r="Y23" i="10"/>
  <c r="I16" i="10"/>
  <c r="Z17" i="10"/>
  <c r="Z27" i="10"/>
  <c r="N53" i="10"/>
  <c r="D50" i="10"/>
  <c r="F29" i="9"/>
  <c r="Q24" i="10"/>
  <c r="E56" i="10"/>
  <c r="P23" i="10"/>
  <c r="N63" i="9"/>
  <c r="U33" i="9"/>
  <c r="F16" i="10"/>
  <c r="V26" i="10"/>
  <c r="D39" i="9"/>
  <c r="Y24" i="10"/>
  <c r="AA16" i="10"/>
  <c r="X25" i="10"/>
  <c r="R7" i="10"/>
  <c r="Q27" i="10"/>
  <c r="H32" i="10"/>
  <c r="H64" i="9"/>
  <c r="F24" i="10"/>
  <c r="N58" i="10"/>
  <c r="G38" i="9"/>
  <c r="R19" i="10"/>
  <c r="U22" i="10"/>
  <c r="D26" i="10"/>
  <c r="Z33" i="10"/>
  <c r="C16" i="10"/>
  <c r="N19" i="10"/>
  <c r="I23" i="10"/>
  <c r="G25" i="10"/>
  <c r="G28" i="10"/>
  <c r="AA8" i="10"/>
  <c r="L21" i="10"/>
  <c r="M7" i="10"/>
  <c r="N7" i="10"/>
  <c r="V23" i="10"/>
  <c r="W7" i="9"/>
  <c r="U21" i="10"/>
  <c r="N51" i="10"/>
  <c r="N30" i="10"/>
  <c r="N56" i="10"/>
  <c r="L15" i="10"/>
  <c r="L27" i="10"/>
  <c r="Y15" i="10"/>
  <c r="Y8" i="10"/>
  <c r="I60" i="9"/>
  <c r="R8" i="10"/>
  <c r="AA26" i="10"/>
  <c r="E52" i="10"/>
  <c r="D15" i="10"/>
  <c r="P32" i="10"/>
  <c r="F25" i="10"/>
  <c r="AA13" i="10"/>
  <c r="F60" i="9"/>
  <c r="H63" i="9"/>
  <c r="R8" i="9"/>
  <c r="X29" i="10"/>
  <c r="C29" i="10"/>
  <c r="G64" i="10"/>
  <c r="C23" i="10"/>
  <c r="O19" i="10"/>
  <c r="R17" i="10"/>
  <c r="Y17" i="10"/>
  <c r="N59" i="10"/>
  <c r="Y16" i="10"/>
  <c r="E50" i="10"/>
  <c r="N32" i="9"/>
  <c r="P15" i="10"/>
  <c r="E28" i="10"/>
  <c r="U16" i="10"/>
  <c r="P8" i="9"/>
  <c r="Q8" i="10"/>
  <c r="C15" i="10"/>
  <c r="H7" i="10"/>
  <c r="U28" i="10"/>
  <c r="I15" i="10"/>
  <c r="Q20" i="9"/>
  <c r="V21" i="10"/>
  <c r="W30" i="10"/>
  <c r="H25" i="10"/>
  <c r="AA31" i="10"/>
  <c r="G26" i="10"/>
  <c r="G19" i="10"/>
  <c r="I19" i="10"/>
  <c r="H19" i="10"/>
  <c r="Q33" i="10"/>
  <c r="C32" i="10"/>
  <c r="E23" i="10"/>
  <c r="E25" i="10"/>
  <c r="M31" i="10"/>
  <c r="Z25" i="10"/>
  <c r="O24" i="10"/>
  <c r="H29" i="9"/>
  <c r="Z32" i="10"/>
  <c r="Z16" i="10"/>
  <c r="P8" i="10"/>
  <c r="O33" i="10"/>
  <c r="W13" i="10"/>
  <c r="F27" i="10"/>
  <c r="H22" i="10"/>
  <c r="H8" i="10"/>
  <c r="U32" i="10"/>
  <c r="H53" i="10"/>
  <c r="E59" i="10"/>
  <c r="N28" i="10"/>
  <c r="AA21" i="9"/>
  <c r="N34" i="10"/>
  <c r="X22" i="10"/>
  <c r="L30" i="10"/>
  <c r="N60" i="10"/>
  <c r="N50" i="10"/>
  <c r="P17" i="10"/>
  <c r="H24" i="10"/>
  <c r="U24" i="10"/>
  <c r="Z7" i="10"/>
  <c r="L7" i="10"/>
  <c r="R30" i="10"/>
  <c r="D28" i="10"/>
  <c r="Q31" i="10"/>
  <c r="Q15" i="10"/>
  <c r="C32" i="9"/>
  <c r="Q7" i="10"/>
  <c r="Z31" i="10"/>
  <c r="I8" i="10"/>
  <c r="X24" i="10"/>
  <c r="N26" i="10"/>
  <c r="H32" i="9"/>
  <c r="F38" i="10"/>
  <c r="R13" i="10"/>
  <c r="V19" i="10"/>
  <c r="X7" i="10"/>
  <c r="I49" i="10"/>
  <c r="E17" i="10"/>
  <c r="H57" i="10"/>
  <c r="I34" i="9"/>
  <c r="Q34" i="10"/>
  <c r="E19" i="10"/>
  <c r="Y33" i="10"/>
  <c r="E30" i="10"/>
  <c r="H33" i="10"/>
  <c r="N64" i="10"/>
  <c r="G8" i="9"/>
  <c r="X8" i="10"/>
  <c r="N22" i="10"/>
  <c r="P24" i="10"/>
  <c r="F32" i="9"/>
  <c r="U19" i="10"/>
  <c r="F22" i="10"/>
  <c r="O16" i="10"/>
  <c r="P25" i="10"/>
  <c r="G24" i="10"/>
  <c r="Z22" i="10"/>
  <c r="L63" i="10"/>
  <c r="R16" i="10"/>
  <c r="L22" i="10"/>
  <c r="D7" i="10"/>
  <c r="F48" i="10"/>
  <c r="AA34" i="10"/>
  <c r="Y14" i="10"/>
  <c r="R32" i="10"/>
  <c r="V16" i="10"/>
  <c r="V8" i="10"/>
  <c r="L60" i="9"/>
  <c r="M19" i="10"/>
  <c r="Z24" i="10"/>
  <c r="N54" i="10"/>
  <c r="Z19" i="10"/>
  <c r="R22" i="10"/>
  <c r="R31" i="10"/>
  <c r="D8" i="10"/>
  <c r="D29" i="10"/>
  <c r="H54" i="10"/>
  <c r="Q16" i="10"/>
  <c r="W34" i="10"/>
  <c r="O27" i="10"/>
  <c r="X27" i="10"/>
  <c r="V31" i="10"/>
  <c r="W25" i="10"/>
  <c r="O26" i="10"/>
  <c r="M22" i="10"/>
  <c r="D22" i="10"/>
  <c r="G29" i="9"/>
  <c r="I7" i="10"/>
  <c r="AA32" i="10"/>
  <c r="M8" i="10"/>
  <c r="O15" i="10"/>
  <c r="H23" i="10"/>
  <c r="G33" i="9"/>
  <c r="D65" i="9"/>
  <c r="X19" i="10"/>
  <c r="F8" i="9"/>
  <c r="N29" i="9"/>
  <c r="L32" i="9"/>
  <c r="F45" i="10"/>
  <c r="Z21" i="9"/>
  <c r="D29" i="9"/>
  <c r="E13" i="10"/>
  <c r="Q32" i="9"/>
  <c r="F7" i="9"/>
  <c r="G65" i="9"/>
  <c r="M33" i="9"/>
  <c r="C65" i="9"/>
  <c r="X8" i="9"/>
  <c r="M13" i="10"/>
  <c r="Q29" i="9"/>
  <c r="C29" i="9"/>
  <c r="C39" i="9"/>
  <c r="C7" i="9"/>
  <c r="Z8" i="10"/>
  <c r="E39" i="9"/>
  <c r="D64" i="9"/>
  <c r="O33" i="9"/>
  <c r="G7" i="9"/>
  <c r="AA33" i="9"/>
  <c r="D53" i="9"/>
  <c r="AA29" i="9"/>
  <c r="L33" i="9"/>
  <c r="F63" i="9"/>
  <c r="V13" i="10"/>
  <c r="D33" i="9"/>
  <c r="N45" i="10"/>
  <c r="I7" i="9"/>
  <c r="P33" i="10"/>
  <c r="C44" i="10"/>
  <c r="I32" i="9"/>
  <c r="F13" i="10"/>
  <c r="N25" i="10"/>
  <c r="C64" i="9"/>
  <c r="C63" i="9"/>
  <c r="I65" i="9"/>
  <c r="G52" i="9"/>
  <c r="F34" i="9"/>
  <c r="O7" i="9"/>
  <c r="G60" i="9"/>
  <c r="F39" i="9"/>
  <c r="Q33" i="9"/>
  <c r="X13" i="10"/>
  <c r="E29" i="9"/>
  <c r="W29" i="9"/>
  <c r="E64" i="9"/>
  <c r="Z8" i="9"/>
  <c r="C8" i="9"/>
  <c r="N64" i="9"/>
  <c r="H7" i="9"/>
  <c r="G45" i="10"/>
  <c r="X14" i="10"/>
  <c r="G32" i="9"/>
  <c r="F26" i="10"/>
  <c r="O32" i="9"/>
  <c r="H39" i="9"/>
  <c r="X7" i="9"/>
  <c r="Z29" i="9"/>
  <c r="I29" i="9"/>
  <c r="M64" i="9"/>
  <c r="C45" i="10"/>
  <c r="H34" i="9"/>
  <c r="M8" i="9"/>
  <c r="L63" i="9"/>
  <c r="N60" i="9"/>
  <c r="E60" i="9"/>
  <c r="F8" i="10"/>
  <c r="V7" i="9"/>
  <c r="N33" i="9"/>
  <c r="R23" i="10"/>
  <c r="I39" i="9"/>
  <c r="D34" i="9"/>
  <c r="R29" i="9"/>
  <c r="G15" i="10"/>
  <c r="F33" i="9"/>
  <c r="H52" i="9"/>
  <c r="E7" i="9"/>
  <c r="L64" i="9"/>
  <c r="G39" i="9"/>
  <c r="V29" i="9"/>
  <c r="V34" i="9"/>
  <c r="I52" i="9"/>
  <c r="I33" i="9"/>
  <c r="P16" i="10"/>
  <c r="U7" i="9"/>
  <c r="G14" i="10"/>
  <c r="V32" i="9"/>
  <c r="G44" i="10"/>
  <c r="O25" i="10"/>
  <c r="L45" i="10"/>
  <c r="W26" i="10"/>
  <c r="D32" i="9"/>
  <c r="C34" i="9"/>
  <c r="P14" i="10"/>
  <c r="R32" i="9"/>
  <c r="M28" i="10"/>
  <c r="M29" i="9"/>
  <c r="Z33" i="9"/>
  <c r="N13" i="10"/>
  <c r="I44" i="10"/>
  <c r="H8" i="9"/>
  <c r="L17" i="9"/>
  <c r="X33" i="9"/>
  <c r="R26" i="10"/>
  <c r="C53" i="9"/>
  <c r="P29" i="9"/>
  <c r="F64" i="9"/>
  <c r="E32" i="9"/>
  <c r="U29" i="9"/>
  <c r="I64" i="9"/>
  <c r="AA8" i="9"/>
  <c r="G34" i="9"/>
  <c r="W32" i="9"/>
  <c r="D52" i="9"/>
  <c r="L44" i="10"/>
  <c r="D60" i="9"/>
  <c r="I24" i="10"/>
  <c r="P32" i="9"/>
  <c r="E52" i="9"/>
  <c r="C19" i="10"/>
  <c r="M63" i="9"/>
  <c r="U32" i="9"/>
  <c r="D38" i="9"/>
  <c r="H17" i="10"/>
  <c r="G63" i="9"/>
  <c r="I63" i="9"/>
  <c r="U8" i="9"/>
  <c r="L65" i="9"/>
  <c r="O13" i="10"/>
  <c r="M65" i="9"/>
  <c r="Z13" i="10"/>
  <c r="X29" i="9"/>
  <c r="I45" i="10"/>
  <c r="I8" i="9"/>
  <c r="I38" i="9"/>
  <c r="C60" i="9"/>
  <c r="H13" i="10"/>
  <c r="Y33" i="9"/>
  <c r="R20" i="9"/>
  <c r="W22" i="10"/>
  <c r="F19" i="10"/>
  <c r="V33" i="9"/>
  <c r="O29" i="9"/>
  <c r="L61" i="9"/>
  <c r="H44" i="10"/>
  <c r="L25" i="10"/>
  <c r="H60" i="9"/>
  <c r="G64" i="9"/>
  <c r="W8" i="9"/>
  <c r="E34" i="9"/>
  <c r="Y28" i="10"/>
  <c r="D7" i="9"/>
  <c r="E63" i="9"/>
  <c r="Q13" i="10"/>
  <c r="E33" i="9"/>
  <c r="AA32" i="9"/>
  <c r="O22" i="9"/>
  <c r="H38" i="9"/>
  <c r="F38" i="9"/>
  <c r="E45" i="10"/>
  <c r="E8" i="9"/>
  <c r="L7" i="9"/>
  <c r="D8" i="9"/>
  <c r="D45" i="10"/>
  <c r="P33" i="9"/>
  <c r="D63" i="9"/>
  <c r="D23" i="10"/>
  <c r="F52" i="9"/>
  <c r="Y29" i="9"/>
  <c r="W33" i="9"/>
  <c r="Y32" i="9"/>
  <c r="O14" i="10"/>
  <c r="D13" i="10"/>
  <c r="D44" i="10"/>
  <c r="G61" i="3" l="1"/>
  <c r="H60" i="3"/>
  <c r="H61" i="3" l="1"/>
  <c r="G62" i="3"/>
  <c r="H62" i="3" s="1"/>
</calcChain>
</file>

<file path=xl/sharedStrings.xml><?xml version="1.0" encoding="utf-8"?>
<sst xmlns="http://schemas.openxmlformats.org/spreadsheetml/2006/main" count="1073" uniqueCount="266">
  <si>
    <t>Entrez :Enter :</t>
  </si>
  <si>
    <t xml:space="preserve"> </t>
  </si>
  <si>
    <t>H</t>
  </si>
  <si>
    <t>XX</t>
  </si>
  <si>
    <t>S. H.</t>
  </si>
  <si>
    <t>TRC</t>
  </si>
  <si>
    <t>SCH</t>
  </si>
  <si>
    <t>MTG</t>
  </si>
  <si>
    <t>Names</t>
  </si>
  <si>
    <t>X</t>
  </si>
  <si>
    <t>S.H.</t>
  </si>
  <si>
    <t>BROWER</t>
  </si>
  <si>
    <t>D</t>
  </si>
  <si>
    <t>C/D</t>
  </si>
  <si>
    <t>C</t>
  </si>
  <si>
    <t>WK</t>
  </si>
  <si>
    <t>CYC</t>
  </si>
  <si>
    <t>QTR</t>
  </si>
  <si>
    <t>W</t>
  </si>
  <si>
    <t>Tactics &amp; Routines</t>
  </si>
  <si>
    <t>Targets</t>
  </si>
  <si>
    <t>Sale Projected $</t>
  </si>
  <si>
    <t>PnLPlanned Sales</t>
  </si>
  <si>
    <t>Av. Wage (W/O Stat Hol. $</t>
  </si>
  <si>
    <t>Stat. Holiday $</t>
  </si>
  <si>
    <t>Projected Labour %</t>
  </si>
  <si>
    <t>Projected Guest Counts</t>
  </si>
  <si>
    <t>Targeted  TPCH</t>
  </si>
  <si>
    <t>Projected Hours allowed</t>
  </si>
  <si>
    <t>Salary Holidays / Classes (Hours)</t>
  </si>
  <si>
    <t>Projected TPCH</t>
  </si>
  <si>
    <t>P&amp;L Planned Labour %</t>
  </si>
  <si>
    <t>Date</t>
  </si>
  <si>
    <t>First</t>
  </si>
  <si>
    <t>Weekday of First</t>
  </si>
  <si>
    <t>Month</t>
  </si>
  <si>
    <t>WEEK</t>
  </si>
  <si>
    <t xml:space="preserve">
</t>
  </si>
  <si>
    <t>Special Events - Owner Operator/Supervisor/Ops Consultant Dates:</t>
  </si>
  <si>
    <t>Date:</t>
  </si>
  <si>
    <t>Time</t>
  </si>
  <si>
    <t>Descriptions</t>
  </si>
  <si>
    <t>FRI</t>
  </si>
  <si>
    <t>=IF(ISERROR(INDEX('Enter (Vac BFs TrCl MB'!$E$7:$AU$37,MATCH('5 Weeks Sun Week Start'!$b13,'Enter (Vac BFs TrCl MB'!$D$7:$D$37,FALSE),MATCH('5 Weeks Sun Week Start'!C$11,'Enter (Vac BFs TrCl MB'!$E$6:$AU$6,FALSE))),"",(INDEX('Enter (Vac BFs TrCl MB'!$E$7:$AU$37,MATCH('5 Weeks Sun Week Start'!$B13,'Enter (Vac BFs TrCl MB'!$D$7:$D$37,FALSE),MATCH('5 Weeks Sun Week Start'!C$11,'Enter (Vac BFs TrCl MB'!$E$7:$AU$7,FALSE))))</t>
  </si>
  <si>
    <t>=IF(ISERROR(INDEX('Enter (Vac BFs TrCl MB'!$e$7:$AU$37,MATCH('5 Weeks Mon Week Start'!$B14,'Enter (Vac BFs TrCl MB'!$D$7:$D$37,FALSE),MATCH('5 Weeks Mon Week Start'!C$11,'Enter (Vac BFs TrCl MB'!$F$6:$AU$6,FALSE))),"",(INDEX('Enter (Vac BFs TrCl MB'!$F$7:$AU$37,MATCH('5 Weeks Mon Week Start'!$B14,'Enter (Vac BFs TrCl MB'!$D$7:$D$37,FALSE),MATCH('5 Weeks Mon Week Start'!C$11,'Enter (Vac BFs TrCl MB'!$F$6:$AU$6,FALSE))))</t>
  </si>
  <si>
    <t>Amanda  on vacation</t>
  </si>
  <si>
    <t>Leader as a coach workshop  10-2     Min. 12 people</t>
  </si>
  <si>
    <t>Jenn to review Dathan's vacation plan and approve</t>
  </si>
  <si>
    <t>Brittney to review Amanda's vacation planner and approve</t>
  </si>
  <si>
    <t>GEL training 8 hrs Fatemeh and Harshita</t>
  </si>
  <si>
    <t>Focus group for 5483</t>
  </si>
  <si>
    <t>VALENTINE'S DAY</t>
  </si>
  <si>
    <t>Treat weekend</t>
  </si>
  <si>
    <t xml:space="preserve">Kitchen Excellence visit 10am 1808- 4 mgrs </t>
  </si>
  <si>
    <t>Awards due</t>
  </si>
  <si>
    <t>Probation reviews out and entered</t>
  </si>
  <si>
    <t>FAMILY DAY STAT DAY</t>
  </si>
  <si>
    <t>Training Plan due to Diane to review at Forecasting or at meeting TBD</t>
  </si>
  <si>
    <t>Schedule Day</t>
  </si>
  <si>
    <t>Akansha AYC</t>
  </si>
  <si>
    <t>those hired before Jan.1</t>
  </si>
  <si>
    <t xml:space="preserve">Crew reviews to be complete  </t>
  </si>
  <si>
    <t>Senior Cheques out</t>
  </si>
  <si>
    <t xml:space="preserve">Jenn and  Britt    </t>
  </si>
  <si>
    <t>vacation prep due on this day</t>
  </si>
  <si>
    <t xml:space="preserve">Kitchen Excellence visit Nasis 10am 4 mgrs </t>
  </si>
  <si>
    <t>High school assesments start-LEO</t>
  </si>
  <si>
    <t>Month End</t>
  </si>
  <si>
    <t>Shrove Tuesday-Pancake Day</t>
  </si>
  <si>
    <t>Ashley and Dathan on vacation</t>
  </si>
  <si>
    <t>Jenn operations  day 9-3</t>
  </si>
  <si>
    <t>Britt operations day 9-3</t>
  </si>
  <si>
    <t>Brittney</t>
  </si>
  <si>
    <t>Jayda</t>
  </si>
  <si>
    <t>Harkaml</t>
  </si>
  <si>
    <t>Chehal</t>
  </si>
  <si>
    <t>Alex</t>
  </si>
  <si>
    <t>Akansha</t>
  </si>
  <si>
    <t>Kiran</t>
  </si>
  <si>
    <t>Mahshid</t>
  </si>
  <si>
    <t>Harry</t>
  </si>
  <si>
    <t>Parm</t>
  </si>
  <si>
    <t>Harmik</t>
  </si>
  <si>
    <t>Ruby</t>
  </si>
  <si>
    <t>Taran</t>
  </si>
  <si>
    <t>Jinse</t>
  </si>
  <si>
    <t>Marija</t>
  </si>
  <si>
    <t>Ravneet</t>
  </si>
  <si>
    <t>Open/close</t>
  </si>
  <si>
    <t xml:space="preserve">TL </t>
  </si>
  <si>
    <t>Lakshay</t>
  </si>
  <si>
    <t>AMANDA</t>
  </si>
  <si>
    <t>CORA</t>
  </si>
  <si>
    <t>PURNIMA</t>
  </si>
  <si>
    <t>JUAN</t>
  </si>
  <si>
    <t xml:space="preserve">PURNIMA </t>
  </si>
  <si>
    <t>11-7</t>
  </si>
  <si>
    <t>IN</t>
  </si>
  <si>
    <t>INOD</t>
  </si>
  <si>
    <t>IN2-10AM</t>
  </si>
  <si>
    <t>FEB</t>
  </si>
  <si>
    <t>2-10</t>
  </si>
  <si>
    <t>2-10IN</t>
  </si>
  <si>
    <t>10-6</t>
  </si>
  <si>
    <t>7-3</t>
  </si>
  <si>
    <t>4-12</t>
  </si>
  <si>
    <t>12-8</t>
  </si>
  <si>
    <t>7-3MB</t>
  </si>
  <si>
    <t>AKANSHA</t>
  </si>
  <si>
    <t>MEND</t>
  </si>
  <si>
    <t>6-2</t>
  </si>
  <si>
    <t>5-1</t>
  </si>
  <si>
    <t>3-11</t>
  </si>
  <si>
    <t>9-5</t>
  </si>
  <si>
    <t>11-7WM</t>
  </si>
  <si>
    <t>7-3DEL</t>
  </si>
  <si>
    <t>4-12DEL</t>
  </si>
  <si>
    <t>OVN</t>
  </si>
  <si>
    <t>JON</t>
  </si>
  <si>
    <t>MID</t>
  </si>
  <si>
    <t>6-2MB</t>
  </si>
  <si>
    <t>12-8IN</t>
  </si>
  <si>
    <t>6-2TRC</t>
  </si>
  <si>
    <t>10-6TR</t>
  </si>
  <si>
    <t>10-2TRC</t>
  </si>
  <si>
    <t>8-4</t>
  </si>
  <si>
    <t>7-3TRC</t>
  </si>
  <si>
    <t xml:space="preserve">MARCH </t>
  </si>
  <si>
    <t>INDD8-4</t>
  </si>
  <si>
    <t>9-5MB</t>
  </si>
  <si>
    <t>IN3-11</t>
  </si>
  <si>
    <t>SUPERBOWL</t>
  </si>
  <si>
    <t>5-11</t>
  </si>
  <si>
    <t>11-7IN</t>
  </si>
  <si>
    <t>IN9-5</t>
  </si>
  <si>
    <t>6-2MID</t>
  </si>
  <si>
    <t>SL ALLSTAR</t>
  </si>
  <si>
    <t>INCENTIVE</t>
  </si>
  <si>
    <t>11-2</t>
  </si>
  <si>
    <t>MGR</t>
  </si>
  <si>
    <t>2PM</t>
  </si>
  <si>
    <t>DEPARTMENT</t>
  </si>
  <si>
    <t>3PM</t>
  </si>
  <si>
    <t>AKANSHA BROWER ORDER 2-4</t>
  </si>
  <si>
    <t>ALEX 130-3 OTP/ MAINTENANCE FOLLOWUP</t>
  </si>
  <si>
    <t>HARKAMAL INTERVIEW FROM 2-5PM</t>
  </si>
  <si>
    <t>HARKAMAL INTERVIREW FROM 2-4</t>
  </si>
  <si>
    <t xml:space="preserve">HARKAMAL COMPLETE LGR PRE WORK </t>
  </si>
  <si>
    <t>BRITT MEET WITH HARKAMAL FOR PD UPDATE</t>
  </si>
  <si>
    <t>2-10CTW</t>
  </si>
  <si>
    <t>10-6TRC</t>
  </si>
  <si>
    <t xml:space="preserve">KITCHEN </t>
  </si>
  <si>
    <t>EECELLENCE</t>
  </si>
  <si>
    <t>9-5TRC</t>
  </si>
  <si>
    <t>INMFSV</t>
  </si>
  <si>
    <t>2-10INT</t>
  </si>
  <si>
    <t>AYC</t>
  </si>
  <si>
    <t>INMM</t>
  </si>
  <si>
    <t>7-10</t>
  </si>
  <si>
    <t>NAS</t>
  </si>
  <si>
    <t>5-1ME/MB</t>
  </si>
  <si>
    <t>HOT HONEY MCCRISPY END</t>
  </si>
  <si>
    <t>SAIKAM SWIRL MCFURRY ENDS</t>
  </si>
  <si>
    <t>MCCAFE REFRESH</t>
  </si>
  <si>
    <t>BRITT TO REVIEW AMANDAS VACATION PLANNER</t>
  </si>
  <si>
    <t>BRITT OPERATIONS DAY WITH DOREEN</t>
  </si>
  <si>
    <t>BRITT TUNE UP</t>
  </si>
  <si>
    <t>BURRITO MERCH TAKEN DOWN</t>
  </si>
  <si>
    <t>CHEHAL ANALYZE PREVIOUS WEEK RESULTS</t>
  </si>
  <si>
    <t>AND UPDATE GE BOARD- COMMUNICATE TO TEAM</t>
  </si>
  <si>
    <t>CHEHAL UPDATE GUEST EXPEREIENCE BOARD AND ANALYZE WEEKLY DELIVERY 2-4</t>
  </si>
  <si>
    <t>2-4</t>
  </si>
  <si>
    <t>BRITT ONE ON ONE WITH HARKAMAL</t>
  </si>
  <si>
    <t>DEPARTMENT MEETING</t>
  </si>
  <si>
    <t>XMTG</t>
  </si>
  <si>
    <t xml:space="preserve">BRITT AND ALEX MEET WITH MAINTANCE TEAM  </t>
  </si>
  <si>
    <t xml:space="preserve">9AM </t>
  </si>
  <si>
    <t xml:space="preserve">ALEX COMPLETE OTP/MAINTENACE FOLLOW UP </t>
  </si>
  <si>
    <t>BRITT OPERATIONS DAY WITH DOREEN-TUNE-UP</t>
  </si>
  <si>
    <t xml:space="preserve">HARKAMAL INTERVIEW WITH BRITT </t>
  </si>
  <si>
    <t>FEB9-11</t>
  </si>
  <si>
    <t>TREAT WEEKEND</t>
  </si>
  <si>
    <t xml:space="preserve"> DEPARTMENT MEETING 3PM</t>
  </si>
  <si>
    <t>LEADERSHIP ALL STARS INCENTIVE STARTS</t>
  </si>
  <si>
    <t xml:space="preserve">BRITT ONE ONE ONE WITH KRIAN, RUBY , HARMIK </t>
  </si>
  <si>
    <t xml:space="preserve">PANCAKE </t>
  </si>
  <si>
    <t xml:space="preserve">DAY </t>
  </si>
  <si>
    <t>ONE ON ONE WIRTH JAYDA HARKAMAL, AKANSHA, ALEX</t>
  </si>
  <si>
    <t>BRITT ONE ON ONE WITH CHEHAL AND JINSE, HARRY</t>
  </si>
  <si>
    <t xml:space="preserve">KITCHEN EXCELLENCE </t>
  </si>
  <si>
    <t>ONE ONE ONE WITH ALEX AND CHEHAL</t>
  </si>
  <si>
    <t>ONE ON ONE WITH JAYDA AND HARKAMAL</t>
  </si>
  <si>
    <t>4-12OTP</t>
  </si>
  <si>
    <t>PARM</t>
  </si>
  <si>
    <t>3-11WM</t>
  </si>
  <si>
    <t>LAKSHAY</t>
  </si>
  <si>
    <t>HARRY</t>
  </si>
  <si>
    <t>630-3</t>
  </si>
  <si>
    <t>RUBY</t>
  </si>
  <si>
    <t>3-11MID</t>
  </si>
  <si>
    <t>MARCH</t>
  </si>
  <si>
    <t>MAINTANCE</t>
  </si>
  <si>
    <t>ORIENTATION</t>
  </si>
  <si>
    <t>BRITT PRODUCTION VERIFICATION ON HARKAMAL</t>
  </si>
  <si>
    <t xml:space="preserve">BRITT PRODUCTION VERIFICATION ON CHEHAL </t>
  </si>
  <si>
    <t xml:space="preserve">CHEHAL </t>
  </si>
  <si>
    <t>JAYDA VER KIRAN SUPPER PRODUCTION</t>
  </si>
  <si>
    <t xml:space="preserve">JAYDA PRODUCTION VERIFICATION ON </t>
  </si>
  <si>
    <t>MAHSHID</t>
  </si>
  <si>
    <t>JAYDA VERIFICATION PRODUCTION RUBY</t>
  </si>
  <si>
    <t>IN11-7</t>
  </si>
  <si>
    <t xml:space="preserve">BRITT PRODUCTION VERIFICATION ON </t>
  </si>
  <si>
    <t>JAYDA SUPPER</t>
  </si>
  <si>
    <t>DELIME</t>
  </si>
  <si>
    <t>TFI CLN</t>
  </si>
  <si>
    <t>BRIT SERVICE 11-2 LAKSHAY</t>
  </si>
  <si>
    <t>BRITT LUNCH PRODUCTION VERIFICATION</t>
  </si>
  <si>
    <t>ALEX</t>
  </si>
  <si>
    <t xml:space="preserve">JAYDA PRODUCTION VERIFICATION </t>
  </si>
  <si>
    <t>TARAN</t>
  </si>
  <si>
    <t>JAYDA SHIFT VER ON HARMIK</t>
  </si>
  <si>
    <t>BRITT SERVICE VER ON LAKSHAY LUNCH</t>
  </si>
  <si>
    <t>BRITT SHIFT VER JINSE LUNCH</t>
  </si>
  <si>
    <t>BRITT SHIFT VERIFICAION ON JAYDA LUNCH JAYDA SHIFT VERIFICATION ON TARAN</t>
  </si>
  <si>
    <t>3-11NAS</t>
  </si>
  <si>
    <t>JAYDA SUPPER SHIFT KIRAN</t>
  </si>
  <si>
    <t>WM MTG</t>
  </si>
  <si>
    <t xml:space="preserve">PINK SHIRT </t>
  </si>
  <si>
    <t>DAY</t>
  </si>
  <si>
    <t xml:space="preserve">FEB 7TH </t>
  </si>
  <si>
    <t>GEL TRAINING DO NOT SCHEDULE HARSH</t>
  </si>
  <si>
    <t>DO NOT SCHEDULE HARSH</t>
  </si>
  <si>
    <t>END</t>
  </si>
  <si>
    <t>TREAT WEEKEND VALENTINE THEME WEEKEND</t>
  </si>
  <si>
    <t>TAYLOR AND TRAVIS WEEKEND</t>
  </si>
  <si>
    <t>7PM</t>
  </si>
  <si>
    <t>VDAY</t>
  </si>
  <si>
    <t>BRITTWORKING 10-3 THEN 7-11</t>
  </si>
  <si>
    <t xml:space="preserve">TREAT </t>
  </si>
  <si>
    <t>FAM ALL</t>
  </si>
  <si>
    <t>SHAM</t>
  </si>
  <si>
    <t>SHAKE</t>
  </si>
  <si>
    <t>SENIOR</t>
  </si>
  <si>
    <t>CHQ</t>
  </si>
  <si>
    <t xml:space="preserve">FEB 27TH </t>
  </si>
  <si>
    <t>11-7H&amp;/S</t>
  </si>
  <si>
    <t>LAKSAY</t>
  </si>
  <si>
    <t>IN4-12</t>
  </si>
  <si>
    <t>630-3WMN</t>
  </si>
  <si>
    <t>8-4TRC</t>
  </si>
  <si>
    <t>11-7NAS</t>
  </si>
  <si>
    <t>INWM</t>
  </si>
  <si>
    <t>11-7MTG</t>
  </si>
  <si>
    <t>FEB 9-11</t>
  </si>
  <si>
    <t>KITCHEN EXCELLENCE - ANTHONY IN TOWN</t>
  </si>
  <si>
    <t>MONDAYS ONE ON ONE WITH AMANDA</t>
  </si>
  <si>
    <t>2-3</t>
  </si>
  <si>
    <t>FEB 28TH</t>
  </si>
  <si>
    <t>WALMART MANAGER MEETING</t>
  </si>
  <si>
    <t>PROSPECT</t>
  </si>
  <si>
    <t>REGENT</t>
  </si>
  <si>
    <t>FAID</t>
  </si>
  <si>
    <t>9-5FAID</t>
  </si>
  <si>
    <t>11-7FAID</t>
  </si>
  <si>
    <t>OVN8-4</t>
  </si>
  <si>
    <t>RAVNEET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</si>
</sst>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_);_(&quot;$&quot;* \(#,##0\);_(&quot;$&quot;* &quot;-&quot;_);_(@_)"/>
    <numFmt numFmtId="165" formatCode="_(&quot;$&quot;* #,##0.00_);_(&quot;$&quot;* \(#,##0.00\);_(&quot;$&quot;* &quot;-&quot;??_);_(@_)"/>
    <numFmt numFmtId="166" formatCode="d"/>
    <numFmt numFmtId="167" formatCode="ddd"/>
    <numFmt numFmtId="168" formatCode="&quot;$&quot;#,##0.00"/>
    <numFmt numFmtId="169" formatCode="&quot;$&quot;#,##0"/>
    <numFmt numFmtId="170" formatCode="mmmm\ yyyy"/>
    <numFmt numFmtId="171" formatCode="[$-409]mmmm\ d\,\ yyyy;@"/>
    <numFmt numFmtId="172" formatCode="m/d;@"/>
  </numFmts>
  <fonts count="113">
    <font>
      <sz val="11"/>
      <color theme="1"/>
      <name val="Calibri"/>
      <family val="2"/>
      <scheme val="minor"/>
    </font>
    <font>
      <sz val="11"/>
      <color theme="1"/>
      <name val="Speedee"/>
      <family val="2"/>
    </font>
    <font>
      <b/>
      <sz val="10"/>
      <color theme="1" tint="4.9989318521683403E-2"/>
      <name val="Speedee"/>
      <family val="2"/>
    </font>
    <font>
      <sz val="10"/>
      <color theme="1" tint="4.9989318521683403E-2"/>
      <name val="Speedee"/>
      <family val="2"/>
    </font>
    <font>
      <sz val="10"/>
      <name val="Speedee"/>
      <family val="2"/>
    </font>
    <font>
      <sz val="11"/>
      <color rgb="FF000000"/>
      <name val="Speedee"/>
      <family val="2"/>
    </font>
    <font>
      <sz val="11"/>
      <color theme="1"/>
      <name val="Calibri"/>
      <family val="2"/>
      <scheme val="minor"/>
    </font>
    <font>
      <b/>
      <sz val="11"/>
      <color theme="1"/>
      <name val="Calibri"/>
      <family val="2"/>
      <scheme val="minor"/>
    </font>
    <font>
      <b/>
      <sz val="11"/>
      <color theme="1" tint="4.9989318521683403E-2"/>
      <name val="Speedee"/>
      <family val="2"/>
    </font>
    <font>
      <b/>
      <sz val="14"/>
      <color theme="1" tint="4.9989318521683403E-2"/>
      <name val="Speedee"/>
      <family val="2"/>
    </font>
    <font>
      <b/>
      <sz val="14"/>
      <color theme="1"/>
      <name val="Speedee"/>
      <family val="2"/>
    </font>
    <font>
      <b/>
      <sz val="15"/>
      <color theme="3"/>
      <name val="Calibri"/>
      <family val="2"/>
      <scheme val="minor"/>
    </font>
    <font>
      <sz val="10"/>
      <name val="Arial"/>
      <family val="2"/>
    </font>
    <font>
      <b/>
      <sz val="10"/>
      <name val="Speedee"/>
      <family val="2"/>
    </font>
    <font>
      <b/>
      <sz val="14"/>
      <name val="Speedee"/>
      <family val="2"/>
    </font>
    <font>
      <u/>
      <sz val="10"/>
      <color theme="10"/>
      <name val="Arial"/>
      <family val="2"/>
    </font>
    <font>
      <b/>
      <sz val="16"/>
      <color theme="1" tint="4.9989318521683403E-2"/>
      <name val="Calibri"/>
      <family val="2"/>
      <scheme val="minor"/>
    </font>
    <font>
      <b/>
      <sz val="12"/>
      <color theme="1" tint="4.9989318521683403E-2"/>
      <name val="Calibri"/>
      <family val="2"/>
      <scheme val="minor"/>
    </font>
    <font>
      <sz val="10"/>
      <name val="Century Gothic"/>
      <family val="2"/>
    </font>
    <font>
      <sz val="9"/>
      <color theme="1" tint="4.9989318521683403E-2"/>
      <name val="Calibri"/>
      <family val="2"/>
      <scheme val="minor"/>
    </font>
    <font>
      <sz val="18"/>
      <color theme="1" tint="4.9989318521683403E-2"/>
      <name val="Speedee"/>
      <family val="2"/>
    </font>
    <font>
      <sz val="9"/>
      <color theme="0"/>
      <name val="Calibri"/>
      <family val="2"/>
      <scheme val="minor"/>
    </font>
    <font>
      <b/>
      <sz val="11"/>
      <name val="Speedee"/>
      <family val="2"/>
    </font>
    <font>
      <sz val="11"/>
      <name val="Speedee"/>
      <family val="2"/>
    </font>
    <font>
      <b/>
      <sz val="12"/>
      <color theme="1"/>
      <name val="Speedee"/>
      <family val="2"/>
    </font>
    <font>
      <b/>
      <sz val="12"/>
      <name val="Speedee"/>
      <family val="2"/>
    </font>
    <font>
      <sz val="12"/>
      <name val="Speedee"/>
      <family val="2"/>
    </font>
    <font>
      <b/>
      <sz val="7"/>
      <name val="Arial"/>
      <family val="2"/>
    </font>
    <font>
      <b/>
      <sz val="36"/>
      <color theme="1" tint="4.9989318521683403E-2"/>
      <name val="Speedee"/>
      <family val="2"/>
    </font>
    <font>
      <sz val="12"/>
      <color theme="1"/>
      <name val="Speedee"/>
      <family val="2"/>
    </font>
    <font>
      <b/>
      <sz val="6"/>
      <name val="Speedee"/>
      <family val="2"/>
    </font>
    <font>
      <sz val="10"/>
      <color theme="1"/>
      <name val="Speedee"/>
      <family val="2"/>
    </font>
    <font>
      <sz val="11"/>
      <color rgb="FFFF0000"/>
      <name val="Speedee"/>
      <family val="2"/>
    </font>
    <font>
      <sz val="36"/>
      <color theme="1" tint="4.9989318521683403E-2"/>
      <name val="Speedee"/>
      <family val="2"/>
    </font>
    <font>
      <sz val="16"/>
      <color theme="1"/>
      <name val="Speedee"/>
      <family val="2"/>
    </font>
    <font>
      <sz val="14"/>
      <name val="Speedee"/>
      <family val="2"/>
    </font>
    <font>
      <sz val="16"/>
      <color theme="1"/>
      <name val="Calibri"/>
      <family val="2"/>
      <scheme val="minor"/>
    </font>
    <font>
      <b/>
      <sz val="24"/>
      <color theme="3" tint="0.79998168889431442"/>
      <name val="Speedee"/>
      <family val="2"/>
    </font>
    <font>
      <b/>
      <sz val="22"/>
      <color theme="1"/>
      <name val="Speedee"/>
      <family val="2"/>
    </font>
    <font>
      <sz val="11"/>
      <color theme="0"/>
      <name val="Calibri"/>
      <family val="2"/>
      <scheme val="minor"/>
    </font>
    <font>
      <b/>
      <sz val="18"/>
      <color theme="1"/>
      <name val="Speedee"/>
      <family val="2"/>
    </font>
    <font>
      <sz val="11"/>
      <name val="Calibri"/>
      <family val="2"/>
      <scheme val="minor"/>
    </font>
    <font>
      <sz val="9"/>
      <name val="Speedee"/>
      <family val="2"/>
    </font>
    <font>
      <sz val="9"/>
      <color theme="1"/>
      <name val="Speedee"/>
      <family val="2"/>
    </font>
    <font>
      <sz val="14"/>
      <color theme="1"/>
      <name val="Calibri"/>
      <family val="2"/>
      <scheme val="minor"/>
    </font>
    <font>
      <b/>
      <sz val="11"/>
      <color rgb="FFC00000"/>
      <name val="Calibri"/>
      <family val="2"/>
      <scheme val="minor"/>
    </font>
    <font>
      <b/>
      <sz val="9"/>
      <color theme="1" tint="4.9989318521683403E-2"/>
      <name val="Speedee"/>
      <family val="2"/>
    </font>
    <font>
      <b/>
      <sz val="9"/>
      <color theme="1"/>
      <name val="Speedee"/>
      <family val="2"/>
    </font>
    <font>
      <b/>
      <sz val="10"/>
      <color theme="1"/>
      <name val="Speedee"/>
      <family val="2"/>
    </font>
    <font>
      <b/>
      <sz val="32"/>
      <color theme="1"/>
      <name val="Speedee"/>
      <family val="2"/>
    </font>
    <font>
      <sz val="16"/>
      <color rgb="FF000000"/>
      <name val="Speedee"/>
      <family val="2"/>
    </font>
    <font>
      <b/>
      <sz val="16"/>
      <color rgb="FFC00000"/>
      <name val="Speedee"/>
      <family val="2"/>
    </font>
    <font>
      <b/>
      <sz val="22"/>
      <color rgb="FF000000"/>
      <name val="Speedee"/>
      <family val="2"/>
    </font>
    <font>
      <sz val="16"/>
      <name val="Speedee"/>
      <family val="2"/>
    </font>
    <font>
      <b/>
      <sz val="10"/>
      <color theme="0" tint="-0.499984740745262"/>
      <name val="Speedee"/>
      <family val="2"/>
    </font>
    <font>
      <sz val="8"/>
      <color theme="1"/>
      <name val="Speedee"/>
      <family val="2"/>
    </font>
    <font>
      <b/>
      <sz val="11"/>
      <color rgb="FFC00000"/>
      <name val="Speedee"/>
      <family val="2"/>
    </font>
    <font>
      <b/>
      <sz val="13.5"/>
      <name val="Arial"/>
      <family val="2"/>
    </font>
    <font>
      <b/>
      <u/>
      <sz val="13.5"/>
      <color theme="1" tint="4.9989318521683403E-2"/>
      <name val="Speedee"/>
      <family val="2"/>
    </font>
    <font>
      <b/>
      <sz val="22"/>
      <color theme="1" tint="4.9989318521683403E-2"/>
      <name val="Speedee"/>
      <family val="2"/>
    </font>
    <font>
      <b/>
      <sz val="22"/>
      <color rgb="FFFF0000"/>
      <name val="Speedee"/>
      <family val="2"/>
    </font>
    <font>
      <b/>
      <sz val="36"/>
      <color theme="4" tint="-0.499984740745262"/>
      <name val="Speedee"/>
      <family val="2"/>
    </font>
    <font>
      <b/>
      <u/>
      <sz val="10"/>
      <color theme="1" tint="4.9989318521683403E-2"/>
      <name val="Speedee"/>
      <family val="2"/>
    </font>
    <font>
      <b/>
      <u/>
      <sz val="10"/>
      <name val="Speedee"/>
      <family val="2"/>
    </font>
    <font>
      <b/>
      <u/>
      <sz val="10"/>
      <color theme="1"/>
      <name val="Speedee"/>
      <family val="2"/>
    </font>
    <font>
      <b/>
      <sz val="11"/>
      <color rgb="FFFF0000"/>
      <name val="Speedee"/>
      <family val="2"/>
    </font>
    <font>
      <u/>
      <sz val="10"/>
      <color theme="10"/>
      <name val="Speedee"/>
      <family val="2"/>
    </font>
    <font>
      <b/>
      <sz val="36"/>
      <color theme="0"/>
      <name val="Speedee"/>
      <family val="2"/>
    </font>
    <font>
      <b/>
      <sz val="16"/>
      <color theme="1"/>
      <name val="Speedee"/>
      <family val="2"/>
    </font>
    <font>
      <u/>
      <sz val="20"/>
      <name val="Speedee"/>
      <family val="2"/>
    </font>
    <font>
      <b/>
      <sz val="18"/>
      <name val="Speedee"/>
      <family val="2"/>
    </font>
    <font>
      <b/>
      <sz val="72"/>
      <color theme="0"/>
      <name val="Speedee"/>
      <family val="2"/>
    </font>
    <font>
      <b/>
      <sz val="72"/>
      <color theme="1" tint="4.9989318521683403E-2"/>
      <name val="Speedee"/>
      <family val="2"/>
    </font>
    <font>
      <sz val="72"/>
      <color theme="1" tint="4.9989318521683403E-2"/>
      <name val="Speedee"/>
      <family val="2"/>
    </font>
    <font>
      <b/>
      <sz val="20"/>
      <color theme="1"/>
      <name val="Speedee"/>
      <family val="2"/>
    </font>
    <font>
      <b/>
      <sz val="20"/>
      <name val="Speedee"/>
      <family val="2"/>
    </font>
    <font>
      <sz val="20"/>
      <name val="Speedee"/>
      <family val="2"/>
    </font>
    <font>
      <b/>
      <sz val="20"/>
      <color theme="1" tint="0.14999847407452621"/>
      <name val="Speedee"/>
      <family val="2"/>
    </font>
    <font>
      <u/>
      <sz val="20"/>
      <color theme="10"/>
      <name val="Arial"/>
      <family val="2"/>
    </font>
    <font>
      <b/>
      <sz val="28"/>
      <color theme="0"/>
      <name val="Speedee"/>
      <family val="2"/>
    </font>
    <font>
      <b/>
      <sz val="32"/>
      <color theme="0"/>
      <name val="Speedee"/>
      <family val="2"/>
    </font>
    <font>
      <sz val="36"/>
      <color theme="0"/>
      <name val="Speedee"/>
      <family val="2"/>
    </font>
    <font>
      <b/>
      <u/>
      <sz val="14"/>
      <color theme="10"/>
      <name val="Speedee"/>
      <family val="2"/>
    </font>
    <font>
      <b/>
      <u/>
      <sz val="22"/>
      <color theme="4" tint="-0.249977111117893"/>
      <name val="Speedee"/>
      <family val="2"/>
    </font>
    <font>
      <b/>
      <sz val="11"/>
      <color theme="1"/>
      <name val="Speedee"/>
      <family val="2"/>
    </font>
    <font>
      <b/>
      <sz val="20"/>
      <color theme="0"/>
      <name val="Speedee"/>
      <family val="2"/>
    </font>
    <font>
      <b/>
      <sz val="22"/>
      <name val="Speedee"/>
      <family val="2"/>
    </font>
    <font>
      <b/>
      <sz val="26"/>
      <name val="Speedee"/>
      <family val="2"/>
    </font>
    <font>
      <b/>
      <sz val="14"/>
      <color theme="1"/>
      <name val="Calibri"/>
      <family val="2"/>
      <scheme val="minor"/>
    </font>
    <font>
      <b/>
      <sz val="26"/>
      <color rgb="FFC00000"/>
      <name val="Speedee"/>
      <family val="2"/>
    </font>
    <font>
      <b/>
      <sz val="12"/>
      <color rgb="FFC00000"/>
      <name val="Speedee"/>
      <family val="2"/>
    </font>
    <font>
      <sz val="8"/>
      <name val="Calibri"/>
      <family val="2"/>
      <scheme val="minor"/>
    </font>
    <font>
      <b/>
      <sz val="16"/>
      <name val="Speedee"/>
      <family val="2"/>
    </font>
    <font>
      <b/>
      <u/>
      <sz val="28"/>
      <color theme="10"/>
      <name val="Arial"/>
      <family val="2"/>
    </font>
    <font>
      <b/>
      <sz val="36"/>
      <name val="Speedee"/>
      <family val="2"/>
    </font>
    <font>
      <b/>
      <sz val="38"/>
      <name val="Speedee"/>
      <family val="2"/>
    </font>
    <font>
      <u/>
      <sz val="20"/>
      <color theme="10"/>
      <name val="Speedee"/>
      <family val="2"/>
    </font>
    <font>
      <b/>
      <u/>
      <sz val="20"/>
      <color theme="10"/>
      <name val="Speedee"/>
      <family val="2"/>
    </font>
    <font>
      <b/>
      <sz val="24"/>
      <color theme="1"/>
      <name val="Speedee"/>
      <family val="2"/>
    </font>
    <font>
      <sz val="11"/>
      <color theme="1" tint="4.9989318521683403E-2"/>
      <name val="Speedee"/>
      <family val="2"/>
    </font>
    <font>
      <b/>
      <u/>
      <sz val="12"/>
      <color theme="10"/>
      <name val="Speedee"/>
      <family val="2"/>
    </font>
    <font>
      <b/>
      <sz val="12"/>
      <color theme="1"/>
      <name val="Calibri"/>
      <family val="2"/>
      <scheme val="minor"/>
    </font>
    <font>
      <sz val="14"/>
      <color theme="1"/>
      <name val="Speedee"/>
      <family val="2"/>
    </font>
    <font>
      <b/>
      <u/>
      <sz val="18"/>
      <color theme="10"/>
      <name val="Speedee"/>
      <family val="2"/>
    </font>
    <font>
      <sz val="8"/>
      <color rgb="FF000000"/>
      <name val="Tahoma"/>
      <family val="2"/>
    </font>
    <font>
      <b/>
      <sz val="14"/>
      <name val="Speedee"/>
    </font>
    <font>
      <b/>
      <sz val="12"/>
      <name val="Speedee"/>
    </font>
    <font>
      <b/>
      <sz val="16"/>
      <name val="Calibri"/>
      <family val="2"/>
      <scheme val="minor"/>
    </font>
    <font>
      <b/>
      <sz val="9"/>
      <name val="Speedee"/>
      <family val="2"/>
    </font>
    <font>
      <b/>
      <sz val="12"/>
      <color rgb="FFFF0000"/>
      <name val="Speedee"/>
      <family val="2"/>
    </font>
    <font>
      <b/>
      <sz val="12"/>
      <color theme="0"/>
      <name val="Speedee"/>
      <family val="2"/>
    </font>
    <font>
      <b/>
      <sz val="8"/>
      <name val="Speedee"/>
      <family val="2"/>
    </font>
    <font>
      <b/>
      <sz val="10"/>
      <name val="Speedee"/>
    </font>
  </fonts>
  <fills count="47">
    <fill>
      <patternFill patternType="none"/>
    </fill>
    <fill>
      <patternFill patternType="gray125"/>
    </fill>
    <fill>
      <patternFill patternType="solid">
        <fgColor theme="7" tint="0.59999389629810485"/>
        <bgColor indexed="64"/>
      </patternFill>
    </fill>
    <fill>
      <patternFill patternType="solid">
        <fgColor rgb="FFFF7C80"/>
        <bgColor indexed="64"/>
      </patternFill>
    </fill>
    <fill>
      <patternFill patternType="solid">
        <fgColor rgb="FFFFC000"/>
        <bgColor indexed="64"/>
      </patternFill>
    </fill>
    <fill>
      <patternFill patternType="solid">
        <fgColor rgb="FFCCC0DA"/>
        <bgColor indexed="64"/>
      </patternFill>
    </fill>
    <fill>
      <patternFill patternType="solid">
        <fgColor rgb="FFFFFF00"/>
        <bgColor indexed="64"/>
      </patternFill>
    </fill>
    <fill>
      <patternFill patternType="solid">
        <fgColor theme="7"/>
        <bgColor indexed="64"/>
      </patternFill>
    </fill>
    <fill>
      <patternFill patternType="solid">
        <fgColor rgb="FFD6DCE4"/>
        <bgColor indexed="64"/>
      </patternFill>
    </fill>
    <fill>
      <patternFill patternType="solid">
        <fgColor theme="0" tint="-0.249977111117893"/>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rgb="FFFFFFD1"/>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indexed="2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BABABA"/>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rgb="FFBD0017"/>
        <bgColor indexed="64"/>
      </patternFill>
    </fill>
    <fill>
      <patternFill patternType="solid">
        <fgColor rgb="FFFFB81C"/>
        <bgColor indexed="64"/>
      </patternFill>
    </fill>
    <fill>
      <patternFill patternType="solid">
        <fgColor rgb="FFE04E39"/>
        <bgColor indexed="64"/>
      </patternFill>
    </fill>
    <fill>
      <patternFill patternType="solid">
        <fgColor rgb="FFE87722"/>
        <bgColor indexed="64"/>
      </patternFill>
    </fill>
    <fill>
      <patternFill patternType="solid">
        <fgColor rgb="FFB7BF10"/>
        <bgColor indexed="64"/>
      </patternFill>
    </fill>
    <fill>
      <patternFill patternType="solid">
        <fgColor rgb="FF00A7B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5"/>
        <bgColor indexed="64"/>
      </patternFill>
    </fill>
    <fill>
      <patternFill patternType="solid">
        <fgColor rgb="FFFF0000"/>
        <bgColor indexed="64"/>
      </patternFill>
    </fill>
    <fill>
      <patternFill patternType="solid">
        <fgColor rgb="FF89F7FF"/>
        <bgColor indexed="64"/>
      </patternFill>
    </fill>
    <fill>
      <patternFill patternType="solid">
        <fgColor theme="9" tint="0.79998168889431442"/>
        <bgColor indexed="64"/>
      </patternFill>
    </fill>
    <fill>
      <patternFill patternType="solid">
        <fgColor rgb="FFFAE1DE"/>
        <bgColor indexed="64"/>
      </patternFill>
    </fill>
    <fill>
      <patternFill patternType="solid">
        <fgColor rgb="FFFFCDCD"/>
        <bgColor indexed="64"/>
      </patternFill>
    </fill>
    <fill>
      <patternFill patternType="solid">
        <fgColor rgb="FF7354D8"/>
        <bgColor indexed="64"/>
      </patternFill>
    </fill>
    <fill>
      <patternFill patternType="solid">
        <fgColor rgb="FF0066FF"/>
        <bgColor indexed="64"/>
      </patternFill>
    </fill>
    <fill>
      <patternFill patternType="solid">
        <fgColor rgb="FFFF66FF"/>
        <bgColor indexed="64"/>
      </patternFill>
    </fill>
    <fill>
      <patternFill patternType="solid">
        <fgColor theme="9" tint="0.39997558519241921"/>
        <bgColor indexed="64"/>
      </patternFill>
    </fill>
    <fill>
      <patternFill patternType="solid">
        <fgColor rgb="FFF3B7AF"/>
        <bgColor indexed="64"/>
      </patternFill>
    </fill>
    <fill>
      <patternFill patternType="solid">
        <fgColor rgb="FFCC99FF"/>
        <bgColor indexed="64"/>
      </patternFill>
    </fill>
  </fills>
  <borders count="137">
    <border>
      <left/>
      <right/>
      <top/>
      <bottom/>
      <diagonal/>
    </border>
    <border>
      <left/>
      <right/>
      <top style="thin">
        <color indexed="64"/>
      </top>
      <bottom/>
      <diagonal/>
    </border>
    <border>
      <left/>
      <right/>
      <top/>
      <bottom style="thin">
        <color indexed="64"/>
      </bottom>
      <diagonal/>
    </border>
    <border>
      <left/>
      <right/>
      <top/>
      <bottom style="thick">
        <color theme="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499984740745262"/>
      </bottom>
      <diagonal/>
    </border>
    <border>
      <left style="thin">
        <color theme="0" tint="-0.249977111117893"/>
      </left>
      <right style="thin">
        <color theme="0" tint="-0.249977111117893"/>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34998626667073579"/>
      </top>
      <bottom style="thin">
        <color theme="0" tint="-0.249977111117893"/>
      </bottom>
      <diagonal/>
    </border>
    <border>
      <left style="thin">
        <color theme="0" tint="-0.249977111117893"/>
      </left>
      <right style="thin">
        <color theme="0" tint="-0.249977111117893"/>
      </right>
      <top/>
      <bottom style="thin">
        <color theme="0" tint="-0.34998626667073579"/>
      </bottom>
      <diagonal/>
    </border>
    <border>
      <left style="thin">
        <color theme="0" tint="-0.249977111117893"/>
      </left>
      <right/>
      <top/>
      <bottom/>
      <diagonal/>
    </border>
    <border>
      <left style="thin">
        <color theme="0" tint="-0.249977111117893"/>
      </left>
      <right/>
      <top/>
      <bottom style="thin">
        <color theme="0" tint="-0.34998626667073579"/>
      </bottom>
      <diagonal/>
    </border>
    <border>
      <left style="thin">
        <color theme="0" tint="-0.249977111117893"/>
      </left>
      <right/>
      <top style="thin">
        <color theme="0" tint="-0.499984740745262"/>
      </top>
      <bottom style="thin">
        <color theme="0" tint="-0.499984740745262"/>
      </bottom>
      <diagonal/>
    </border>
    <border>
      <left style="thin">
        <color theme="0" tint="-0.249977111117893"/>
      </left>
      <right/>
      <top style="thin">
        <color theme="0" tint="-0.499984740745262"/>
      </top>
      <bottom/>
      <diagonal/>
    </border>
    <border>
      <left style="thin">
        <color theme="0" tint="-0.249977111117893"/>
      </left>
      <right/>
      <top style="thin">
        <color theme="0" tint="-0.34998626667073579"/>
      </top>
      <bottom style="thin">
        <color theme="0" tint="-0.34998626667073579"/>
      </bottom>
      <diagonal/>
    </border>
    <border>
      <left style="thin">
        <color theme="0" tint="-0.249977111117893"/>
      </left>
      <right/>
      <top/>
      <bottom style="thin">
        <color theme="0" tint="-0.499984740745262"/>
      </bottom>
      <diagonal/>
    </border>
    <border>
      <left style="thin">
        <color theme="0" tint="-0.249977111117893"/>
      </left>
      <right/>
      <top style="thin">
        <color theme="0" tint="-0.34998626667073579"/>
      </top>
      <bottom style="thin">
        <color theme="0" tint="-0.249977111117893"/>
      </bottom>
      <diagonal/>
    </border>
    <border>
      <left style="thin">
        <color theme="0" tint="-0.249977111117893"/>
      </left>
      <right style="thin">
        <color theme="0" tint="-0.249977111117893"/>
      </right>
      <top/>
      <bottom style="thin">
        <color theme="1" tint="0.499984740745262"/>
      </bottom>
      <diagonal/>
    </border>
    <border>
      <left style="thin">
        <color theme="0" tint="-0.249977111117893"/>
      </left>
      <right style="thin">
        <color theme="0" tint="-0.249977111117893"/>
      </right>
      <top style="thin">
        <color theme="1" tint="0.499984740745262"/>
      </top>
      <bottom style="thin">
        <color theme="1" tint="0.499984740745262"/>
      </bottom>
      <diagonal/>
    </border>
    <border>
      <left style="thin">
        <color theme="0" tint="-0.249977111117893"/>
      </left>
      <right style="thin">
        <color theme="0" tint="-0.249977111117893"/>
      </right>
      <top style="thin">
        <color theme="1" tint="0.499984740745262"/>
      </top>
      <bottom/>
      <diagonal/>
    </border>
    <border>
      <left style="thin">
        <color theme="0" tint="-0.249977111117893"/>
      </left>
      <right style="thin">
        <color theme="0" tint="-0.249977111117893"/>
      </right>
      <top style="medium">
        <color indexed="64"/>
      </top>
      <bottom style="thin">
        <color theme="0" tint="-0.34998626667073579"/>
      </bottom>
      <diagonal/>
    </border>
    <border>
      <left style="thin">
        <color theme="0" tint="-0.249977111117893"/>
      </left>
      <right style="thin">
        <color theme="0" tint="-0.249977111117893"/>
      </right>
      <top style="medium">
        <color indexed="64"/>
      </top>
      <bottom/>
      <diagonal/>
    </border>
    <border>
      <left style="thin">
        <color theme="0" tint="-0.249977111117893"/>
      </left>
      <right/>
      <top style="medium">
        <color indexed="64"/>
      </top>
      <bottom style="thin">
        <color theme="0" tint="-0.34998626667073579"/>
      </bottom>
      <diagonal/>
    </border>
    <border>
      <left style="thin">
        <color theme="0" tint="-0.249977111117893"/>
      </left>
      <right style="thin">
        <color theme="0" tint="-0.249977111117893"/>
      </right>
      <top style="thin">
        <color theme="0" tint="-0.14999847407452621"/>
      </top>
      <bottom/>
      <diagonal/>
    </border>
    <border>
      <left/>
      <right style="thin">
        <color theme="0" tint="-0.249977111117893"/>
      </right>
      <top style="thin">
        <color theme="0" tint="-0.14999847407452621"/>
      </top>
      <bottom/>
      <diagonal/>
    </border>
    <border>
      <left style="thin">
        <color theme="0" tint="-0.249977111117893"/>
      </left>
      <right style="thin">
        <color theme="0" tint="-0.249977111117893"/>
      </right>
      <top/>
      <bottom style="thin">
        <color theme="0" tint="-0.14999847407452621"/>
      </bottom>
      <diagonal/>
    </border>
    <border>
      <left style="thin">
        <color theme="0" tint="-0.249977111117893"/>
      </left>
      <right style="thin">
        <color theme="0" tint="-0.249977111117893"/>
      </right>
      <top style="thin">
        <color theme="0" tint="-0.499984740745262"/>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indexed="64"/>
      </left>
      <right style="thin">
        <color theme="2" tint="-0.499984740745262"/>
      </right>
      <top style="medium">
        <color indexed="64"/>
      </top>
      <bottom style="thin">
        <color theme="2" tint="-0.499984740745262"/>
      </bottom>
      <diagonal/>
    </border>
    <border>
      <left style="thin">
        <color theme="2" tint="-0.499984740745262"/>
      </left>
      <right style="thin">
        <color theme="2" tint="-0.499984740745262"/>
      </right>
      <top style="medium">
        <color indexed="64"/>
      </top>
      <bottom style="thin">
        <color theme="2" tint="-0.499984740745262"/>
      </bottom>
      <diagonal/>
    </border>
    <border>
      <left style="thin">
        <color theme="2" tint="-0.499984740745262"/>
      </left>
      <right style="medium">
        <color indexed="64"/>
      </right>
      <top style="medium">
        <color indexed="64"/>
      </top>
      <bottom style="thin">
        <color theme="2" tint="-0.499984740745262"/>
      </bottom>
      <diagonal/>
    </border>
    <border>
      <left style="medium">
        <color indexed="64"/>
      </left>
      <right style="thin">
        <color theme="2" tint="-0.499984740745262"/>
      </right>
      <top style="thin">
        <color theme="2" tint="-0.499984740745262"/>
      </top>
      <bottom style="thin">
        <color theme="2" tint="-0.499984740745262"/>
      </bottom>
      <diagonal/>
    </border>
    <border>
      <left style="thin">
        <color theme="2" tint="-0.499984740745262"/>
      </left>
      <right style="medium">
        <color indexed="64"/>
      </right>
      <top style="thin">
        <color theme="2" tint="-0.499984740745262"/>
      </top>
      <bottom style="thin">
        <color theme="2" tint="-0.499984740745262"/>
      </bottom>
      <diagonal/>
    </border>
    <border>
      <left style="medium">
        <color indexed="64"/>
      </left>
      <right style="thin">
        <color theme="2" tint="-0.499984740745262"/>
      </right>
      <top style="thin">
        <color theme="2" tint="-0.499984740745262"/>
      </top>
      <bottom style="medium">
        <color indexed="64"/>
      </bottom>
      <diagonal/>
    </border>
    <border>
      <left style="thin">
        <color theme="2" tint="-0.499984740745262"/>
      </left>
      <right style="thin">
        <color theme="2" tint="-0.499984740745262"/>
      </right>
      <top style="thin">
        <color theme="2" tint="-0.499984740745262"/>
      </top>
      <bottom style="medium">
        <color indexed="64"/>
      </bottom>
      <diagonal/>
    </border>
    <border>
      <left style="thin">
        <color theme="2" tint="-0.499984740745262"/>
      </left>
      <right style="medium">
        <color indexed="64"/>
      </right>
      <top style="thin">
        <color theme="2" tint="-0.499984740745262"/>
      </top>
      <bottom style="medium">
        <color indexed="64"/>
      </bottom>
      <diagonal/>
    </border>
    <border>
      <left/>
      <right/>
      <top style="medium">
        <color theme="2" tint="-0.499984740745262"/>
      </top>
      <bottom/>
      <diagonal/>
    </border>
    <border>
      <left/>
      <right/>
      <top/>
      <bottom style="medium">
        <color theme="2" tint="-0.499984740745262"/>
      </bottom>
      <diagonal/>
    </border>
    <border>
      <left/>
      <right style="thin">
        <color theme="1" tint="0.499984740745262"/>
      </right>
      <top/>
      <bottom style="medium">
        <color theme="2" tint="-0.499984740745262"/>
      </bottom>
      <diagonal/>
    </border>
    <border>
      <left style="thin">
        <color theme="1" tint="0.499984740745262"/>
      </left>
      <right/>
      <top/>
      <bottom style="medium">
        <color theme="2"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4.9989318521683403E-2"/>
      </top>
      <bottom style="thin">
        <color theme="0" tint="-4.9989318521683403E-2"/>
      </bottom>
      <diagonal/>
    </border>
    <border>
      <left style="thin">
        <color theme="0" tint="-0.499984740745262"/>
      </left>
      <right style="thin">
        <color theme="0" tint="-0.499984740745262"/>
      </right>
      <top/>
      <bottom style="thin">
        <color theme="0" tint="-4.9989318521683403E-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2" tint="-0.499984740745262"/>
      </top>
      <bottom/>
      <diagonal/>
    </border>
    <border>
      <left style="thin">
        <color theme="0" tint="-0.499984740745262"/>
      </left>
      <right style="thin">
        <color theme="0" tint="-0.499984740745262"/>
      </right>
      <top style="thin">
        <color theme="2" tint="-0.499984740745262"/>
      </top>
      <bottom style="thin">
        <color theme="0" tint="-4.9989318521683403E-2"/>
      </bottom>
      <diagonal/>
    </border>
    <border>
      <left style="thin">
        <color theme="0" tint="-0.499984740745262"/>
      </left>
      <right style="thin">
        <color theme="0" tint="-0.499984740745262"/>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4.9989318521683403E-2"/>
      </bottom>
      <diagonal/>
    </border>
    <border>
      <left style="thin">
        <color theme="0" tint="-0.34998626667073579"/>
      </left>
      <right style="thin">
        <color theme="0" tint="-0.34998626667073579"/>
      </right>
      <top style="thin">
        <color theme="0" tint="-4.9989318521683403E-2"/>
      </top>
      <bottom style="thin">
        <color theme="0" tint="-4.9989318521683403E-2"/>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4.9989318521683403E-2"/>
      </top>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0" tint="-0.34998626667073579"/>
      </left>
      <right style="thin">
        <color theme="0" tint="-0.34998626667073579"/>
      </right>
      <top style="thin">
        <color theme="0" tint="-4.9989318521683403E-2"/>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thin">
        <color theme="1" tint="0.499984740745262"/>
      </right>
      <top style="medium">
        <color theme="0" tint="-0.34998626667073579"/>
      </top>
      <bottom/>
      <diagonal/>
    </border>
    <border>
      <left style="thin">
        <color theme="1" tint="0.499984740745262"/>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style="medium">
        <color theme="2" tint="-0.499984740745262"/>
      </bottom>
      <diagonal/>
    </border>
    <border>
      <left/>
      <right style="medium">
        <color theme="0" tint="-0.34998626667073579"/>
      </right>
      <top/>
      <bottom style="medium">
        <color theme="2" tint="-0.499984740745262"/>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style="medium">
        <color indexed="64"/>
      </top>
      <bottom/>
      <diagonal/>
    </border>
    <border>
      <left style="thin">
        <color theme="0" tint="-0.249977111117893"/>
      </left>
      <right style="medium">
        <color theme="0" tint="-0.34998626667073579"/>
      </right>
      <top style="medium">
        <color indexed="64"/>
      </top>
      <bottom style="thin">
        <color theme="0" tint="-0.34998626667073579"/>
      </bottom>
      <diagonal/>
    </border>
    <border>
      <left style="thin">
        <color theme="0" tint="-0.249977111117893"/>
      </left>
      <right style="medium">
        <color theme="0" tint="-0.34998626667073579"/>
      </right>
      <top style="thin">
        <color theme="0" tint="-0.34998626667073579"/>
      </top>
      <bottom style="thin">
        <color theme="0" tint="-0.34998626667073579"/>
      </bottom>
      <diagonal/>
    </border>
    <border>
      <left style="medium">
        <color theme="0" tint="-0.34998626667073579"/>
      </left>
      <right/>
      <top/>
      <bottom style="thin">
        <color theme="0" tint="-0.14999847407452621"/>
      </bottom>
      <diagonal/>
    </border>
    <border>
      <left style="thin">
        <color theme="0" tint="-0.249977111117893"/>
      </left>
      <right style="medium">
        <color theme="0" tint="-0.34998626667073579"/>
      </right>
      <top style="thin">
        <color theme="0" tint="-0.34998626667073579"/>
      </top>
      <bottom style="thin">
        <color theme="0" tint="-0.249977111117893"/>
      </bottom>
      <diagonal/>
    </border>
    <border>
      <left style="medium">
        <color theme="0" tint="-0.34998626667073579"/>
      </left>
      <right/>
      <top style="medium">
        <color theme="2" tint="-0.499984740745262"/>
      </top>
      <bottom/>
      <diagonal/>
    </border>
    <border>
      <left/>
      <right style="medium">
        <color theme="0" tint="-0.34998626667073579"/>
      </right>
      <top style="medium">
        <color theme="2" tint="-0.499984740745262"/>
      </top>
      <bottom/>
      <diagonal/>
    </border>
    <border>
      <left style="medium">
        <color theme="0" tint="-0.34998626667073579"/>
      </left>
      <right style="thin">
        <color theme="0" tint="-0.499984740745262"/>
      </right>
      <top style="thin">
        <color theme="0" tint="-0.499984740745262"/>
      </top>
      <bottom style="thin">
        <color theme="2" tint="-0.499984740745262"/>
      </bottom>
      <diagonal/>
    </border>
    <border>
      <left style="thin">
        <color theme="0" tint="-0.499984740745262"/>
      </left>
      <right style="medium">
        <color theme="0" tint="-0.34998626667073579"/>
      </right>
      <top style="thin">
        <color theme="0" tint="-0.499984740745262"/>
      </top>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bottom/>
      <diagonal/>
    </border>
    <border>
      <left style="thin">
        <color theme="0" tint="-0.34998626667073579"/>
      </left>
      <right style="medium">
        <color theme="0" tint="-0.34998626667073579"/>
      </right>
      <top/>
      <bottom style="thin">
        <color theme="0" tint="-4.9989318521683403E-2"/>
      </bottom>
      <diagonal/>
    </border>
    <border>
      <left style="medium">
        <color theme="0" tint="-0.34998626667073579"/>
      </left>
      <right/>
      <top style="thin">
        <color theme="0" tint="-4.9989318521683403E-2"/>
      </top>
      <bottom style="thin">
        <color theme="0" tint="-4.9989318521683403E-2"/>
      </bottom>
      <diagonal/>
    </border>
    <border>
      <left style="thin">
        <color theme="0" tint="-0.34998626667073579"/>
      </left>
      <right style="medium">
        <color theme="0" tint="-0.34998626667073579"/>
      </right>
      <top style="thin">
        <color theme="0" tint="-4.9989318521683403E-2"/>
      </top>
      <bottom style="thin">
        <color theme="0" tint="-4.9989318521683403E-2"/>
      </bottom>
      <diagonal/>
    </border>
    <border>
      <left style="thin">
        <color theme="0" tint="-0.34998626667073579"/>
      </left>
      <right style="medium">
        <color theme="0" tint="-0.34998626667073579"/>
      </right>
      <top style="thin">
        <color theme="0" tint="-4.9989318521683403E-2"/>
      </top>
      <bottom/>
      <diagonal/>
    </border>
    <border>
      <left style="medium">
        <color theme="0" tint="-0.34998626667073579"/>
      </left>
      <right/>
      <top style="thin">
        <color theme="0" tint="-4.9989318521683403E-2"/>
      </top>
      <bottom style="thin">
        <color theme="0" tint="-0.499984740745262"/>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style="thin">
        <color theme="2" tint="-0.499984740745262"/>
      </right>
      <top/>
      <bottom style="thin">
        <color theme="2" tint="-0.499984740745262"/>
      </bottom>
      <diagonal/>
    </border>
    <border>
      <left style="thin">
        <color indexed="64"/>
      </left>
      <right style="medium">
        <color theme="0" tint="-0.34998626667073579"/>
      </right>
      <top/>
      <bottom/>
      <diagonal/>
    </border>
    <border>
      <left style="medium">
        <color theme="0" tint="-0.34998626667073579"/>
      </left>
      <right/>
      <top style="thin">
        <color theme="2" tint="-0.499984740745262"/>
      </top>
      <bottom/>
      <diagonal/>
    </border>
    <border>
      <left style="medium">
        <color theme="0" tint="-0.34998626667073579"/>
      </left>
      <right/>
      <top style="thin">
        <color theme="0" tint="-0.499984740745262"/>
      </top>
      <bottom/>
      <diagonal/>
    </border>
    <border>
      <left style="thin">
        <color theme="0" tint="-0.499984740745262"/>
      </left>
      <right style="medium">
        <color theme="0" tint="-0.34998626667073579"/>
      </right>
      <top/>
      <bottom/>
      <diagonal/>
    </border>
    <border>
      <left style="medium">
        <color theme="0" tint="-0.34998626667073579"/>
      </left>
      <right/>
      <top/>
      <bottom style="thin">
        <color theme="2" tint="-0.499984740745262"/>
      </bottom>
      <diagonal/>
    </border>
    <border>
      <left style="medium">
        <color theme="0" tint="-0.34998626667073579"/>
      </left>
      <right/>
      <top/>
      <bottom style="thin">
        <color theme="0" tint="-0.499984740745262"/>
      </bottom>
      <diagonal/>
    </border>
    <border>
      <left style="medium">
        <color theme="0" tint="-0.34998626667073579"/>
      </left>
      <right style="thin">
        <color theme="0" tint="-0.499984740745262"/>
      </right>
      <top style="thin">
        <color theme="0" tint="-0.499984740745262"/>
      </top>
      <bottom/>
      <diagonal/>
    </border>
    <border>
      <left style="medium">
        <color theme="0" tint="-0.34998626667073579"/>
      </left>
      <right style="thin">
        <color theme="0" tint="-0.499984740745262"/>
      </right>
      <top/>
      <bottom/>
      <diagonal/>
    </border>
    <border>
      <left style="medium">
        <color theme="0" tint="-0.34998626667073579"/>
      </left>
      <right style="thin">
        <color theme="0" tint="-0.499984740745262"/>
      </right>
      <top/>
      <bottom style="thin">
        <color theme="2" tint="-0.499984740745262"/>
      </bottom>
      <diagonal/>
    </border>
    <border>
      <left style="thin">
        <color theme="0" tint="-0.499984740745262"/>
      </left>
      <right style="medium">
        <color theme="0" tint="-0.34998626667073579"/>
      </right>
      <top/>
      <bottom style="thin">
        <color theme="0" tint="-4.9989318521683403E-2"/>
      </bottom>
      <diagonal/>
    </border>
    <border>
      <left style="thin">
        <color theme="0" tint="-0.499984740745262"/>
      </left>
      <right style="medium">
        <color theme="0" tint="-0.34998626667073579"/>
      </right>
      <top style="thin">
        <color theme="0" tint="-4.9989318521683403E-2"/>
      </top>
      <bottom style="thin">
        <color theme="0" tint="-4.9989318521683403E-2"/>
      </bottom>
      <diagonal/>
    </border>
    <border>
      <left style="medium">
        <color theme="0" tint="-0.34998626667073579"/>
      </left>
      <right style="thin">
        <color theme="0" tint="-0.499984740745262"/>
      </right>
      <top/>
      <bottom style="thin">
        <color theme="0" tint="-4.9989318521683403E-2"/>
      </bottom>
      <diagonal/>
    </border>
    <border>
      <left style="medium">
        <color theme="0" tint="-0.34998626667073579"/>
      </left>
      <right style="thin">
        <color theme="0" tint="-0.499984740745262"/>
      </right>
      <top style="thin">
        <color theme="0" tint="-4.9989318521683403E-2"/>
      </top>
      <bottom style="thin">
        <color theme="0" tint="-4.9989318521683403E-2"/>
      </bottom>
      <diagonal/>
    </border>
    <border>
      <left style="thin">
        <color theme="0" tint="-0.499984740745262"/>
      </left>
      <right style="medium">
        <color theme="0" tint="-0.34998626667073579"/>
      </right>
      <top/>
      <bottom style="thin">
        <color indexed="64"/>
      </bottom>
      <diagonal/>
    </border>
    <border>
      <left style="medium">
        <color theme="0" tint="-0.34998626667073579"/>
      </left>
      <right style="thin">
        <color theme="0" tint="-0.499984740745262"/>
      </right>
      <top style="thin">
        <color theme="2" tint="-0.499984740745262"/>
      </top>
      <bottom style="thin">
        <color theme="0" tint="-4.9989318521683403E-2"/>
      </bottom>
      <diagonal/>
    </border>
    <border>
      <left style="medium">
        <color theme="0" tint="-0.34998626667073579"/>
      </left>
      <right style="thin">
        <color theme="0" tint="-0.499984740745262"/>
      </right>
      <top style="thin">
        <color theme="0" tint="-4.9989318521683403E-2"/>
      </top>
      <bottom style="medium">
        <color theme="0" tint="-0.34998626667073579"/>
      </bottom>
      <diagonal/>
    </border>
    <border>
      <left style="thin">
        <color theme="0" tint="-0.499984740745262"/>
      </left>
      <right style="thin">
        <color theme="0" tint="-0.499984740745262"/>
      </right>
      <top/>
      <bottom style="medium">
        <color theme="0" tint="-0.34998626667073579"/>
      </bottom>
      <diagonal/>
    </border>
    <border>
      <left style="thin">
        <color theme="0" tint="-0.499984740745262"/>
      </left>
      <right/>
      <top/>
      <bottom style="medium">
        <color theme="0" tint="-0.34998626667073579"/>
      </bottom>
      <diagonal/>
    </border>
    <border>
      <left style="thin">
        <color theme="0" tint="-0.499984740745262"/>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4.9989318521683403E-2"/>
      </top>
      <bottom/>
      <diagonal/>
    </border>
    <border>
      <left style="medium">
        <color theme="0" tint="-0.34998626667073579"/>
      </left>
      <right style="thin">
        <color theme="0" tint="-0.34998626667073579"/>
      </right>
      <top/>
      <bottom style="thin">
        <color theme="0" tint="-4.9989318521683403E-2"/>
      </bottom>
      <diagonal/>
    </border>
    <border>
      <left style="thin">
        <color indexed="64"/>
      </left>
      <right/>
      <top style="medium">
        <color indexed="64"/>
      </top>
      <bottom/>
      <diagonal/>
    </border>
    <border>
      <left/>
      <right style="medium">
        <color indexed="64"/>
      </right>
      <top/>
      <bottom/>
      <diagonal/>
    </border>
    <border>
      <left/>
      <right style="medium">
        <color indexed="64"/>
      </right>
      <top/>
      <bottom style="thin">
        <color indexed="64"/>
      </bottom>
      <diagonal/>
    </border>
    <border>
      <left style="thin">
        <color theme="0" tint="-0.499984740745262"/>
      </left>
      <right style="medium">
        <color theme="0" tint="-0.34998626667073579"/>
      </right>
      <top style="thin">
        <color theme="2" tint="-0.499984740745262"/>
      </top>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medium">
        <color indexed="64"/>
      </right>
      <top style="thin">
        <color theme="2" tint="-0.499984740745262"/>
      </top>
      <bottom style="thin">
        <color theme="2" tint="-0.499984740745262"/>
      </bottom>
      <diagonal/>
    </border>
  </borders>
  <cellStyleXfs count="7">
    <xf numFmtId="0" fontId="0" fillId="0" borderId="0"/>
    <xf numFmtId="165" fontId="6" fillId="0" borderId="0" applyFont="0" applyFill="0" applyBorder="0" applyAlignment="0" applyProtection="0"/>
    <xf numFmtId="9" fontId="6" fillId="0" borderId="0" applyFont="0" applyFill="0" applyBorder="0" applyAlignment="0" applyProtection="0"/>
    <xf numFmtId="0" fontId="11" fillId="0" borderId="3" applyNumberFormat="0" applyFill="0" applyAlignment="0" applyProtection="0"/>
    <xf numFmtId="0" fontId="15" fillId="0" borderId="0" applyNumberFormat="0" applyFill="0" applyBorder="0" applyAlignment="0" applyProtection="0"/>
    <xf numFmtId="0" fontId="12" fillId="0" borderId="0"/>
    <xf numFmtId="0" fontId="12" fillId="0" borderId="0"/>
  </cellStyleXfs>
  <cellXfs count="827">
    <xf numFmtId="0" fontId="0" fillId="0" borderId="0" xfId="0"/>
    <xf numFmtId="166" fontId="3" fillId="0" borderId="0" xfId="0" applyNumberFormat="1" applyFont="1" applyAlignment="1">
      <alignment vertical="center"/>
    </xf>
    <xf numFmtId="167" fontId="3" fillId="0" borderId="0" xfId="0" applyNumberFormat="1" applyFont="1" applyAlignment="1">
      <alignment horizontal="right" vertical="center"/>
    </xf>
    <xf numFmtId="0" fontId="3" fillId="0" borderId="0" xfId="0" applyFont="1" applyAlignment="1">
      <alignment horizontal="right" vertical="center"/>
    </xf>
    <xf numFmtId="0" fontId="0" fillId="0" borderId="0" xfId="0" applyAlignment="1">
      <alignment horizontal="right" vertical="center"/>
    </xf>
    <xf numFmtId="0" fontId="1" fillId="0" borderId="0" xfId="0" applyFont="1"/>
    <xf numFmtId="16" fontId="3" fillId="7" borderId="0" xfId="0" applyNumberFormat="1" applyFont="1" applyFill="1" applyAlignment="1">
      <alignment vertical="center"/>
    </xf>
    <xf numFmtId="0" fontId="0" fillId="15" borderId="0" xfId="0" applyFill="1" applyAlignment="1">
      <alignment vertical="center"/>
    </xf>
    <xf numFmtId="0" fontId="16" fillId="15" borderId="0" xfId="0" applyFont="1" applyFill="1" applyAlignment="1">
      <alignment vertical="center"/>
    </xf>
    <xf numFmtId="14" fontId="0" fillId="15" borderId="0" xfId="0" applyNumberFormat="1" applyFill="1" applyAlignment="1">
      <alignment vertical="center"/>
    </xf>
    <xf numFmtId="0" fontId="18" fillId="15" borderId="0" xfId="0" applyFont="1" applyFill="1" applyAlignment="1">
      <alignment vertical="center"/>
    </xf>
    <xf numFmtId="0" fontId="0" fillId="0" borderId="0" xfId="0" applyAlignment="1">
      <alignment vertical="center"/>
    </xf>
    <xf numFmtId="0" fontId="19" fillId="0" borderId="0" xfId="0" applyFont="1" applyAlignment="1">
      <alignment vertical="center"/>
    </xf>
    <xf numFmtId="1" fontId="19" fillId="0" borderId="0" xfId="0" applyNumberFormat="1" applyFont="1" applyAlignment="1">
      <alignment vertical="center"/>
    </xf>
    <xf numFmtId="14" fontId="0" fillId="0" borderId="0" xfId="0" applyNumberFormat="1" applyAlignment="1">
      <alignment vertical="center"/>
    </xf>
    <xf numFmtId="0" fontId="21" fillId="11" borderId="0" xfId="0" applyFont="1" applyFill="1" applyAlignment="1">
      <alignment horizontal="left" vertical="center" indent="1"/>
    </xf>
    <xf numFmtId="0" fontId="0" fillId="0" borderId="0" xfId="0" applyAlignment="1">
      <alignment horizontal="left" indent="1"/>
    </xf>
    <xf numFmtId="171" fontId="0" fillId="0" borderId="0" xfId="0" applyNumberFormat="1" applyAlignment="1">
      <alignment vertical="center"/>
    </xf>
    <xf numFmtId="0" fontId="21" fillId="11" borderId="0" xfId="0" applyFont="1" applyFill="1" applyAlignment="1">
      <alignment horizontal="left" vertical="top" indent="1"/>
    </xf>
    <xf numFmtId="0" fontId="18" fillId="0" borderId="0" xfId="0" applyFont="1" applyAlignment="1">
      <alignment vertical="center"/>
    </xf>
    <xf numFmtId="0" fontId="0" fillId="11" borderId="0" xfId="0" applyFill="1" applyAlignment="1">
      <alignment horizontal="left" indent="1"/>
    </xf>
    <xf numFmtId="0" fontId="0" fillId="15" borderId="0" xfId="0" applyFill="1" applyAlignment="1">
      <alignment horizontal="left" indent="1"/>
    </xf>
    <xf numFmtId="0" fontId="0" fillId="0" borderId="6" xfId="0" applyBorder="1" applyAlignment="1">
      <alignment horizontal="left" indent="1"/>
    </xf>
    <xf numFmtId="0" fontId="0" fillId="0" borderId="1" xfId="0" applyBorder="1" applyAlignment="1">
      <alignment horizontal="left" indent="1"/>
    </xf>
    <xf numFmtId="0" fontId="0" fillId="0" borderId="7" xfId="0" applyBorder="1" applyAlignment="1">
      <alignment horizontal="left" indent="1"/>
    </xf>
    <xf numFmtId="0" fontId="0" fillId="0" borderId="4" xfId="0" applyBorder="1" applyAlignment="1">
      <alignment horizontal="left" indent="1"/>
    </xf>
    <xf numFmtId="0" fontId="0" fillId="0" borderId="5" xfId="0" applyBorder="1" applyAlignment="1">
      <alignment horizontal="left" indent="1"/>
    </xf>
    <xf numFmtId="0" fontId="0" fillId="6" borderId="8" xfId="0" applyFill="1" applyBorder="1" applyAlignment="1">
      <alignment horizontal="left" indent="1"/>
    </xf>
    <xf numFmtId="0" fontId="0" fillId="6" borderId="2" xfId="0" applyFill="1" applyBorder="1" applyAlignment="1">
      <alignment horizontal="left" indent="1"/>
    </xf>
    <xf numFmtId="0" fontId="0" fillId="6" borderId="9" xfId="0" applyFill="1" applyBorder="1" applyAlignment="1">
      <alignment horizontal="left" indent="1"/>
    </xf>
    <xf numFmtId="0" fontId="0" fillId="11" borderId="0" xfId="0" applyFill="1" applyAlignment="1">
      <alignment vertical="center"/>
    </xf>
    <xf numFmtId="0" fontId="19" fillId="0" borderId="0" xfId="0" applyFont="1" applyAlignment="1">
      <alignment horizontal="left" indent="1"/>
    </xf>
    <xf numFmtId="1" fontId="19" fillId="0" borderId="0" xfId="0" applyNumberFormat="1" applyFont="1" applyAlignment="1">
      <alignment horizontal="left" indent="1"/>
    </xf>
    <xf numFmtId="1" fontId="19" fillId="15" borderId="0" xfId="0" applyNumberFormat="1" applyFont="1" applyFill="1" applyAlignment="1">
      <alignment horizontal="right"/>
    </xf>
    <xf numFmtId="14" fontId="17" fillId="11" borderId="0" xfId="0" applyNumberFormat="1" applyFont="1" applyFill="1" applyAlignment="1">
      <alignment vertical="center"/>
    </xf>
    <xf numFmtId="0" fontId="19" fillId="11" borderId="0" xfId="0" applyFont="1" applyFill="1" applyAlignment="1">
      <alignment vertical="center"/>
    </xf>
    <xf numFmtId="1" fontId="19" fillId="11" borderId="0" xfId="0" applyNumberFormat="1" applyFont="1" applyFill="1" applyAlignment="1">
      <alignment vertical="center"/>
    </xf>
    <xf numFmtId="14" fontId="0" fillId="11" borderId="0" xfId="0" applyNumberFormat="1" applyFill="1" applyAlignment="1">
      <alignment vertical="center"/>
    </xf>
    <xf numFmtId="0" fontId="1" fillId="0" borderId="0" xfId="0" applyFont="1" applyAlignment="1">
      <alignment vertical="top" wrapText="1"/>
    </xf>
    <xf numFmtId="0" fontId="5" fillId="0" borderId="0" xfId="0" applyFont="1" applyAlignment="1">
      <alignment vertical="top" wrapText="1"/>
    </xf>
    <xf numFmtId="0" fontId="36" fillId="0" borderId="0" xfId="0" applyFont="1"/>
    <xf numFmtId="0" fontId="29" fillId="15" borderId="0" xfId="0" applyFont="1" applyFill="1" applyAlignment="1">
      <alignment vertical="center"/>
    </xf>
    <xf numFmtId="0" fontId="41" fillId="0" borderId="0" xfId="0" applyFont="1"/>
    <xf numFmtId="0" fontId="4" fillId="0" borderId="0" xfId="0" applyFont="1" applyAlignment="1" applyProtection="1">
      <alignment horizontal="center"/>
      <protection locked="0"/>
    </xf>
    <xf numFmtId="0" fontId="43" fillId="0" borderId="0" xfId="0" applyFont="1"/>
    <xf numFmtId="0" fontId="44" fillId="0" borderId="0" xfId="0" applyFont="1"/>
    <xf numFmtId="0" fontId="0" fillId="0" borderId="0" xfId="0" applyProtection="1">
      <protection hidden="1"/>
    </xf>
    <xf numFmtId="0" fontId="42" fillId="0" borderId="10" xfId="0" applyFont="1" applyBorder="1" applyAlignment="1" applyProtection="1">
      <alignment horizontal="center"/>
      <protection locked="0"/>
    </xf>
    <xf numFmtId="0" fontId="38" fillId="11" borderId="0" xfId="0" applyFont="1" applyFill="1" applyAlignment="1">
      <alignment vertical="center"/>
    </xf>
    <xf numFmtId="0" fontId="34" fillId="0" borderId="0" xfId="0" applyFont="1" applyAlignment="1">
      <alignment vertical="top" wrapText="1"/>
    </xf>
    <xf numFmtId="0" fontId="0" fillId="0" borderId="0" xfId="0" applyAlignment="1">
      <alignment wrapText="1"/>
    </xf>
    <xf numFmtId="0" fontId="9" fillId="0" borderId="0" xfId="0" applyFont="1" applyAlignment="1">
      <alignment vertical="center"/>
    </xf>
    <xf numFmtId="166" fontId="47" fillId="0" borderId="10" xfId="0" applyNumberFormat="1" applyFont="1" applyBorder="1"/>
    <xf numFmtId="167" fontId="2" fillId="0" borderId="0" xfId="0" applyNumberFormat="1" applyFont="1" applyAlignment="1" applyProtection="1">
      <alignment horizontal="right" vertical="center"/>
      <protection locked="0"/>
    </xf>
    <xf numFmtId="10" fontId="0" fillId="2" borderId="0" xfId="0" applyNumberFormat="1" applyFill="1" applyProtection="1">
      <protection locked="0" hidden="1"/>
    </xf>
    <xf numFmtId="0" fontId="31" fillId="0" borderId="0" xfId="0" applyFont="1"/>
    <xf numFmtId="0" fontId="31" fillId="21" borderId="10" xfId="0" applyFont="1" applyFill="1" applyBorder="1"/>
    <xf numFmtId="0" fontId="31" fillId="0" borderId="10" xfId="0" applyFont="1" applyBorder="1" applyAlignment="1">
      <alignment horizontal="left"/>
    </xf>
    <xf numFmtId="0" fontId="55" fillId="0" borderId="0" xfId="0" applyFont="1"/>
    <xf numFmtId="0" fontId="39" fillId="0" borderId="0" xfId="0" applyFont="1" applyProtection="1">
      <protection locked="0"/>
    </xf>
    <xf numFmtId="0" fontId="0" fillId="0" borderId="0" xfId="0" applyProtection="1">
      <protection locked="0"/>
    </xf>
    <xf numFmtId="0" fontId="1" fillId="0" borderId="0" xfId="0" applyFont="1" applyProtection="1">
      <protection hidden="1"/>
    </xf>
    <xf numFmtId="0" fontId="1" fillId="2" borderId="0" xfId="0" applyFont="1" applyFill="1" applyProtection="1">
      <protection locked="0" hidden="1"/>
    </xf>
    <xf numFmtId="0" fontId="38" fillId="20" borderId="0" xfId="0" applyFont="1" applyFill="1" applyAlignment="1" applyProtection="1">
      <alignment horizontal="center" vertical="center"/>
      <protection hidden="1"/>
    </xf>
    <xf numFmtId="168" fontId="22" fillId="14" borderId="0" xfId="1" applyNumberFormat="1" applyFont="1" applyFill="1" applyBorder="1" applyAlignment="1" applyProtection="1">
      <alignment horizontal="right" vertical="center" indent="1"/>
      <protection hidden="1"/>
    </xf>
    <xf numFmtId="10" fontId="22" fillId="14" borderId="0" xfId="1" applyNumberFormat="1" applyFont="1" applyFill="1" applyBorder="1" applyAlignment="1" applyProtection="1">
      <alignment horizontal="right" vertical="center" indent="1"/>
      <protection hidden="1"/>
    </xf>
    <xf numFmtId="3" fontId="22" fillId="14" borderId="0" xfId="1" applyNumberFormat="1" applyFont="1" applyFill="1" applyBorder="1" applyAlignment="1" applyProtection="1">
      <alignment horizontal="right" vertical="center" indent="1"/>
      <protection hidden="1"/>
    </xf>
    <xf numFmtId="2" fontId="22" fillId="14" borderId="0" xfId="1" applyNumberFormat="1" applyFont="1" applyFill="1" applyBorder="1" applyAlignment="1" applyProtection="1">
      <alignment horizontal="right" vertical="center" indent="1"/>
      <protection hidden="1"/>
    </xf>
    <xf numFmtId="0" fontId="4" fillId="11" borderId="0" xfId="0" applyFont="1" applyFill="1" applyAlignment="1" applyProtection="1">
      <alignment horizontal="center"/>
      <protection hidden="1"/>
    </xf>
    <xf numFmtId="0" fontId="23" fillId="11" borderId="0" xfId="0" applyFont="1" applyFill="1" applyAlignment="1" applyProtection="1">
      <alignment horizontal="left"/>
      <protection locked="0" hidden="1"/>
    </xf>
    <xf numFmtId="0" fontId="1" fillId="0" borderId="0" xfId="0" applyFont="1" applyAlignment="1" applyProtection="1">
      <alignment vertical="center"/>
      <protection hidden="1"/>
    </xf>
    <xf numFmtId="0" fontId="40" fillId="0" borderId="0" xfId="0" applyFont="1" applyProtection="1">
      <protection hidden="1"/>
    </xf>
    <xf numFmtId="0" fontId="0" fillId="0" borderId="0" xfId="0" applyAlignment="1" applyProtection="1">
      <alignment horizontal="center" wrapText="1"/>
      <protection hidden="1"/>
    </xf>
    <xf numFmtId="0" fontId="7" fillId="0" borderId="0" xfId="0" applyFont="1" applyProtection="1">
      <protection hidden="1"/>
    </xf>
    <xf numFmtId="0" fontId="2" fillId="0" borderId="0" xfId="0" applyFont="1" applyAlignment="1" applyProtection="1">
      <alignment vertical="center"/>
      <protection hidden="1"/>
    </xf>
    <xf numFmtId="0" fontId="10" fillId="0" borderId="0" xfId="0" applyFont="1" applyAlignment="1" applyProtection="1">
      <alignment horizontal="center"/>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center" vertical="center"/>
      <protection hidden="1"/>
    </xf>
    <xf numFmtId="0" fontId="2" fillId="13" borderId="0" xfId="0" applyFont="1" applyFill="1" applyAlignment="1" applyProtection="1">
      <alignment vertical="center" wrapText="1"/>
      <protection hidden="1"/>
    </xf>
    <xf numFmtId="0" fontId="0" fillId="2" borderId="0" xfId="0" applyFill="1" applyProtection="1">
      <protection locked="0" hidden="1"/>
    </xf>
    <xf numFmtId="168" fontId="0" fillId="0" borderId="0" xfId="0" applyNumberFormat="1" applyProtection="1">
      <protection hidden="1"/>
    </xf>
    <xf numFmtId="168" fontId="0" fillId="2" borderId="0" xfId="0" applyNumberFormat="1" applyFill="1" applyProtection="1">
      <protection locked="0" hidden="1"/>
    </xf>
    <xf numFmtId="10" fontId="0" fillId="0" borderId="0" xfId="0" applyNumberFormat="1" applyProtection="1">
      <protection hidden="1"/>
    </xf>
    <xf numFmtId="1" fontId="0" fillId="0" borderId="0" xfId="0" applyNumberFormat="1" applyProtection="1">
      <protection hidden="1"/>
    </xf>
    <xf numFmtId="2" fontId="0" fillId="0" borderId="0" xfId="0" applyNumberFormat="1" applyProtection="1">
      <protection hidden="1"/>
    </xf>
    <xf numFmtId="0" fontId="0" fillId="11" borderId="0" xfId="0" applyFill="1" applyProtection="1">
      <protection hidden="1"/>
    </xf>
    <xf numFmtId="0" fontId="0" fillId="0" borderId="0" xfId="0" applyAlignment="1" applyProtection="1">
      <alignment wrapText="1"/>
      <protection hidden="1"/>
    </xf>
    <xf numFmtId="2" fontId="0" fillId="2" borderId="0" xfId="0" applyNumberFormat="1" applyFill="1" applyProtection="1">
      <protection locked="0" hidden="1"/>
    </xf>
    <xf numFmtId="1" fontId="1" fillId="11" borderId="0" xfId="0" applyNumberFormat="1" applyFont="1" applyFill="1" applyProtection="1">
      <protection hidden="1"/>
    </xf>
    <xf numFmtId="0" fontId="1" fillId="11" borderId="0" xfId="0" applyFont="1" applyFill="1"/>
    <xf numFmtId="169" fontId="25" fillId="11" borderId="10" xfId="1" applyNumberFormat="1" applyFont="1" applyFill="1" applyBorder="1" applyAlignment="1" applyProtection="1">
      <alignment horizontal="center"/>
      <protection hidden="1"/>
    </xf>
    <xf numFmtId="1" fontId="25" fillId="14" borderId="10" xfId="1" applyNumberFormat="1" applyFont="1" applyFill="1" applyBorder="1" applyAlignment="1" applyProtection="1">
      <alignment horizontal="center" vertical="center"/>
      <protection hidden="1"/>
    </xf>
    <xf numFmtId="1" fontId="25" fillId="16" borderId="10" xfId="1" applyNumberFormat="1" applyFont="1" applyFill="1" applyBorder="1" applyAlignment="1" applyProtection="1">
      <alignment horizontal="center" vertical="center"/>
      <protection hidden="1"/>
    </xf>
    <xf numFmtId="166" fontId="25" fillId="0" borderId="10" xfId="0" applyNumberFormat="1" applyFont="1" applyBorder="1" applyAlignment="1" applyProtection="1">
      <alignment horizontal="center" vertical="center"/>
      <protection hidden="1"/>
    </xf>
    <xf numFmtId="0" fontId="25" fillId="17" borderId="10" xfId="0" applyFont="1" applyFill="1" applyBorder="1" applyAlignment="1" applyProtection="1">
      <alignment horizontal="center" vertical="center"/>
      <protection hidden="1"/>
    </xf>
    <xf numFmtId="0" fontId="25" fillId="0" borderId="10" xfId="0" applyFont="1" applyBorder="1" applyAlignment="1" applyProtection="1">
      <alignment horizontal="center" vertical="center"/>
      <protection locked="0"/>
    </xf>
    <xf numFmtId="170" fontId="37" fillId="14" borderId="11" xfId="0" applyNumberFormat="1" applyFont="1" applyFill="1" applyBorder="1" applyProtection="1">
      <protection hidden="1"/>
    </xf>
    <xf numFmtId="10" fontId="27" fillId="14" borderId="12" xfId="2" applyNumberFormat="1" applyFont="1" applyFill="1" applyBorder="1" applyAlignment="1" applyProtection="1">
      <protection hidden="1"/>
    </xf>
    <xf numFmtId="2" fontId="27" fillId="14" borderId="12" xfId="1" applyNumberFormat="1" applyFont="1" applyFill="1" applyBorder="1" applyAlignment="1" applyProtection="1">
      <alignment horizontal="center"/>
      <protection hidden="1"/>
    </xf>
    <xf numFmtId="10" fontId="27" fillId="14" borderId="13" xfId="1" applyNumberFormat="1" applyFont="1" applyFill="1" applyBorder="1" applyAlignment="1" applyProtection="1">
      <protection hidden="1"/>
    </xf>
    <xf numFmtId="170" fontId="58" fillId="14" borderId="14" xfId="0" applyNumberFormat="1" applyFont="1" applyFill="1" applyBorder="1" applyAlignment="1" applyProtection="1">
      <alignment horizontal="right" vertical="center"/>
      <protection hidden="1"/>
    </xf>
    <xf numFmtId="10" fontId="57" fillId="14" borderId="16" xfId="1" applyNumberFormat="1" applyFont="1" applyFill="1" applyBorder="1" applyAlignment="1" applyProtection="1">
      <alignment vertical="center"/>
      <protection hidden="1"/>
    </xf>
    <xf numFmtId="169" fontId="25" fillId="11" borderId="25" xfId="1" applyNumberFormat="1" applyFont="1" applyFill="1" applyBorder="1" applyAlignment="1" applyProtection="1">
      <alignment horizontal="center"/>
      <protection hidden="1"/>
    </xf>
    <xf numFmtId="0" fontId="13" fillId="19" borderId="24" xfId="0" applyFont="1" applyFill="1" applyBorder="1" applyAlignment="1" applyProtection="1">
      <alignment horizontal="left" vertical="center" wrapText="1"/>
      <protection hidden="1"/>
    </xf>
    <xf numFmtId="0" fontId="25" fillId="17" borderId="24" xfId="0" applyFont="1" applyFill="1" applyBorder="1" applyProtection="1">
      <protection hidden="1"/>
    </xf>
    <xf numFmtId="1" fontId="25" fillId="14" borderId="25" xfId="1" applyNumberFormat="1" applyFont="1" applyFill="1" applyBorder="1" applyAlignment="1" applyProtection="1">
      <alignment horizontal="center" vertical="center"/>
      <protection hidden="1"/>
    </xf>
    <xf numFmtId="1" fontId="25" fillId="16" borderId="25" xfId="1" applyNumberFormat="1" applyFont="1" applyFill="1" applyBorder="1" applyAlignment="1" applyProtection="1">
      <alignment horizontal="center" vertical="center"/>
      <protection hidden="1"/>
    </xf>
    <xf numFmtId="0" fontId="25" fillId="17" borderId="25" xfId="0" applyFont="1" applyFill="1" applyBorder="1" applyAlignment="1" applyProtection="1">
      <alignment horizontal="center" vertical="center"/>
      <protection hidden="1"/>
    </xf>
    <xf numFmtId="3" fontId="25" fillId="0" borderId="22" xfId="0" applyNumberFormat="1" applyFont="1" applyBorder="1" applyAlignment="1" applyProtection="1">
      <alignment horizontal="center" vertical="center"/>
      <protection locked="0"/>
    </xf>
    <xf numFmtId="3" fontId="25" fillId="0" borderId="23" xfId="0" applyNumberFormat="1" applyFont="1" applyBorder="1" applyAlignment="1" applyProtection="1">
      <alignment horizontal="center" vertical="center"/>
      <protection locked="0"/>
    </xf>
    <xf numFmtId="0" fontId="25" fillId="0" borderId="25" xfId="0" applyFont="1" applyBorder="1" applyAlignment="1" applyProtection="1">
      <alignment horizontal="center" vertical="center"/>
      <protection locked="0"/>
    </xf>
    <xf numFmtId="0" fontId="25" fillId="12" borderId="24" xfId="0" applyFont="1" applyFill="1" applyBorder="1" applyAlignment="1" applyProtection="1">
      <alignment vertical="center"/>
      <protection locked="0"/>
    </xf>
    <xf numFmtId="0" fontId="25" fillId="10" borderId="24" xfId="0" applyFont="1" applyFill="1" applyBorder="1" applyAlignment="1" applyProtection="1">
      <alignment vertical="center"/>
      <protection locked="0"/>
    </xf>
    <xf numFmtId="0" fontId="25" fillId="10" borderId="26" xfId="0" applyFont="1" applyFill="1" applyBorder="1" applyAlignment="1" applyProtection="1">
      <alignment vertical="center"/>
      <protection locked="0"/>
    </xf>
    <xf numFmtId="170" fontId="59" fillId="14" borderId="12" xfId="0" applyNumberFormat="1" applyFont="1" applyFill="1" applyBorder="1" applyAlignment="1" applyProtection="1">
      <alignment vertical="center"/>
      <protection hidden="1"/>
    </xf>
    <xf numFmtId="0" fontId="0" fillId="0" borderId="0" xfId="0" applyAlignment="1" applyProtection="1">
      <alignment vertical="top" wrapText="1"/>
      <protection hidden="1"/>
    </xf>
    <xf numFmtId="10" fontId="62" fillId="14" borderId="15" xfId="0" applyNumberFormat="1" applyFont="1" applyFill="1" applyBorder="1" applyAlignment="1" applyProtection="1">
      <alignment vertical="center"/>
      <protection hidden="1"/>
    </xf>
    <xf numFmtId="168" fontId="63" fillId="14" borderId="15" xfId="1" applyNumberFormat="1" applyFont="1" applyFill="1" applyBorder="1" applyAlignment="1" applyProtection="1">
      <alignment horizontal="left" vertical="center"/>
      <protection hidden="1"/>
    </xf>
    <xf numFmtId="2" fontId="62" fillId="14" borderId="15" xfId="0" applyNumberFormat="1" applyFont="1" applyFill="1" applyBorder="1" applyAlignment="1" applyProtection="1">
      <alignment horizontal="left" vertical="center"/>
      <protection hidden="1"/>
    </xf>
    <xf numFmtId="2" fontId="62" fillId="14" borderId="15" xfId="0" applyNumberFormat="1" applyFont="1" applyFill="1" applyBorder="1" applyAlignment="1" applyProtection="1">
      <alignment horizontal="right" vertical="center"/>
      <protection hidden="1"/>
    </xf>
    <xf numFmtId="0" fontId="42" fillId="16" borderId="10" xfId="0" applyFont="1" applyFill="1" applyBorder="1" applyAlignment="1" applyProtection="1">
      <alignment horizontal="center"/>
      <protection locked="0"/>
    </xf>
    <xf numFmtId="167" fontId="2" fillId="16" borderId="0" xfId="0" applyNumberFormat="1" applyFont="1" applyFill="1" applyAlignment="1" applyProtection="1">
      <alignment horizontal="right" vertical="center"/>
      <protection locked="0"/>
    </xf>
    <xf numFmtId="167" fontId="2" fillId="14" borderId="0" xfId="0" applyNumberFormat="1" applyFont="1" applyFill="1" applyAlignment="1" applyProtection="1">
      <alignment horizontal="right" vertical="center"/>
      <protection locked="0"/>
    </xf>
    <xf numFmtId="0" fontId="4" fillId="14" borderId="10" xfId="0" applyFont="1" applyFill="1" applyBorder="1" applyAlignment="1" applyProtection="1">
      <alignment horizontal="center"/>
      <protection locked="0"/>
    </xf>
    <xf numFmtId="167" fontId="2" fillId="9" borderId="0" xfId="0" applyNumberFormat="1" applyFont="1" applyFill="1" applyAlignment="1">
      <alignment horizontal="right" vertical="center" wrapText="1"/>
    </xf>
    <xf numFmtId="16" fontId="46" fillId="7" borderId="24" xfId="0" applyNumberFormat="1" applyFont="1" applyFill="1" applyBorder="1" applyAlignment="1">
      <alignment vertical="center"/>
    </xf>
    <xf numFmtId="166" fontId="47" fillId="0" borderId="25" xfId="0" applyNumberFormat="1" applyFont="1" applyBorder="1"/>
    <xf numFmtId="0" fontId="42" fillId="16" borderId="24" xfId="0" applyFont="1" applyFill="1" applyBorder="1" applyAlignment="1" applyProtection="1">
      <alignment horizontal="center"/>
      <protection locked="0"/>
    </xf>
    <xf numFmtId="0" fontId="42" fillId="16" borderId="25" xfId="0" applyFont="1" applyFill="1" applyBorder="1" applyAlignment="1" applyProtection="1">
      <alignment horizontal="center"/>
      <protection locked="0"/>
    </xf>
    <xf numFmtId="0" fontId="42" fillId="0" borderId="24" xfId="0" applyFont="1" applyBorder="1" applyAlignment="1" applyProtection="1">
      <alignment horizontal="center"/>
      <protection locked="0"/>
    </xf>
    <xf numFmtId="0" fontId="42" fillId="0" borderId="25" xfId="0" applyFont="1" applyBorder="1" applyAlignment="1" applyProtection="1">
      <alignment horizontal="center"/>
      <protection locked="0"/>
    </xf>
    <xf numFmtId="0" fontId="4" fillId="14" borderId="24" xfId="0" applyFont="1" applyFill="1" applyBorder="1" applyAlignment="1" applyProtection="1">
      <alignment horizontal="center"/>
      <protection locked="0"/>
    </xf>
    <xf numFmtId="0" fontId="4" fillId="14" borderId="25" xfId="0" applyFont="1" applyFill="1" applyBorder="1" applyAlignment="1" applyProtection="1">
      <alignment horizontal="center"/>
      <protection locked="0"/>
    </xf>
    <xf numFmtId="0" fontId="42" fillId="9" borderId="26" xfId="0" applyFont="1" applyFill="1" applyBorder="1" applyAlignment="1" applyProtection="1">
      <alignment horizontal="center"/>
      <protection locked="0"/>
    </xf>
    <xf numFmtId="0" fontId="42" fillId="9" borderId="27" xfId="0" applyFont="1" applyFill="1" applyBorder="1" applyAlignment="1" applyProtection="1">
      <alignment horizontal="center"/>
      <protection locked="0"/>
    </xf>
    <xf numFmtId="0" fontId="42" fillId="9" borderId="28" xfId="0" applyFont="1" applyFill="1" applyBorder="1" applyAlignment="1" applyProtection="1">
      <alignment horizontal="center"/>
      <protection locked="0"/>
    </xf>
    <xf numFmtId="166" fontId="47" fillId="0" borderId="24" xfId="0" applyNumberFormat="1" applyFont="1" applyBorder="1"/>
    <xf numFmtId="166" fontId="3" fillId="11" borderId="0" xfId="0" applyNumberFormat="1" applyFont="1" applyFill="1" applyAlignment="1" applyProtection="1">
      <alignment horizontal="center" vertical="center"/>
      <protection hidden="1"/>
    </xf>
    <xf numFmtId="167" fontId="3" fillId="11" borderId="0" xfId="0" applyNumberFormat="1" applyFont="1" applyFill="1" applyAlignment="1" applyProtection="1">
      <alignment horizontal="right" vertical="center"/>
      <protection hidden="1"/>
    </xf>
    <xf numFmtId="0" fontId="4" fillId="11" borderId="29" xfId="0" applyFont="1" applyFill="1" applyBorder="1" applyAlignment="1" applyProtection="1">
      <alignment horizontal="center"/>
      <protection hidden="1"/>
    </xf>
    <xf numFmtId="0" fontId="1" fillId="0" borderId="29" xfId="0" applyFont="1" applyBorder="1" applyAlignment="1" applyProtection="1">
      <alignment vertical="center"/>
      <protection hidden="1"/>
    </xf>
    <xf numFmtId="0" fontId="4" fillId="11" borderId="48" xfId="0" applyFont="1" applyFill="1" applyBorder="1" applyAlignment="1" applyProtection="1">
      <alignment horizontal="center"/>
      <protection locked="0" hidden="1"/>
    </xf>
    <xf numFmtId="10" fontId="13" fillId="11" borderId="49" xfId="2" applyNumberFormat="1" applyFont="1" applyFill="1" applyBorder="1" applyAlignment="1" applyProtection="1">
      <alignment horizontal="right" vertical="top" wrapText="1" indent="1"/>
      <protection hidden="1"/>
    </xf>
    <xf numFmtId="0" fontId="1" fillId="2" borderId="0" xfId="0" applyFont="1" applyFill="1" applyProtection="1">
      <protection locked="0"/>
    </xf>
    <xf numFmtId="0" fontId="25" fillId="12" borderId="26" xfId="0" applyFont="1" applyFill="1" applyBorder="1" applyAlignment="1" applyProtection="1">
      <alignment vertical="center"/>
      <protection locked="0"/>
    </xf>
    <xf numFmtId="3" fontId="30" fillId="0" borderId="22" xfId="0" applyNumberFormat="1" applyFont="1" applyBorder="1" applyAlignment="1" applyProtection="1">
      <alignment horizontal="center" vertical="center"/>
      <protection locked="0"/>
    </xf>
    <xf numFmtId="3" fontId="30" fillId="0" borderId="23" xfId="0" applyNumberFormat="1" applyFont="1" applyBorder="1" applyAlignment="1" applyProtection="1">
      <alignment horizontal="center" vertical="center"/>
      <protection locked="0"/>
    </xf>
    <xf numFmtId="0" fontId="30" fillId="0" borderId="10" xfId="0" applyFont="1" applyBorder="1" applyAlignment="1" applyProtection="1">
      <alignment horizontal="center" vertical="center"/>
      <protection locked="0"/>
    </xf>
    <xf numFmtId="0" fontId="30" fillId="0" borderId="25" xfId="0" applyFont="1" applyBorder="1" applyAlignment="1" applyProtection="1">
      <alignment horizontal="center" vertical="center"/>
      <protection locked="0"/>
    </xf>
    <xf numFmtId="0" fontId="13" fillId="19" borderId="24" xfId="0" applyFont="1" applyFill="1" applyBorder="1" applyAlignment="1" applyProtection="1">
      <alignment horizontal="left" vertical="center"/>
      <protection locked="0"/>
    </xf>
    <xf numFmtId="169" fontId="25" fillId="11" borderId="10" xfId="1" applyNumberFormat="1" applyFont="1" applyFill="1" applyBorder="1" applyAlignment="1" applyProtection="1">
      <alignment horizontal="center"/>
      <protection locked="0"/>
    </xf>
    <xf numFmtId="169" fontId="25" fillId="11" borderId="25" xfId="1" applyNumberFormat="1" applyFont="1" applyFill="1" applyBorder="1" applyAlignment="1" applyProtection="1">
      <alignment horizontal="center"/>
      <protection locked="0"/>
    </xf>
    <xf numFmtId="0" fontId="13" fillId="19" borderId="24" xfId="0" applyFont="1" applyFill="1" applyBorder="1" applyAlignment="1" applyProtection="1">
      <alignment horizontal="left" vertical="center" wrapText="1"/>
      <protection locked="0"/>
    </xf>
    <xf numFmtId="49" fontId="25" fillId="11" borderId="10" xfId="1" applyNumberFormat="1" applyFont="1" applyFill="1" applyBorder="1" applyAlignment="1" applyProtection="1">
      <alignment horizontal="center" vertical="center"/>
      <protection locked="0"/>
    </xf>
    <xf numFmtId="49" fontId="25" fillId="11" borderId="25" xfId="1" applyNumberFormat="1" applyFont="1" applyFill="1" applyBorder="1" applyAlignment="1" applyProtection="1">
      <alignment horizontal="center" vertical="center"/>
      <protection locked="0"/>
    </xf>
    <xf numFmtId="49" fontId="25" fillId="11" borderId="27" xfId="1" applyNumberFormat="1" applyFont="1" applyFill="1" applyBorder="1" applyAlignment="1" applyProtection="1">
      <alignment horizontal="center" vertical="center"/>
      <protection locked="0"/>
    </xf>
    <xf numFmtId="49" fontId="25" fillId="11" borderId="28" xfId="1" applyNumberFormat="1" applyFont="1" applyFill="1" applyBorder="1" applyAlignment="1" applyProtection="1">
      <alignment horizontal="center" vertical="center"/>
      <protection locked="0"/>
    </xf>
    <xf numFmtId="0" fontId="25" fillId="17" borderId="24" xfId="0" applyFont="1" applyFill="1" applyBorder="1"/>
    <xf numFmtId="1" fontId="25" fillId="14" borderId="10" xfId="1" applyNumberFormat="1" applyFont="1" applyFill="1" applyBorder="1" applyAlignment="1" applyProtection="1">
      <alignment horizontal="center" vertical="center"/>
    </xf>
    <xf numFmtId="1" fontId="25" fillId="14" borderId="25" xfId="1" applyNumberFormat="1" applyFont="1" applyFill="1" applyBorder="1" applyAlignment="1" applyProtection="1">
      <alignment horizontal="center" vertical="center"/>
    </xf>
    <xf numFmtId="1" fontId="25" fillId="16" borderId="10" xfId="0" applyNumberFormat="1" applyFont="1" applyFill="1" applyBorder="1" applyAlignment="1">
      <alignment horizontal="center" vertical="center"/>
    </xf>
    <xf numFmtId="1" fontId="25" fillId="16" borderId="10" xfId="1" applyNumberFormat="1" applyFont="1" applyFill="1" applyBorder="1" applyAlignment="1" applyProtection="1">
      <alignment horizontal="center" vertical="center"/>
    </xf>
    <xf numFmtId="1" fontId="25" fillId="16" borderId="25" xfId="1" applyNumberFormat="1" applyFont="1" applyFill="1" applyBorder="1" applyAlignment="1" applyProtection="1">
      <alignment horizontal="center" vertical="center"/>
    </xf>
    <xf numFmtId="166" fontId="25" fillId="0" borderId="10" xfId="0" applyNumberFormat="1" applyFont="1" applyBorder="1" applyAlignment="1">
      <alignment horizontal="center" vertical="center"/>
    </xf>
    <xf numFmtId="0" fontId="25" fillId="17" borderId="10" xfId="0" applyFont="1" applyFill="1" applyBorder="1" applyAlignment="1">
      <alignment horizontal="center" vertical="center"/>
    </xf>
    <xf numFmtId="0" fontId="25" fillId="17" borderId="25" xfId="0" applyFont="1" applyFill="1" applyBorder="1" applyAlignment="1">
      <alignment horizontal="center" vertical="center"/>
    </xf>
    <xf numFmtId="0" fontId="25" fillId="9" borderId="24" xfId="0" applyFont="1" applyFill="1" applyBorder="1"/>
    <xf numFmtId="166" fontId="25" fillId="9" borderId="24" xfId="0" applyNumberFormat="1" applyFont="1" applyFill="1" applyBorder="1" applyAlignment="1">
      <alignment horizontal="left" vertical="center"/>
    </xf>
    <xf numFmtId="166" fontId="43" fillId="2" borderId="22" xfId="0" applyNumberFormat="1" applyFont="1" applyFill="1" applyBorder="1" applyAlignment="1">
      <alignment horizontal="center"/>
    </xf>
    <xf numFmtId="166" fontId="43" fillId="2" borderId="23" xfId="0" applyNumberFormat="1" applyFont="1" applyFill="1" applyBorder="1" applyAlignment="1">
      <alignment horizontal="center"/>
    </xf>
    <xf numFmtId="166" fontId="43" fillId="2" borderId="21" xfId="0" applyNumberFormat="1" applyFont="1" applyFill="1" applyBorder="1" applyAlignment="1">
      <alignment horizontal="center"/>
    </xf>
    <xf numFmtId="166" fontId="43" fillId="24" borderId="21" xfId="0" applyNumberFormat="1" applyFont="1" applyFill="1" applyBorder="1" applyAlignment="1">
      <alignment horizontal="center"/>
    </xf>
    <xf numFmtId="166" fontId="43" fillId="24" borderId="22" xfId="0" applyNumberFormat="1" applyFont="1" applyFill="1" applyBorder="1" applyAlignment="1">
      <alignment horizontal="center"/>
    </xf>
    <xf numFmtId="166" fontId="43" fillId="24" borderId="23" xfId="0" applyNumberFormat="1" applyFont="1" applyFill="1" applyBorder="1" applyAlignment="1">
      <alignment horizontal="center"/>
    </xf>
    <xf numFmtId="166" fontId="43" fillId="25" borderId="22" xfId="0" applyNumberFormat="1" applyFont="1" applyFill="1" applyBorder="1" applyAlignment="1">
      <alignment horizontal="center"/>
    </xf>
    <xf numFmtId="166" fontId="43" fillId="25" borderId="23" xfId="0" applyNumberFormat="1" applyFont="1" applyFill="1" applyBorder="1" applyAlignment="1">
      <alignment horizontal="center"/>
    </xf>
    <xf numFmtId="166" fontId="43" fillId="25" borderId="21" xfId="0" applyNumberFormat="1" applyFont="1" applyFill="1" applyBorder="1" applyAlignment="1">
      <alignment horizontal="center"/>
    </xf>
    <xf numFmtId="166" fontId="43" fillId="22" borderId="22" xfId="0" applyNumberFormat="1" applyFont="1" applyFill="1" applyBorder="1" applyAlignment="1">
      <alignment horizontal="center"/>
    </xf>
    <xf numFmtId="166" fontId="43" fillId="22" borderId="23" xfId="0" applyNumberFormat="1" applyFont="1" applyFill="1" applyBorder="1" applyAlignment="1">
      <alignment horizontal="center"/>
    </xf>
    <xf numFmtId="166" fontId="43" fillId="22" borderId="21" xfId="0" applyNumberFormat="1" applyFont="1" applyFill="1" applyBorder="1" applyAlignment="1">
      <alignment horizontal="center"/>
    </xf>
    <xf numFmtId="166" fontId="43" fillId="12" borderId="22" xfId="0" applyNumberFormat="1" applyFont="1" applyFill="1" applyBorder="1" applyAlignment="1">
      <alignment horizontal="center"/>
    </xf>
    <xf numFmtId="166" fontId="43" fillId="12" borderId="21" xfId="0" applyNumberFormat="1" applyFont="1" applyFill="1" applyBorder="1" applyAlignment="1">
      <alignment horizontal="center"/>
    </xf>
    <xf numFmtId="0" fontId="22" fillId="11" borderId="45" xfId="0" applyFont="1" applyFill="1" applyBorder="1" applyAlignment="1" applyProtection="1">
      <alignment vertical="top"/>
      <protection locked="0"/>
    </xf>
    <xf numFmtId="0" fontId="22" fillId="11" borderId="46" xfId="0" applyFont="1" applyFill="1" applyBorder="1" applyAlignment="1" applyProtection="1">
      <alignment vertical="top"/>
      <protection locked="0"/>
    </xf>
    <xf numFmtId="0" fontId="22" fillId="11" borderId="45" xfId="0" applyFont="1" applyFill="1" applyBorder="1" applyAlignment="1" applyProtection="1">
      <alignment vertical="top" wrapText="1"/>
      <protection locked="0"/>
    </xf>
    <xf numFmtId="0" fontId="22" fillId="11" borderId="47" xfId="0" applyFont="1" applyFill="1" applyBorder="1" applyAlignment="1" applyProtection="1">
      <alignment vertical="top"/>
      <protection locked="0"/>
    </xf>
    <xf numFmtId="0" fontId="1" fillId="11" borderId="32" xfId="0" applyFont="1" applyFill="1" applyBorder="1" applyAlignment="1" applyProtection="1">
      <alignment horizontal="left" vertical="top" wrapText="1"/>
      <protection locked="0"/>
    </xf>
    <xf numFmtId="0" fontId="23" fillId="11" borderId="32" xfId="4" applyFont="1" applyFill="1" applyBorder="1" applyAlignment="1" applyProtection="1">
      <alignment horizontal="left" vertical="top" wrapText="1"/>
      <protection locked="0"/>
    </xf>
    <xf numFmtId="0" fontId="1" fillId="11" borderId="35" xfId="0" applyFont="1" applyFill="1" applyBorder="1" applyAlignment="1" applyProtection="1">
      <alignment horizontal="left" vertical="top" wrapText="1"/>
      <protection locked="0"/>
    </xf>
    <xf numFmtId="0" fontId="1" fillId="11" borderId="29" xfId="0" applyFont="1" applyFill="1" applyBorder="1" applyAlignment="1" applyProtection="1">
      <alignment horizontal="left" vertical="top" wrapText="1"/>
      <protection locked="0"/>
    </xf>
    <xf numFmtId="0" fontId="23" fillId="11" borderId="32" xfId="4" applyFont="1" applyFill="1" applyBorder="1" applyAlignment="1" applyProtection="1">
      <alignment vertical="top" wrapText="1"/>
      <protection locked="0"/>
    </xf>
    <xf numFmtId="0" fontId="1" fillId="11" borderId="36" xfId="0" applyFont="1" applyFill="1" applyBorder="1" applyAlignment="1" applyProtection="1">
      <alignment horizontal="left" vertical="top" wrapText="1"/>
      <protection locked="0"/>
    </xf>
    <xf numFmtId="0" fontId="1" fillId="11" borderId="34" xfId="0" applyFont="1" applyFill="1" applyBorder="1" applyAlignment="1" applyProtection="1">
      <alignment horizontal="left" vertical="top" wrapText="1"/>
      <protection locked="0"/>
    </xf>
    <xf numFmtId="0" fontId="56" fillId="11" borderId="31" xfId="4" applyFont="1" applyFill="1" applyBorder="1" applyAlignment="1" applyProtection="1">
      <alignment vertical="top" wrapText="1"/>
      <protection locked="0"/>
    </xf>
    <xf numFmtId="0" fontId="23" fillId="11" borderId="37" xfId="0" applyFont="1" applyFill="1" applyBorder="1" applyAlignment="1" applyProtection="1">
      <alignment vertical="top" wrapText="1"/>
      <protection locked="0"/>
    </xf>
    <xf numFmtId="0" fontId="23" fillId="11" borderId="31" xfId="0" applyFont="1" applyFill="1" applyBorder="1" applyAlignment="1" applyProtection="1">
      <alignment vertical="top" wrapText="1"/>
      <protection locked="0"/>
    </xf>
    <xf numFmtId="0" fontId="56" fillId="11" borderId="31" xfId="0" applyFont="1" applyFill="1" applyBorder="1" applyAlignment="1" applyProtection="1">
      <alignment vertical="top"/>
      <protection locked="0"/>
    </xf>
    <xf numFmtId="0" fontId="1" fillId="11" borderId="32" xfId="0" applyFont="1" applyFill="1" applyBorder="1" applyAlignment="1" applyProtection="1">
      <alignment vertical="top" wrapText="1"/>
      <protection locked="0"/>
    </xf>
    <xf numFmtId="0" fontId="23" fillId="11" borderId="32" xfId="0" applyFont="1" applyFill="1" applyBorder="1" applyAlignment="1" applyProtection="1">
      <alignment vertical="top" wrapText="1"/>
      <protection locked="0"/>
    </xf>
    <xf numFmtId="0" fontId="23" fillId="11" borderId="38" xfId="0" applyFont="1" applyFill="1" applyBorder="1" applyAlignment="1" applyProtection="1">
      <alignment vertical="top" wrapText="1"/>
      <protection locked="0"/>
    </xf>
    <xf numFmtId="0" fontId="23" fillId="11" borderId="42" xfId="0" applyFont="1" applyFill="1" applyBorder="1" applyAlignment="1" applyProtection="1">
      <alignment vertical="top" wrapText="1"/>
      <protection locked="0"/>
    </xf>
    <xf numFmtId="0" fontId="23" fillId="11" borderId="31" xfId="0" applyFont="1" applyFill="1" applyBorder="1" applyAlignment="1" applyProtection="1">
      <alignment vertical="top"/>
      <protection locked="0"/>
    </xf>
    <xf numFmtId="0" fontId="23" fillId="11" borderId="32" xfId="0" applyFont="1" applyFill="1" applyBorder="1" applyAlignment="1" applyProtection="1">
      <alignment horizontal="left" vertical="top" wrapText="1"/>
      <protection locked="0"/>
    </xf>
    <xf numFmtId="0" fontId="1" fillId="11" borderId="39" xfId="0" applyFont="1" applyFill="1" applyBorder="1" applyAlignment="1" applyProtection="1">
      <alignment vertical="top" wrapText="1"/>
      <protection locked="0"/>
    </xf>
    <xf numFmtId="0" fontId="23" fillId="11" borderId="43" xfId="0" applyFont="1" applyFill="1" applyBorder="1" applyAlignment="1" applyProtection="1">
      <alignment vertical="top" wrapText="1"/>
      <protection locked="0"/>
    </xf>
    <xf numFmtId="0" fontId="56" fillId="11" borderId="32" xfId="0" applyFont="1" applyFill="1" applyBorder="1" applyAlignment="1" applyProtection="1">
      <alignment horizontal="left" vertical="top" wrapText="1"/>
      <protection locked="0"/>
    </xf>
    <xf numFmtId="0" fontId="56" fillId="11" borderId="32" xfId="0" applyFont="1" applyFill="1" applyBorder="1" applyAlignment="1" applyProtection="1">
      <alignment vertical="top" wrapText="1"/>
      <protection locked="0"/>
    </xf>
    <xf numFmtId="0" fontId="23" fillId="11" borderId="44" xfId="0" applyFont="1" applyFill="1" applyBorder="1" applyAlignment="1" applyProtection="1">
      <alignment vertical="top" wrapText="1"/>
      <protection locked="0"/>
    </xf>
    <xf numFmtId="0" fontId="65" fillId="11" borderId="32" xfId="0" applyFont="1" applyFill="1" applyBorder="1" applyAlignment="1" applyProtection="1">
      <alignment vertical="top" wrapText="1"/>
      <protection locked="0"/>
    </xf>
    <xf numFmtId="0" fontId="65" fillId="11" borderId="32" xfId="0" applyFont="1" applyFill="1" applyBorder="1" applyAlignment="1" applyProtection="1">
      <alignment vertical="top"/>
      <protection locked="0"/>
    </xf>
    <xf numFmtId="0" fontId="65" fillId="11" borderId="31" xfId="0" applyFont="1" applyFill="1" applyBorder="1" applyAlignment="1" applyProtection="1">
      <alignment vertical="top"/>
      <protection locked="0"/>
    </xf>
    <xf numFmtId="0" fontId="65" fillId="11" borderId="32" xfId="0" applyFont="1" applyFill="1" applyBorder="1" applyAlignment="1" applyProtection="1">
      <alignment horizontal="left" vertical="top" wrapText="1"/>
      <protection locked="0"/>
    </xf>
    <xf numFmtId="0" fontId="56" fillId="11" borderId="40" xfId="0" applyFont="1" applyFill="1" applyBorder="1" applyAlignment="1" applyProtection="1">
      <alignment vertical="top" wrapText="1"/>
      <protection locked="0"/>
    </xf>
    <xf numFmtId="0" fontId="22" fillId="11" borderId="42" xfId="0" applyFont="1" applyFill="1" applyBorder="1" applyAlignment="1" applyProtection="1">
      <alignment vertical="top"/>
      <protection locked="0"/>
    </xf>
    <xf numFmtId="0" fontId="65" fillId="11" borderId="32" xfId="4" applyFont="1" applyFill="1" applyBorder="1" applyAlignment="1" applyProtection="1">
      <alignment vertical="top" wrapText="1"/>
      <protection locked="0"/>
    </xf>
    <xf numFmtId="0" fontId="23" fillId="11" borderId="32" xfId="0" applyFont="1" applyFill="1" applyBorder="1" applyAlignment="1" applyProtection="1">
      <alignment vertical="top"/>
      <protection locked="0"/>
    </xf>
    <xf numFmtId="0" fontId="23" fillId="11" borderId="43" xfId="0" applyFont="1" applyFill="1" applyBorder="1" applyAlignment="1" applyProtection="1">
      <alignment vertical="top"/>
      <protection locked="0"/>
    </xf>
    <xf numFmtId="0" fontId="56" fillId="11" borderId="33" xfId="0" applyFont="1" applyFill="1" applyBorder="1" applyAlignment="1" applyProtection="1">
      <alignment vertical="top"/>
      <protection locked="0"/>
    </xf>
    <xf numFmtId="0" fontId="23" fillId="11" borderId="33" xfId="0" applyFont="1" applyFill="1" applyBorder="1" applyAlignment="1" applyProtection="1">
      <alignment vertical="top"/>
      <protection locked="0"/>
    </xf>
    <xf numFmtId="0" fontId="1" fillId="11" borderId="41" xfId="0" applyFont="1" applyFill="1" applyBorder="1" applyAlignment="1" applyProtection="1">
      <alignment vertical="top"/>
      <protection locked="0"/>
    </xf>
    <xf numFmtId="0" fontId="23" fillId="11" borderId="44" xfId="0" applyFont="1" applyFill="1" applyBorder="1" applyAlignment="1" applyProtection="1">
      <alignment vertical="top"/>
      <protection locked="0"/>
    </xf>
    <xf numFmtId="0" fontId="74" fillId="14" borderId="24" xfId="0" applyFont="1" applyFill="1" applyBorder="1" applyAlignment="1">
      <alignment vertical="center" wrapText="1"/>
    </xf>
    <xf numFmtId="164" fontId="74" fillId="14" borderId="10" xfId="1" applyNumberFormat="1" applyFont="1" applyFill="1" applyBorder="1" applyAlignment="1">
      <alignment horizontal="center" vertical="center" wrapText="1"/>
    </xf>
    <xf numFmtId="0" fontId="69" fillId="11" borderId="10" xfId="4" applyFont="1" applyFill="1" applyBorder="1" applyAlignment="1" applyProtection="1">
      <alignment vertical="top" wrapText="1"/>
      <protection locked="0"/>
    </xf>
    <xf numFmtId="165" fontId="74" fillId="14" borderId="10" xfId="1" applyFont="1" applyFill="1" applyBorder="1" applyAlignment="1">
      <alignment horizontal="center" vertical="center" wrapText="1"/>
    </xf>
    <xf numFmtId="0" fontId="75" fillId="11" borderId="10" xfId="4" applyFont="1" applyFill="1" applyBorder="1" applyAlignment="1" applyProtection="1">
      <alignment vertical="top" wrapText="1"/>
      <protection locked="0"/>
    </xf>
    <xf numFmtId="0" fontId="75" fillId="11" borderId="10" xfId="0" applyFont="1" applyFill="1" applyBorder="1" applyAlignment="1" applyProtection="1">
      <alignment vertical="top" wrapText="1"/>
      <protection locked="0"/>
    </xf>
    <xf numFmtId="9" fontId="74" fillId="14" borderId="10" xfId="2" applyFont="1" applyFill="1" applyBorder="1" applyAlignment="1">
      <alignment horizontal="center" vertical="center" wrapText="1"/>
    </xf>
    <xf numFmtId="0" fontId="76" fillId="11" borderId="10" xfId="0" applyFont="1" applyFill="1" applyBorder="1" applyAlignment="1" applyProtection="1">
      <alignment vertical="top" wrapText="1"/>
      <protection locked="0"/>
    </xf>
    <xf numFmtId="1" fontId="74" fillId="14" borderId="10" xfId="0" applyNumberFormat="1" applyFont="1" applyFill="1" applyBorder="1" applyAlignment="1">
      <alignment horizontal="center" vertical="center" wrapText="1"/>
    </xf>
    <xf numFmtId="0" fontId="77" fillId="27" borderId="10" xfId="0" applyFont="1" applyFill="1" applyBorder="1" applyAlignment="1" applyProtection="1">
      <alignment horizontal="left" vertical="top" wrapText="1"/>
      <protection locked="0"/>
    </xf>
    <xf numFmtId="0" fontId="77" fillId="28" borderId="10" xfId="0" applyFont="1" applyFill="1" applyBorder="1" applyAlignment="1" applyProtection="1">
      <alignment vertical="top" wrapText="1"/>
      <protection locked="0"/>
    </xf>
    <xf numFmtId="0" fontId="74" fillId="14" borderId="10" xfId="0" applyFont="1" applyFill="1" applyBorder="1" applyAlignment="1">
      <alignment horizontal="center" vertical="center" wrapText="1"/>
    </xf>
    <xf numFmtId="0" fontId="77" fillId="30" borderId="10" xfId="0" applyFont="1" applyFill="1" applyBorder="1" applyAlignment="1" applyProtection="1">
      <alignment vertical="top" wrapText="1"/>
      <protection locked="0"/>
    </xf>
    <xf numFmtId="0" fontId="77" fillId="28" borderId="10" xfId="0" applyFont="1" applyFill="1" applyBorder="1" applyAlignment="1" applyProtection="1">
      <alignment horizontal="left" vertical="top" wrapText="1"/>
      <protection locked="0"/>
    </xf>
    <xf numFmtId="0" fontId="77" fillId="29" borderId="10" xfId="0" applyFont="1" applyFill="1" applyBorder="1" applyAlignment="1" applyProtection="1">
      <alignment vertical="top" wrapText="1"/>
      <protection locked="0"/>
    </xf>
    <xf numFmtId="0" fontId="78" fillId="11" borderId="10" xfId="4" applyFont="1" applyFill="1" applyBorder="1" applyAlignment="1" applyProtection="1">
      <alignment vertical="top" wrapText="1"/>
      <protection locked="0"/>
    </xf>
    <xf numFmtId="0" fontId="77" fillId="27" borderId="10" xfId="4" applyFont="1" applyFill="1" applyBorder="1" applyAlignment="1" applyProtection="1">
      <alignment vertical="top" wrapText="1"/>
      <protection locked="0"/>
    </xf>
    <xf numFmtId="2" fontId="74" fillId="14" borderId="10" xfId="0" applyNumberFormat="1" applyFont="1" applyFill="1" applyBorder="1" applyAlignment="1">
      <alignment horizontal="center" vertical="center" wrapText="1"/>
    </xf>
    <xf numFmtId="0" fontId="77" fillId="27" borderId="10" xfId="0" applyFont="1" applyFill="1" applyBorder="1" applyAlignment="1" applyProtection="1">
      <alignment vertical="top" wrapText="1"/>
      <protection locked="0"/>
    </xf>
    <xf numFmtId="0" fontId="74" fillId="14" borderId="26" xfId="0" applyFont="1" applyFill="1" applyBorder="1" applyAlignment="1">
      <alignment vertical="center" wrapText="1"/>
    </xf>
    <xf numFmtId="2" fontId="74" fillId="14" borderId="27" xfId="2" applyNumberFormat="1" applyFont="1" applyFill="1" applyBorder="1" applyAlignment="1">
      <alignment horizontal="center" vertical="center" wrapText="1"/>
    </xf>
    <xf numFmtId="0" fontId="80" fillId="26" borderId="10" xfId="0" applyFont="1" applyFill="1" applyBorder="1" applyAlignment="1" applyProtection="1">
      <alignment vertical="center"/>
      <protection locked="0"/>
    </xf>
    <xf numFmtId="0" fontId="80" fillId="26" borderId="10" xfId="0" applyFont="1" applyFill="1" applyBorder="1" applyAlignment="1" applyProtection="1">
      <alignment vertical="center" wrapText="1"/>
      <protection locked="0"/>
    </xf>
    <xf numFmtId="0" fontId="80" fillId="26" borderId="25" xfId="0" applyFont="1" applyFill="1" applyBorder="1" applyAlignment="1" applyProtection="1">
      <alignment vertical="center" wrapText="1"/>
      <protection locked="0"/>
    </xf>
    <xf numFmtId="0" fontId="77" fillId="28" borderId="10" xfId="4" applyFont="1" applyFill="1" applyBorder="1" applyAlignment="1" applyProtection="1">
      <alignment horizontal="left" vertical="top" wrapText="1"/>
      <protection locked="0"/>
    </xf>
    <xf numFmtId="0" fontId="77" fillId="29" borderId="10" xfId="0" applyFont="1" applyFill="1" applyBorder="1" applyAlignment="1" applyProtection="1">
      <alignment horizontal="left" vertical="top" wrapText="1"/>
      <protection locked="0"/>
    </xf>
    <xf numFmtId="0" fontId="77" fillId="30" borderId="10" xfId="0" applyFont="1" applyFill="1" applyBorder="1" applyAlignment="1" applyProtection="1">
      <alignment horizontal="left" vertical="top" wrapText="1"/>
      <protection locked="0"/>
    </xf>
    <xf numFmtId="0" fontId="77" fillId="28" borderId="10" xfId="4" applyFont="1" applyFill="1" applyBorder="1" applyAlignment="1" applyProtection="1">
      <alignment vertical="top" wrapText="1"/>
      <protection locked="0"/>
    </xf>
    <xf numFmtId="0" fontId="77" fillId="29" borderId="10" xfId="0" applyFont="1" applyFill="1" applyBorder="1" applyAlignment="1">
      <alignment vertical="center" wrapText="1"/>
    </xf>
    <xf numFmtId="0" fontId="77" fillId="28" borderId="27" xfId="0" applyFont="1" applyFill="1" applyBorder="1" applyAlignment="1" applyProtection="1">
      <alignment vertical="top" wrapText="1"/>
      <protection locked="0"/>
    </xf>
    <xf numFmtId="0" fontId="77" fillId="29" borderId="27" xfId="0" applyFont="1" applyFill="1" applyBorder="1" applyAlignment="1" applyProtection="1">
      <alignment vertical="top" wrapText="1"/>
      <protection locked="0"/>
    </xf>
    <xf numFmtId="0" fontId="77" fillId="30" borderId="27" xfId="0" applyFont="1" applyFill="1" applyBorder="1" applyAlignment="1" applyProtection="1">
      <alignment vertical="top" wrapText="1"/>
      <protection locked="0"/>
    </xf>
    <xf numFmtId="0" fontId="77" fillId="31" borderId="25" xfId="0" applyFont="1" applyFill="1" applyBorder="1" applyAlignment="1" applyProtection="1">
      <alignment horizontal="left" vertical="top" wrapText="1"/>
      <protection locked="0"/>
    </xf>
    <xf numFmtId="0" fontId="77" fillId="31" borderId="25" xfId="0" applyFont="1" applyFill="1" applyBorder="1" applyAlignment="1" applyProtection="1">
      <alignment vertical="top" wrapText="1"/>
      <protection locked="0"/>
    </xf>
    <xf numFmtId="0" fontId="77" fillId="31" borderId="28" xfId="0" applyFont="1" applyFill="1" applyBorder="1" applyAlignment="1" applyProtection="1">
      <alignment vertical="top" wrapText="1"/>
      <protection locked="0"/>
    </xf>
    <xf numFmtId="0" fontId="69" fillId="11" borderId="27" xfId="4" applyFont="1" applyFill="1" applyBorder="1" applyAlignment="1" applyProtection="1">
      <alignment vertical="top" wrapText="1"/>
      <protection locked="0"/>
    </xf>
    <xf numFmtId="0" fontId="26" fillId="11" borderId="52" xfId="0" applyFont="1" applyFill="1" applyBorder="1" applyAlignment="1" applyProtection="1">
      <alignment vertical="top"/>
      <protection locked="0"/>
    </xf>
    <xf numFmtId="0" fontId="66" fillId="11" borderId="30" xfId="4" applyFont="1" applyFill="1" applyBorder="1" applyAlignment="1" applyProtection="1">
      <alignment vertical="top" wrapText="1"/>
      <protection locked="0"/>
    </xf>
    <xf numFmtId="0" fontId="66" fillId="11" borderId="31" xfId="4" applyFont="1" applyFill="1" applyBorder="1" applyAlignment="1" applyProtection="1">
      <alignment vertical="top" wrapText="1"/>
      <protection locked="0"/>
    </xf>
    <xf numFmtId="0" fontId="66" fillId="11" borderId="51" xfId="4" applyFont="1" applyFill="1" applyBorder="1" applyAlignment="1" applyProtection="1">
      <alignment vertical="top" wrapText="1"/>
      <protection locked="0"/>
    </xf>
    <xf numFmtId="167" fontId="4" fillId="11" borderId="0" xfId="0" applyNumberFormat="1" applyFont="1" applyFill="1" applyAlignment="1" applyProtection="1">
      <alignment horizontal="right" vertical="center"/>
      <protection hidden="1"/>
    </xf>
    <xf numFmtId="166" fontId="1" fillId="11" borderId="0" xfId="0" applyNumberFormat="1" applyFont="1" applyFill="1" applyProtection="1">
      <protection hidden="1"/>
    </xf>
    <xf numFmtId="0" fontId="56" fillId="11" borderId="0" xfId="0" applyFont="1" applyFill="1"/>
    <xf numFmtId="0" fontId="42" fillId="16" borderId="17" xfId="0" applyFont="1" applyFill="1" applyBorder="1" applyAlignment="1" applyProtection="1">
      <alignment horizontal="center"/>
      <protection locked="0"/>
    </xf>
    <xf numFmtId="0" fontId="42" fillId="0" borderId="17" xfId="0" applyFont="1" applyBorder="1" applyAlignment="1" applyProtection="1">
      <alignment horizontal="center"/>
      <protection locked="0"/>
    </xf>
    <xf numFmtId="49" fontId="24" fillId="11" borderId="25" xfId="1" applyNumberFormat="1" applyFont="1" applyFill="1" applyBorder="1" applyAlignment="1" applyProtection="1">
      <alignment horizontal="center" vertical="center"/>
      <protection locked="0"/>
    </xf>
    <xf numFmtId="166" fontId="43" fillId="12" borderId="23" xfId="0" applyNumberFormat="1" applyFont="1" applyFill="1" applyBorder="1" applyAlignment="1">
      <alignment horizontal="center"/>
    </xf>
    <xf numFmtId="166" fontId="43" fillId="18" borderId="21" xfId="0" applyNumberFormat="1" applyFont="1" applyFill="1" applyBorder="1" applyAlignment="1">
      <alignment horizontal="center"/>
    </xf>
    <xf numFmtId="166" fontId="43" fillId="18" borderId="22" xfId="0" applyNumberFormat="1" applyFont="1" applyFill="1" applyBorder="1" applyAlignment="1">
      <alignment horizontal="center"/>
    </xf>
    <xf numFmtId="166" fontId="43" fillId="18" borderId="23" xfId="0" applyNumberFormat="1" applyFont="1" applyFill="1" applyBorder="1" applyAlignment="1">
      <alignment horizontal="center"/>
    </xf>
    <xf numFmtId="0" fontId="42" fillId="0" borderId="53" xfId="0" applyFont="1" applyBorder="1" applyAlignment="1" applyProtection="1">
      <alignment horizontal="center"/>
      <protection locked="0"/>
    </xf>
    <xf numFmtId="0" fontId="42" fillId="16" borderId="53" xfId="0" applyFont="1" applyFill="1" applyBorder="1" applyAlignment="1" applyProtection="1">
      <alignment horizontal="center"/>
      <protection locked="0"/>
    </xf>
    <xf numFmtId="0" fontId="25" fillId="0" borderId="25" xfId="0" applyFont="1" applyBorder="1" applyAlignment="1">
      <alignment horizontal="center"/>
    </xf>
    <xf numFmtId="49" fontId="25" fillId="11" borderId="54" xfId="1" applyNumberFormat="1" applyFont="1" applyFill="1" applyBorder="1" applyAlignment="1" applyProtection="1">
      <alignment horizontal="center" vertical="center"/>
      <protection locked="0"/>
    </xf>
    <xf numFmtId="1" fontId="25" fillId="11" borderId="54" xfId="1" applyNumberFormat="1" applyFont="1" applyFill="1" applyBorder="1" applyAlignment="1" applyProtection="1">
      <alignment horizontal="center" vertical="center"/>
      <protection hidden="1"/>
    </xf>
    <xf numFmtId="166" fontId="25" fillId="11" borderId="54" xfId="0" applyNumberFormat="1" applyFont="1" applyFill="1" applyBorder="1" applyAlignment="1" applyProtection="1">
      <alignment horizontal="center" vertical="center"/>
      <protection hidden="1"/>
    </xf>
    <xf numFmtId="0" fontId="25" fillId="11" borderId="54" xfId="0" applyFont="1" applyFill="1" applyBorder="1" applyAlignment="1" applyProtection="1">
      <alignment horizontal="center" vertical="center"/>
      <protection hidden="1"/>
    </xf>
    <xf numFmtId="0" fontId="25" fillId="14" borderId="54" xfId="0" applyFont="1" applyFill="1" applyBorder="1" applyAlignment="1" applyProtection="1">
      <alignment horizontal="center" vertical="center"/>
      <protection locked="0"/>
    </xf>
    <xf numFmtId="169" fontId="25" fillId="11" borderId="54" xfId="1" applyNumberFormat="1" applyFont="1" applyFill="1" applyBorder="1" applyAlignment="1" applyProtection="1">
      <alignment horizontal="center"/>
      <protection hidden="1"/>
    </xf>
    <xf numFmtId="0" fontId="13" fillId="14" borderId="58" xfId="0" applyFont="1" applyFill="1" applyBorder="1" applyAlignment="1">
      <alignment horizontal="left" vertical="center" wrapText="1"/>
    </xf>
    <xf numFmtId="0" fontId="13" fillId="11" borderId="58" xfId="0" applyFont="1" applyFill="1" applyBorder="1" applyAlignment="1" applyProtection="1">
      <alignment horizontal="left" vertical="center" wrapText="1"/>
      <protection hidden="1"/>
    </xf>
    <xf numFmtId="0" fontId="25" fillId="11" borderId="58" xfId="0" applyFont="1" applyFill="1" applyBorder="1" applyProtection="1">
      <protection hidden="1"/>
    </xf>
    <xf numFmtId="0" fontId="25" fillId="11" borderId="58" xfId="0" applyFont="1" applyFill="1" applyBorder="1" applyAlignment="1" applyProtection="1">
      <alignment vertical="center"/>
      <protection locked="0"/>
    </xf>
    <xf numFmtId="0" fontId="25" fillId="11" borderId="60" xfId="0" applyFont="1" applyFill="1" applyBorder="1" applyAlignment="1" applyProtection="1">
      <alignment vertical="center"/>
      <protection locked="0"/>
    </xf>
    <xf numFmtId="49" fontId="25" fillId="11" borderId="61" xfId="1" applyNumberFormat="1" applyFont="1" applyFill="1" applyBorder="1" applyAlignment="1" applyProtection="1">
      <alignment horizontal="center" vertical="center"/>
      <protection locked="0"/>
    </xf>
    <xf numFmtId="0" fontId="1" fillId="11" borderId="0" xfId="0" applyFont="1" applyFill="1" applyAlignment="1">
      <alignment vertical="center" wrapText="1"/>
    </xf>
    <xf numFmtId="166" fontId="23" fillId="11" borderId="0" xfId="0" applyNumberFormat="1" applyFont="1" applyFill="1" applyProtection="1">
      <protection hidden="1"/>
    </xf>
    <xf numFmtId="0" fontId="7" fillId="0" borderId="0" xfId="0" applyFont="1" applyAlignment="1">
      <alignment horizontal="center" vertical="center"/>
    </xf>
    <xf numFmtId="0" fontId="23" fillId="2" borderId="0" xfId="0" applyFont="1" applyFill="1" applyProtection="1">
      <protection locked="0" hidden="1"/>
    </xf>
    <xf numFmtId="166" fontId="4" fillId="11" borderId="0" xfId="0" applyNumberFormat="1" applyFont="1" applyFill="1" applyAlignment="1" applyProtection="1">
      <alignment horizontal="center" vertical="center"/>
      <protection hidden="1"/>
    </xf>
    <xf numFmtId="0" fontId="0" fillId="11" borderId="0" xfId="0" applyFill="1"/>
    <xf numFmtId="0" fontId="4" fillId="2" borderId="0" xfId="0" applyFont="1" applyFill="1" applyAlignment="1" applyProtection="1">
      <alignment vertical="center" wrapText="1"/>
      <protection locked="0"/>
    </xf>
    <xf numFmtId="0" fontId="23" fillId="2" borderId="0" xfId="0" applyFont="1" applyFill="1" applyProtection="1">
      <protection locked="0"/>
    </xf>
    <xf numFmtId="0" fontId="41" fillId="2" borderId="0" xfId="0" applyFont="1" applyFill="1"/>
    <xf numFmtId="170" fontId="20" fillId="27" borderId="66" xfId="0" applyNumberFormat="1" applyFont="1" applyFill="1" applyBorder="1" applyAlignment="1" applyProtection="1">
      <alignment vertical="center"/>
      <protection hidden="1"/>
    </xf>
    <xf numFmtId="0" fontId="1" fillId="0" borderId="63" xfId="0" applyFont="1" applyBorder="1" applyAlignment="1" applyProtection="1">
      <alignment vertical="center"/>
      <protection hidden="1"/>
    </xf>
    <xf numFmtId="0" fontId="1" fillId="11" borderId="63" xfId="0" applyFont="1" applyFill="1" applyBorder="1" applyAlignment="1" applyProtection="1">
      <alignment vertical="center"/>
      <protection hidden="1"/>
    </xf>
    <xf numFmtId="0" fontId="25" fillId="11" borderId="68" xfId="0" applyFont="1" applyFill="1" applyBorder="1" applyAlignment="1" applyProtection="1">
      <alignment horizontal="right" vertical="top" wrapText="1"/>
      <protection locked="0"/>
    </xf>
    <xf numFmtId="0" fontId="25" fillId="11" borderId="68" xfId="0" applyFont="1" applyFill="1" applyBorder="1" applyAlignment="1" applyProtection="1">
      <alignment horizontal="right" vertical="top"/>
      <protection locked="0"/>
    </xf>
    <xf numFmtId="0" fontId="82" fillId="11" borderId="68" xfId="4" applyFont="1" applyFill="1" applyBorder="1" applyAlignment="1" applyProtection="1">
      <alignment horizontal="right" vertical="top" wrapText="1"/>
      <protection locked="0"/>
    </xf>
    <xf numFmtId="0" fontId="85" fillId="11" borderId="67" xfId="0" applyFont="1" applyFill="1" applyBorder="1" applyAlignment="1" applyProtection="1">
      <alignment horizontal="center" vertical="top"/>
      <protection locked="0"/>
    </xf>
    <xf numFmtId="0" fontId="85" fillId="11" borderId="67" xfId="0" applyFont="1" applyFill="1" applyBorder="1" applyAlignment="1" applyProtection="1">
      <alignment vertical="top"/>
      <protection locked="0"/>
    </xf>
    <xf numFmtId="166" fontId="70" fillId="34" borderId="70" xfId="0" applyNumberFormat="1" applyFont="1" applyFill="1" applyBorder="1" applyAlignment="1">
      <alignment horizontal="right" vertical="center" wrapText="1" indent="1"/>
    </xf>
    <xf numFmtId="169" fontId="14" fillId="34" borderId="67" xfId="0" applyNumberFormat="1" applyFont="1" applyFill="1" applyBorder="1" applyAlignment="1">
      <alignment horizontal="right" vertical="center"/>
    </xf>
    <xf numFmtId="0" fontId="25" fillId="11" borderId="67" xfId="0" applyFont="1" applyFill="1" applyBorder="1" applyAlignment="1" applyProtection="1">
      <alignment horizontal="right" vertical="top" wrapText="1"/>
      <protection locked="0"/>
    </xf>
    <xf numFmtId="0" fontId="25" fillId="11" borderId="67" xfId="0" applyFont="1" applyFill="1" applyBorder="1" applyAlignment="1" applyProtection="1">
      <alignment vertical="top"/>
      <protection locked="0"/>
    </xf>
    <xf numFmtId="0" fontId="14" fillId="23" borderId="72" xfId="0" applyFont="1" applyFill="1" applyBorder="1" applyAlignment="1" applyProtection="1">
      <alignment horizontal="right" vertical="top"/>
      <protection locked="0"/>
    </xf>
    <xf numFmtId="169" fontId="14" fillId="34" borderId="67" xfId="0" applyNumberFormat="1" applyFont="1" applyFill="1" applyBorder="1" applyAlignment="1" applyProtection="1">
      <alignment horizontal="right" vertical="center"/>
      <protection hidden="1"/>
    </xf>
    <xf numFmtId="0" fontId="82" fillId="0" borderId="71" xfId="4" applyFont="1" applyBorder="1" applyAlignment="1" applyProtection="1">
      <alignment horizontal="right" vertical="top"/>
      <protection locked="0"/>
    </xf>
    <xf numFmtId="0" fontId="14" fillId="23" borderId="71" xfId="0" applyFont="1" applyFill="1" applyBorder="1" applyAlignment="1" applyProtection="1">
      <alignment horizontal="right" vertical="top"/>
      <protection locked="0"/>
    </xf>
    <xf numFmtId="0" fontId="25" fillId="11" borderId="71" xfId="0" applyFont="1" applyFill="1" applyBorder="1" applyAlignment="1" applyProtection="1">
      <alignment horizontal="right" vertical="top"/>
      <protection locked="0"/>
    </xf>
    <xf numFmtId="0" fontId="14" fillId="23" borderId="71" xfId="0" applyFont="1" applyFill="1" applyBorder="1" applyAlignment="1" applyProtection="1">
      <alignment horizontal="right" vertical="top" wrapText="1"/>
      <protection locked="0"/>
    </xf>
    <xf numFmtId="1" fontId="10" fillId="34" borderId="67" xfId="0" applyNumberFormat="1" applyFont="1" applyFill="1" applyBorder="1" applyAlignment="1">
      <alignment horizontal="right" vertical="center"/>
    </xf>
    <xf numFmtId="169" fontId="10" fillId="34" borderId="67" xfId="0" applyNumberFormat="1" applyFont="1" applyFill="1" applyBorder="1" applyAlignment="1">
      <alignment vertical="center"/>
    </xf>
    <xf numFmtId="0" fontId="75" fillId="11" borderId="67" xfId="0" applyFont="1" applyFill="1" applyBorder="1" applyAlignment="1" applyProtection="1">
      <alignment vertical="top"/>
      <protection locked="0"/>
    </xf>
    <xf numFmtId="0" fontId="25" fillId="11" borderId="69" xfId="0" applyFont="1" applyFill="1" applyBorder="1" applyAlignment="1" applyProtection="1">
      <alignment horizontal="right" vertical="top"/>
      <protection locked="0"/>
    </xf>
    <xf numFmtId="169" fontId="10" fillId="34" borderId="67" xfId="0" applyNumberFormat="1" applyFont="1" applyFill="1" applyBorder="1" applyAlignment="1" applyProtection="1">
      <alignment horizontal="right" vertical="center"/>
      <protection hidden="1"/>
    </xf>
    <xf numFmtId="1" fontId="10" fillId="34" borderId="67" xfId="0" applyNumberFormat="1" applyFont="1" applyFill="1" applyBorder="1" applyAlignment="1" applyProtection="1">
      <alignment horizontal="right" vertical="center"/>
      <protection hidden="1"/>
    </xf>
    <xf numFmtId="0" fontId="82" fillId="0" borderId="72" xfId="4" applyFont="1" applyBorder="1" applyAlignment="1" applyProtection="1">
      <alignment horizontal="right" vertical="center"/>
      <protection locked="0"/>
    </xf>
    <xf numFmtId="0" fontId="24" fillId="11" borderId="67" xfId="0" applyFont="1" applyFill="1" applyBorder="1" applyAlignment="1">
      <alignment horizontal="right"/>
    </xf>
    <xf numFmtId="0" fontId="14" fillId="23" borderId="72" xfId="0" applyFont="1" applyFill="1" applyBorder="1" applyAlignment="1" applyProtection="1">
      <alignment horizontal="right" vertical="top" wrapText="1"/>
      <protection locked="0"/>
    </xf>
    <xf numFmtId="0" fontId="25" fillId="11" borderId="72" xfId="0" applyFont="1" applyFill="1" applyBorder="1" applyAlignment="1" applyProtection="1">
      <alignment horizontal="right" vertical="top"/>
      <protection locked="0"/>
    </xf>
    <xf numFmtId="0" fontId="75" fillId="11" borderId="68" xfId="0" applyFont="1" applyFill="1" applyBorder="1" applyAlignment="1" applyProtection="1">
      <alignment horizontal="right" vertical="top"/>
      <protection locked="0"/>
    </xf>
    <xf numFmtId="0" fontId="25" fillId="24" borderId="67" xfId="0" applyFont="1" applyFill="1" applyBorder="1" applyAlignment="1" applyProtection="1">
      <alignment horizontal="right" vertical="top"/>
      <protection locked="0"/>
    </xf>
    <xf numFmtId="0" fontId="29" fillId="0" borderId="72" xfId="0" applyFont="1" applyBorder="1" applyAlignment="1" applyProtection="1">
      <alignment vertical="center"/>
      <protection locked="0"/>
    </xf>
    <xf numFmtId="0" fontId="77" fillId="7" borderId="10" xfId="0" applyFont="1" applyFill="1" applyBorder="1" applyAlignment="1" applyProtection="1">
      <alignment horizontal="left" vertical="top" wrapText="1"/>
      <protection locked="0"/>
    </xf>
    <xf numFmtId="0" fontId="77" fillId="35" borderId="10" xfId="0" applyFont="1" applyFill="1" applyBorder="1" applyAlignment="1" applyProtection="1">
      <alignment horizontal="left" vertical="top" wrapText="1"/>
      <protection locked="0"/>
    </xf>
    <xf numFmtId="14" fontId="0" fillId="15" borderId="0" xfId="0" applyNumberFormat="1" applyFill="1" applyAlignment="1">
      <alignment horizontal="left" indent="1"/>
    </xf>
    <xf numFmtId="0" fontId="4" fillId="2" borderId="0" xfId="0" applyFont="1" applyFill="1" applyAlignment="1" applyProtection="1">
      <alignment vertical="center" wrapText="1"/>
      <protection hidden="1"/>
    </xf>
    <xf numFmtId="0" fontId="77" fillId="7" borderId="10" xfId="0" applyFont="1" applyFill="1" applyBorder="1" applyAlignment="1" applyProtection="1">
      <alignment vertical="top" wrapText="1"/>
      <protection locked="0"/>
    </xf>
    <xf numFmtId="14" fontId="27" fillId="14" borderId="12" xfId="1" applyNumberFormat="1" applyFont="1" applyFill="1" applyBorder="1" applyAlignment="1" applyProtection="1">
      <alignment horizontal="center"/>
      <protection hidden="1"/>
    </xf>
    <xf numFmtId="0" fontId="25" fillId="11" borderId="67" xfId="0" applyFont="1" applyFill="1" applyBorder="1" applyAlignment="1" applyProtection="1">
      <alignment horizontal="right"/>
      <protection locked="0"/>
    </xf>
    <xf numFmtId="166" fontId="70" fillId="34" borderId="67" xfId="0" applyNumberFormat="1" applyFont="1" applyFill="1" applyBorder="1" applyAlignment="1" applyProtection="1">
      <alignment horizontal="right" vertical="center" wrapText="1" indent="1"/>
      <protection hidden="1"/>
    </xf>
    <xf numFmtId="0" fontId="26" fillId="33" borderId="5" xfId="0" applyFont="1" applyFill="1" applyBorder="1" applyAlignment="1" applyProtection="1">
      <alignment vertical="top"/>
      <protection locked="0"/>
    </xf>
    <xf numFmtId="0" fontId="25" fillId="11" borderId="73" xfId="0" applyFont="1" applyFill="1" applyBorder="1" applyAlignment="1" applyProtection="1">
      <alignment vertical="top"/>
      <protection locked="0"/>
    </xf>
    <xf numFmtId="0" fontId="14" fillId="11" borderId="67" xfId="0" applyFont="1" applyFill="1" applyBorder="1" applyAlignment="1" applyProtection="1">
      <alignment horizontal="right" vertical="top"/>
      <protection locked="0"/>
    </xf>
    <xf numFmtId="0" fontId="25" fillId="11" borderId="67" xfId="0" applyFont="1" applyFill="1" applyBorder="1" applyAlignment="1" applyProtection="1">
      <alignment horizontal="right" vertical="top"/>
      <protection locked="0"/>
    </xf>
    <xf numFmtId="0" fontId="79" fillId="34" borderId="70" xfId="3" applyFont="1" applyFill="1" applyBorder="1" applyAlignment="1" applyProtection="1">
      <alignment horizontal="center" vertical="center"/>
      <protection hidden="1"/>
    </xf>
    <xf numFmtId="166" fontId="70" fillId="34" borderId="74" xfId="0" applyNumberFormat="1" applyFont="1" applyFill="1" applyBorder="1" applyAlignment="1" applyProtection="1">
      <alignment horizontal="right" vertical="center" wrapText="1"/>
      <protection hidden="1"/>
    </xf>
    <xf numFmtId="169" fontId="10" fillId="34" borderId="75" xfId="0" applyNumberFormat="1" applyFont="1" applyFill="1" applyBorder="1" applyAlignment="1" applyProtection="1">
      <alignment vertical="center"/>
      <protection hidden="1"/>
    </xf>
    <xf numFmtId="1" fontId="10" fillId="34" borderId="75" xfId="0" applyNumberFormat="1" applyFont="1" applyFill="1" applyBorder="1" applyAlignment="1" applyProtection="1">
      <alignment vertical="center"/>
      <protection hidden="1"/>
    </xf>
    <xf numFmtId="0" fontId="82" fillId="11" borderId="76" xfId="4" applyFont="1" applyFill="1" applyBorder="1" applyAlignment="1" applyProtection="1">
      <alignment horizontal="right" vertical="top"/>
      <protection locked="0"/>
    </xf>
    <xf numFmtId="0" fontId="82" fillId="11" borderId="77" xfId="4" applyFont="1" applyFill="1" applyBorder="1" applyAlignment="1" applyProtection="1">
      <alignment horizontal="right" vertical="top" wrapText="1"/>
      <protection locked="0"/>
    </xf>
    <xf numFmtId="0" fontId="14" fillId="11" borderId="77" xfId="0" applyFont="1" applyFill="1" applyBorder="1" applyAlignment="1" applyProtection="1">
      <alignment horizontal="right" vertical="top" wrapText="1"/>
      <protection locked="0"/>
    </xf>
    <xf numFmtId="0" fontId="75" fillId="11" borderId="78" xfId="0" applyFont="1" applyFill="1" applyBorder="1" applyAlignment="1" applyProtection="1">
      <alignment vertical="center"/>
      <protection locked="0"/>
    </xf>
    <xf numFmtId="169" fontId="14" fillId="34" borderId="75" xfId="0" applyNumberFormat="1" applyFont="1" applyFill="1" applyBorder="1" applyAlignment="1" applyProtection="1">
      <alignment vertical="center"/>
      <protection hidden="1"/>
    </xf>
    <xf numFmtId="0" fontId="14" fillId="23" borderId="76" xfId="0" applyFont="1" applyFill="1" applyBorder="1" applyAlignment="1" applyProtection="1">
      <alignment horizontal="right" vertical="top"/>
      <protection locked="0"/>
    </xf>
    <xf numFmtId="0" fontId="35" fillId="11" borderId="77" xfId="0" applyFont="1" applyFill="1" applyBorder="1" applyAlignment="1" applyProtection="1">
      <alignment vertical="top"/>
      <protection locked="0"/>
    </xf>
    <xf numFmtId="166" fontId="70" fillId="34" borderId="74" xfId="0" applyNumberFormat="1" applyFont="1" applyFill="1" applyBorder="1" applyAlignment="1" applyProtection="1">
      <alignment vertical="center" wrapText="1"/>
      <protection hidden="1"/>
    </xf>
    <xf numFmtId="0" fontId="14" fillId="11" borderId="77" xfId="0" applyFont="1" applyFill="1" applyBorder="1" applyAlignment="1" applyProtection="1">
      <alignment horizontal="right" vertical="top"/>
      <protection locked="0"/>
    </xf>
    <xf numFmtId="0" fontId="0" fillId="0" borderId="75" xfId="0" applyBorder="1" applyAlignment="1">
      <alignment horizontal="left" indent="1"/>
    </xf>
    <xf numFmtId="0" fontId="35" fillId="11" borderId="79" xfId="0" applyFont="1" applyFill="1" applyBorder="1" applyAlignment="1" applyProtection="1">
      <alignment vertical="top"/>
      <protection locked="0"/>
    </xf>
    <xf numFmtId="0" fontId="85" fillId="11" borderId="77" xfId="0" applyFont="1" applyFill="1" applyBorder="1" applyAlignment="1" applyProtection="1">
      <alignment vertical="top" wrapText="1"/>
      <protection locked="0"/>
    </xf>
    <xf numFmtId="0" fontId="86" fillId="11" borderId="77" xfId="0" applyFont="1" applyFill="1" applyBorder="1" applyAlignment="1" applyProtection="1">
      <alignment vertical="top" wrapText="1"/>
      <protection locked="0"/>
    </xf>
    <xf numFmtId="0" fontId="35" fillId="11" borderId="76" xfId="0" applyFont="1" applyFill="1" applyBorder="1" applyAlignment="1" applyProtection="1">
      <alignment vertical="top"/>
      <protection locked="0"/>
    </xf>
    <xf numFmtId="0" fontId="26" fillId="11" borderId="77" xfId="0" applyFont="1" applyFill="1" applyBorder="1" applyAlignment="1" applyProtection="1">
      <alignment vertical="top"/>
      <protection locked="0"/>
    </xf>
    <xf numFmtId="0" fontId="75" fillId="11" borderId="78" xfId="0" applyFont="1" applyFill="1" applyBorder="1" applyAlignment="1" applyProtection="1">
      <alignment horizontal="center" vertical="top"/>
      <protection locked="0"/>
    </xf>
    <xf numFmtId="1" fontId="10" fillId="34" borderId="67" xfId="0" applyNumberFormat="1" applyFont="1" applyFill="1" applyBorder="1" applyAlignment="1">
      <alignment vertical="center"/>
    </xf>
    <xf numFmtId="0" fontId="26" fillId="11" borderId="79" xfId="0" applyFont="1" applyFill="1" applyBorder="1" applyAlignment="1" applyProtection="1">
      <alignment vertical="top"/>
      <protection locked="0"/>
    </xf>
    <xf numFmtId="0" fontId="75" fillId="11" borderId="77" xfId="0" applyFont="1" applyFill="1" applyBorder="1" applyAlignment="1" applyProtection="1">
      <alignment vertical="top"/>
      <protection locked="0"/>
    </xf>
    <xf numFmtId="0" fontId="70" fillId="11" borderId="80" xfId="0" applyFont="1" applyFill="1" applyBorder="1" applyAlignment="1" applyProtection="1">
      <alignment horizontal="right" vertical="top"/>
      <protection locked="0"/>
    </xf>
    <xf numFmtId="0" fontId="14" fillId="23" borderId="80" xfId="0" applyFont="1" applyFill="1" applyBorder="1" applyAlignment="1" applyProtection="1">
      <alignment horizontal="right" vertical="top"/>
      <protection locked="0"/>
    </xf>
    <xf numFmtId="0" fontId="87" fillId="11" borderId="77" xfId="0" applyFont="1" applyFill="1" applyBorder="1" applyAlignment="1" applyProtection="1">
      <alignment horizontal="right" vertical="top"/>
      <protection locked="0"/>
    </xf>
    <xf numFmtId="0" fontId="85" fillId="11" borderId="79" xfId="0" applyFont="1" applyFill="1" applyBorder="1" applyAlignment="1" applyProtection="1">
      <alignment vertical="top"/>
      <protection locked="0"/>
    </xf>
    <xf numFmtId="0" fontId="85" fillId="11" borderId="78" xfId="0" applyFont="1" applyFill="1" applyBorder="1" applyAlignment="1" applyProtection="1">
      <alignment vertical="top"/>
      <protection locked="0"/>
    </xf>
    <xf numFmtId="0" fontId="25" fillId="11" borderId="75" xfId="0" applyFont="1" applyFill="1" applyBorder="1" applyAlignment="1" applyProtection="1">
      <alignment horizontal="right" vertical="top"/>
      <protection locked="0"/>
    </xf>
    <xf numFmtId="0" fontId="82" fillId="0" borderId="74" xfId="4" applyFont="1" applyBorder="1" applyAlignment="1">
      <alignment horizontal="right" vertical="top"/>
    </xf>
    <xf numFmtId="1" fontId="14" fillId="34" borderId="67" xfId="0" applyNumberFormat="1" applyFont="1" applyFill="1" applyBorder="1" applyAlignment="1" applyProtection="1">
      <alignment horizontal="right" vertical="center"/>
      <protection hidden="1"/>
    </xf>
    <xf numFmtId="0" fontId="82" fillId="0" borderId="74" xfId="4" applyFont="1" applyBorder="1" applyAlignment="1" applyProtection="1">
      <alignment horizontal="right" vertical="top"/>
      <protection locked="0"/>
    </xf>
    <xf numFmtId="0" fontId="14" fillId="11" borderId="75" xfId="0" applyFont="1" applyFill="1" applyBorder="1" applyAlignment="1" applyProtection="1">
      <alignment horizontal="right" vertical="top" wrapText="1"/>
      <protection locked="0"/>
    </xf>
    <xf numFmtId="0" fontId="25" fillId="11" borderId="75" xfId="0" applyFont="1" applyFill="1" applyBorder="1" applyAlignment="1" applyProtection="1">
      <alignment vertical="top"/>
      <protection locked="0"/>
    </xf>
    <xf numFmtId="0" fontId="25" fillId="11" borderId="79" xfId="0" applyFont="1" applyFill="1" applyBorder="1" applyAlignment="1" applyProtection="1">
      <alignment vertical="top"/>
      <protection locked="0"/>
    </xf>
    <xf numFmtId="0" fontId="75" fillId="11" borderId="79" xfId="0" applyFont="1" applyFill="1" applyBorder="1" applyAlignment="1" applyProtection="1">
      <alignment vertical="top"/>
      <protection locked="0"/>
    </xf>
    <xf numFmtId="0" fontId="85" fillId="11" borderId="81" xfId="0" applyFont="1" applyFill="1" applyBorder="1" applyAlignment="1">
      <alignment wrapText="1"/>
    </xf>
    <xf numFmtId="0" fontId="14" fillId="23" borderId="74" xfId="0" applyFont="1" applyFill="1" applyBorder="1" applyAlignment="1" applyProtection="1">
      <alignment horizontal="right" vertical="top"/>
      <protection locked="0"/>
    </xf>
    <xf numFmtId="0" fontId="25" fillId="11" borderId="75" xfId="0" applyFont="1" applyFill="1" applyBorder="1" applyAlignment="1" applyProtection="1">
      <alignment vertical="top" wrapText="1"/>
      <protection locked="0"/>
    </xf>
    <xf numFmtId="0" fontId="26" fillId="11" borderId="75" xfId="0" applyFont="1" applyFill="1" applyBorder="1" applyAlignment="1" applyProtection="1">
      <alignment vertical="top"/>
      <protection locked="0"/>
    </xf>
    <xf numFmtId="0" fontId="26" fillId="11" borderId="76" xfId="0" applyFont="1" applyFill="1" applyBorder="1" applyAlignment="1" applyProtection="1">
      <alignment vertical="top"/>
      <protection locked="0"/>
    </xf>
    <xf numFmtId="0" fontId="75" fillId="11" borderId="75" xfId="0" applyFont="1" applyFill="1" applyBorder="1" applyAlignment="1" applyProtection="1">
      <alignment vertical="top"/>
      <protection locked="0"/>
    </xf>
    <xf numFmtId="0" fontId="75" fillId="11" borderId="81" xfId="0" applyFont="1" applyFill="1" applyBorder="1" applyAlignment="1" applyProtection="1">
      <alignment horizontal="center" vertical="top"/>
      <protection locked="0"/>
    </xf>
    <xf numFmtId="0" fontId="75" fillId="11" borderId="81" xfId="0" applyFont="1" applyFill="1" applyBorder="1" applyAlignment="1">
      <alignment horizontal="center" wrapText="1"/>
    </xf>
    <xf numFmtId="0" fontId="85" fillId="11" borderId="81" xfId="0" applyFont="1" applyFill="1" applyBorder="1" applyAlignment="1" applyProtection="1">
      <alignment vertical="top"/>
      <protection locked="0"/>
    </xf>
    <xf numFmtId="166" fontId="70" fillId="34" borderId="67" xfId="0" applyNumberFormat="1" applyFont="1" applyFill="1" applyBorder="1" applyAlignment="1">
      <alignment horizontal="right" vertical="center" wrapText="1" indent="1"/>
    </xf>
    <xf numFmtId="0" fontId="25" fillId="11" borderId="75"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protection locked="0"/>
    </xf>
    <xf numFmtId="0" fontId="75" fillId="11" borderId="78" xfId="0" applyFont="1" applyFill="1" applyBorder="1" applyAlignment="1" applyProtection="1">
      <alignment vertical="top"/>
      <protection locked="0"/>
    </xf>
    <xf numFmtId="170" fontId="20" fillId="27" borderId="85" xfId="0" applyNumberFormat="1" applyFont="1" applyFill="1" applyBorder="1" applyAlignment="1" applyProtection="1">
      <alignment vertical="center"/>
      <protection hidden="1"/>
    </xf>
    <xf numFmtId="170" fontId="20" fillId="27" borderId="86" xfId="0" applyNumberFormat="1" applyFont="1" applyFill="1" applyBorder="1" applyAlignment="1" applyProtection="1">
      <alignment vertical="center"/>
      <protection hidden="1"/>
    </xf>
    <xf numFmtId="170" fontId="20" fillId="27" borderId="88" xfId="0" applyNumberFormat="1" applyFont="1" applyFill="1" applyBorder="1" applyAlignment="1" applyProtection="1">
      <alignment vertical="center"/>
      <protection hidden="1"/>
    </xf>
    <xf numFmtId="0" fontId="1" fillId="0" borderId="89" xfId="0" applyFont="1" applyBorder="1" applyAlignment="1" applyProtection="1">
      <alignment vertical="center"/>
      <protection hidden="1"/>
    </xf>
    <xf numFmtId="0" fontId="1" fillId="0" borderId="90" xfId="0" applyFont="1" applyBorder="1" applyAlignment="1" applyProtection="1">
      <alignment vertical="center"/>
      <protection hidden="1"/>
    </xf>
    <xf numFmtId="0" fontId="22" fillId="11" borderId="92" xfId="0" applyFont="1" applyFill="1" applyBorder="1" applyAlignment="1" applyProtection="1">
      <alignment vertical="top" wrapText="1"/>
      <protection locked="0"/>
    </xf>
    <xf numFmtId="0" fontId="23" fillId="14" borderId="89" xfId="0" applyFont="1" applyFill="1" applyBorder="1" applyAlignment="1" applyProtection="1">
      <alignment vertical="center"/>
      <protection hidden="1"/>
    </xf>
    <xf numFmtId="0" fontId="1" fillId="11" borderId="93" xfId="0" applyFont="1" applyFill="1" applyBorder="1" applyAlignment="1" applyProtection="1">
      <alignment horizontal="left" vertical="top" wrapText="1"/>
      <protection locked="0"/>
    </xf>
    <xf numFmtId="0" fontId="23" fillId="11" borderId="93" xfId="0" applyFont="1" applyFill="1" applyBorder="1" applyAlignment="1" applyProtection="1">
      <alignment vertical="top" wrapText="1"/>
      <protection locked="0"/>
    </xf>
    <xf numFmtId="0" fontId="23" fillId="14" borderId="89" xfId="0" applyFont="1" applyFill="1" applyBorder="1" applyProtection="1">
      <protection hidden="1"/>
    </xf>
    <xf numFmtId="0" fontId="1" fillId="11" borderId="93" xfId="0" applyFont="1" applyFill="1" applyBorder="1" applyAlignment="1" applyProtection="1">
      <alignment vertical="top" wrapText="1"/>
      <protection locked="0"/>
    </xf>
    <xf numFmtId="0" fontId="22" fillId="11" borderId="93" xfId="0" applyFont="1" applyFill="1" applyBorder="1" applyAlignment="1" applyProtection="1">
      <alignment vertical="top" wrapText="1"/>
      <protection locked="0"/>
    </xf>
    <xf numFmtId="0" fontId="23" fillId="14" borderId="89" xfId="0" applyFont="1" applyFill="1" applyBorder="1" applyAlignment="1" applyProtection="1">
      <alignment vertical="top" wrapText="1" shrinkToFit="1"/>
      <protection hidden="1"/>
    </xf>
    <xf numFmtId="0" fontId="23" fillId="14" borderId="89" xfId="0" applyFont="1" applyFill="1" applyBorder="1" applyAlignment="1" applyProtection="1">
      <alignment vertical="top" wrapText="1"/>
      <protection hidden="1"/>
    </xf>
    <xf numFmtId="0" fontId="32" fillId="11" borderId="93" xfId="0" applyFont="1" applyFill="1" applyBorder="1" applyAlignment="1" applyProtection="1">
      <alignment vertical="top" wrapText="1"/>
      <protection locked="0"/>
    </xf>
    <xf numFmtId="0" fontId="1" fillId="11" borderId="93" xfId="0" applyFont="1" applyFill="1" applyBorder="1" applyAlignment="1" applyProtection="1">
      <alignment vertical="top"/>
      <protection locked="0"/>
    </xf>
    <xf numFmtId="0" fontId="23" fillId="14" borderId="94" xfId="0" applyFont="1" applyFill="1" applyBorder="1" applyAlignment="1" applyProtection="1">
      <alignment vertical="top" wrapText="1"/>
      <protection hidden="1"/>
    </xf>
    <xf numFmtId="0" fontId="1" fillId="11" borderId="95" xfId="0" applyFont="1" applyFill="1" applyBorder="1" applyAlignment="1" applyProtection="1">
      <alignment vertical="top"/>
      <protection locked="0"/>
    </xf>
    <xf numFmtId="0" fontId="4" fillId="11" borderId="89" xfId="0" applyFont="1" applyFill="1" applyBorder="1" applyAlignment="1" applyProtection="1">
      <alignment vertical="top" wrapText="1"/>
      <protection hidden="1"/>
    </xf>
    <xf numFmtId="0" fontId="4" fillId="11" borderId="90" xfId="0" applyFont="1" applyFill="1" applyBorder="1" applyAlignment="1" applyProtection="1">
      <alignment horizontal="center"/>
      <protection locked="0" hidden="1"/>
    </xf>
    <xf numFmtId="0" fontId="1" fillId="0" borderId="96" xfId="0" applyFont="1" applyBorder="1" applyAlignment="1" applyProtection="1">
      <alignment vertical="center"/>
      <protection hidden="1"/>
    </xf>
    <xf numFmtId="0" fontId="1" fillId="11" borderId="97" xfId="0" applyFont="1" applyFill="1" applyBorder="1" applyAlignment="1" applyProtection="1">
      <alignment vertical="center"/>
      <protection hidden="1"/>
    </xf>
    <xf numFmtId="0" fontId="1" fillId="0" borderId="89" xfId="0" applyFont="1" applyBorder="1" applyAlignment="1" applyProtection="1">
      <alignment vertical="center" wrapText="1"/>
      <protection hidden="1"/>
    </xf>
    <xf numFmtId="0" fontId="25" fillId="34" borderId="98" xfId="0" applyFont="1" applyFill="1" applyBorder="1" applyAlignment="1" applyProtection="1">
      <alignment vertical="center" wrapText="1"/>
      <protection hidden="1"/>
    </xf>
    <xf numFmtId="0" fontId="79" fillId="34" borderId="99" xfId="3" applyFont="1" applyFill="1" applyBorder="1" applyAlignment="1" applyProtection="1">
      <alignment horizontal="center" vertical="center"/>
      <protection hidden="1"/>
    </xf>
    <xf numFmtId="0" fontId="68" fillId="34" borderId="89" xfId="0" applyFont="1" applyFill="1" applyBorder="1" applyAlignment="1" applyProtection="1">
      <alignment vertical="top"/>
      <protection hidden="1"/>
    </xf>
    <xf numFmtId="166" fontId="70" fillId="34" borderId="100" xfId="0" applyNumberFormat="1" applyFont="1" applyFill="1" applyBorder="1" applyAlignment="1" applyProtection="1">
      <alignment vertical="center" wrapText="1"/>
      <protection hidden="1"/>
    </xf>
    <xf numFmtId="169" fontId="10" fillId="34" borderId="89" xfId="0" applyNumberFormat="1" applyFont="1" applyFill="1" applyBorder="1" applyAlignment="1" applyProtection="1">
      <alignment horizontal="left" vertical="center"/>
      <protection hidden="1"/>
    </xf>
    <xf numFmtId="169" fontId="10" fillId="34" borderId="101" xfId="0" applyNumberFormat="1" applyFont="1" applyFill="1" applyBorder="1" applyAlignment="1" applyProtection="1">
      <alignment vertical="center"/>
      <protection hidden="1"/>
    </xf>
    <xf numFmtId="1" fontId="10" fillId="34" borderId="101" xfId="0" applyNumberFormat="1" applyFont="1" applyFill="1" applyBorder="1" applyAlignment="1" applyProtection="1">
      <alignment vertical="center"/>
      <protection hidden="1"/>
    </xf>
    <xf numFmtId="0" fontId="35" fillId="11" borderId="104" xfId="0" applyFont="1" applyFill="1" applyBorder="1" applyAlignment="1" applyProtection="1">
      <alignment vertical="top"/>
      <protection locked="0"/>
    </xf>
    <xf numFmtId="0" fontId="35" fillId="11" borderId="102" xfId="0" applyFont="1" applyFill="1" applyBorder="1" applyAlignment="1" applyProtection="1">
      <alignment vertical="top"/>
      <protection locked="0"/>
    </xf>
    <xf numFmtId="0" fontId="35" fillId="11" borderId="105" xfId="0" applyFont="1" applyFill="1" applyBorder="1" applyAlignment="1" applyProtection="1">
      <alignment vertical="top"/>
      <protection locked="0"/>
    </xf>
    <xf numFmtId="0" fontId="85" fillId="11" borderId="104" xfId="0" applyFont="1" applyFill="1" applyBorder="1" applyAlignment="1" applyProtection="1">
      <alignment vertical="top" wrapText="1"/>
      <protection locked="0"/>
    </xf>
    <xf numFmtId="0" fontId="86" fillId="11" borderId="104" xfId="0" applyFont="1" applyFill="1" applyBorder="1" applyAlignment="1" applyProtection="1">
      <alignment vertical="top" wrapText="1"/>
      <protection locked="0"/>
    </xf>
    <xf numFmtId="0" fontId="75" fillId="11" borderId="107" xfId="0" applyFont="1" applyFill="1" applyBorder="1" applyAlignment="1" applyProtection="1">
      <alignment vertical="center"/>
      <protection locked="0"/>
    </xf>
    <xf numFmtId="0" fontId="84" fillId="11" borderId="108" xfId="0" applyFont="1" applyFill="1" applyBorder="1" applyAlignment="1" applyProtection="1">
      <alignment horizontal="right" indent="1"/>
      <protection locked="0"/>
    </xf>
    <xf numFmtId="0" fontId="26" fillId="11" borderId="109" xfId="0" applyFont="1" applyFill="1" applyBorder="1" applyAlignment="1" applyProtection="1">
      <alignment vertical="top"/>
      <protection locked="0"/>
    </xf>
    <xf numFmtId="0" fontId="68" fillId="34" borderId="110" xfId="0" applyFont="1" applyFill="1" applyBorder="1" applyAlignment="1">
      <alignment vertical="top"/>
    </xf>
    <xf numFmtId="166" fontId="70" fillId="34" borderId="99" xfId="0" applyNumberFormat="1" applyFont="1" applyFill="1" applyBorder="1" applyAlignment="1">
      <alignment horizontal="right" vertical="center" wrapText="1" indent="1"/>
    </xf>
    <xf numFmtId="169" fontId="10" fillId="34" borderId="111" xfId="0" applyNumberFormat="1" applyFont="1" applyFill="1" applyBorder="1" applyAlignment="1">
      <alignment horizontal="left" vertical="center"/>
    </xf>
    <xf numFmtId="169" fontId="14" fillId="34" borderId="112" xfId="0" applyNumberFormat="1" applyFont="1" applyFill="1" applyBorder="1" applyAlignment="1">
      <alignment horizontal="right" vertical="center"/>
    </xf>
    <xf numFmtId="1" fontId="10" fillId="34" borderId="113" xfId="0" applyNumberFormat="1" applyFont="1" applyFill="1" applyBorder="1" applyAlignment="1">
      <alignment horizontal="left" vertical="center"/>
    </xf>
    <xf numFmtId="1" fontId="10" fillId="34" borderId="112" xfId="0" applyNumberFormat="1" applyFont="1" applyFill="1" applyBorder="1" applyAlignment="1">
      <alignment vertical="center"/>
    </xf>
    <xf numFmtId="0" fontId="25" fillId="11" borderId="104" xfId="0" applyFont="1" applyFill="1" applyBorder="1" applyAlignment="1" applyProtection="1">
      <alignment vertical="top"/>
      <protection locked="0"/>
    </xf>
    <xf numFmtId="0" fontId="26" fillId="11" borderId="104" xfId="0" applyFont="1" applyFill="1" applyBorder="1" applyAlignment="1" applyProtection="1">
      <alignment vertical="top"/>
      <protection locked="0"/>
    </xf>
    <xf numFmtId="0" fontId="75" fillId="11" borderId="102" xfId="0" applyFont="1" applyFill="1" applyBorder="1" applyAlignment="1" applyProtection="1">
      <alignment vertical="top"/>
      <protection locked="0"/>
    </xf>
    <xf numFmtId="0" fontId="75" fillId="11" borderId="107" xfId="0" applyFont="1" applyFill="1" applyBorder="1" applyAlignment="1" applyProtection="1">
      <alignment horizontal="center" vertical="top"/>
      <protection locked="0"/>
    </xf>
    <xf numFmtId="0" fontId="68" fillId="34" borderId="115" xfId="0" applyFont="1" applyFill="1" applyBorder="1" applyAlignment="1" applyProtection="1">
      <alignment vertical="top"/>
      <protection hidden="1"/>
    </xf>
    <xf numFmtId="166" fontId="70" fillId="34" borderId="112" xfId="0" applyNumberFormat="1" applyFont="1" applyFill="1" applyBorder="1" applyAlignment="1" applyProtection="1">
      <alignment horizontal="right" vertical="center" wrapText="1" indent="1"/>
      <protection hidden="1"/>
    </xf>
    <xf numFmtId="169" fontId="10" fillId="34" borderId="116" xfId="0" applyNumberFormat="1" applyFont="1" applyFill="1" applyBorder="1" applyAlignment="1" applyProtection="1">
      <alignment horizontal="left" vertical="center"/>
      <protection hidden="1"/>
    </xf>
    <xf numFmtId="169" fontId="14" fillId="34" borderId="112" xfId="0" applyNumberFormat="1" applyFont="1" applyFill="1" applyBorder="1" applyAlignment="1" applyProtection="1">
      <alignment horizontal="right" vertical="center"/>
      <protection hidden="1"/>
    </xf>
    <xf numFmtId="1" fontId="10" fillId="34" borderId="117" xfId="0" applyNumberFormat="1" applyFont="1" applyFill="1" applyBorder="1" applyAlignment="1" applyProtection="1">
      <alignment horizontal="left" vertical="center"/>
      <protection hidden="1"/>
    </xf>
    <xf numFmtId="1" fontId="14" fillId="34" borderId="112" xfId="0" applyNumberFormat="1" applyFont="1" applyFill="1" applyBorder="1" applyAlignment="1" applyProtection="1">
      <alignment horizontal="right" vertical="center"/>
      <protection hidden="1"/>
    </xf>
    <xf numFmtId="0" fontId="10" fillId="33" borderId="110" xfId="0" applyFont="1" applyFill="1" applyBorder="1" applyAlignment="1" applyProtection="1">
      <alignment horizontal="right" wrapText="1" indent="1"/>
      <protection locked="0"/>
    </xf>
    <xf numFmtId="0" fontId="14" fillId="11" borderId="101" xfId="0" applyFont="1" applyFill="1" applyBorder="1" applyAlignment="1" applyProtection="1">
      <alignment horizontal="right" vertical="top" wrapText="1"/>
      <protection locked="0"/>
    </xf>
    <xf numFmtId="0" fontId="14" fillId="11" borderId="101" xfId="0" applyFont="1" applyFill="1" applyBorder="1" applyAlignment="1" applyProtection="1">
      <alignment vertical="top" wrapText="1"/>
      <protection locked="0"/>
    </xf>
    <xf numFmtId="0" fontId="26" fillId="11" borderId="101" xfId="0" applyFont="1" applyFill="1" applyBorder="1" applyAlignment="1" applyProtection="1">
      <alignment vertical="top"/>
      <protection locked="0"/>
    </xf>
    <xf numFmtId="0" fontId="26" fillId="11" borderId="102" xfId="0" applyFont="1" applyFill="1" applyBorder="1" applyAlignment="1" applyProtection="1">
      <alignment vertical="top"/>
      <protection locked="0"/>
    </xf>
    <xf numFmtId="0" fontId="75" fillId="11" borderId="104" xfId="0" applyFont="1" applyFill="1" applyBorder="1" applyAlignment="1" applyProtection="1">
      <alignment vertical="top"/>
      <protection locked="0"/>
    </xf>
    <xf numFmtId="0" fontId="25" fillId="2" borderId="114" xfId="0" applyFont="1" applyFill="1" applyBorder="1" applyAlignment="1" applyProtection="1">
      <alignment horizontal="right" vertical="top" wrapText="1"/>
      <protection locked="0"/>
    </xf>
    <xf numFmtId="1" fontId="10" fillId="34" borderId="112" xfId="0" applyNumberFormat="1" applyFont="1" applyFill="1" applyBorder="1" applyAlignment="1" applyProtection="1">
      <alignment horizontal="right" vertical="center"/>
      <protection hidden="1"/>
    </xf>
    <xf numFmtId="0" fontId="68" fillId="34" borderId="115" xfId="0" applyFont="1" applyFill="1" applyBorder="1" applyAlignment="1">
      <alignment horizontal="left"/>
    </xf>
    <xf numFmtId="166" fontId="70" fillId="34" borderId="112" xfId="0" applyNumberFormat="1" applyFont="1" applyFill="1" applyBorder="1" applyAlignment="1">
      <alignment horizontal="right" vertical="center" wrapText="1" indent="1"/>
    </xf>
    <xf numFmtId="169" fontId="10" fillId="34" borderId="116" xfId="0" applyNumberFormat="1" applyFont="1" applyFill="1" applyBorder="1" applyAlignment="1">
      <alignment horizontal="left" vertical="center"/>
    </xf>
    <xf numFmtId="169" fontId="10" fillId="34" borderId="112" xfId="0" applyNumberFormat="1" applyFont="1" applyFill="1" applyBorder="1" applyAlignment="1">
      <alignment vertical="center"/>
    </xf>
    <xf numFmtId="1" fontId="10" fillId="34" borderId="116" xfId="0" applyNumberFormat="1" applyFont="1" applyFill="1" applyBorder="1" applyAlignment="1">
      <alignment horizontal="left" vertical="center"/>
    </xf>
    <xf numFmtId="1" fontId="10" fillId="34" borderId="112" xfId="0" applyNumberFormat="1" applyFont="1" applyFill="1" applyBorder="1" applyAlignment="1">
      <alignment horizontal="right" vertical="center"/>
    </xf>
    <xf numFmtId="0" fontId="25" fillId="11" borderId="119" xfId="0" applyFont="1" applyFill="1" applyBorder="1" applyAlignment="1" applyProtection="1">
      <alignment horizontal="right" vertical="top"/>
      <protection locked="0"/>
    </xf>
    <xf numFmtId="0" fontId="75" fillId="11" borderId="119" xfId="0" applyFont="1" applyFill="1" applyBorder="1" applyAlignment="1" applyProtection="1">
      <alignment vertical="top"/>
      <protection locked="0"/>
    </xf>
    <xf numFmtId="0" fontId="25" fillId="11" borderId="112" xfId="0" applyFont="1" applyFill="1" applyBorder="1" applyAlignment="1" applyProtection="1">
      <alignment vertical="top"/>
      <protection locked="0"/>
    </xf>
    <xf numFmtId="0" fontId="25" fillId="11" borderId="122" xfId="0" applyFont="1" applyFill="1" applyBorder="1" applyAlignment="1" applyProtection="1">
      <alignment vertical="top"/>
      <protection locked="0"/>
    </xf>
    <xf numFmtId="0" fontId="68" fillId="34" borderId="115" xfId="0" applyFont="1" applyFill="1" applyBorder="1" applyAlignment="1" applyProtection="1">
      <alignment vertical="center"/>
      <protection hidden="1"/>
    </xf>
    <xf numFmtId="169" fontId="10" fillId="34" borderId="112" xfId="0" applyNumberFormat="1" applyFont="1" applyFill="1" applyBorder="1" applyAlignment="1" applyProtection="1">
      <alignment horizontal="right" vertical="center"/>
      <protection hidden="1"/>
    </xf>
    <xf numFmtId="1" fontId="10" fillId="34" borderId="116" xfId="0" applyNumberFormat="1" applyFont="1" applyFill="1" applyBorder="1" applyAlignment="1" applyProtection="1">
      <alignment horizontal="left" vertical="center"/>
      <protection hidden="1"/>
    </xf>
    <xf numFmtId="0" fontId="24" fillId="11" borderId="116" xfId="0" applyFont="1" applyFill="1" applyBorder="1" applyAlignment="1" applyProtection="1">
      <alignment vertical="center" wrapText="1"/>
      <protection locked="0"/>
    </xf>
    <xf numFmtId="0" fontId="24" fillId="11" borderId="116" xfId="0" applyFont="1" applyFill="1" applyBorder="1" applyAlignment="1" applyProtection="1">
      <alignment vertical="center"/>
      <protection locked="0"/>
    </xf>
    <xf numFmtId="0" fontId="14" fillId="2" borderId="124" xfId="4" applyFont="1" applyFill="1" applyBorder="1" applyAlignment="1" applyProtection="1">
      <alignment horizontal="right" wrapText="1"/>
      <protection locked="0"/>
    </xf>
    <xf numFmtId="0" fontId="75" fillId="11" borderId="125" xfId="0" applyFont="1" applyFill="1" applyBorder="1" applyAlignment="1">
      <alignment vertical="center"/>
    </xf>
    <xf numFmtId="0" fontId="75" fillId="11" borderId="126" xfId="0" applyFont="1" applyFill="1" applyBorder="1" applyAlignment="1" applyProtection="1">
      <alignment horizontal="center" vertical="top"/>
      <protection locked="0"/>
    </xf>
    <xf numFmtId="0" fontId="75" fillId="11" borderId="127" xfId="0" applyFont="1" applyFill="1" applyBorder="1" applyAlignment="1" applyProtection="1">
      <alignment horizontal="center" vertical="top"/>
      <protection locked="0"/>
    </xf>
    <xf numFmtId="0" fontId="14" fillId="23" borderId="80" xfId="4" applyFont="1" applyFill="1" applyBorder="1" applyAlignment="1" applyProtection="1">
      <alignment horizontal="right" vertical="top" wrapText="1"/>
      <protection locked="0"/>
    </xf>
    <xf numFmtId="0" fontId="89" fillId="11" borderId="74" xfId="0" applyFont="1" applyFill="1" applyBorder="1" applyAlignment="1" applyProtection="1">
      <alignment vertical="center"/>
      <protection locked="0"/>
    </xf>
    <xf numFmtId="0" fontId="90" fillId="11" borderId="75" xfId="0" applyFont="1" applyFill="1" applyBorder="1" applyAlignment="1" applyProtection="1">
      <alignment vertical="center"/>
      <protection locked="0"/>
    </xf>
    <xf numFmtId="1" fontId="23" fillId="11" borderId="0" xfId="0" applyNumberFormat="1" applyFont="1" applyFill="1" applyAlignment="1" applyProtection="1">
      <alignment horizontal="right"/>
      <protection hidden="1"/>
    </xf>
    <xf numFmtId="1" fontId="23" fillId="11" borderId="0" xfId="0" applyNumberFormat="1" applyFont="1" applyFill="1" applyAlignment="1" applyProtection="1">
      <alignment horizontal="right" vertical="center"/>
      <protection hidden="1"/>
    </xf>
    <xf numFmtId="0" fontId="14" fillId="11" borderId="79" xfId="0" applyFont="1" applyFill="1" applyBorder="1" applyAlignment="1" applyProtection="1">
      <alignment horizontal="right" vertical="top" wrapText="1"/>
      <protection locked="0"/>
    </xf>
    <xf numFmtId="166" fontId="23" fillId="11" borderId="0" xfId="0" applyNumberFormat="1" applyFont="1" applyFill="1" applyAlignment="1" applyProtection="1">
      <alignment horizontal="center" vertical="center"/>
      <protection hidden="1"/>
    </xf>
    <xf numFmtId="0" fontId="41" fillId="11" borderId="0" xfId="0" applyFont="1" applyFill="1"/>
    <xf numFmtId="0" fontId="95" fillId="11" borderId="67" xfId="0" applyFont="1" applyFill="1" applyBorder="1" applyAlignment="1" applyProtection="1">
      <alignment vertical="top" wrapText="1"/>
      <protection locked="0"/>
    </xf>
    <xf numFmtId="0" fontId="92" fillId="11" borderId="76" xfId="0" applyFont="1" applyFill="1" applyBorder="1" applyAlignment="1" applyProtection="1">
      <alignment horizontal="right" vertical="top" wrapText="1"/>
      <protection locked="0"/>
    </xf>
    <xf numFmtId="0" fontId="92" fillId="11" borderId="76" xfId="0" applyFont="1" applyFill="1" applyBorder="1" applyAlignment="1" applyProtection="1">
      <alignment vertical="top" wrapText="1"/>
      <protection locked="0"/>
    </xf>
    <xf numFmtId="0" fontId="25" fillId="11" borderId="77" xfId="0" applyFont="1" applyFill="1" applyBorder="1" applyAlignment="1" applyProtection="1">
      <alignment horizontal="right" vertical="top" wrapText="1"/>
      <protection locked="0"/>
    </xf>
    <xf numFmtId="0" fontId="94" fillId="11" borderId="101" xfId="0" applyFont="1" applyFill="1" applyBorder="1" applyAlignment="1" applyProtection="1">
      <alignment vertical="top"/>
      <protection locked="0"/>
    </xf>
    <xf numFmtId="0" fontId="94" fillId="11" borderId="107" xfId="0" applyFont="1" applyFill="1" applyBorder="1" applyAlignment="1" applyProtection="1">
      <alignment vertical="top"/>
      <protection locked="0"/>
    </xf>
    <xf numFmtId="0" fontId="95" fillId="11" borderId="73" xfId="0" applyFont="1" applyFill="1" applyBorder="1" applyAlignment="1" applyProtection="1">
      <alignment vertical="top" wrapText="1"/>
      <protection locked="0"/>
    </xf>
    <xf numFmtId="0" fontId="0" fillId="0" borderId="10" xfId="0" applyBorder="1"/>
    <xf numFmtId="170" fontId="61" fillId="11" borderId="10" xfId="0" applyNumberFormat="1" applyFont="1" applyFill="1" applyBorder="1" applyAlignment="1" applyProtection="1">
      <alignment horizontal="center" vertical="center"/>
      <protection hidden="1"/>
    </xf>
    <xf numFmtId="170" fontId="28" fillId="11" borderId="10" xfId="0" applyNumberFormat="1" applyFont="1" applyFill="1" applyBorder="1" applyAlignment="1" applyProtection="1">
      <alignment horizontal="left" vertical="top"/>
      <protection hidden="1"/>
    </xf>
    <xf numFmtId="170" fontId="33" fillId="11" borderId="10" xfId="0" applyNumberFormat="1" applyFont="1" applyFill="1" applyBorder="1" applyAlignment="1" applyProtection="1">
      <alignment horizontal="center" vertical="top"/>
      <protection locked="0" hidden="1"/>
    </xf>
    <xf numFmtId="170" fontId="20" fillId="11" borderId="10" xfId="0" applyNumberFormat="1" applyFont="1" applyFill="1" applyBorder="1" applyAlignment="1" applyProtection="1">
      <alignment vertical="center"/>
      <protection hidden="1"/>
    </xf>
    <xf numFmtId="0" fontId="77" fillId="7" borderId="10" xfId="0" applyFont="1" applyFill="1" applyBorder="1" applyAlignment="1">
      <alignment horizontal="left" vertical="top" wrapText="1"/>
    </xf>
    <xf numFmtId="2" fontId="74" fillId="14" borderId="10" xfId="2" applyNumberFormat="1" applyFont="1" applyFill="1" applyBorder="1" applyAlignment="1">
      <alignment horizontal="center" vertical="center" wrapText="1"/>
    </xf>
    <xf numFmtId="0" fontId="77" fillId="4" borderId="10" xfId="0" applyFont="1" applyFill="1" applyBorder="1" applyAlignment="1" applyProtection="1">
      <alignment vertical="top" wrapText="1"/>
      <protection locked="0"/>
    </xf>
    <xf numFmtId="0" fontId="96" fillId="27" borderId="10" xfId="4" applyFont="1" applyFill="1" applyBorder="1" applyAlignment="1" applyProtection="1">
      <alignment vertical="top" wrapText="1"/>
      <protection locked="0"/>
    </xf>
    <xf numFmtId="170" fontId="61" fillId="11" borderId="24" xfId="0" applyNumberFormat="1" applyFont="1" applyFill="1" applyBorder="1" applyAlignment="1" applyProtection="1">
      <alignment horizontal="center" vertical="center"/>
      <protection hidden="1"/>
    </xf>
    <xf numFmtId="0" fontId="0" fillId="11" borderId="25" xfId="0" applyFill="1" applyBorder="1"/>
    <xf numFmtId="0" fontId="74" fillId="4" borderId="27" xfId="0" applyFont="1" applyFill="1" applyBorder="1" applyAlignment="1">
      <alignment vertical="top"/>
    </xf>
    <xf numFmtId="0" fontId="22" fillId="11" borderId="0" xfId="0" applyFont="1" applyFill="1"/>
    <xf numFmtId="0" fontId="35" fillId="11" borderId="75" xfId="0" applyFont="1" applyFill="1" applyBorder="1" applyAlignment="1" applyProtection="1">
      <alignment vertical="center"/>
      <protection locked="0"/>
    </xf>
    <xf numFmtId="0" fontId="35" fillId="11" borderId="78" xfId="0" applyFont="1" applyFill="1" applyBorder="1" applyAlignment="1" applyProtection="1">
      <alignment vertical="center"/>
      <protection locked="0"/>
    </xf>
    <xf numFmtId="0" fontId="25" fillId="33" borderId="103" xfId="0" applyFont="1" applyFill="1" applyBorder="1" applyAlignment="1" applyProtection="1">
      <alignment horizontal="right" vertical="top" wrapText="1"/>
      <protection locked="0"/>
    </xf>
    <xf numFmtId="166" fontId="23" fillId="11" borderId="0" xfId="0" applyNumberFormat="1" applyFont="1" applyFill="1" applyAlignment="1" applyProtection="1">
      <alignment horizontal="right" vertical="center"/>
      <protection hidden="1"/>
    </xf>
    <xf numFmtId="0" fontId="86" fillId="11" borderId="100" xfId="0" applyFont="1" applyFill="1" applyBorder="1" applyAlignment="1" applyProtection="1">
      <alignment horizontal="center" vertical="top" wrapText="1"/>
      <protection locked="0"/>
    </xf>
    <xf numFmtId="0" fontId="14" fillId="11" borderId="67" xfId="0" applyFont="1" applyFill="1" applyBorder="1" applyAlignment="1" applyProtection="1">
      <alignment horizontal="right" vertical="top" wrapText="1"/>
      <protection locked="0"/>
    </xf>
    <xf numFmtId="0" fontId="25" fillId="11" borderId="104" xfId="0" applyFont="1" applyFill="1" applyBorder="1" applyAlignment="1" applyProtection="1">
      <alignment horizontal="right" vertical="top" wrapText="1"/>
      <protection locked="0"/>
    </xf>
    <xf numFmtId="0" fontId="92" fillId="11" borderId="75" xfId="0" applyFont="1" applyFill="1" applyBorder="1" applyAlignment="1" applyProtection="1">
      <alignment horizontal="right" vertical="top" wrapText="1"/>
      <protection locked="0"/>
    </xf>
    <xf numFmtId="0" fontId="24" fillId="11" borderId="0" xfId="0" applyFont="1" applyFill="1" applyAlignment="1">
      <alignment horizontal="right"/>
    </xf>
    <xf numFmtId="0" fontId="26" fillId="36" borderId="52" xfId="0" applyFont="1" applyFill="1" applyBorder="1" applyAlignment="1" applyProtection="1">
      <alignment vertical="top"/>
      <protection locked="0"/>
    </xf>
    <xf numFmtId="0" fontId="14" fillId="11" borderId="76" xfId="0" applyFont="1" applyFill="1" applyBorder="1" applyAlignment="1" applyProtection="1">
      <alignment horizontal="right" vertical="center" wrapText="1"/>
      <protection locked="0"/>
    </xf>
    <xf numFmtId="0" fontId="14" fillId="11" borderId="79" xfId="0" applyFont="1" applyFill="1" applyBorder="1" applyAlignment="1" applyProtection="1">
      <alignment horizontal="right" vertical="center"/>
      <protection locked="0"/>
    </xf>
    <xf numFmtId="0" fontId="75" fillId="11" borderId="78" xfId="0" applyFont="1" applyFill="1" applyBorder="1" applyAlignment="1" applyProtection="1">
      <alignment vertical="top" wrapText="1"/>
      <protection locked="0"/>
    </xf>
    <xf numFmtId="0" fontId="35" fillId="11" borderId="67" xfId="0" applyFont="1" applyFill="1" applyBorder="1" applyAlignment="1" applyProtection="1">
      <alignment horizontal="right" vertical="top"/>
      <protection locked="0"/>
    </xf>
    <xf numFmtId="0" fontId="24" fillId="11" borderId="120" xfId="0" applyFont="1" applyFill="1" applyBorder="1" applyAlignment="1" applyProtection="1">
      <alignment horizontal="left" wrapText="1" indent="1"/>
      <protection locked="0"/>
    </xf>
    <xf numFmtId="0" fontId="25" fillId="11" borderId="67" xfId="0" applyFont="1" applyFill="1" applyBorder="1" applyAlignment="1" applyProtection="1">
      <alignment vertical="center"/>
      <protection locked="0"/>
    </xf>
    <xf numFmtId="0" fontId="14" fillId="11" borderId="74" xfId="0" applyFont="1" applyFill="1" applyBorder="1" applyAlignment="1" applyProtection="1">
      <alignment horizontal="right" vertical="top" wrapText="1"/>
      <protection locked="0"/>
    </xf>
    <xf numFmtId="0" fontId="25" fillId="11" borderId="118" xfId="0" applyFont="1" applyFill="1" applyBorder="1" applyAlignment="1" applyProtection="1">
      <alignment horizontal="right" vertical="top"/>
      <protection locked="0"/>
    </xf>
    <xf numFmtId="0" fontId="14" fillId="11" borderId="76" xfId="0" applyFont="1" applyFill="1" applyBorder="1" applyAlignment="1" applyProtection="1">
      <alignment horizontal="center" vertical="top" wrapText="1"/>
      <protection locked="0"/>
    </xf>
    <xf numFmtId="0" fontId="14" fillId="11" borderId="104" xfId="0" applyFont="1" applyFill="1" applyBorder="1" applyAlignment="1" applyProtection="1">
      <alignment horizontal="right" vertical="top"/>
      <protection locked="0"/>
    </xf>
    <xf numFmtId="0" fontId="25" fillId="11" borderId="74" xfId="0" applyFont="1" applyFill="1" applyBorder="1" applyAlignment="1" applyProtection="1">
      <alignment horizontal="right" vertical="top"/>
      <protection locked="0"/>
    </xf>
    <xf numFmtId="0" fontId="2" fillId="2" borderId="0" xfId="0" applyFont="1" applyFill="1" applyAlignment="1" applyProtection="1">
      <alignment vertical="center" wrapText="1"/>
      <protection hidden="1"/>
    </xf>
    <xf numFmtId="0" fontId="14" fillId="11" borderId="102" xfId="0" applyFont="1" applyFill="1" applyBorder="1" applyAlignment="1" applyProtection="1">
      <alignment horizontal="right" vertical="center" wrapText="1"/>
      <protection locked="0"/>
    </xf>
    <xf numFmtId="0" fontId="25" fillId="11" borderId="89" xfId="0" applyFont="1" applyFill="1" applyBorder="1" applyAlignment="1" applyProtection="1">
      <alignment horizontal="right" vertical="center" wrapText="1"/>
      <protection locked="0"/>
    </xf>
    <xf numFmtId="0" fontId="90" fillId="2" borderId="89" xfId="0" applyFont="1" applyFill="1" applyBorder="1" applyAlignment="1" applyProtection="1">
      <alignment horizontal="right" vertical="top"/>
      <protection locked="0"/>
    </xf>
    <xf numFmtId="0" fontId="10" fillId="11" borderId="0" xfId="0" applyFont="1" applyFill="1" applyAlignment="1">
      <alignment wrapText="1"/>
    </xf>
    <xf numFmtId="0" fontId="10" fillId="11" borderId="76" xfId="0" applyFont="1" applyFill="1" applyBorder="1" applyAlignment="1" applyProtection="1">
      <alignment horizontal="right" vertical="top" wrapText="1"/>
      <protection locked="0"/>
    </xf>
    <xf numFmtId="0" fontId="41" fillId="11" borderId="0" xfId="0" applyFont="1" applyFill="1" applyAlignment="1" applyProtection="1">
      <alignment horizontal="right"/>
      <protection hidden="1"/>
    </xf>
    <xf numFmtId="166" fontId="31" fillId="11" borderId="0" xfId="0" applyNumberFormat="1" applyFont="1" applyFill="1" applyAlignment="1" applyProtection="1">
      <alignment horizontal="center" vertical="center"/>
      <protection hidden="1"/>
    </xf>
    <xf numFmtId="167" fontId="31" fillId="11" borderId="0" xfId="0" applyNumberFormat="1" applyFont="1" applyFill="1" applyAlignment="1" applyProtection="1">
      <alignment horizontal="right" vertical="center"/>
      <protection hidden="1"/>
    </xf>
    <xf numFmtId="1" fontId="99" fillId="16" borderId="0" xfId="0" applyNumberFormat="1" applyFont="1" applyFill="1" applyAlignment="1" applyProtection="1">
      <alignment horizontal="right" vertical="center" wrapText="1"/>
      <protection hidden="1"/>
    </xf>
    <xf numFmtId="1" fontId="23" fillId="16" borderId="0" xfId="0" applyNumberFormat="1" applyFont="1" applyFill="1" applyAlignment="1" applyProtection="1">
      <alignment horizontal="right" vertical="center"/>
      <protection hidden="1"/>
    </xf>
    <xf numFmtId="0" fontId="102" fillId="11" borderId="67" xfId="0" applyFont="1" applyFill="1" applyBorder="1" applyAlignment="1">
      <alignment horizontal="right"/>
    </xf>
    <xf numFmtId="172" fontId="0" fillId="11" borderId="0" xfId="0" applyNumberFormat="1" applyFill="1"/>
    <xf numFmtId="166" fontId="23" fillId="16" borderId="0" xfId="0" applyNumberFormat="1" applyFont="1" applyFill="1" applyAlignment="1" applyProtection="1">
      <alignment horizontal="right" vertical="center"/>
      <protection hidden="1"/>
    </xf>
    <xf numFmtId="0" fontId="56" fillId="16" borderId="0" xfId="0" applyFont="1" applyFill="1"/>
    <xf numFmtId="166" fontId="1" fillId="16" borderId="0" xfId="0" applyNumberFormat="1" applyFont="1" applyFill="1" applyProtection="1">
      <protection hidden="1"/>
    </xf>
    <xf numFmtId="1" fontId="1" fillId="16" borderId="0" xfId="0" applyNumberFormat="1" applyFont="1" applyFill="1" applyProtection="1">
      <protection hidden="1"/>
    </xf>
    <xf numFmtId="0" fontId="0" fillId="16" borderId="0" xfId="0" applyFill="1"/>
    <xf numFmtId="166" fontId="23" fillId="16" borderId="0" xfId="0" applyNumberFormat="1" applyFont="1" applyFill="1" applyProtection="1">
      <protection hidden="1"/>
    </xf>
    <xf numFmtId="15" fontId="23" fillId="16" borderId="0" xfId="0" applyNumberFormat="1" applyFont="1" applyFill="1" applyAlignment="1" applyProtection="1">
      <alignment horizontal="center" vertical="center"/>
      <protection hidden="1"/>
    </xf>
    <xf numFmtId="0" fontId="22" fillId="16" borderId="0" xfId="0" applyFont="1" applyFill="1" applyAlignment="1" applyProtection="1">
      <alignment horizontal="center" vertical="center"/>
      <protection hidden="1"/>
    </xf>
    <xf numFmtId="16" fontId="1" fillId="11" borderId="0" xfId="0" applyNumberFormat="1" applyFont="1" applyFill="1" applyAlignment="1" applyProtection="1">
      <alignment horizontal="center" vertical="center"/>
      <protection hidden="1"/>
    </xf>
    <xf numFmtId="0" fontId="10" fillId="11" borderId="0" xfId="0" applyFont="1" applyFill="1" applyAlignment="1">
      <alignment horizontal="right" wrapText="1"/>
    </xf>
    <xf numFmtId="0" fontId="92" fillId="11" borderId="79" xfId="0" applyFont="1" applyFill="1" applyBorder="1" applyAlignment="1" applyProtection="1">
      <alignment vertical="top" wrapText="1"/>
      <protection locked="0"/>
    </xf>
    <xf numFmtId="0" fontId="92" fillId="11" borderId="75" xfId="0" applyFont="1" applyFill="1" applyBorder="1" applyAlignment="1" applyProtection="1">
      <alignment vertical="top" wrapText="1"/>
      <protection locked="0"/>
    </xf>
    <xf numFmtId="0" fontId="92" fillId="11" borderId="78" xfId="0" applyFont="1" applyFill="1" applyBorder="1" applyAlignment="1" applyProtection="1">
      <alignment vertical="top" wrapText="1"/>
      <protection locked="0"/>
    </xf>
    <xf numFmtId="0" fontId="23" fillId="11" borderId="0" xfId="0" applyFont="1" applyFill="1"/>
    <xf numFmtId="0" fontId="14" fillId="11" borderId="77" xfId="0" applyFont="1" applyFill="1" applyBorder="1" applyAlignment="1" applyProtection="1">
      <alignment horizontal="right" vertical="center" wrapText="1"/>
      <protection locked="0"/>
    </xf>
    <xf numFmtId="0" fontId="88" fillId="11" borderId="75" xfId="0" applyFont="1" applyFill="1" applyBorder="1" applyAlignment="1">
      <alignment horizontal="right" wrapText="1"/>
    </xf>
    <xf numFmtId="166" fontId="1" fillId="11" borderId="0" xfId="0" applyNumberFormat="1" applyFont="1" applyFill="1" applyAlignment="1" applyProtection="1">
      <alignment horizontal="center" vertical="center"/>
      <protection hidden="1"/>
    </xf>
    <xf numFmtId="0" fontId="0" fillId="11" borderId="0" xfId="0" applyFill="1" applyAlignment="1" applyProtection="1">
      <alignment horizontal="right"/>
      <protection hidden="1"/>
    </xf>
    <xf numFmtId="15" fontId="23" fillId="11" borderId="0" xfId="0" applyNumberFormat="1" applyFont="1" applyFill="1" applyAlignment="1" applyProtection="1">
      <alignment horizontal="center" vertical="center"/>
      <protection hidden="1"/>
    </xf>
    <xf numFmtId="0" fontId="22" fillId="16" borderId="0" xfId="0" applyFont="1" applyFill="1"/>
    <xf numFmtId="0" fontId="14" fillId="11" borderId="75" xfId="0" applyFont="1" applyFill="1" applyBorder="1" applyAlignment="1" applyProtection="1">
      <alignment vertical="top" wrapText="1"/>
      <protection locked="0"/>
    </xf>
    <xf numFmtId="0" fontId="14" fillId="11" borderId="101" xfId="0" applyFont="1" applyFill="1" applyBorder="1" applyAlignment="1" applyProtection="1">
      <alignment vertical="top"/>
      <protection locked="0"/>
    </xf>
    <xf numFmtId="172" fontId="47" fillId="0" borderId="0" xfId="0" applyNumberFormat="1" applyFont="1"/>
    <xf numFmtId="0" fontId="1" fillId="16" borderId="0" xfId="0" applyFont="1" applyFill="1"/>
    <xf numFmtId="0" fontId="14" fillId="11" borderId="100" xfId="0" applyFont="1" applyFill="1" applyBorder="1" applyAlignment="1" applyProtection="1">
      <alignment horizontal="right" vertical="top"/>
      <protection locked="0"/>
    </xf>
    <xf numFmtId="0" fontId="14" fillId="11" borderId="112" xfId="0" applyFont="1" applyFill="1" applyBorder="1" applyAlignment="1" applyProtection="1">
      <alignment horizontal="right" vertical="top" wrapText="1"/>
      <protection locked="0"/>
    </xf>
    <xf numFmtId="172" fontId="0" fillId="16" borderId="0" xfId="0" applyNumberFormat="1" applyFill="1"/>
    <xf numFmtId="166" fontId="23" fillId="16" borderId="0" xfId="0" applyNumberFormat="1" applyFont="1" applyFill="1" applyAlignment="1" applyProtection="1">
      <alignment horizontal="center" vertical="center"/>
      <protection hidden="1"/>
    </xf>
    <xf numFmtId="0" fontId="41" fillId="16" borderId="0" xfId="0" applyFont="1" applyFill="1" applyProtection="1">
      <protection hidden="1"/>
    </xf>
    <xf numFmtId="1" fontId="23" fillId="16" borderId="0" xfId="0" applyNumberFormat="1" applyFont="1" applyFill="1" applyAlignment="1" applyProtection="1">
      <alignment horizontal="right"/>
      <protection hidden="1"/>
    </xf>
    <xf numFmtId="166" fontId="1" fillId="16" borderId="0" xfId="0" applyNumberFormat="1" applyFont="1" applyFill="1" applyAlignment="1" applyProtection="1">
      <alignment horizontal="center" vertical="center"/>
      <protection hidden="1"/>
    </xf>
    <xf numFmtId="0" fontId="0" fillId="16" borderId="0" xfId="0" applyFill="1" applyProtection="1">
      <protection hidden="1"/>
    </xf>
    <xf numFmtId="16" fontId="45" fillId="11" borderId="0" xfId="0" applyNumberFormat="1" applyFont="1" applyFill="1"/>
    <xf numFmtId="16" fontId="1" fillId="11" borderId="0" xfId="0" applyNumberFormat="1" applyFont="1" applyFill="1"/>
    <xf numFmtId="166" fontId="3" fillId="16" borderId="0" xfId="0" applyNumberFormat="1" applyFont="1" applyFill="1" applyAlignment="1" applyProtection="1">
      <alignment horizontal="center" vertical="center"/>
      <protection hidden="1"/>
    </xf>
    <xf numFmtId="167" fontId="3" fillId="16" borderId="0" xfId="0" applyNumberFormat="1" applyFont="1" applyFill="1" applyAlignment="1" applyProtection="1">
      <alignment horizontal="right" vertical="center"/>
      <protection hidden="1"/>
    </xf>
    <xf numFmtId="0" fontId="23" fillId="16" borderId="0" xfId="0" applyFont="1" applyFill="1"/>
    <xf numFmtId="166" fontId="4" fillId="16" borderId="0" xfId="0" applyNumberFormat="1" applyFont="1" applyFill="1" applyAlignment="1" applyProtection="1">
      <alignment horizontal="center" vertical="center"/>
      <protection hidden="1"/>
    </xf>
    <xf numFmtId="167" fontId="4" fillId="16" borderId="0" xfId="0" applyNumberFormat="1" applyFont="1" applyFill="1" applyAlignment="1" applyProtection="1">
      <alignment horizontal="right" vertical="center"/>
      <protection hidden="1"/>
    </xf>
    <xf numFmtId="0" fontId="41" fillId="16" borderId="0" xfId="0" applyFont="1" applyFill="1"/>
    <xf numFmtId="0" fontId="56" fillId="16" borderId="0" xfId="0" applyFont="1" applyFill="1" applyAlignment="1" applyProtection="1">
      <alignment horizontal="center" vertical="center"/>
      <protection hidden="1"/>
    </xf>
    <xf numFmtId="0" fontId="39" fillId="16" borderId="0" xfId="0" applyFont="1" applyFill="1"/>
    <xf numFmtId="0" fontId="10" fillId="11" borderId="0" xfId="0" applyFont="1" applyFill="1" applyAlignment="1">
      <alignment horizontal="right" vertical="top" wrapText="1"/>
    </xf>
    <xf numFmtId="0" fontId="25" fillId="11" borderId="67" xfId="4" applyFont="1" applyFill="1" applyBorder="1" applyAlignment="1" applyProtection="1">
      <alignment horizontal="right" vertical="top" wrapText="1"/>
      <protection locked="0"/>
    </xf>
    <xf numFmtId="0" fontId="101" fillId="11" borderId="0" xfId="0" applyFont="1" applyFill="1" applyAlignment="1">
      <alignment horizontal="right" wrapText="1"/>
    </xf>
    <xf numFmtId="0" fontId="14" fillId="37" borderId="75" xfId="4" applyFont="1" applyFill="1" applyBorder="1" applyAlignment="1" applyProtection="1">
      <alignment horizontal="right" vertical="top" wrapText="1"/>
      <protection locked="0"/>
    </xf>
    <xf numFmtId="0" fontId="10" fillId="38" borderId="0" xfId="0" applyFont="1" applyFill="1" applyAlignment="1">
      <alignment horizontal="right" vertical="top" wrapText="1"/>
    </xf>
    <xf numFmtId="0" fontId="14" fillId="39" borderId="76" xfId="4" applyFont="1" applyFill="1" applyBorder="1" applyAlignment="1" applyProtection="1">
      <alignment horizontal="right" vertical="top" wrapText="1"/>
      <protection locked="0"/>
    </xf>
    <xf numFmtId="0" fontId="14" fillId="39" borderId="77" xfId="0" applyFont="1" applyFill="1" applyBorder="1" applyAlignment="1" applyProtection="1">
      <alignment horizontal="right" vertical="top" wrapText="1"/>
      <protection locked="0"/>
    </xf>
    <xf numFmtId="0" fontId="14" fillId="38" borderId="75" xfId="0" applyFont="1" applyFill="1" applyBorder="1" applyAlignment="1" applyProtection="1">
      <alignment horizontal="right" vertical="top" wrapText="1"/>
      <protection locked="0"/>
    </xf>
    <xf numFmtId="0" fontId="14" fillId="38" borderId="67" xfId="0" applyFont="1" applyFill="1" applyBorder="1" applyAlignment="1" applyProtection="1">
      <alignment horizontal="right" vertical="top" wrapText="1"/>
      <protection locked="0"/>
    </xf>
    <xf numFmtId="0" fontId="10" fillId="38" borderId="75" xfId="0" applyFont="1" applyFill="1" applyBorder="1" applyAlignment="1">
      <alignment horizontal="right" wrapText="1"/>
    </xf>
    <xf numFmtId="0" fontId="14" fillId="39" borderId="67" xfId="0" applyFont="1" applyFill="1" applyBorder="1" applyAlignment="1" applyProtection="1">
      <alignment horizontal="right" vertical="center" wrapText="1"/>
      <protection locked="0"/>
    </xf>
    <xf numFmtId="0" fontId="1" fillId="11" borderId="0" xfId="0" applyFont="1" applyFill="1" applyAlignment="1" applyProtection="1">
      <alignment vertical="center"/>
      <protection hidden="1"/>
    </xf>
    <xf numFmtId="0" fontId="10" fillId="39" borderId="0" xfId="0" applyFont="1" applyFill="1" applyAlignment="1">
      <alignment horizontal="right" wrapText="1"/>
    </xf>
    <xf numFmtId="0" fontId="14" fillId="38" borderId="76" xfId="0" applyFont="1" applyFill="1" applyBorder="1" applyAlignment="1" applyProtection="1">
      <alignment horizontal="right" vertical="top" wrapText="1"/>
      <protection locked="0"/>
    </xf>
    <xf numFmtId="0" fontId="68" fillId="33" borderId="110" xfId="0" applyFont="1" applyFill="1" applyBorder="1" applyAlignment="1" applyProtection="1">
      <alignment horizontal="right" wrapText="1"/>
      <protection locked="0"/>
    </xf>
    <xf numFmtId="0" fontId="105" fillId="11" borderId="80" xfId="0" applyFont="1" applyFill="1" applyBorder="1" applyAlignment="1" applyProtection="1">
      <alignment horizontal="right" vertical="top" wrapText="1"/>
      <protection locked="0"/>
    </xf>
    <xf numFmtId="0" fontId="106" fillId="11" borderId="77" xfId="0" applyFont="1" applyFill="1" applyBorder="1" applyAlignment="1" applyProtection="1">
      <alignment vertical="top"/>
      <protection locked="0"/>
    </xf>
    <xf numFmtId="0" fontId="105" fillId="11" borderId="75" xfId="0" applyFont="1" applyFill="1" applyBorder="1" applyAlignment="1" applyProtection="1">
      <alignment horizontal="right" vertical="top" wrapText="1"/>
      <protection locked="0"/>
    </xf>
    <xf numFmtId="0" fontId="60" fillId="11" borderId="74" xfId="0" applyFont="1" applyFill="1" applyBorder="1" applyAlignment="1" applyProtection="1">
      <alignment horizontal="center" vertical="top"/>
      <protection locked="0"/>
    </xf>
    <xf numFmtId="0" fontId="105" fillId="11" borderId="75" xfId="0" applyFont="1" applyFill="1" applyBorder="1" applyAlignment="1" applyProtection="1">
      <alignment vertical="top"/>
      <protection locked="0"/>
    </xf>
    <xf numFmtId="0" fontId="14" fillId="37" borderId="75" xfId="0" applyFont="1" applyFill="1" applyBorder="1" applyAlignment="1" applyProtection="1">
      <alignment horizontal="right" vertical="top" wrapText="1"/>
      <protection locked="0"/>
    </xf>
    <xf numFmtId="0" fontId="92" fillId="37" borderId="75" xfId="0" applyFont="1" applyFill="1" applyBorder="1" applyAlignment="1" applyProtection="1">
      <alignment horizontal="right" vertical="top" wrapText="1"/>
      <protection locked="0"/>
    </xf>
    <xf numFmtId="0" fontId="105" fillId="37" borderId="75" xfId="0" applyFont="1" applyFill="1" applyBorder="1" applyAlignment="1" applyProtection="1">
      <alignment horizontal="right" vertical="top" wrapText="1"/>
      <protection locked="0"/>
    </xf>
    <xf numFmtId="0" fontId="106" fillId="11" borderId="75" xfId="0" applyFont="1" applyFill="1" applyBorder="1" applyAlignment="1" applyProtection="1">
      <alignment vertical="top"/>
      <protection locked="0"/>
    </xf>
    <xf numFmtId="0" fontId="14" fillId="40" borderId="74" xfId="0" applyFont="1" applyFill="1" applyBorder="1" applyAlignment="1" applyProtection="1">
      <alignment horizontal="right" vertical="top"/>
      <protection locked="0"/>
    </xf>
    <xf numFmtId="0" fontId="90" fillId="11" borderId="103" xfId="0" applyFont="1" applyFill="1" applyBorder="1" applyAlignment="1" applyProtection="1">
      <alignment horizontal="right" vertical="top" wrapText="1"/>
      <protection locked="0"/>
    </xf>
    <xf numFmtId="0" fontId="90" fillId="11" borderId="128" xfId="0" applyFont="1" applyFill="1" applyBorder="1" applyAlignment="1" applyProtection="1">
      <alignment horizontal="right" vertical="top" wrapText="1"/>
      <protection locked="0"/>
    </xf>
    <xf numFmtId="0" fontId="90" fillId="11" borderId="89" xfId="0" applyFont="1" applyFill="1" applyBorder="1" applyAlignment="1" applyProtection="1">
      <alignment horizontal="right" vertical="top" wrapText="1"/>
      <protection locked="0"/>
    </xf>
    <xf numFmtId="0" fontId="90" fillId="11" borderId="89" xfId="0" applyFont="1" applyFill="1" applyBorder="1" applyAlignment="1" applyProtection="1">
      <alignment horizontal="right" wrapText="1" indent="1"/>
      <protection locked="0"/>
    </xf>
    <xf numFmtId="0" fontId="14" fillId="11" borderId="89" xfId="0" applyFont="1" applyFill="1" applyBorder="1" applyAlignment="1" applyProtection="1">
      <alignment horizontal="right" vertical="top" wrapText="1"/>
      <protection locked="0"/>
    </xf>
    <xf numFmtId="0" fontId="25" fillId="11" borderId="129" xfId="0" applyFont="1" applyFill="1" applyBorder="1" applyAlignment="1" applyProtection="1">
      <alignment vertical="top" wrapText="1"/>
      <protection locked="0"/>
    </xf>
    <xf numFmtId="0" fontId="14" fillId="11" borderId="103" xfId="4" applyFont="1" applyFill="1" applyBorder="1" applyAlignment="1" applyProtection="1">
      <alignment horizontal="right" vertical="top" wrapText="1"/>
      <protection locked="0"/>
    </xf>
    <xf numFmtId="0" fontId="25" fillId="11" borderId="103" xfId="0" applyFont="1" applyFill="1" applyBorder="1" applyAlignment="1" applyProtection="1">
      <alignment horizontal="right" vertical="top" wrapText="1"/>
      <protection locked="0"/>
    </xf>
    <xf numFmtId="0" fontId="24" fillId="11" borderId="89" xfId="0" applyFont="1" applyFill="1" applyBorder="1" applyAlignment="1">
      <alignment horizontal="left" indent="1"/>
    </xf>
    <xf numFmtId="0" fontId="100" fillId="11" borderId="114" xfId="4" applyFont="1" applyFill="1" applyBorder="1" applyAlignment="1" applyProtection="1">
      <alignment horizontal="right" wrapText="1" indent="1"/>
      <protection locked="0"/>
    </xf>
    <xf numFmtId="0" fontId="29" fillId="11" borderId="89" xfId="0" applyFont="1" applyFill="1" applyBorder="1" applyAlignment="1" applyProtection="1">
      <alignment horizontal="left" indent="1"/>
      <protection locked="0"/>
    </xf>
    <xf numFmtId="0" fontId="24" fillId="11" borderId="89" xfId="0" applyFont="1" applyFill="1" applyBorder="1" applyAlignment="1" applyProtection="1">
      <alignment horizontal="right" wrapText="1" indent="1"/>
      <protection locked="0"/>
    </xf>
    <xf numFmtId="0" fontId="25" fillId="11" borderId="89" xfId="4" applyFont="1" applyFill="1" applyBorder="1" applyAlignment="1" applyProtection="1">
      <alignment horizontal="right" vertical="top" wrapText="1"/>
      <protection locked="0"/>
    </xf>
    <xf numFmtId="0" fontId="24" fillId="11" borderId="110" xfId="0" applyFont="1" applyFill="1" applyBorder="1" applyAlignment="1" applyProtection="1">
      <alignment horizontal="right" wrapText="1" indent="1"/>
      <protection locked="0"/>
    </xf>
    <xf numFmtId="0" fontId="24" fillId="11" borderId="89" xfId="0" applyFont="1" applyFill="1" applyBorder="1" applyAlignment="1" applyProtection="1">
      <alignment horizontal="right" vertical="top" wrapText="1"/>
      <protection locked="0"/>
    </xf>
    <xf numFmtId="0" fontId="24" fillId="11" borderId="89" xfId="0" applyFont="1" applyFill="1" applyBorder="1" applyAlignment="1">
      <alignment horizontal="right" indent="1"/>
    </xf>
    <xf numFmtId="0" fontId="90" fillId="11" borderId="89" xfId="0" applyFont="1" applyFill="1" applyBorder="1" applyAlignment="1">
      <alignment horizontal="right" wrapText="1" indent="1"/>
    </xf>
    <xf numFmtId="0" fontId="90" fillId="11" borderId="116" xfId="0" applyFont="1" applyFill="1" applyBorder="1" applyAlignment="1" applyProtection="1">
      <alignment horizontal="right" vertical="top" wrapText="1"/>
      <protection locked="0"/>
    </xf>
    <xf numFmtId="0" fontId="90" fillId="11" borderId="116" xfId="0" applyFont="1" applyFill="1" applyBorder="1" applyAlignment="1" applyProtection="1">
      <alignment horizontal="right" wrapText="1" indent="1"/>
      <protection locked="0"/>
    </xf>
    <xf numFmtId="0" fontId="24" fillId="11" borderId="116" xfId="0" applyFont="1" applyFill="1" applyBorder="1" applyAlignment="1" applyProtection="1">
      <alignment horizontal="left" indent="1"/>
      <protection locked="0"/>
    </xf>
    <xf numFmtId="0" fontId="24" fillId="11" borderId="121" xfId="0" applyFont="1" applyFill="1" applyBorder="1" applyAlignment="1" applyProtection="1">
      <alignment horizontal="right" wrapText="1" indent="1"/>
      <protection locked="0"/>
    </xf>
    <xf numFmtId="0" fontId="25" fillId="11" borderId="121" xfId="4" applyFont="1" applyFill="1" applyBorder="1" applyAlignment="1" applyProtection="1">
      <alignment horizontal="right" vertical="top" wrapText="1"/>
      <protection locked="0"/>
    </xf>
    <xf numFmtId="0" fontId="25" fillId="11" borderId="114" xfId="4" applyFont="1" applyFill="1" applyBorder="1" applyAlignment="1" applyProtection="1">
      <alignment horizontal="right" wrapText="1" indent="1"/>
      <protection locked="0"/>
    </xf>
    <xf numFmtId="0" fontId="10" fillId="11" borderId="123" xfId="0" applyFont="1" applyFill="1" applyBorder="1" applyAlignment="1" applyProtection="1">
      <alignment horizontal="right" wrapText="1"/>
      <protection locked="0"/>
    </xf>
    <xf numFmtId="0" fontId="24" fillId="11" borderId="121" xfId="0" applyFont="1" applyFill="1" applyBorder="1" applyAlignment="1" applyProtection="1">
      <alignment horizontal="right" vertical="center" wrapText="1"/>
      <protection locked="0"/>
    </xf>
    <xf numFmtId="0" fontId="90" fillId="11" borderId="121" xfId="0" applyFont="1" applyFill="1" applyBorder="1" applyAlignment="1" applyProtection="1">
      <alignment horizontal="right" vertical="center" wrapText="1"/>
      <protection locked="0"/>
    </xf>
    <xf numFmtId="0" fontId="90" fillId="11" borderId="116" xfId="0" applyFont="1" applyFill="1" applyBorder="1" applyAlignment="1" applyProtection="1">
      <alignment horizontal="right" vertical="center" wrapText="1"/>
      <protection locked="0"/>
    </xf>
    <xf numFmtId="0" fontId="29" fillId="11" borderId="116" xfId="0" applyFont="1" applyFill="1" applyBorder="1" applyAlignment="1" applyProtection="1">
      <alignment vertical="center"/>
      <protection locked="0"/>
    </xf>
    <xf numFmtId="0" fontId="24" fillId="11" borderId="116" xfId="0" applyFont="1" applyFill="1" applyBorder="1" applyAlignment="1" applyProtection="1">
      <alignment horizontal="right" wrapText="1" indent="1"/>
      <protection locked="0"/>
    </xf>
    <xf numFmtId="0" fontId="25" fillId="11" borderId="116" xfId="0" applyFont="1" applyFill="1" applyBorder="1" applyAlignment="1" applyProtection="1">
      <alignment horizontal="right" vertical="top" wrapText="1"/>
      <protection locked="0"/>
    </xf>
    <xf numFmtId="0" fontId="10" fillId="11" borderId="89" xfId="0" applyFont="1" applyFill="1" applyBorder="1" applyAlignment="1" applyProtection="1">
      <alignment horizontal="right" wrapText="1" indent="1"/>
      <protection locked="0"/>
    </xf>
    <xf numFmtId="0" fontId="14" fillId="11" borderId="103" xfId="0" applyFont="1" applyFill="1" applyBorder="1" applyAlignment="1" applyProtection="1">
      <alignment horizontal="right" vertical="top" wrapText="1"/>
      <protection locked="0"/>
    </xf>
    <xf numFmtId="0" fontId="25" fillId="11" borderId="103" xfId="4" applyFont="1" applyFill="1" applyBorder="1" applyAlignment="1" applyProtection="1">
      <alignment horizontal="right" vertical="top" wrapText="1"/>
      <protection locked="0"/>
    </xf>
    <xf numFmtId="0" fontId="25" fillId="11" borderId="106" xfId="0" applyFont="1" applyFill="1" applyBorder="1" applyAlignment="1" applyProtection="1">
      <alignment horizontal="right" vertical="top" wrapText="1"/>
      <protection locked="0"/>
    </xf>
    <xf numFmtId="0" fontId="107" fillId="37" borderId="75" xfId="0" applyFont="1" applyFill="1" applyBorder="1" applyAlignment="1">
      <alignment horizontal="left" indent="1"/>
    </xf>
    <xf numFmtId="16" fontId="25" fillId="10" borderId="24" xfId="0" applyNumberFormat="1" applyFont="1" applyFill="1" applyBorder="1" applyAlignment="1" applyProtection="1">
      <alignment vertical="center"/>
      <protection locked="0"/>
    </xf>
    <xf numFmtId="0" fontId="108" fillId="11" borderId="77" xfId="0" applyFont="1" applyFill="1" applyBorder="1" applyAlignment="1" applyProtection="1">
      <alignment horizontal="right" vertical="top"/>
      <protection locked="0"/>
    </xf>
    <xf numFmtId="16" fontId="13" fillId="11" borderId="58" xfId="0" applyNumberFormat="1" applyFont="1" applyFill="1" applyBorder="1" applyAlignment="1" applyProtection="1">
      <alignment horizontal="left" vertical="center" wrapText="1"/>
      <protection hidden="1"/>
    </xf>
    <xf numFmtId="16" fontId="25" fillId="11" borderId="58" xfId="0" applyNumberFormat="1" applyFont="1" applyFill="1" applyBorder="1" applyProtection="1">
      <protection hidden="1"/>
    </xf>
    <xf numFmtId="16" fontId="25" fillId="11" borderId="58" xfId="0" applyNumberFormat="1" applyFont="1" applyFill="1" applyBorder="1" applyAlignment="1" applyProtection="1">
      <alignment vertical="center"/>
      <protection locked="0"/>
    </xf>
    <xf numFmtId="49" fontId="25" fillId="6" borderId="10" xfId="1" applyNumberFormat="1" applyFont="1" applyFill="1" applyBorder="1" applyAlignment="1" applyProtection="1">
      <alignment horizontal="center" vertical="center"/>
      <protection locked="0"/>
    </xf>
    <xf numFmtId="49" fontId="25" fillId="6" borderId="25" xfId="1" applyNumberFormat="1" applyFont="1" applyFill="1" applyBorder="1" applyAlignment="1" applyProtection="1">
      <alignment horizontal="center" vertical="center"/>
      <protection locked="0"/>
    </xf>
    <xf numFmtId="0" fontId="25" fillId="6" borderId="25" xfId="0" applyFont="1" applyFill="1" applyBorder="1" applyAlignment="1">
      <alignment horizontal="center"/>
    </xf>
    <xf numFmtId="49" fontId="24" fillId="6" borderId="25" xfId="1" applyNumberFormat="1" applyFont="1" applyFill="1" applyBorder="1" applyAlignment="1" applyProtection="1">
      <alignment horizontal="center" vertical="center"/>
      <protection locked="0"/>
    </xf>
    <xf numFmtId="49" fontId="109" fillId="11" borderId="10" xfId="1" applyNumberFormat="1" applyFont="1" applyFill="1" applyBorder="1" applyAlignment="1" applyProtection="1">
      <alignment horizontal="center" vertical="center"/>
      <protection locked="0"/>
    </xf>
    <xf numFmtId="49" fontId="25" fillId="43" borderId="10" xfId="1" applyNumberFormat="1" applyFont="1" applyFill="1" applyBorder="1" applyAlignment="1" applyProtection="1">
      <alignment horizontal="center" vertical="center"/>
      <protection locked="0"/>
    </xf>
    <xf numFmtId="49" fontId="25" fillId="22" borderId="10" xfId="1" applyNumberFormat="1" applyFont="1" applyFill="1" applyBorder="1" applyAlignment="1" applyProtection="1">
      <alignment horizontal="center" vertical="center"/>
      <protection locked="0"/>
    </xf>
    <xf numFmtId="49" fontId="25" fillId="22" borderId="25" xfId="1" applyNumberFormat="1" applyFont="1" applyFill="1" applyBorder="1" applyAlignment="1" applyProtection="1">
      <alignment horizontal="center" vertical="center"/>
      <protection locked="0"/>
    </xf>
    <xf numFmtId="49" fontId="24" fillId="22" borderId="25" xfId="1" applyNumberFormat="1" applyFont="1" applyFill="1" applyBorder="1" applyAlignment="1" applyProtection="1">
      <alignment horizontal="center" vertical="center"/>
      <protection locked="0"/>
    </xf>
    <xf numFmtId="0" fontId="111" fillId="0" borderId="10" xfId="0" applyFont="1" applyBorder="1" applyAlignment="1" applyProtection="1">
      <alignment horizontal="center" vertical="center"/>
      <protection locked="0"/>
    </xf>
    <xf numFmtId="3" fontId="108" fillId="0" borderId="22" xfId="0" applyNumberFormat="1" applyFont="1" applyBorder="1" applyAlignment="1" applyProtection="1">
      <alignment horizontal="center" vertical="center"/>
      <protection locked="0"/>
    </xf>
    <xf numFmtId="49" fontId="25" fillId="0" borderId="25" xfId="1" applyNumberFormat="1" applyFont="1" applyFill="1" applyBorder="1" applyAlignment="1" applyProtection="1">
      <alignment horizontal="center" vertical="center"/>
      <protection locked="0"/>
    </xf>
    <xf numFmtId="49" fontId="25" fillId="44" borderId="10" xfId="1" applyNumberFormat="1" applyFont="1" applyFill="1" applyBorder="1" applyAlignment="1" applyProtection="1">
      <alignment horizontal="center" vertical="center"/>
      <protection locked="0"/>
    </xf>
    <xf numFmtId="49" fontId="25" fillId="45" borderId="10" xfId="1" applyNumberFormat="1" applyFont="1" applyFill="1" applyBorder="1" applyAlignment="1" applyProtection="1">
      <alignment horizontal="center" vertical="center"/>
      <protection locked="0"/>
    </xf>
    <xf numFmtId="49" fontId="25" fillId="45" borderId="25" xfId="1" applyNumberFormat="1" applyFont="1" applyFill="1" applyBorder="1" applyAlignment="1" applyProtection="1">
      <alignment horizontal="center" vertical="center"/>
      <protection locked="0"/>
    </xf>
    <xf numFmtId="49" fontId="25" fillId="46" borderId="10" xfId="1" applyNumberFormat="1" applyFont="1" applyFill="1" applyBorder="1" applyAlignment="1" applyProtection="1">
      <alignment horizontal="center" vertical="center"/>
      <protection locked="0"/>
    </xf>
    <xf numFmtId="49" fontId="25" fillId="43" borderId="25" xfId="1" applyNumberFormat="1" applyFont="1" applyFill="1" applyBorder="1" applyAlignment="1" applyProtection="1">
      <alignment horizontal="center" vertical="center"/>
      <protection locked="0"/>
    </xf>
    <xf numFmtId="49" fontId="90" fillId="0" borderId="10" xfId="1" applyNumberFormat="1" applyFont="1" applyFill="1" applyBorder="1" applyAlignment="1" applyProtection="1">
      <alignment horizontal="center" vertical="center"/>
      <protection locked="0"/>
    </xf>
    <xf numFmtId="0" fontId="108" fillId="11" borderId="76" xfId="0" applyFont="1" applyFill="1" applyBorder="1" applyAlignment="1" applyProtection="1">
      <alignment vertical="top"/>
      <protection locked="0"/>
    </xf>
    <xf numFmtId="0" fontId="108" fillId="11" borderId="75" xfId="0" applyFont="1" applyFill="1" applyBorder="1" applyAlignment="1" applyProtection="1">
      <alignment vertical="top"/>
      <protection locked="0"/>
    </xf>
    <xf numFmtId="3" fontId="111" fillId="0" borderId="22" xfId="0" applyNumberFormat="1" applyFont="1" applyBorder="1" applyAlignment="1" applyProtection="1">
      <alignment horizontal="center" vertical="center"/>
      <protection locked="0"/>
    </xf>
    <xf numFmtId="49" fontId="25" fillId="46" borderId="25" xfId="1" applyNumberFormat="1" applyFont="1" applyFill="1" applyBorder="1" applyAlignment="1" applyProtection="1">
      <alignment horizontal="center" vertical="center"/>
      <protection locked="0"/>
    </xf>
    <xf numFmtId="49" fontId="13" fillId="46" borderId="10" xfId="1" applyNumberFormat="1" applyFont="1" applyFill="1" applyBorder="1" applyAlignment="1" applyProtection="1">
      <alignment horizontal="center" vertical="center"/>
      <protection locked="0"/>
    </xf>
    <xf numFmtId="49" fontId="25" fillId="46" borderId="27" xfId="1" applyNumberFormat="1" applyFont="1" applyFill="1" applyBorder="1" applyAlignment="1" applyProtection="1">
      <alignment horizontal="center" vertical="center"/>
      <protection locked="0"/>
    </xf>
    <xf numFmtId="49" fontId="110" fillId="42" borderId="27" xfId="1" applyNumberFormat="1" applyFont="1" applyFill="1" applyBorder="1" applyAlignment="1" applyProtection="1">
      <alignment horizontal="center" vertical="center"/>
      <protection locked="0"/>
    </xf>
    <xf numFmtId="49" fontId="110" fillId="42" borderId="10" xfId="1" applyNumberFormat="1" applyFont="1" applyFill="1" applyBorder="1" applyAlignment="1" applyProtection="1">
      <alignment horizontal="center" vertical="center"/>
      <protection locked="0"/>
    </xf>
    <xf numFmtId="49" fontId="110" fillId="41" borderId="10" xfId="1" applyNumberFormat="1" applyFont="1" applyFill="1" applyBorder="1" applyAlignment="1" applyProtection="1">
      <alignment horizontal="center" vertical="center"/>
      <protection locked="0"/>
    </xf>
    <xf numFmtId="49" fontId="24" fillId="46" borderId="25" xfId="1" applyNumberFormat="1" applyFont="1" applyFill="1" applyBorder="1" applyAlignment="1" applyProtection="1">
      <alignment horizontal="center" vertical="center"/>
      <protection locked="0"/>
    </xf>
    <xf numFmtId="0" fontId="34" fillId="0" borderId="0" xfId="0" applyFont="1" applyAlignment="1" applyProtection="1">
      <alignment horizontal="left" vertical="top" wrapText="1"/>
      <protection hidden="1"/>
    </xf>
    <xf numFmtId="0" fontId="38" fillId="2" borderId="0" xfId="0" applyFont="1" applyFill="1" applyAlignment="1" applyProtection="1">
      <alignment horizontal="center" vertical="center"/>
      <protection hidden="1"/>
    </xf>
    <xf numFmtId="0" fontId="50" fillId="0" borderId="0" xfId="0" applyFont="1" applyAlignment="1" applyProtection="1">
      <alignment horizontal="left" vertical="top" wrapText="1"/>
      <protection hidden="1"/>
    </xf>
    <xf numFmtId="0" fontId="34" fillId="21" borderId="0" xfId="0" applyFont="1" applyFill="1" applyAlignment="1" applyProtection="1">
      <alignment horizontal="left" vertical="top" wrapText="1"/>
      <protection hidden="1"/>
    </xf>
    <xf numFmtId="0" fontId="38" fillId="20" borderId="0" xfId="0" applyFont="1" applyFill="1" applyAlignment="1" applyProtection="1">
      <alignment horizontal="center" vertical="center"/>
      <protection hidden="1"/>
    </xf>
    <xf numFmtId="0" fontId="34" fillId="0" borderId="0" xfId="0" applyFont="1" applyAlignment="1" applyProtection="1">
      <alignment horizontal="left" vertical="top"/>
      <protection hidden="1"/>
    </xf>
    <xf numFmtId="0" fontId="53" fillId="0" borderId="0" xfId="0" applyFont="1" applyAlignment="1" applyProtection="1">
      <alignment horizontal="left" vertical="top" wrapText="1"/>
      <protection hidden="1"/>
    </xf>
    <xf numFmtId="0" fontId="38" fillId="2" borderId="0" xfId="0" applyFont="1" applyFill="1" applyAlignment="1" applyProtection="1">
      <alignment horizontal="center"/>
      <protection hidden="1"/>
    </xf>
    <xf numFmtId="0" fontId="50" fillId="0" borderId="0" xfId="0" applyFont="1" applyAlignment="1" applyProtection="1">
      <alignment horizontal="left" vertical="center" wrapText="1"/>
      <protection hidden="1"/>
    </xf>
    <xf numFmtId="0" fontId="52" fillId="2" borderId="0" xfId="0" applyFont="1" applyFill="1" applyAlignment="1" applyProtection="1">
      <alignment horizontal="center" vertical="center" wrapText="1"/>
      <protection hidden="1"/>
    </xf>
    <xf numFmtId="0" fontId="50" fillId="0" borderId="0" xfId="0" applyFont="1" applyAlignment="1" applyProtection="1">
      <alignment horizontal="left" vertical="center"/>
      <protection hidden="1"/>
    </xf>
    <xf numFmtId="0" fontId="34" fillId="0" borderId="0" xfId="0" applyFont="1" applyAlignment="1" applyProtection="1">
      <alignment horizontal="left" vertical="center" wrapText="1"/>
      <protection hidden="1"/>
    </xf>
    <xf numFmtId="0" fontId="51" fillId="0" borderId="0" xfId="0" applyFont="1" applyAlignment="1" applyProtection="1">
      <alignment horizontal="left" vertical="center" wrapText="1"/>
      <protection hidden="1"/>
    </xf>
    <xf numFmtId="0" fontId="49" fillId="2" borderId="0" xfId="0" applyFont="1" applyFill="1" applyAlignment="1" applyProtection="1">
      <alignment horizontal="center" vertical="center"/>
      <protection hidden="1"/>
    </xf>
    <xf numFmtId="0" fontId="40" fillId="2" borderId="0" xfId="0" applyFont="1" applyFill="1" applyAlignment="1" applyProtection="1">
      <alignment horizontal="center" wrapText="1"/>
      <protection locked="0" hidden="1"/>
    </xf>
    <xf numFmtId="0" fontId="29" fillId="2" borderId="0" xfId="0" applyFont="1" applyFill="1" applyAlignment="1" applyProtection="1">
      <alignment horizontal="center" wrapText="1"/>
      <protection locked="0" hidden="1"/>
    </xf>
    <xf numFmtId="0" fontId="1" fillId="2" borderId="0" xfId="0" applyFont="1" applyFill="1" applyAlignment="1" applyProtection="1">
      <alignment horizontal="center"/>
      <protection locked="0" hidden="1"/>
    </xf>
    <xf numFmtId="0" fontId="51" fillId="0" borderId="20" xfId="0" applyFont="1" applyBorder="1" applyAlignment="1" applyProtection="1">
      <alignment horizontal="left" vertical="center" wrapText="1"/>
      <protection hidden="1"/>
    </xf>
    <xf numFmtId="0" fontId="45" fillId="11" borderId="11" xfId="0" applyFont="1" applyFill="1" applyBorder="1" applyAlignment="1" applyProtection="1">
      <alignment horizontal="center" wrapText="1"/>
      <protection hidden="1"/>
    </xf>
    <xf numFmtId="0" fontId="45" fillId="11" borderId="12" xfId="0" applyFont="1" applyFill="1" applyBorder="1" applyAlignment="1" applyProtection="1">
      <alignment horizontal="center" wrapText="1"/>
      <protection hidden="1"/>
    </xf>
    <xf numFmtId="0" fontId="45" fillId="11" borderId="13" xfId="0" applyFont="1" applyFill="1" applyBorder="1" applyAlignment="1" applyProtection="1">
      <alignment horizontal="center" wrapText="1"/>
      <protection hidden="1"/>
    </xf>
    <xf numFmtId="0" fontId="45" fillId="11" borderId="14" xfId="0" applyFont="1" applyFill="1" applyBorder="1" applyAlignment="1" applyProtection="1">
      <alignment horizontal="center" wrapText="1"/>
      <protection hidden="1"/>
    </xf>
    <xf numFmtId="0" fontId="45" fillId="11" borderId="15" xfId="0" applyFont="1" applyFill="1" applyBorder="1" applyAlignment="1" applyProtection="1">
      <alignment horizontal="center" wrapText="1"/>
      <protection hidden="1"/>
    </xf>
    <xf numFmtId="0" fontId="45" fillId="11" borderId="16" xfId="0" applyFont="1" applyFill="1" applyBorder="1" applyAlignment="1" applyProtection="1">
      <alignment horizontal="center" wrapText="1"/>
      <protection hidden="1"/>
    </xf>
    <xf numFmtId="0" fontId="40" fillId="0" borderId="2" xfId="0" applyFont="1" applyBorder="1" applyAlignment="1" applyProtection="1">
      <alignment horizontal="center"/>
      <protection hidden="1"/>
    </xf>
    <xf numFmtId="0" fontId="10"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0" fillId="11" borderId="0" xfId="0" applyFill="1" applyAlignment="1" applyProtection="1">
      <alignment horizontal="left"/>
      <protection hidden="1"/>
    </xf>
    <xf numFmtId="0" fontId="8" fillId="0" borderId="0" xfId="0" applyFont="1" applyAlignment="1" applyProtection="1">
      <alignment horizontal="center" vertical="center"/>
      <protection hidden="1"/>
    </xf>
    <xf numFmtId="0" fontId="0" fillId="0" borderId="0" xfId="0" applyAlignment="1" applyProtection="1">
      <alignment horizontal="left"/>
      <protection hidden="1"/>
    </xf>
    <xf numFmtId="0" fontId="1" fillId="0" borderId="0" xfId="0" applyFont="1" applyAlignment="1" applyProtection="1">
      <alignment horizontal="left" vertical="top" wrapText="1"/>
      <protection hidden="1"/>
    </xf>
    <xf numFmtId="0" fontId="31" fillId="21" borderId="10" xfId="0" applyFont="1" applyFill="1" applyBorder="1" applyAlignment="1">
      <alignment horizontal="left"/>
    </xf>
    <xf numFmtId="0" fontId="48" fillId="0" borderId="0" xfId="0" applyFont="1" applyAlignment="1">
      <alignment horizontal="center"/>
    </xf>
    <xf numFmtId="0" fontId="31" fillId="0" borderId="10" xfId="0" applyFont="1" applyBorder="1" applyAlignment="1">
      <alignment horizontal="left"/>
    </xf>
    <xf numFmtId="0" fontId="48" fillId="0" borderId="2" xfId="0" applyFont="1" applyBorder="1" applyAlignment="1">
      <alignment horizontal="center" vertical="center"/>
    </xf>
    <xf numFmtId="0" fontId="48" fillId="0" borderId="0" xfId="0" applyFont="1" applyAlignment="1">
      <alignment horizontal="center" vertical="center"/>
    </xf>
    <xf numFmtId="0" fontId="31" fillId="0" borderId="17" xfId="0" applyFont="1" applyBorder="1" applyAlignment="1">
      <alignment horizontal="left"/>
    </xf>
    <xf numFmtId="0" fontId="31" fillId="0" borderId="18" xfId="0" applyFont="1" applyBorder="1" applyAlignment="1">
      <alignment horizontal="left"/>
    </xf>
    <xf numFmtId="0" fontId="31" fillId="0" borderId="19" xfId="0" applyFont="1" applyBorder="1" applyAlignment="1">
      <alignment horizontal="left"/>
    </xf>
    <xf numFmtId="0" fontId="55" fillId="0" borderId="0" xfId="0" applyFont="1" applyAlignment="1">
      <alignment horizontal="center" wrapText="1"/>
    </xf>
    <xf numFmtId="0" fontId="1" fillId="11" borderId="0" xfId="0" applyFont="1" applyFill="1" applyAlignment="1">
      <alignment horizontal="center" vertical="center"/>
    </xf>
    <xf numFmtId="0" fontId="31" fillId="21" borderId="17" xfId="0" applyFont="1" applyFill="1" applyBorder="1" applyAlignment="1">
      <alignment horizontal="left"/>
    </xf>
    <xf numFmtId="0" fontId="31" fillId="21" borderId="19" xfId="0" applyFont="1" applyFill="1" applyBorder="1" applyAlignment="1">
      <alignment horizontal="left"/>
    </xf>
    <xf numFmtId="0" fontId="31" fillId="21" borderId="18" xfId="0" applyFont="1" applyFill="1" applyBorder="1" applyAlignment="1">
      <alignment horizontal="left"/>
    </xf>
    <xf numFmtId="0" fontId="1" fillId="5" borderId="0" xfId="0" applyFont="1" applyFill="1" applyAlignment="1">
      <alignment horizontal="center" vertical="center"/>
    </xf>
    <xf numFmtId="0" fontId="1" fillId="8" borderId="0" xfId="0" applyFont="1" applyFill="1" applyAlignment="1">
      <alignment horizontal="center" vertical="center"/>
    </xf>
    <xf numFmtId="0" fontId="1" fillId="3" borderId="0" xfId="0" applyFont="1" applyFill="1" applyAlignment="1">
      <alignment horizontal="center" vertical="center"/>
    </xf>
    <xf numFmtId="0" fontId="55" fillId="0" borderId="0" xfId="0" applyFont="1" applyAlignment="1">
      <alignment horizontal="center"/>
    </xf>
    <xf numFmtId="0" fontId="1" fillId="0" borderId="0" xfId="0" applyFont="1" applyAlignment="1">
      <alignment horizontal="center" vertical="center"/>
    </xf>
    <xf numFmtId="0" fontId="9" fillId="0" borderId="0" xfId="0" applyFont="1" applyAlignment="1">
      <alignment horizontal="left" vertical="top" wrapText="1"/>
    </xf>
    <xf numFmtId="0" fontId="1" fillId="4" borderId="0" xfId="0" applyFont="1" applyFill="1" applyAlignment="1">
      <alignment horizontal="center" vertical="center"/>
    </xf>
    <xf numFmtId="170" fontId="67" fillId="11" borderId="24" xfId="0" applyNumberFormat="1" applyFont="1" applyFill="1" applyBorder="1" applyAlignment="1" applyProtection="1">
      <alignment horizontal="center" vertical="center"/>
      <protection hidden="1"/>
    </xf>
    <xf numFmtId="170" fontId="67" fillId="11" borderId="10" xfId="0" applyNumberFormat="1" applyFont="1" applyFill="1" applyBorder="1" applyAlignment="1" applyProtection="1">
      <alignment horizontal="center" vertical="center"/>
      <protection hidden="1"/>
    </xf>
    <xf numFmtId="170" fontId="67" fillId="11" borderId="25" xfId="0" applyNumberFormat="1" applyFont="1" applyFill="1" applyBorder="1" applyAlignment="1" applyProtection="1">
      <alignment horizontal="center" vertical="center"/>
      <protection hidden="1"/>
    </xf>
    <xf numFmtId="170" fontId="71" fillId="26" borderId="21" xfId="0" applyNumberFormat="1" applyFont="1" applyFill="1" applyBorder="1" applyAlignment="1" applyProtection="1">
      <alignment vertical="center"/>
      <protection hidden="1"/>
    </xf>
    <xf numFmtId="170" fontId="71" fillId="26" borderId="22" xfId="0" applyNumberFormat="1" applyFont="1" applyFill="1" applyBorder="1" applyAlignment="1" applyProtection="1">
      <alignment vertical="center"/>
      <protection hidden="1"/>
    </xf>
    <xf numFmtId="170" fontId="71" fillId="26" borderId="24" xfId="0" applyNumberFormat="1" applyFont="1" applyFill="1" applyBorder="1" applyAlignment="1" applyProtection="1">
      <alignment vertical="center"/>
      <protection hidden="1"/>
    </xf>
    <xf numFmtId="170" fontId="71" fillId="26" borderId="10" xfId="0" applyNumberFormat="1" applyFont="1" applyFill="1" applyBorder="1" applyAlignment="1" applyProtection="1">
      <alignment vertical="center"/>
      <protection hidden="1"/>
    </xf>
    <xf numFmtId="170" fontId="73" fillId="26" borderId="130" xfId="0" applyNumberFormat="1" applyFont="1" applyFill="1" applyBorder="1" applyAlignment="1" applyProtection="1">
      <alignment horizontal="center" vertical="center"/>
      <protection hidden="1"/>
    </xf>
    <xf numFmtId="170" fontId="73" fillId="26" borderId="12" xfId="0" applyNumberFormat="1" applyFont="1" applyFill="1" applyBorder="1" applyAlignment="1" applyProtection="1">
      <alignment horizontal="center" vertical="center"/>
      <protection hidden="1"/>
    </xf>
    <xf numFmtId="170" fontId="73" fillId="26" borderId="13" xfId="0" applyNumberFormat="1" applyFont="1" applyFill="1" applyBorder="1" applyAlignment="1" applyProtection="1">
      <alignment horizontal="center" vertical="center"/>
      <protection hidden="1"/>
    </xf>
    <xf numFmtId="170" fontId="73" fillId="26" borderId="4" xfId="0" applyNumberFormat="1" applyFont="1" applyFill="1" applyBorder="1" applyAlignment="1" applyProtection="1">
      <alignment horizontal="center" vertical="center"/>
      <protection hidden="1"/>
    </xf>
    <xf numFmtId="170" fontId="73" fillId="26" borderId="0" xfId="0" applyNumberFormat="1" applyFont="1" applyFill="1" applyAlignment="1" applyProtection="1">
      <alignment horizontal="center" vertical="center"/>
      <protection hidden="1"/>
    </xf>
    <xf numFmtId="170" fontId="73" fillId="26" borderId="131" xfId="0" applyNumberFormat="1" applyFont="1" applyFill="1" applyBorder="1" applyAlignment="1" applyProtection="1">
      <alignment horizontal="center" vertical="center"/>
      <protection hidden="1"/>
    </xf>
    <xf numFmtId="170" fontId="73" fillId="26" borderId="8" xfId="0" applyNumberFormat="1" applyFont="1" applyFill="1" applyBorder="1" applyAlignment="1" applyProtection="1">
      <alignment horizontal="center" vertical="center"/>
      <protection hidden="1"/>
    </xf>
    <xf numFmtId="170" fontId="73" fillId="26" borderId="2" xfId="0" applyNumberFormat="1" applyFont="1" applyFill="1" applyBorder="1" applyAlignment="1" applyProtection="1">
      <alignment horizontal="center" vertical="center"/>
      <protection hidden="1"/>
    </xf>
    <xf numFmtId="170" fontId="73" fillId="26" borderId="132" xfId="0" applyNumberFormat="1" applyFont="1" applyFill="1" applyBorder="1" applyAlignment="1" applyProtection="1">
      <alignment horizontal="center" vertical="center"/>
      <protection hidden="1"/>
    </xf>
    <xf numFmtId="170" fontId="72" fillId="26" borderId="22" xfId="0" applyNumberFormat="1" applyFont="1" applyFill="1" applyBorder="1" applyAlignment="1" applyProtection="1">
      <alignment horizontal="center" vertical="center"/>
      <protection hidden="1"/>
    </xf>
    <xf numFmtId="170" fontId="72" fillId="26" borderId="10" xfId="0" applyNumberFormat="1" applyFont="1" applyFill="1" applyBorder="1" applyAlignment="1" applyProtection="1">
      <alignment horizontal="center" vertical="center"/>
      <protection hidden="1"/>
    </xf>
    <xf numFmtId="0" fontId="80" fillId="26" borderId="24" xfId="0" applyFont="1" applyFill="1" applyBorder="1" applyAlignment="1">
      <alignment horizontal="left" vertical="center"/>
    </xf>
    <xf numFmtId="0" fontId="80" fillId="26" borderId="10" xfId="0" applyFont="1" applyFill="1" applyBorder="1" applyAlignment="1">
      <alignment horizontal="left" vertical="center"/>
    </xf>
    <xf numFmtId="170" fontId="93" fillId="27" borderId="24" xfId="4" applyNumberFormat="1" applyFont="1" applyFill="1" applyBorder="1" applyAlignment="1" applyProtection="1">
      <alignment horizontal="center" vertical="center"/>
      <protection hidden="1"/>
    </xf>
    <xf numFmtId="170" fontId="93" fillId="27" borderId="10" xfId="4" applyNumberFormat="1" applyFont="1" applyFill="1" applyBorder="1" applyAlignment="1" applyProtection="1">
      <alignment horizontal="center" vertical="center"/>
      <protection hidden="1"/>
    </xf>
    <xf numFmtId="170" fontId="97" fillId="27" borderId="10" xfId="4" applyNumberFormat="1" applyFont="1" applyFill="1" applyBorder="1" applyAlignment="1" applyProtection="1">
      <alignment horizontal="center" vertical="center" wrapText="1"/>
      <protection hidden="1"/>
    </xf>
    <xf numFmtId="170" fontId="83" fillId="27" borderId="10" xfId="4" applyNumberFormat="1" applyFont="1" applyFill="1" applyBorder="1" applyAlignment="1" applyProtection="1">
      <alignment horizontal="center" vertical="center" wrapText="1"/>
      <protection hidden="1"/>
    </xf>
    <xf numFmtId="170" fontId="103" fillId="32" borderId="10" xfId="4" applyNumberFormat="1" applyFont="1" applyFill="1" applyBorder="1" applyAlignment="1" applyProtection="1">
      <alignment horizontal="center" vertical="center"/>
      <protection hidden="1"/>
    </xf>
    <xf numFmtId="170" fontId="103" fillId="32" borderId="25" xfId="4" applyNumberFormat="1" applyFont="1" applyFill="1" applyBorder="1" applyAlignment="1" applyProtection="1">
      <alignment horizontal="center" vertical="center"/>
      <protection hidden="1"/>
    </xf>
    <xf numFmtId="0" fontId="98" fillId="11" borderId="133" xfId="0" applyFont="1" applyFill="1" applyBorder="1" applyAlignment="1" applyProtection="1">
      <alignment horizontal="center" vertical="center" wrapText="1"/>
      <protection locked="0"/>
    </xf>
    <xf numFmtId="0" fontId="98" fillId="11" borderId="112" xfId="0" applyFont="1" applyFill="1" applyBorder="1" applyAlignment="1" applyProtection="1">
      <alignment horizontal="center" vertical="center" wrapText="1"/>
      <protection locked="0"/>
    </xf>
    <xf numFmtId="0" fontId="0" fillId="0" borderId="0" xfId="0" applyAlignment="1">
      <alignment horizontal="center" vertical="center"/>
    </xf>
    <xf numFmtId="0" fontId="97" fillId="0" borderId="89" xfId="4" applyFont="1" applyBorder="1" applyAlignment="1" applyProtection="1">
      <alignment horizontal="center" vertical="center"/>
      <protection hidden="1"/>
    </xf>
    <xf numFmtId="0" fontId="97" fillId="0" borderId="0" xfId="4" applyFont="1" applyBorder="1" applyAlignment="1" applyProtection="1">
      <alignment horizontal="center" vertical="center"/>
      <protection hidden="1"/>
    </xf>
    <xf numFmtId="0" fontId="97" fillId="0" borderId="90" xfId="4" applyFont="1" applyBorder="1" applyAlignment="1" applyProtection="1">
      <alignment horizontal="center" vertical="center"/>
      <protection hidden="1"/>
    </xf>
    <xf numFmtId="0" fontId="25" fillId="39" borderId="67"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protection locked="0"/>
    </xf>
    <xf numFmtId="0" fontId="14" fillId="38" borderId="67" xfId="0" applyFont="1" applyFill="1" applyBorder="1" applyAlignment="1" applyProtection="1">
      <alignment horizontal="right" vertical="top" wrapText="1"/>
      <protection locked="0"/>
    </xf>
    <xf numFmtId="0" fontId="112" fillId="11" borderId="74" xfId="0" applyFont="1" applyFill="1" applyBorder="1" applyAlignment="1" applyProtection="1">
      <alignment horizontal="center" vertical="top"/>
      <protection locked="0"/>
    </xf>
    <xf numFmtId="0" fontId="94" fillId="11" borderId="75" xfId="0" applyFont="1" applyFill="1" applyBorder="1" applyAlignment="1" applyProtection="1">
      <alignment horizontal="center" vertical="top"/>
      <protection locked="0"/>
    </xf>
    <xf numFmtId="0" fontId="94" fillId="11" borderId="78" xfId="0" applyFont="1" applyFill="1" applyBorder="1" applyAlignment="1" applyProtection="1">
      <alignment horizontal="center" vertical="top"/>
      <protection locked="0"/>
    </xf>
    <xf numFmtId="0" fontId="87" fillId="11" borderId="67" xfId="0" applyFont="1" applyFill="1" applyBorder="1" applyAlignment="1" applyProtection="1">
      <alignment horizontal="center" vertical="top" wrapText="1"/>
      <protection locked="0"/>
    </xf>
    <xf numFmtId="0" fontId="14" fillId="11" borderId="67" xfId="0" applyFont="1" applyFill="1" applyBorder="1" applyAlignment="1" applyProtection="1">
      <alignment horizontal="right" vertical="top" wrapText="1"/>
      <protection locked="0"/>
    </xf>
    <xf numFmtId="0" fontId="70" fillId="11" borderId="79" xfId="0" applyFont="1" applyFill="1" applyBorder="1" applyAlignment="1" applyProtection="1">
      <alignment horizontal="left" vertical="top" wrapText="1"/>
      <protection locked="0"/>
    </xf>
    <xf numFmtId="0" fontId="70" fillId="11" borderId="78" xfId="0" applyFont="1" applyFill="1" applyBorder="1" applyAlignment="1" applyProtection="1">
      <alignment horizontal="left" vertical="top" wrapText="1"/>
      <protection locked="0"/>
    </xf>
    <xf numFmtId="0" fontId="92" fillId="11" borderId="79" xfId="0" applyFont="1" applyFill="1" applyBorder="1" applyAlignment="1" applyProtection="1">
      <alignment horizontal="left" vertical="top" wrapText="1"/>
      <protection locked="0"/>
    </xf>
    <xf numFmtId="0" fontId="92" fillId="11" borderId="78" xfId="0" applyFont="1" applyFill="1" applyBorder="1" applyAlignment="1" applyProtection="1">
      <alignment horizontal="left" vertical="top" wrapText="1"/>
      <protection locked="0"/>
    </xf>
    <xf numFmtId="0" fontId="90" fillId="11" borderId="128" xfId="0" applyFont="1" applyFill="1" applyBorder="1" applyAlignment="1" applyProtection="1">
      <alignment horizontal="right" vertical="top" wrapText="1"/>
      <protection locked="0"/>
    </xf>
    <xf numFmtId="0" fontId="25" fillId="11" borderId="129" xfId="0" applyFont="1" applyFill="1" applyBorder="1" applyAlignment="1" applyProtection="1">
      <alignment horizontal="right" vertical="top" wrapText="1"/>
      <protection locked="0"/>
    </xf>
    <xf numFmtId="0" fontId="10" fillId="11" borderId="79" xfId="0" applyFont="1" applyFill="1" applyBorder="1" applyAlignment="1">
      <alignment horizontal="right" wrapText="1"/>
    </xf>
    <xf numFmtId="0" fontId="10" fillId="11" borderId="76" xfId="0" applyFont="1" applyFill="1" applyBorder="1" applyAlignment="1">
      <alignment horizontal="right" wrapText="1"/>
    </xf>
    <xf numFmtId="0" fontId="92" fillId="11" borderId="75" xfId="0" applyFont="1" applyFill="1" applyBorder="1" applyAlignment="1" applyProtection="1">
      <alignment horizontal="right" vertical="top" wrapText="1"/>
      <protection locked="0"/>
    </xf>
    <xf numFmtId="0" fontId="92" fillId="11" borderId="75" xfId="0" applyFont="1" applyFill="1" applyBorder="1" applyAlignment="1" applyProtection="1">
      <alignment horizontal="right" vertical="center" wrapText="1"/>
      <protection locked="0"/>
    </xf>
    <xf numFmtId="0" fontId="14" fillId="39" borderId="79" xfId="0" applyFont="1" applyFill="1" applyBorder="1" applyAlignment="1" applyProtection="1">
      <alignment horizontal="right" vertical="top" wrapText="1"/>
      <protection locked="0"/>
    </xf>
    <xf numFmtId="0" fontId="14" fillId="39" borderId="76" xfId="0" applyFont="1" applyFill="1" applyBorder="1" applyAlignment="1" applyProtection="1">
      <alignment horizontal="right" vertical="top" wrapText="1"/>
      <protection locked="0"/>
    </xf>
    <xf numFmtId="0" fontId="66" fillId="11" borderId="29" xfId="4" applyFont="1" applyFill="1" applyBorder="1" applyAlignment="1" applyProtection="1">
      <alignment horizontal="left" vertical="top" wrapText="1"/>
      <protection locked="0"/>
    </xf>
    <xf numFmtId="0" fontId="66" fillId="11" borderId="50" xfId="4" applyFont="1" applyFill="1" applyBorder="1" applyAlignment="1" applyProtection="1">
      <alignment horizontal="left" vertical="top" wrapText="1"/>
      <protection locked="0"/>
    </xf>
    <xf numFmtId="0" fontId="24" fillId="14" borderId="91" xfId="0" applyFont="1" applyFill="1" applyBorder="1" applyAlignment="1" applyProtection="1">
      <alignment horizontal="center" vertical="center"/>
      <protection hidden="1"/>
    </xf>
    <xf numFmtId="0" fontId="24" fillId="14" borderId="12" xfId="0" applyFont="1" applyFill="1" applyBorder="1" applyAlignment="1" applyProtection="1">
      <alignment horizontal="center" vertical="center"/>
      <protection hidden="1"/>
    </xf>
    <xf numFmtId="170" fontId="81" fillId="27" borderId="84" xfId="0" applyNumberFormat="1" applyFont="1" applyFill="1" applyBorder="1" applyAlignment="1" applyProtection="1">
      <alignment horizontal="center" vertical="top"/>
      <protection locked="0" hidden="1"/>
    </xf>
    <xf numFmtId="170" fontId="81" fillId="27" borderId="65" xfId="0" applyNumberFormat="1" applyFont="1" applyFill="1" applyBorder="1" applyAlignment="1" applyProtection="1">
      <alignment horizontal="center" vertical="top"/>
      <protection locked="0" hidden="1"/>
    </xf>
    <xf numFmtId="170" fontId="67" fillId="27" borderId="83" xfId="0" applyNumberFormat="1" applyFont="1" applyFill="1" applyBorder="1" applyAlignment="1" applyProtection="1">
      <alignment horizontal="center" vertical="center"/>
      <protection hidden="1"/>
    </xf>
    <xf numFmtId="170" fontId="67" fillId="27" borderId="64" xfId="0" applyNumberFormat="1" applyFont="1" applyFill="1" applyBorder="1" applyAlignment="1" applyProtection="1">
      <alignment horizontal="center" vertical="center"/>
      <protection hidden="1"/>
    </xf>
    <xf numFmtId="170" fontId="28" fillId="27" borderId="82" xfId="0" applyNumberFormat="1" applyFont="1" applyFill="1" applyBorder="1" applyAlignment="1" applyProtection="1">
      <alignment horizontal="center" vertical="center"/>
      <protection hidden="1"/>
    </xf>
    <xf numFmtId="170" fontId="28" fillId="27" borderId="87" xfId="0" applyNumberFormat="1" applyFont="1" applyFill="1" applyBorder="1" applyAlignment="1" applyProtection="1">
      <alignment horizontal="center" vertical="center"/>
      <protection hidden="1"/>
    </xf>
    <xf numFmtId="170" fontId="28" fillId="27" borderId="83" xfId="0" applyNumberFormat="1" applyFont="1" applyFill="1" applyBorder="1" applyAlignment="1" applyProtection="1">
      <alignment horizontal="left" vertical="top"/>
      <protection hidden="1"/>
    </xf>
    <xf numFmtId="170" fontId="28" fillId="27" borderId="64" xfId="0" applyNumberFormat="1" applyFont="1" applyFill="1" applyBorder="1" applyAlignment="1" applyProtection="1">
      <alignment horizontal="left" vertical="top"/>
      <protection hidden="1"/>
    </xf>
    <xf numFmtId="0" fontId="31" fillId="0" borderId="0" xfId="0" applyFont="1" applyAlignment="1">
      <alignment horizontal="center"/>
    </xf>
    <xf numFmtId="0" fontId="54" fillId="0" borderId="21" xfId="0" applyFont="1" applyBorder="1" applyAlignment="1">
      <alignment horizontal="left" vertical="center" wrapText="1"/>
    </xf>
    <xf numFmtId="0" fontId="54" fillId="0" borderId="24" xfId="0" applyFont="1" applyBorder="1" applyAlignment="1">
      <alignment horizontal="left" vertical="center" wrapText="1"/>
    </xf>
    <xf numFmtId="0" fontId="31" fillId="0" borderId="131" xfId="0" applyFont="1" applyBorder="1" applyAlignment="1">
      <alignment horizontal="center"/>
    </xf>
    <xf numFmtId="0" fontId="13" fillId="14" borderId="55" xfId="0" applyFont="1" applyFill="1" applyBorder="1" applyAlignment="1">
      <alignment horizontal="center" vertical="center" wrapText="1"/>
    </xf>
    <xf numFmtId="0" fontId="13" fillId="14" borderId="56" xfId="0" applyFont="1" applyFill="1" applyBorder="1" applyAlignment="1">
      <alignment horizontal="center" vertical="center" wrapText="1"/>
    </xf>
    <xf numFmtId="0" fontId="13" fillId="14" borderId="57" xfId="0" applyFont="1" applyFill="1" applyBorder="1" applyAlignment="1">
      <alignment horizontal="center" vertical="center" wrapText="1"/>
    </xf>
    <xf numFmtId="0" fontId="25" fillId="14" borderId="54" xfId="0" applyFont="1" applyFill="1" applyBorder="1" applyAlignment="1" applyProtection="1">
      <alignment horizontal="center" vertical="center"/>
      <protection locked="0"/>
    </xf>
    <xf numFmtId="0" fontId="25" fillId="14" borderId="59" xfId="0" applyFont="1" applyFill="1" applyBorder="1" applyAlignment="1" applyProtection="1">
      <alignment horizontal="center" vertical="center"/>
      <protection locked="0"/>
    </xf>
    <xf numFmtId="169" fontId="25" fillId="11" borderId="54" xfId="1" applyNumberFormat="1" applyFont="1" applyFill="1" applyBorder="1" applyAlignment="1" applyProtection="1">
      <alignment horizontal="center"/>
      <protection hidden="1"/>
    </xf>
    <xf numFmtId="169" fontId="25" fillId="11" borderId="59" xfId="1" applyNumberFormat="1" applyFont="1" applyFill="1" applyBorder="1" applyAlignment="1" applyProtection="1">
      <alignment horizontal="center"/>
      <protection hidden="1"/>
    </xf>
    <xf numFmtId="1" fontId="25" fillId="11" borderId="54" xfId="1" applyNumberFormat="1" applyFont="1" applyFill="1" applyBorder="1" applyAlignment="1" applyProtection="1">
      <alignment horizontal="center" vertical="center"/>
      <protection hidden="1"/>
    </xf>
    <xf numFmtId="1" fontId="25" fillId="11" borderId="59" xfId="1" applyNumberFormat="1" applyFont="1" applyFill="1" applyBorder="1" applyAlignment="1" applyProtection="1">
      <alignment horizontal="center" vertical="center"/>
      <protection hidden="1"/>
    </xf>
    <xf numFmtId="166" fontId="25" fillId="11" borderId="54" xfId="0" applyNumberFormat="1" applyFont="1" applyFill="1" applyBorder="1" applyAlignment="1" applyProtection="1">
      <alignment horizontal="center" vertical="center"/>
      <protection hidden="1"/>
    </xf>
    <xf numFmtId="166" fontId="25" fillId="11" borderId="59" xfId="0" applyNumberFormat="1" applyFont="1" applyFill="1" applyBorder="1" applyAlignment="1" applyProtection="1">
      <alignment horizontal="center" vertical="center"/>
      <protection hidden="1"/>
    </xf>
    <xf numFmtId="0" fontId="25" fillId="11" borderId="54" xfId="0" applyFont="1" applyFill="1" applyBorder="1" applyAlignment="1" applyProtection="1">
      <alignment horizontal="center" vertical="center"/>
      <protection hidden="1"/>
    </xf>
    <xf numFmtId="0" fontId="25" fillId="11" borderId="59" xfId="0" applyFont="1" applyFill="1" applyBorder="1" applyAlignment="1" applyProtection="1">
      <alignment horizontal="center" vertical="center"/>
      <protection hidden="1"/>
    </xf>
    <xf numFmtId="49" fontId="25" fillId="11" borderId="54" xfId="1" applyNumberFormat="1" applyFont="1" applyFill="1" applyBorder="1" applyAlignment="1" applyProtection="1">
      <alignment horizontal="center" vertical="center"/>
      <protection locked="0"/>
    </xf>
    <xf numFmtId="49" fontId="25" fillId="11" borderId="59" xfId="1" applyNumberFormat="1" applyFont="1" applyFill="1" applyBorder="1" applyAlignment="1" applyProtection="1">
      <alignment horizontal="center" vertical="center"/>
      <protection locked="0"/>
    </xf>
    <xf numFmtId="49" fontId="13" fillId="11" borderId="54" xfId="1" applyNumberFormat="1" applyFont="1" applyFill="1" applyBorder="1" applyAlignment="1" applyProtection="1">
      <alignment horizontal="center" vertical="center"/>
      <protection locked="0"/>
    </xf>
    <xf numFmtId="49" fontId="13" fillId="11" borderId="59" xfId="1" applyNumberFormat="1" applyFont="1" applyFill="1" applyBorder="1" applyAlignment="1" applyProtection="1">
      <alignment horizontal="center" vertical="center"/>
      <protection locked="0"/>
    </xf>
    <xf numFmtId="170" fontId="58" fillId="14" borderId="15" xfId="0" applyNumberFormat="1" applyFont="1" applyFill="1" applyBorder="1" applyAlignment="1" applyProtection="1">
      <alignment horizontal="right" vertical="center"/>
      <protection hidden="1"/>
    </xf>
    <xf numFmtId="170" fontId="58" fillId="14" borderId="15" xfId="0" applyNumberFormat="1" applyFont="1" applyFill="1" applyBorder="1" applyAlignment="1" applyProtection="1">
      <alignment horizontal="left" vertical="center"/>
      <protection hidden="1"/>
    </xf>
    <xf numFmtId="0" fontId="1" fillId="0" borderId="0" xfId="0" applyFont="1" applyAlignment="1" applyProtection="1">
      <alignment horizontal="center"/>
      <protection hidden="1"/>
    </xf>
    <xf numFmtId="169" fontId="64" fillId="14" borderId="15" xfId="0" applyNumberFormat="1" applyFont="1" applyFill="1" applyBorder="1" applyAlignment="1" applyProtection="1">
      <alignment horizontal="left" vertical="center"/>
      <protection hidden="1"/>
    </xf>
    <xf numFmtId="3" fontId="62" fillId="14" borderId="15" xfId="0" applyNumberFormat="1" applyFont="1" applyFill="1" applyBorder="1" applyAlignment="1" applyProtection="1">
      <alignment horizontal="left" vertical="center"/>
      <protection hidden="1"/>
    </xf>
    <xf numFmtId="1" fontId="62" fillId="14" borderId="15" xfId="0" applyNumberFormat="1" applyFont="1" applyFill="1" applyBorder="1" applyAlignment="1" applyProtection="1">
      <alignment horizontal="left" vertical="center"/>
      <protection hidden="1"/>
    </xf>
    <xf numFmtId="0" fontId="54" fillId="0" borderId="21" xfId="0" applyFont="1" applyBorder="1" applyAlignment="1" applyProtection="1">
      <alignment horizontal="left" vertical="center" wrapText="1"/>
      <protection locked="0"/>
    </xf>
    <xf numFmtId="0" fontId="54" fillId="0" borderId="24" xfId="0" applyFont="1" applyBorder="1" applyAlignment="1" applyProtection="1">
      <alignment horizontal="left" vertical="center"/>
      <protection locked="0"/>
    </xf>
    <xf numFmtId="0" fontId="1" fillId="0" borderId="0" xfId="0" applyFont="1" applyAlignment="1" applyProtection="1">
      <alignment horizontal="center"/>
      <protection locked="0"/>
    </xf>
    <xf numFmtId="170" fontId="60" fillId="14" borderId="12" xfId="0" applyNumberFormat="1" applyFont="1" applyFill="1" applyBorder="1" applyAlignment="1" applyProtection="1">
      <alignment horizontal="center" vertical="center"/>
      <protection hidden="1"/>
    </xf>
    <xf numFmtId="170" fontId="59" fillId="14" borderId="12" xfId="0" applyNumberFormat="1" applyFont="1" applyFill="1" applyBorder="1" applyAlignment="1" applyProtection="1">
      <alignment horizontal="center" vertical="center"/>
      <protection hidden="1"/>
    </xf>
    <xf numFmtId="170" fontId="60" fillId="14" borderId="12" xfId="0" applyNumberFormat="1" applyFont="1" applyFill="1" applyBorder="1" applyAlignment="1" applyProtection="1">
      <alignment horizontal="center" vertical="center"/>
      <protection locked="0" hidden="1"/>
    </xf>
    <xf numFmtId="170" fontId="58" fillId="14" borderId="12" xfId="0" applyNumberFormat="1" applyFont="1" applyFill="1" applyBorder="1" applyAlignment="1" applyProtection="1">
      <alignment horizontal="left"/>
      <protection hidden="1"/>
    </xf>
    <xf numFmtId="10" fontId="58" fillId="14" borderId="12" xfId="0" applyNumberFormat="1" applyFont="1" applyFill="1" applyBorder="1" applyAlignment="1" applyProtection="1">
      <alignment horizontal="left"/>
      <protection hidden="1"/>
    </xf>
    <xf numFmtId="49" fontId="25" fillId="11" borderId="134" xfId="1" applyNumberFormat="1" applyFont="1" applyFill="1" applyBorder="1" applyAlignment="1" applyProtection="1">
      <alignment horizontal="center" vertical="center"/>
      <protection locked="0"/>
    </xf>
    <xf numFmtId="49" fontId="25" fillId="11" borderId="135" xfId="1" applyNumberFormat="1" applyFont="1" applyFill="1" applyBorder="1" applyAlignment="1" applyProtection="1">
      <alignment horizontal="center" vertical="center"/>
      <protection locked="0"/>
    </xf>
    <xf numFmtId="49" fontId="25" fillId="11" borderId="136" xfId="1" applyNumberFormat="1" applyFont="1" applyFill="1" applyBorder="1" applyAlignment="1" applyProtection="1">
      <alignment horizontal="center" vertical="center"/>
      <protection locked="0"/>
    </xf>
    <xf numFmtId="49" fontId="108" fillId="11" borderId="134" xfId="1" applyNumberFormat="1" applyFont="1" applyFill="1" applyBorder="1" applyAlignment="1" applyProtection="1">
      <alignment horizontal="center" vertical="center"/>
      <protection locked="0"/>
    </xf>
    <xf numFmtId="49" fontId="108" fillId="11" borderId="135" xfId="1" applyNumberFormat="1" applyFont="1" applyFill="1" applyBorder="1" applyAlignment="1" applyProtection="1">
      <alignment horizontal="center" vertical="center"/>
      <protection locked="0"/>
    </xf>
    <xf numFmtId="49" fontId="108" fillId="11" borderId="136" xfId="1" applyNumberFormat="1" applyFont="1" applyFill="1" applyBorder="1" applyAlignment="1" applyProtection="1">
      <alignment horizontal="center" vertical="center"/>
      <protection locked="0"/>
    </xf>
    <xf numFmtId="49" fontId="13" fillId="11" borderId="134" xfId="1" applyNumberFormat="1" applyFont="1" applyFill="1" applyBorder="1" applyAlignment="1" applyProtection="1">
      <alignment horizontal="center" vertical="center"/>
      <protection locked="0"/>
    </xf>
    <xf numFmtId="49" fontId="13" fillId="11" borderId="135" xfId="1" applyNumberFormat="1" applyFont="1" applyFill="1" applyBorder="1" applyAlignment="1" applyProtection="1">
      <alignment horizontal="center" vertical="center"/>
      <protection locked="0"/>
    </xf>
    <xf numFmtId="49" fontId="13" fillId="11" borderId="136" xfId="1" applyNumberFormat="1" applyFont="1" applyFill="1" applyBorder="1" applyAlignment="1" applyProtection="1">
      <alignment horizontal="center" vertical="center"/>
      <protection locked="0"/>
    </xf>
    <xf numFmtId="49" fontId="25" fillId="11" borderId="61" xfId="1" applyNumberFormat="1" applyFont="1" applyFill="1" applyBorder="1" applyAlignment="1" applyProtection="1">
      <alignment horizontal="center" vertical="center"/>
      <protection locked="0"/>
    </xf>
    <xf numFmtId="49" fontId="25" fillId="11" borderId="62" xfId="1" applyNumberFormat="1" applyFont="1" applyFill="1" applyBorder="1" applyAlignment="1" applyProtection="1">
      <alignment horizontal="center" vertical="center"/>
      <protection locked="0"/>
    </xf>
  </cellXfs>
  <cellStyles count="7">
    <cellStyle name="Currency" xfId="1" builtinId="4"/>
    <cellStyle name="Heading 1" xfId="3" builtinId="16"/>
    <cellStyle name="Hyperlink" xfId="4" builtinId="8"/>
    <cellStyle name="Normal" xfId="0" builtinId="0"/>
    <cellStyle name="Normal 2" xfId="6" xr:uid="{00000000-0005-0000-0000-000004000000}"/>
    <cellStyle name="Normal 4" xfId="5" xr:uid="{00000000-0005-0000-0000-000005000000}"/>
    <cellStyle name="Percent" xfId="2" builtinId="5"/>
  </cellStyles>
  <dxfs count="26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C000"/>
        </patternFill>
      </fill>
    </dxf>
    <dxf>
      <fill>
        <patternFill>
          <bgColor theme="3" tint="0.79998168889431442"/>
        </patternFill>
      </fill>
    </dxf>
    <dxf>
      <fill>
        <patternFill>
          <bgColor rgb="FFFF7C80"/>
        </patternFill>
      </fill>
    </dxf>
    <dxf>
      <fill>
        <patternFill>
          <bgColor rgb="FFCCC0DA"/>
        </patternFill>
      </fill>
    </dxf>
    <dxf>
      <fill>
        <patternFill>
          <bgColor rgb="FFFFFF00"/>
        </patternFill>
      </fill>
    </dxf>
    <dxf>
      <fill>
        <patternFill>
          <bgColor rgb="FFFFC000"/>
        </patternFill>
      </fill>
    </dxf>
    <dxf>
      <fill>
        <patternFill>
          <bgColor rgb="FFFFFF00"/>
        </patternFill>
      </fill>
    </dxf>
    <dxf>
      <fill>
        <patternFill>
          <bgColor rgb="FFCCC0DA"/>
        </patternFill>
      </fill>
    </dxf>
    <dxf>
      <fill>
        <patternFill>
          <bgColor theme="3" tint="0.79998168889431442"/>
        </patternFill>
      </fill>
    </dxf>
    <dxf>
      <fill>
        <patternFill>
          <bgColor rgb="FFFF7C8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ont>
        <color theme="0"/>
      </font>
      <fill>
        <patternFill>
          <bgColor theme="0"/>
        </patternFill>
      </fill>
    </dxf>
    <dxf>
      <fill>
        <patternFill>
          <bgColor rgb="FFFF7C8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CCC0DA"/>
        </patternFill>
      </fill>
    </dxf>
    <dxf>
      <fill>
        <patternFill>
          <bgColor rgb="FFFF7C80"/>
        </patternFill>
      </fill>
    </dxf>
    <dxf>
      <fill>
        <patternFill>
          <bgColor theme="3" tint="0.79998168889431442"/>
        </patternFill>
      </fill>
    </dxf>
    <dxf>
      <fill>
        <patternFill>
          <bgColor rgb="FFFFC000"/>
        </patternFill>
      </fill>
    </dxf>
    <dxf>
      <fill>
        <patternFill>
          <bgColor rgb="FFFFFF00"/>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ont>
        <color theme="0"/>
      </font>
      <fill>
        <patternFill>
          <bgColor theme="0"/>
        </patternFill>
      </fill>
    </dxf>
    <dxf>
      <fill>
        <patternFill>
          <bgColor rgb="FFFFC000"/>
        </patternFill>
      </fill>
    </dxf>
    <dxf>
      <fill>
        <patternFill>
          <bgColor rgb="FFFF7C8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FF7C80"/>
        </patternFill>
      </fill>
    </dxf>
    <dxf>
      <fill>
        <patternFill>
          <bgColor rgb="FFFFFF00"/>
        </patternFill>
      </fill>
    </dxf>
    <dxf>
      <fill>
        <patternFill>
          <bgColor theme="3" tint="0.79998168889431442"/>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rgb="FFFFC000"/>
        </patternFill>
      </fill>
    </dxf>
    <dxf>
      <fill>
        <patternFill>
          <bgColor rgb="FFFFFF00"/>
        </patternFill>
      </fill>
    </dxf>
    <dxf>
      <fill>
        <patternFill>
          <bgColor rgb="FFCCC0DA"/>
        </patternFill>
      </fill>
    </dxf>
    <dxf>
      <fill>
        <patternFill>
          <bgColor theme="3" tint="0.79998168889431442"/>
        </patternFill>
      </fill>
    </dxf>
    <dxf>
      <fill>
        <patternFill>
          <bgColor rgb="FFFF7C8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ont>
        <color auto="1"/>
      </font>
      <fill>
        <patternFill>
          <bgColor theme="0"/>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theme="3" tint="0.79998168889431442"/>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CCC0DA"/>
        </patternFill>
      </fill>
    </dxf>
    <dxf>
      <fill>
        <patternFill>
          <bgColor rgb="FFFF7C80"/>
        </patternFill>
      </fill>
    </dxf>
    <dxf>
      <fill>
        <patternFill>
          <bgColor rgb="FFFFFF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ont>
        <color auto="1"/>
      </font>
      <fill>
        <patternFill>
          <bgColor theme="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7C8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FF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theme="3" tint="0.79998168889431442"/>
        </patternFill>
      </fill>
    </dxf>
    <dxf>
      <fill>
        <patternFill>
          <bgColor rgb="FFFF7C80"/>
        </patternFill>
      </fill>
    </dxf>
    <dxf>
      <fill>
        <patternFill>
          <bgColor rgb="FFCCC0DA"/>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FF7C80"/>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rgb="FFFFFF00"/>
        </patternFill>
      </fill>
    </dxf>
    <dxf>
      <fill>
        <patternFill>
          <bgColor rgb="FFFF7C80"/>
        </patternFill>
      </fill>
    </dxf>
    <dxf>
      <fill>
        <patternFill>
          <bgColor theme="3" tint="0.79998168889431442"/>
        </patternFill>
      </fill>
    </dxf>
    <dxf>
      <fill>
        <patternFill>
          <bgColor rgb="FFCCC0DA"/>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7C80"/>
        </patternFill>
      </fill>
    </dxf>
    <dxf>
      <fill>
        <patternFill>
          <bgColor rgb="FFFFC000"/>
        </patternFill>
      </fill>
    </dxf>
    <dxf>
      <fill>
        <patternFill>
          <bgColor rgb="FFCCC0DA"/>
        </patternFill>
      </fill>
    </dxf>
    <dxf>
      <fill>
        <patternFill>
          <bgColor theme="3" tint="0.79998168889431442"/>
        </patternFill>
      </fill>
    </dxf>
    <dxf>
      <fill>
        <patternFill>
          <bgColor rgb="FFFFFF00"/>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7C80"/>
        </patternFill>
      </fill>
    </dxf>
    <dxf>
      <fill>
        <patternFill>
          <bgColor theme="3" tint="0.79998168889431442"/>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ont>
        <color auto="1"/>
      </font>
      <fill>
        <patternFill>
          <bgColor theme="7" tint="0.39994506668294322"/>
        </patternFill>
      </fill>
    </dxf>
  </dxfs>
  <tableStyles count="0" defaultTableStyle="TableStyleMedium2" defaultPivotStyle="PivotStyleLight16"/>
  <colors>
    <mruColors>
      <color rgb="FFCC99FF"/>
      <color rgb="FF0066FF"/>
      <color rgb="FFFFAFAF"/>
      <color rgb="FFFF66FF"/>
      <color rgb="FFF3B7AF"/>
      <color rgb="FF7354D8"/>
      <color rgb="FF89F7FF"/>
      <color rgb="FFFFCDCD"/>
      <color rgb="FFFAE1DE"/>
      <color rgb="FF00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fmlaLink="$A$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ustomXml" Target="../ink/ink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40822</xdr:colOff>
      <xdr:row>2</xdr:row>
      <xdr:rowOff>163286</xdr:rowOff>
    </xdr:from>
    <xdr:to>
      <xdr:col>3</xdr:col>
      <xdr:colOff>585107</xdr:colOff>
      <xdr:row>5</xdr:row>
      <xdr:rowOff>183444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2264" b="207"/>
        <a:stretch/>
      </xdr:blipFill>
      <xdr:spPr>
        <a:xfrm>
          <a:off x="2013858" y="544286"/>
          <a:ext cx="544285" cy="571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0</xdr:col>
          <xdr:colOff>419100</xdr:colOff>
          <xdr:row>3</xdr:row>
          <xdr:rowOff>33338</xdr:rowOff>
        </xdr:from>
        <xdr:to>
          <xdr:col>1</xdr:col>
          <xdr:colOff>590550</xdr:colOff>
          <xdr:row>4</xdr:row>
          <xdr:rowOff>52388</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00B8B4"/>
            </a:solidFill>
            <a:ln w="9525">
              <a:solidFill>
                <a:srgbClr val="00B8B4"/>
              </a:solidFill>
              <a:miter lim="800000"/>
              <a:headEnd/>
              <a:tailEnd/>
            </a:ln>
          </xdr:spPr>
          <xdr:txBody>
            <a:bodyPr vertOverflow="clip" wrap="square" lIns="36576" tIns="27432" rIns="0" bIns="27432" anchor="ctr" upright="1"/>
            <a:lstStyle/>
            <a:p>
              <a:pPr algn="l" rtl="0">
                <a:defRPr sz="1000"/>
              </a:pPr>
              <a:r>
                <a:rPr lang="en-CA" sz="800" b="0" i="0" u="none" strike="noStrike" baseline="0">
                  <a:solidFill>
                    <a:srgbClr val="000000"/>
                  </a:solidFill>
                  <a:latin typeface="Tahoma"/>
                  <a:ea typeface="Tahoma"/>
                  <a:cs typeface="Tahoma"/>
                </a:rPr>
                <a:t>Français</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25</xdr:col>
      <xdr:colOff>602561</xdr:colOff>
      <xdr:row>1</xdr:row>
      <xdr:rowOff>118823</xdr:rowOff>
    </xdr:from>
    <xdr:to>
      <xdr:col>26</xdr:col>
      <xdr:colOff>581122</xdr:colOff>
      <xdr:row>2</xdr:row>
      <xdr:rowOff>306916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0715"/>
        <a:stretch/>
      </xdr:blipFill>
      <xdr:spPr>
        <a:xfrm>
          <a:off x="17927478" y="298740"/>
          <a:ext cx="592394" cy="505593"/>
        </a:xfrm>
        <a:prstGeom prst="rect">
          <a:avLst/>
        </a:prstGeom>
      </xdr:spPr>
    </xdr:pic>
    <xdr:clientData/>
  </xdr:twoCellAnchor>
  <xdr:twoCellAnchor editAs="oneCell">
    <xdr:from>
      <xdr:col>11</xdr:col>
      <xdr:colOff>99714</xdr:colOff>
      <xdr:row>27</xdr:row>
      <xdr:rowOff>26840</xdr:rowOff>
    </xdr:from>
    <xdr:to>
      <xdr:col>11</xdr:col>
      <xdr:colOff>100074</xdr:colOff>
      <xdr:row>27</xdr:row>
      <xdr:rowOff>27200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5" name="Ink 4">
              <a:extLst>
                <a:ext uri="{FF2B5EF4-FFF2-40B4-BE49-F238E27FC236}">
                  <a16:creationId xmlns:a16="http://schemas.microsoft.com/office/drawing/2014/main" id="{00000000-0008-0000-0600-000005000000}"/>
                </a:ext>
              </a:extLst>
            </xdr14:cNvPr>
            <xdr14:cNvContentPartPr/>
          </xdr14:nvContentPartPr>
          <xdr14:nvPr macro=""/>
          <xdr14:xfrm>
            <a:off x="6867000" y="5605769"/>
            <a:ext cx="360" cy="360"/>
          </xdr14:xfrm>
        </xdr:contentPart>
      </mc:Choice>
      <mc:Fallback xmlns="">
        <xdr:pic>
          <xdr:nvPicPr>
            <xdr:cNvPr id="5" name="Ink 4">
              <a:extLst>
                <a:ext uri="{FF2B5EF4-FFF2-40B4-BE49-F238E27FC236}">
                  <a16:creationId xmlns:a16="http://schemas.microsoft.com/office/drawing/2014/main" id="{A179B6EF-5DD4-4B49-0613-8AC35FBB993E}"/>
                </a:ext>
              </a:extLst>
            </xdr:cNvPr>
            <xdr:cNvPicPr/>
          </xdr:nvPicPr>
          <xdr:blipFill>
            <a:blip xmlns:r="http://schemas.openxmlformats.org/officeDocument/2006/relationships" r:embed="rId3"/>
            <a:stretch>
              <a:fillRect/>
            </a:stretch>
          </xdr:blipFill>
          <xdr:spPr>
            <a:xfrm>
              <a:off x="6858360" y="5596769"/>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18T18:38:24.382"/>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tmcd.com/sites/canada/people/SitePage/841911/covid-19" TargetMode="External"/><Relationship Id="rId2" Type="http://schemas.openxmlformats.org/officeDocument/2006/relationships/hyperlink" Target="https://www.atmcd.com/sites/canada/technology/SitePage/687013/for-restaurants" TargetMode="External"/><Relationship Id="rId1" Type="http://schemas.openxmlformats.org/officeDocument/2006/relationships/hyperlink" Target="https://www.atmcd.com/sites/canada/the-3ds/SitePage/1940118/deals" TargetMode="External"/><Relationship Id="rId6" Type="http://schemas.openxmlformats.org/officeDocument/2006/relationships/printerSettings" Target="../printerSettings/printerSettings4.bin"/><Relationship Id="rId5" Type="http://schemas.openxmlformats.org/officeDocument/2006/relationships/hyperlink" Target="https://www.atmcd.com/sites/canada/technology/SitePage/687013/for-restaurants" TargetMode="External"/><Relationship Id="rId4" Type="http://schemas.openxmlformats.org/officeDocument/2006/relationships/hyperlink" Target="https://spo.mcd.com/sites/atmcd_ca/In%20the%20Restaurant/English/Operations/NABIT/Manager's%20Guides/3%20Month%20at/3%20Months%20at%20a%20Glanc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ccessmcd.com/content/accessmcd/na/mcweb/en/restaurant/restinfo/Digital/Mobile_App_Offers.html" TargetMode="External"/><Relationship Id="rId3" Type="http://schemas.openxmlformats.org/officeDocument/2006/relationships/hyperlink" Target="https://www.atmcd.com/sites/canada/operations/SitePage/649833/hotlinks" TargetMode="External"/><Relationship Id="rId7" Type="http://schemas.openxmlformats.org/officeDocument/2006/relationships/hyperlink" Target="https://www.atmcd.com/sites/canada/technology/SitePage/687021/mobile-offers" TargetMode="External"/><Relationship Id="rId2" Type="http://schemas.openxmlformats.org/officeDocument/2006/relationships/hyperlink" Target="https://www.atmcd.com/sites/canada/operations/SitePage/649833/hotlinks" TargetMode="External"/><Relationship Id="rId1" Type="http://schemas.openxmlformats.org/officeDocument/2006/relationships/hyperlink" Target="https://www.atmcd.com/sites/canada/operations/SitePage/649833/hotlinks" TargetMode="External"/><Relationship Id="rId6" Type="http://schemas.openxmlformats.org/officeDocument/2006/relationships/hyperlink" Target="https://www.atmcd.com/sites/canada/technology/SitePage/687021/mobile-offers" TargetMode="External"/><Relationship Id="rId11" Type="http://schemas.openxmlformats.org/officeDocument/2006/relationships/printerSettings" Target="../printerSettings/printerSettings5.bin"/><Relationship Id="rId5" Type="http://schemas.openxmlformats.org/officeDocument/2006/relationships/hyperlink" Target="https://www.atmcd.com/sites/canada/operations/SitePage/649833/hotlinks" TargetMode="External"/><Relationship Id="rId10" Type="http://schemas.openxmlformats.org/officeDocument/2006/relationships/hyperlink" Target="https://statics.teams.cdn.office.net/evergreen-assets/safelinks/1/atp-safelinks.html" TargetMode="External"/><Relationship Id="rId4" Type="http://schemas.openxmlformats.org/officeDocument/2006/relationships/hyperlink" Target="https://www.atmcd.com/sites/canada/operations/SitePage/649833/hotlinks" TargetMode="External"/><Relationship Id="rId9" Type="http://schemas.openxmlformats.org/officeDocument/2006/relationships/hyperlink" Target="https://www.atmcd.com/sites/canada/operations/SitePage/649833/hotlink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49"/>
  <sheetViews>
    <sheetView showGridLines="0" showRowColHeaders="0" zoomScale="70" zoomScaleNormal="70" workbookViewId="0">
      <selection activeCell="A2" sqref="A2"/>
    </sheetView>
  </sheetViews>
  <sheetFormatPr defaultRowHeight="14.25"/>
  <cols>
    <col min="1" max="1" width="11.19921875" customWidth="1"/>
  </cols>
  <sheetData>
    <row r="1" spans="1:28" ht="2.25" customHeight="1">
      <c r="A1" s="59" t="b">
        <v>0</v>
      </c>
      <c r="B1" s="60"/>
      <c r="C1" s="60"/>
    </row>
    <row r="2" spans="1:28" ht="12" customHeight="1">
      <c r="A2" s="60"/>
      <c r="B2" s="60"/>
      <c r="C2" s="60"/>
    </row>
    <row r="3" spans="1:28">
      <c r="A3" s="60"/>
      <c r="B3" s="60"/>
      <c r="C3" s="60"/>
    </row>
    <row r="4" spans="1:28" ht="14.55" customHeight="1">
      <c r="A4" s="681"/>
      <c r="B4" s="681"/>
      <c r="C4" s="681"/>
      <c r="D4" s="61"/>
      <c r="E4" s="678" t="str">
        <f>IF($A$1,"ÉTAPES POUR ÉTABLIR L’HORAIRE DE L'ÉQUIPE DE GESTION","STEPS FOR COMPLETING THE MANAGER’S SCHEDULE")</f>
        <v>STEPS FOR COMPLETING THE MANAGER’S SCHEDULE</v>
      </c>
      <c r="F4" s="678"/>
      <c r="G4" s="678"/>
      <c r="H4" s="678"/>
      <c r="I4" s="678"/>
      <c r="J4" s="678"/>
      <c r="K4" s="678"/>
      <c r="L4" s="678"/>
      <c r="M4" s="678"/>
      <c r="N4" s="678"/>
      <c r="O4" s="678"/>
      <c r="P4" s="678"/>
      <c r="Q4" s="678"/>
      <c r="R4" s="678"/>
      <c r="S4" s="678"/>
      <c r="T4" s="678"/>
      <c r="U4" s="678"/>
      <c r="V4" s="678"/>
      <c r="W4" s="678"/>
      <c r="X4" s="678"/>
      <c r="Y4" s="678"/>
      <c r="Z4" s="678"/>
      <c r="AA4" s="678"/>
      <c r="AB4" s="5"/>
    </row>
    <row r="5" spans="1:28" ht="14.55" customHeight="1">
      <c r="A5" s="62"/>
      <c r="B5" s="62"/>
      <c r="C5" s="62"/>
      <c r="D5" s="61"/>
      <c r="E5" s="678"/>
      <c r="F5" s="678"/>
      <c r="G5" s="678"/>
      <c r="H5" s="678"/>
      <c r="I5" s="678"/>
      <c r="J5" s="678"/>
      <c r="K5" s="678"/>
      <c r="L5" s="678"/>
      <c r="M5" s="678"/>
      <c r="N5" s="678"/>
      <c r="O5" s="678"/>
      <c r="P5" s="678"/>
      <c r="Q5" s="678"/>
      <c r="R5" s="678"/>
      <c r="S5" s="678"/>
      <c r="T5" s="678"/>
      <c r="U5" s="678"/>
      <c r="V5" s="678"/>
      <c r="W5" s="678"/>
      <c r="X5" s="678"/>
      <c r="Y5" s="678"/>
      <c r="Z5" s="678"/>
      <c r="AA5" s="678"/>
      <c r="AB5" s="5"/>
    </row>
    <row r="6" spans="1:28" ht="15.7" customHeight="1">
      <c r="A6" s="62"/>
      <c r="B6" s="62"/>
      <c r="C6" s="62"/>
      <c r="D6" s="61"/>
      <c r="E6" s="678"/>
      <c r="F6" s="678"/>
      <c r="G6" s="678"/>
      <c r="H6" s="678"/>
      <c r="I6" s="678"/>
      <c r="J6" s="678"/>
      <c r="K6" s="678"/>
      <c r="L6" s="678"/>
      <c r="M6" s="678"/>
      <c r="N6" s="678"/>
      <c r="O6" s="678"/>
      <c r="P6" s="678"/>
      <c r="Q6" s="678"/>
      <c r="R6" s="678"/>
      <c r="S6" s="678"/>
      <c r="T6" s="678"/>
      <c r="U6" s="678"/>
      <c r="V6" s="678"/>
      <c r="W6" s="678"/>
      <c r="X6" s="678"/>
      <c r="Y6" s="678"/>
      <c r="Z6" s="678"/>
      <c r="AA6" s="678"/>
      <c r="AB6" s="5"/>
    </row>
    <row r="7" spans="1:28" ht="55.5" customHeight="1">
      <c r="A7" s="679" t="str">
        <f>IF($A$1," UnCheck box for English","Cochez la case pour le français")</f>
        <v>Cochez la case pour le français</v>
      </c>
      <c r="B7" s="680"/>
      <c r="C7" s="680"/>
      <c r="D7" s="61"/>
      <c r="E7" s="61"/>
      <c r="F7" s="61"/>
      <c r="G7" s="61"/>
      <c r="H7" s="61"/>
      <c r="I7" s="61"/>
      <c r="J7" s="61"/>
      <c r="K7" s="61"/>
      <c r="L7" s="61"/>
      <c r="M7" s="61"/>
      <c r="N7" s="61"/>
      <c r="O7" s="61"/>
      <c r="P7" s="61"/>
      <c r="Q7" s="61"/>
      <c r="R7" s="61"/>
      <c r="S7" s="61"/>
      <c r="T7" s="61"/>
      <c r="U7" s="61"/>
      <c r="V7" s="61"/>
      <c r="W7" s="61"/>
      <c r="X7" s="61"/>
      <c r="Y7" s="61"/>
      <c r="Z7" s="61"/>
      <c r="AA7" s="61"/>
      <c r="AB7" s="5"/>
    </row>
    <row r="8" spans="1:28" ht="31.05" customHeight="1">
      <c r="A8" s="672" t="str">
        <f>IF($A$1,"Avant de commencer l’horaire","Prior to Starting Schedule")</f>
        <v>Prior to Starting Schedule</v>
      </c>
      <c r="B8" s="672"/>
      <c r="C8" s="672"/>
      <c r="D8" s="672"/>
      <c r="E8" s="672"/>
      <c r="F8" s="672"/>
      <c r="G8" s="672"/>
      <c r="H8" s="672"/>
      <c r="I8" s="672"/>
      <c r="J8" s="672"/>
      <c r="K8" s="672"/>
      <c r="L8" s="672"/>
      <c r="M8" s="672"/>
      <c r="N8" s="672"/>
      <c r="O8" s="672"/>
      <c r="P8" s="672"/>
      <c r="Q8" s="672"/>
      <c r="R8" s="672"/>
      <c r="S8" s="672"/>
      <c r="T8" s="672"/>
      <c r="U8" s="672"/>
      <c r="V8" s="672"/>
      <c r="W8" s="672"/>
      <c r="X8" s="672"/>
      <c r="Y8" s="672"/>
      <c r="Z8" s="672"/>
      <c r="AA8" s="672"/>
      <c r="AB8" s="5"/>
    </row>
    <row r="9" spans="1:28" ht="31.05" customHeight="1">
      <c r="A9" s="63">
        <v>1</v>
      </c>
      <c r="B9" s="673" t="str">
        <f>IF($A$1,"Fournissez à vos gérants la « formule de demande de calendrier », qu’ils devront remplir et remettre au plus tard le 15 de chaque mois.","Provide you managers with the 'Planner Request Form' to be completed, by the 15 of the month.")</f>
        <v>Provide you managers with the 'Planner Request Form' to be completed, by the 15 of the month.</v>
      </c>
      <c r="C9" s="673"/>
      <c r="D9" s="673"/>
      <c r="E9" s="673"/>
      <c r="F9" s="673"/>
      <c r="G9" s="673"/>
      <c r="H9" s="673"/>
      <c r="I9" s="673"/>
      <c r="J9" s="673"/>
      <c r="K9" s="673"/>
      <c r="L9" s="673"/>
      <c r="M9" s="673"/>
      <c r="N9" s="673"/>
      <c r="O9" s="673"/>
      <c r="P9" s="673"/>
      <c r="Q9" s="673"/>
      <c r="R9" s="673"/>
      <c r="S9" s="673"/>
      <c r="T9" s="673"/>
      <c r="U9" s="673"/>
      <c r="V9" s="673"/>
      <c r="W9" s="673"/>
      <c r="X9" s="673"/>
      <c r="Y9" s="673"/>
      <c r="Z9" s="673"/>
      <c r="AA9" s="673"/>
      <c r="AB9" s="5"/>
    </row>
    <row r="10" spans="1:28" ht="31.05" customHeight="1">
      <c r="A10" s="674" t="str">
        <f>IF($A$1,"ONGLETS DES PRÉVISIONS- Entrez les données dans les cases surlignées en jaune.","Enter Projections - TAB"
)</f>
        <v>Enter Projections - TAB</v>
      </c>
      <c r="B10" s="674"/>
      <c r="C10" s="674"/>
      <c r="D10" s="674"/>
      <c r="E10" s="674"/>
      <c r="F10" s="674"/>
      <c r="G10" s="674"/>
      <c r="H10" s="674"/>
      <c r="I10" s="674"/>
      <c r="J10" s="674"/>
      <c r="K10" s="674"/>
      <c r="L10" s="674"/>
      <c r="M10" s="674"/>
      <c r="N10" s="674"/>
      <c r="O10" s="674"/>
      <c r="P10" s="674"/>
      <c r="Q10" s="674"/>
      <c r="R10" s="674"/>
      <c r="S10" s="674"/>
      <c r="T10" s="674"/>
      <c r="U10" s="674"/>
      <c r="V10" s="674"/>
      <c r="W10" s="674"/>
      <c r="X10" s="674"/>
      <c r="Y10" s="674"/>
      <c r="Z10" s="674"/>
      <c r="AA10" s="674"/>
      <c r="AB10" s="5"/>
    </row>
    <row r="11" spans="1:28" ht="31.05" customHeight="1">
      <c r="A11" s="669">
        <v>2</v>
      </c>
      <c r="B11" s="675" t="str">
        <f>IF($A$1,"Entrez :","Enter:")</f>
        <v>Enter:</v>
      </c>
      <c r="C11" s="675"/>
      <c r="D11" s="675"/>
      <c r="E11" s="675"/>
      <c r="F11" s="675"/>
      <c r="G11" s="675"/>
      <c r="H11" s="675"/>
      <c r="I11" s="675"/>
      <c r="J11" s="675"/>
      <c r="K11" s="675"/>
      <c r="L11" s="675"/>
      <c r="M11" s="675"/>
      <c r="N11" s="675"/>
      <c r="O11" s="675"/>
      <c r="P11" s="675"/>
      <c r="Q11" s="675"/>
      <c r="R11" s="675"/>
      <c r="S11" s="675"/>
      <c r="T11" s="675"/>
      <c r="U11" s="675"/>
      <c r="V11" s="675"/>
      <c r="W11" s="675"/>
      <c r="X11" s="675"/>
      <c r="Y11" s="675"/>
      <c r="Z11" s="675"/>
      <c r="AA11" s="675"/>
      <c r="AB11" s="5"/>
    </row>
    <row r="12" spans="1:28" ht="62.2" customHeight="1">
      <c r="A12" s="669"/>
      <c r="B12" s="676" t="str">
        <f>IF($A$1,"1) Tendances des ventes et du nombre de clients actuelles en %
2) Ventes et nombre de clients de l'année précédente tirés de Clearview","
1. Current Trending % for Sales and Guest Counts.
2. Previous Year Sales and Guest Counts from Clearview.")</f>
        <v xml:space="preserve">
1. Current Trending % for Sales and Guest Counts.
2. Previous Year Sales and Guest Counts from Clearview.</v>
      </c>
      <c r="C12" s="676"/>
      <c r="D12" s="676"/>
      <c r="E12" s="676"/>
      <c r="F12" s="676"/>
      <c r="G12" s="676"/>
      <c r="H12" s="676"/>
      <c r="I12" s="676"/>
      <c r="J12" s="676"/>
      <c r="K12" s="676"/>
      <c r="L12" s="676"/>
      <c r="M12" s="676"/>
      <c r="N12" s="676"/>
      <c r="O12" s="676"/>
      <c r="P12" s="676"/>
      <c r="Q12" s="676"/>
      <c r="R12" s="676"/>
      <c r="S12" s="676"/>
      <c r="T12" s="676"/>
      <c r="U12" s="676"/>
      <c r="V12" s="676"/>
      <c r="W12" s="676"/>
      <c r="X12" s="676"/>
      <c r="Y12" s="676"/>
      <c r="Z12" s="676"/>
      <c r="AA12" s="676"/>
      <c r="AB12" s="5"/>
    </row>
    <row r="13" spans="1:28" ht="31.05" customHeight="1">
      <c r="A13" s="669"/>
      <c r="B13" s="677" t="str">
        <f>IF($A$1,"Les ventes et le nombre de clients prévus se calculent automatiquement pour vous.","Projected Sales and Guest counts are automatically calculated for you.")</f>
        <v>Projected Sales and Guest counts are automatically calculated for you.</v>
      </c>
      <c r="C13" s="677"/>
      <c r="D13" s="677"/>
      <c r="E13" s="677"/>
      <c r="F13" s="677"/>
      <c r="G13" s="677"/>
      <c r="H13" s="677"/>
      <c r="I13" s="677"/>
      <c r="J13" s="677"/>
      <c r="K13" s="677"/>
      <c r="L13" s="677"/>
      <c r="M13" s="677"/>
      <c r="N13" s="677"/>
      <c r="O13" s="677"/>
      <c r="P13" s="677"/>
      <c r="Q13" s="677"/>
      <c r="R13" s="677"/>
      <c r="S13" s="677"/>
      <c r="T13" s="677"/>
      <c r="U13" s="677"/>
      <c r="V13" s="677"/>
      <c r="W13" s="677"/>
      <c r="X13" s="677"/>
      <c r="Y13" s="677"/>
      <c r="Z13" s="677"/>
      <c r="AA13" s="677"/>
      <c r="AB13" s="5"/>
    </row>
    <row r="14" spans="1:28" ht="49.05" customHeight="1">
      <c r="A14" s="669"/>
      <c r="B14" s="665" t="str">
        <f>IF($A$1,"3) Données sur les cibles (ventes prévues à l'état des résultats/salaire moyen (sans les jours fériés en $/vacances en $/TPÉH ciblées/vacances et cours payés (heures))/main-d'œuvre prévue à l'état des résultats en %)","3. Targets information (P&amp;L Planned Sales / Av. Wage (W/O Stat Hol. $ / Stat. Holiday Dollars / Targeted TPCH / Salary Holidays and Classes (Hours) / P&amp;L Planned Labour %.")</f>
        <v>3. Targets information (P&amp;L Planned Sales / Av. Wage (W/O Stat Hol. $ / Stat. Holiday Dollars / Targeted TPCH / Salary Holidays and Classes (Hours) / P&amp;L Planned Labour %.</v>
      </c>
      <c r="C14" s="665"/>
      <c r="D14" s="665"/>
      <c r="E14" s="665"/>
      <c r="F14" s="665"/>
      <c r="G14" s="665"/>
      <c r="H14" s="665"/>
      <c r="I14" s="665"/>
      <c r="J14" s="665"/>
      <c r="K14" s="665"/>
      <c r="L14" s="665"/>
      <c r="M14" s="665"/>
      <c r="N14" s="665"/>
      <c r="O14" s="665"/>
      <c r="P14" s="665"/>
      <c r="Q14" s="665"/>
      <c r="R14" s="665"/>
      <c r="S14" s="665"/>
      <c r="T14" s="665"/>
      <c r="U14" s="665"/>
      <c r="V14" s="665"/>
      <c r="W14" s="665"/>
      <c r="X14" s="665"/>
      <c r="Y14" s="665"/>
      <c r="Z14" s="665"/>
      <c r="AA14" s="665"/>
      <c r="AB14" s="5"/>
    </row>
    <row r="15" spans="1:28" ht="44.2" customHeight="1">
      <c r="A15" s="669"/>
      <c r="B15" s="677" t="str">
        <f>IF($A$1,"Les valeurs calculées s'entrent automatiquement dans l’Agenda de planification et l'horaire de l'équipe de gestion.","The calculated values will automatically populate to the 'Planner' and 'Management Schedule'.")</f>
        <v>The calculated values will automatically populate to the 'Planner' and 'Management Schedule'.</v>
      </c>
      <c r="C15" s="677"/>
      <c r="D15" s="677"/>
      <c r="E15" s="677"/>
      <c r="F15" s="677"/>
      <c r="G15" s="677"/>
      <c r="H15" s="677"/>
      <c r="I15" s="677"/>
      <c r="J15" s="677"/>
      <c r="K15" s="677"/>
      <c r="L15" s="677"/>
      <c r="M15" s="677"/>
      <c r="N15" s="677"/>
      <c r="O15" s="677"/>
      <c r="P15" s="677"/>
      <c r="Q15" s="677"/>
      <c r="R15" s="677"/>
      <c r="S15" s="677"/>
      <c r="T15" s="677"/>
      <c r="U15" s="677"/>
      <c r="V15" s="677"/>
      <c r="W15" s="677"/>
      <c r="X15" s="677"/>
      <c r="Y15" s="677"/>
      <c r="Z15" s="677"/>
      <c r="AA15" s="677"/>
      <c r="AB15" s="5"/>
    </row>
    <row r="16" spans="1:28" ht="31.05" customHeight="1">
      <c r="A16" s="666" t="str">
        <f>IF($A$1,"Entrée (vacances, jours de congé, cours de formation, MB) - ONGLET ","Enter (Vac, Book Offs, TRCL, MB) - TAB")</f>
        <v>Enter (Vac, Book Offs, TRCL, MB) - TAB</v>
      </c>
      <c r="B16" s="666"/>
      <c r="C16" s="666"/>
      <c r="D16" s="666"/>
      <c r="E16" s="666"/>
      <c r="F16" s="666"/>
      <c r="G16" s="666"/>
      <c r="H16" s="666"/>
      <c r="I16" s="666"/>
      <c r="J16" s="666"/>
      <c r="K16" s="666"/>
      <c r="L16" s="666"/>
      <c r="M16" s="666"/>
      <c r="N16" s="666"/>
      <c r="O16" s="666"/>
      <c r="P16" s="666"/>
      <c r="Q16" s="666"/>
      <c r="R16" s="666"/>
      <c r="S16" s="666"/>
      <c r="T16" s="666"/>
      <c r="U16" s="666"/>
      <c r="V16" s="666"/>
      <c r="W16" s="666"/>
      <c r="X16" s="666"/>
      <c r="Y16" s="666"/>
      <c r="Z16" s="666"/>
      <c r="AA16" s="666"/>
      <c r="AB16" s="5"/>
    </row>
    <row r="17" spans="1:28" ht="31.05" customHeight="1">
      <c r="A17" s="669">
        <v>3</v>
      </c>
      <c r="B17" s="667" t="s">
        <v>0</v>
      </c>
      <c r="C17" s="667"/>
      <c r="D17" s="667"/>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5"/>
    </row>
    <row r="18" spans="1:28" ht="31.05" customHeight="1">
      <c r="A18" s="669"/>
      <c r="B18" s="667" t="str">
        <f>IF($A$1,"1) Noms des membres de l'équipe de gestion dans la colonne de gauche","1. Management Team names on the left column.")</f>
        <v>1. Management Team names on the left column.</v>
      </c>
      <c r="C18" s="667"/>
      <c r="D18" s="667"/>
      <c r="E18" s="667"/>
      <c r="F18" s="667"/>
      <c r="G18" s="667"/>
      <c r="H18" s="667"/>
      <c r="I18" s="667"/>
      <c r="J18" s="667"/>
      <c r="K18" s="667"/>
      <c r="L18" s="667"/>
      <c r="M18" s="667"/>
      <c r="N18" s="667"/>
      <c r="O18" s="667"/>
      <c r="P18" s="667"/>
      <c r="Q18" s="667"/>
      <c r="R18" s="667"/>
      <c r="S18" s="667"/>
      <c r="T18" s="667"/>
      <c r="U18" s="667"/>
      <c r="V18" s="667"/>
      <c r="W18" s="667"/>
      <c r="X18" s="667"/>
      <c r="Y18" s="667"/>
      <c r="Z18" s="667"/>
      <c r="AA18" s="667"/>
    </row>
    <row r="19" spans="1:28" ht="31.05" customHeight="1">
      <c r="A19" s="669"/>
      <c r="B19" s="665" t="str">
        <f>IF($A$1,"2) Vacances, jours de congé, cours de formation, etc. Servez-vous du menu déroulant.","2. Vacation, Book Offs, Training Class ect. Using the drop down boxes.")</f>
        <v>2. Vacation, Book Offs, Training Class ect. Using the drop down boxes.</v>
      </c>
      <c r="C19" s="665"/>
      <c r="D19" s="665"/>
      <c r="E19" s="665"/>
      <c r="F19" s="665"/>
      <c r="G19" s="665"/>
      <c r="H19" s="665"/>
      <c r="I19" s="665"/>
      <c r="J19" s="665"/>
      <c r="K19" s="665"/>
      <c r="L19" s="665"/>
      <c r="M19" s="665"/>
      <c r="N19" s="665"/>
      <c r="O19" s="665"/>
      <c r="P19" s="665"/>
      <c r="Q19" s="665"/>
      <c r="R19" s="665"/>
      <c r="S19" s="665"/>
      <c r="T19" s="665"/>
      <c r="U19" s="665"/>
      <c r="V19" s="665"/>
      <c r="W19" s="665"/>
      <c r="X19" s="665"/>
      <c r="Y19" s="665"/>
      <c r="Z19" s="665"/>
      <c r="AA19" s="665"/>
    </row>
    <row r="20" spans="1:28" ht="31.05" customHeight="1">
      <c r="A20" s="669"/>
      <c r="B20" s="665" t="str">
        <f>IF($A$1,"3) Au bas du tableau, sélectionnez les activités de Martin-Brower ","3. At the bottom of the chart select Brower activities")</f>
        <v>3. At the bottom of the chart select Brower activities</v>
      </c>
      <c r="C20" s="665"/>
      <c r="D20" s="665"/>
      <c r="E20" s="665"/>
      <c r="F20" s="665"/>
      <c r="G20" s="665"/>
      <c r="H20" s="665"/>
      <c r="I20" s="665"/>
      <c r="J20" s="665"/>
      <c r="K20" s="665"/>
      <c r="L20" s="665"/>
      <c r="M20" s="665"/>
      <c r="N20" s="665"/>
      <c r="O20" s="665"/>
      <c r="P20" s="665"/>
      <c r="Q20" s="665"/>
      <c r="R20" s="665"/>
      <c r="S20" s="665"/>
      <c r="T20" s="665"/>
      <c r="U20" s="665"/>
      <c r="V20" s="665"/>
      <c r="W20" s="665"/>
      <c r="X20" s="665"/>
      <c r="Y20" s="665"/>
      <c r="Z20" s="665"/>
      <c r="AA20" s="665"/>
    </row>
    <row r="21" spans="1:28" ht="47.55" customHeight="1">
      <c r="A21" s="669"/>
      <c r="B21" s="665" t="str">
        <f>IF($A$1,"(appel, livraisons ou appel/livraisons) et les tâches d'entretien préventif de l'appareil à laits ultra-frappés et à lait glacé pour en faire le suivi (une fois par semaine, par cycle et trousse de mise au point trimestrielle)."," (Call, Delivery, or Call/Delivery) and Shake machine PM tasks for follow up (Weekly, Cycle, and Quarterly Tune up kit).")</f>
        <v xml:space="preserve"> (Call, Delivery, or Call/Delivery) and Shake machine PM tasks for follow up (Weekly, Cycle, and Quarterly Tune up kit).</v>
      </c>
      <c r="C21" s="665"/>
      <c r="D21" s="665"/>
      <c r="E21" s="665"/>
      <c r="F21" s="665"/>
      <c r="G21" s="665"/>
      <c r="H21" s="665"/>
      <c r="I21" s="665"/>
      <c r="J21" s="665"/>
      <c r="K21" s="665"/>
      <c r="L21" s="665"/>
      <c r="M21" s="665"/>
      <c r="N21" s="665"/>
      <c r="O21" s="665"/>
      <c r="P21" s="665"/>
      <c r="Q21" s="665"/>
      <c r="R21" s="665"/>
      <c r="S21" s="665"/>
      <c r="T21" s="665"/>
      <c r="U21" s="665"/>
      <c r="V21" s="665"/>
      <c r="W21" s="665"/>
      <c r="X21" s="665"/>
      <c r="Y21" s="665"/>
      <c r="Z21" s="665"/>
      <c r="AA21" s="665"/>
    </row>
    <row r="22" spans="1:28" ht="31.05" customHeight="1">
      <c r="A22" s="669"/>
      <c r="B22" s="682" t="str">
        <f>IF($A$1,"Le nom et les activités des membres de l'équipe de gestion entrés dans cet onglet se reporteront automatiquement dans l'horaire des membres de l'équipe de gestion.","The individual Management names and activities entered in this tab will automatically populate to the Manager's Schedule.")</f>
        <v>The individual Management names and activities entered in this tab will automatically populate to the Manager's Schedule.</v>
      </c>
      <c r="C22" s="677"/>
      <c r="D22" s="677"/>
      <c r="E22" s="677"/>
      <c r="F22" s="677"/>
      <c r="G22" s="677"/>
      <c r="H22" s="677"/>
      <c r="I22" s="677"/>
      <c r="J22" s="677"/>
      <c r="K22" s="677"/>
      <c r="L22" s="677"/>
      <c r="M22" s="677"/>
      <c r="N22" s="677"/>
      <c r="O22" s="677"/>
      <c r="P22" s="677"/>
      <c r="Q22" s="677"/>
      <c r="R22" s="677"/>
      <c r="S22" s="677"/>
      <c r="T22" s="677"/>
      <c r="U22" s="677"/>
      <c r="V22" s="677"/>
      <c r="W22" s="677"/>
      <c r="X22" s="677"/>
      <c r="Y22" s="677"/>
      <c r="Z22" s="677"/>
      <c r="AA22" s="677"/>
    </row>
    <row r="23" spans="1:28" ht="31.05" customHeight="1">
      <c r="A23" s="666" t="str">
        <f>IF($A$1,"Agenda de planification - ONGLET","Planner - TAB")</f>
        <v>Planner - TAB</v>
      </c>
      <c r="B23" s="666"/>
      <c r="C23" s="666"/>
      <c r="D23" s="666"/>
      <c r="E23" s="666"/>
      <c r="F23" s="666"/>
      <c r="G23" s="666"/>
      <c r="H23" s="666"/>
      <c r="I23" s="666"/>
      <c r="J23" s="666"/>
      <c r="K23" s="666"/>
      <c r="L23" s="666"/>
      <c r="M23" s="666"/>
      <c r="N23" s="666"/>
      <c r="O23" s="666"/>
      <c r="P23" s="666"/>
      <c r="Q23" s="666"/>
      <c r="R23" s="666"/>
      <c r="S23" s="666"/>
      <c r="T23" s="666"/>
      <c r="U23" s="666"/>
      <c r="V23" s="666"/>
      <c r="W23" s="666"/>
      <c r="X23" s="666"/>
      <c r="Y23" s="666"/>
      <c r="Z23" s="666"/>
      <c r="AA23" s="666"/>
    </row>
    <row r="24" spans="1:28" ht="31.05" customHeight="1">
      <c r="A24" s="669">
        <v>4</v>
      </c>
      <c r="B24" s="673" t="str">
        <f>IF($A$1,"Entrez les activités supplémentaires du gérant général et des responsables de département.","Enter additional Management and Department Lead activies")</f>
        <v>Enter additional Management and Department Lead activies</v>
      </c>
      <c r="C24" s="673"/>
      <c r="D24" s="673"/>
      <c r="E24" s="673"/>
      <c r="F24" s="673"/>
      <c r="G24" s="673"/>
      <c r="H24" s="673"/>
      <c r="I24" s="673"/>
      <c r="J24" s="673"/>
      <c r="K24" s="673"/>
      <c r="L24" s="673"/>
      <c r="M24" s="673"/>
      <c r="N24" s="673"/>
      <c r="O24" s="673"/>
      <c r="P24" s="673"/>
      <c r="Q24" s="673"/>
      <c r="R24" s="673"/>
      <c r="S24" s="673"/>
      <c r="T24" s="673"/>
      <c r="U24" s="673"/>
      <c r="V24" s="673"/>
      <c r="W24" s="673"/>
      <c r="X24" s="673"/>
      <c r="Y24" s="673"/>
      <c r="Z24" s="673"/>
      <c r="AA24" s="673"/>
    </row>
    <row r="25" spans="1:28" ht="31.05" customHeight="1">
      <c r="A25" s="669"/>
      <c r="B25" s="670" t="str">
        <f>IF($A$1,"*Les objectifs du plan d’affaires doivent également être reportés dans l'Agenda de planification.","* Any actionables from your Business Plan should be transferred to the Planner")</f>
        <v>* Any actionables from your Business Plan should be transferred to the Planner</v>
      </c>
      <c r="C25" s="670"/>
      <c r="D25" s="670"/>
      <c r="E25" s="670"/>
      <c r="F25" s="670"/>
      <c r="G25" s="670"/>
      <c r="H25" s="670"/>
      <c r="I25" s="670"/>
      <c r="J25" s="670"/>
      <c r="K25" s="670"/>
      <c r="L25" s="670"/>
      <c r="M25" s="670"/>
      <c r="N25" s="670"/>
      <c r="O25" s="670"/>
      <c r="P25" s="670"/>
      <c r="Q25" s="670"/>
      <c r="R25" s="670"/>
      <c r="S25" s="670"/>
      <c r="T25" s="670"/>
      <c r="U25" s="670"/>
      <c r="V25" s="670"/>
      <c r="W25" s="670"/>
      <c r="X25" s="670"/>
      <c r="Y25" s="670"/>
      <c r="Z25" s="670"/>
      <c r="AA25" s="670"/>
    </row>
    <row r="26" spans="1:28" ht="49.05" customHeight="1">
      <c r="A26" s="669"/>
      <c r="B26" s="671" t="str">
        <f>IF($A$1,"*Validez que toutes les activités des nouveaux projets figurant sur les Listes de vérification du déploiement ont bien été ajoutées à l'Agenda de planification (Accepter les hausses, la programmation de l'ERF, la commande d'équipement, etc.).","* Validate all activities for any new initiative's on the Deployment Checklists have been added to Planner (Accept lifts, RFM programming, Equipement ordering etc.)")</f>
        <v>* Validate all activities for any new initiative's on the Deployment Checklists have been added to Planner (Accept lifts, RFM programming, Equipement ordering etc.)</v>
      </c>
      <c r="C26" s="671"/>
      <c r="D26" s="671"/>
      <c r="E26" s="671"/>
      <c r="F26" s="671"/>
      <c r="G26" s="671"/>
      <c r="H26" s="671"/>
      <c r="I26" s="671"/>
      <c r="J26" s="671"/>
      <c r="K26" s="671"/>
      <c r="L26" s="671"/>
      <c r="M26" s="671"/>
      <c r="N26" s="671"/>
      <c r="O26" s="671"/>
      <c r="P26" s="671"/>
      <c r="Q26" s="671"/>
      <c r="R26" s="671"/>
      <c r="S26" s="671"/>
      <c r="T26" s="671"/>
      <c r="U26" s="671"/>
      <c r="V26" s="671"/>
      <c r="W26" s="671"/>
      <c r="X26" s="671"/>
      <c r="Y26" s="671"/>
      <c r="Z26" s="671"/>
      <c r="AA26" s="671"/>
    </row>
    <row r="27" spans="1:28" ht="31.05" customHeight="1">
      <c r="A27" s="669"/>
      <c r="B27" s="665" t="str">
        <f>IF($A$1,"*Assurez-vous de prévoir suffisamment de temps aux quarts des gérants pour qu’ils puissent effectuer les tâches et s'acquitter des responsabilités qui leur sont assignées.","* Ensure sufficient time is allotted during the manager’s shifts to complete their assigned tasks and responsibilities.")</f>
        <v>* Ensure sufficient time is allotted during the manager’s shifts to complete their assigned tasks and responsibilities.</v>
      </c>
      <c r="C27" s="665"/>
      <c r="D27" s="665"/>
      <c r="E27" s="665"/>
      <c r="F27" s="665"/>
      <c r="G27" s="665"/>
      <c r="H27" s="665"/>
      <c r="I27" s="665"/>
      <c r="J27" s="665"/>
      <c r="K27" s="665"/>
      <c r="L27" s="665"/>
      <c r="M27" s="665"/>
      <c r="N27" s="665"/>
      <c r="O27" s="665"/>
      <c r="P27" s="665"/>
      <c r="Q27" s="665"/>
      <c r="R27" s="665"/>
      <c r="S27" s="665"/>
      <c r="T27" s="665"/>
      <c r="U27" s="665"/>
      <c r="V27" s="665"/>
      <c r="W27" s="665"/>
      <c r="X27" s="665"/>
      <c r="Y27" s="665"/>
      <c r="Z27" s="665"/>
      <c r="AA27" s="665"/>
    </row>
    <row r="28" spans="1:28" ht="31.05" customHeight="1">
      <c r="A28" s="666" t="str">
        <f>IF($A$1,"Horaire de l’équipe de gestion","Manager's Schedule - TAB")</f>
        <v>Manager's Schedule - TAB</v>
      </c>
      <c r="B28" s="666"/>
      <c r="C28" s="666"/>
      <c r="D28" s="666"/>
      <c r="E28" s="666"/>
      <c r="F28" s="666"/>
      <c r="G28" s="666"/>
      <c r="H28" s="666"/>
      <c r="I28" s="666"/>
      <c r="J28" s="666"/>
      <c r="K28" s="666"/>
      <c r="L28" s="666"/>
      <c r="M28" s="666"/>
      <c r="N28" s="666"/>
      <c r="O28" s="666"/>
      <c r="P28" s="666"/>
      <c r="Q28" s="666"/>
      <c r="R28" s="666"/>
      <c r="S28" s="666"/>
      <c r="T28" s="666"/>
      <c r="U28" s="666"/>
      <c r="V28" s="666"/>
      <c r="W28" s="666"/>
      <c r="X28" s="666"/>
      <c r="Y28" s="666"/>
      <c r="Z28" s="666"/>
      <c r="AA28" s="666"/>
    </row>
    <row r="29" spans="1:28" ht="31.05" customHeight="1">
      <c r="A29" s="669">
        <v>5</v>
      </c>
      <c r="B29" s="670" t="str">
        <f>IF($A$1,"Entrez :","Enter:")</f>
        <v>Enter:</v>
      </c>
      <c r="C29" s="670"/>
      <c r="D29" s="670"/>
      <c r="E29" s="670"/>
      <c r="F29" s="670"/>
      <c r="G29" s="670"/>
      <c r="H29" s="670"/>
      <c r="I29" s="670"/>
      <c r="J29" s="670"/>
      <c r="K29" s="670"/>
      <c r="L29" s="670"/>
      <c r="M29" s="670"/>
      <c r="N29" s="670"/>
      <c r="O29" s="670"/>
      <c r="P29" s="670"/>
      <c r="Q29" s="670"/>
      <c r="R29" s="670"/>
      <c r="S29" s="670"/>
      <c r="T29" s="670"/>
      <c r="U29" s="670"/>
      <c r="V29" s="670"/>
      <c r="W29" s="670"/>
      <c r="X29" s="670"/>
      <c r="Y29" s="670"/>
      <c r="Z29" s="670"/>
      <c r="AA29" s="670"/>
    </row>
    <row r="30" spans="1:28" ht="31.05" customHeight="1">
      <c r="A30" s="669"/>
      <c r="B30" s="667" t="str">
        <f>IF($A$1,"1) Événements spéciaux (journées de fermeture d'école, événements communautaires, jours fériés, dates du conseiller, etc.)","1. Special Events (School Closure days, Community Events, Special Holidays, Consultant Dates etc)")</f>
        <v>1. Special Events (School Closure days, Community Events, Special Holidays, Consultant Dates etc)</v>
      </c>
      <c r="C30" s="667"/>
      <c r="D30" s="667"/>
      <c r="E30" s="667"/>
      <c r="F30" s="667"/>
      <c r="G30" s="667"/>
      <c r="H30" s="667"/>
      <c r="I30" s="667"/>
      <c r="J30" s="667"/>
      <c r="K30" s="667"/>
      <c r="L30" s="667"/>
      <c r="M30" s="667"/>
      <c r="N30" s="667"/>
      <c r="O30" s="667"/>
      <c r="P30" s="667"/>
      <c r="Q30" s="667"/>
      <c r="R30" s="667"/>
      <c r="S30" s="667"/>
      <c r="T30" s="667"/>
      <c r="U30" s="667"/>
      <c r="V30" s="667"/>
      <c r="W30" s="667"/>
      <c r="X30" s="667"/>
      <c r="Y30" s="667"/>
      <c r="Z30" s="667"/>
      <c r="AA30" s="667"/>
    </row>
    <row r="31" spans="1:28" ht="31.05" customHeight="1">
      <c r="A31" s="669"/>
      <c r="B31" s="667" t="str">
        <f>IF($A$1,"2) Tâches routinières hebdomadaires et mensuelles (comme les horaires des équipiers, la commande) (consultez l'Agenda de planification et le Calendrier de formation)","2. Weekly and monthly routine tasks. (i.e. crew schedules &amp; ordering)( reference Planner and Training Calendar).")</f>
        <v>2. Weekly and monthly routine tasks. (i.e. crew schedules &amp; ordering)( reference Planner and Training Calendar).</v>
      </c>
      <c r="C31" s="667"/>
      <c r="D31" s="667"/>
      <c r="E31" s="667"/>
      <c r="F31" s="667"/>
      <c r="G31" s="667"/>
      <c r="H31" s="667"/>
      <c r="I31" s="667"/>
      <c r="J31" s="667"/>
      <c r="K31" s="667"/>
      <c r="L31" s="667"/>
      <c r="M31" s="667"/>
      <c r="N31" s="667"/>
      <c r="O31" s="667"/>
      <c r="P31" s="667"/>
      <c r="Q31" s="667"/>
      <c r="R31" s="667"/>
      <c r="S31" s="667"/>
      <c r="T31" s="667"/>
      <c r="U31" s="667"/>
      <c r="V31" s="667"/>
      <c r="W31" s="667"/>
      <c r="X31" s="667"/>
      <c r="Y31" s="667"/>
      <c r="Z31" s="667"/>
      <c r="AA31" s="667"/>
    </row>
    <row r="32" spans="1:28" ht="31.05" customHeight="1">
      <c r="A32" s="669"/>
      <c r="B32" s="665" t="str">
        <f>IF($A$1,"3) Inscrivez à l'horaire les quarts requis en vue d'un QSP exceptionnel, respectez les principes d'établissement des horaires.","3. Schedule in shifts needed for Q.S.C., follow the Scheduling Principles.")</f>
        <v>3. Schedule in shifts needed for Q.S.C., follow the Scheduling Principles.</v>
      </c>
      <c r="C32" s="665"/>
      <c r="D32" s="665"/>
      <c r="E32" s="665"/>
      <c r="F32" s="665"/>
      <c r="G32" s="665"/>
      <c r="H32" s="665"/>
      <c r="I32" s="665"/>
      <c r="J32" s="665"/>
      <c r="K32" s="665"/>
      <c r="L32" s="665"/>
      <c r="M32" s="665"/>
      <c r="N32" s="665"/>
      <c r="O32" s="665"/>
      <c r="P32" s="665"/>
      <c r="Q32" s="665"/>
      <c r="R32" s="665"/>
      <c r="S32" s="665"/>
      <c r="T32" s="665"/>
      <c r="U32" s="665"/>
      <c r="V32" s="665"/>
      <c r="W32" s="665"/>
      <c r="X32" s="665"/>
      <c r="Y32" s="665"/>
      <c r="Z32" s="665"/>
      <c r="AA32" s="665"/>
    </row>
    <row r="33" spans="1:28" ht="31.05" customHeight="1">
      <c r="A33" s="666" t="str">
        <f>IF($A$1,"Approbation de l'horaire","Schedule Approval")</f>
        <v>Schedule Approval</v>
      </c>
      <c r="B33" s="666"/>
      <c r="C33" s="666"/>
      <c r="D33" s="666"/>
      <c r="E33" s="666"/>
      <c r="F33" s="666"/>
      <c r="G33" s="666"/>
      <c r="H33" s="666"/>
      <c r="I33" s="666"/>
      <c r="J33" s="666"/>
      <c r="K33" s="666"/>
      <c r="L33" s="666"/>
      <c r="M33" s="666"/>
      <c r="N33" s="666"/>
      <c r="O33" s="666"/>
      <c r="P33" s="666"/>
      <c r="Q33" s="666"/>
      <c r="R33" s="666"/>
      <c r="S33" s="666"/>
      <c r="T33" s="666"/>
      <c r="U33" s="666"/>
      <c r="V33" s="666"/>
      <c r="W33" s="666"/>
      <c r="X33" s="666"/>
      <c r="Y33" s="666"/>
      <c r="Z33" s="666"/>
      <c r="AA33" s="666"/>
    </row>
    <row r="34" spans="1:28" ht="53.55" customHeight="1">
      <c r="A34" s="669">
        <v>6</v>
      </c>
      <c r="B34" s="667" t="str">
        <f>IF($A$1,"* Passez en revue votre Agenda de planification et votre horaire de l'équipe de gestion avec votre superviseur, votre franchisé ou votre conseiller en Exploitation pour obtenir son approbation. ","* Review your Planner and Management Schedule with your Supervisor, Owner Operator or Operations Consultant for approval.")</f>
        <v>* Review your Planner and Management Schedule with your Supervisor, Owner Operator or Operations Consultant for approval.</v>
      </c>
      <c r="C34" s="667"/>
      <c r="D34" s="667"/>
      <c r="E34" s="667"/>
      <c r="F34" s="667"/>
      <c r="G34" s="667"/>
      <c r="H34" s="667"/>
      <c r="I34" s="667"/>
      <c r="J34" s="667"/>
      <c r="K34" s="667"/>
      <c r="L34" s="667"/>
      <c r="M34" s="667"/>
      <c r="N34" s="667"/>
      <c r="O34" s="667"/>
      <c r="P34" s="667"/>
      <c r="Q34" s="667"/>
      <c r="R34" s="667"/>
      <c r="S34" s="667"/>
      <c r="T34" s="667"/>
      <c r="U34" s="667"/>
      <c r="V34" s="667"/>
      <c r="W34" s="667"/>
      <c r="X34" s="667"/>
      <c r="Y34" s="667"/>
      <c r="Z34" s="667"/>
      <c r="AA34" s="667"/>
    </row>
    <row r="35" spans="1:28" ht="29.2" customHeight="1">
      <c r="A35" s="669"/>
      <c r="B35" s="667" t="str">
        <f>IF($A$1,"* Remettez à votre l’équipe une copie de votre Agenda de planification pour que chacun puisse noter ses quarts de travail.","* Distribute to your team as a record of what shifts they are working.")</f>
        <v>* Distribute to your team as a record of what shifts they are working.</v>
      </c>
      <c r="C35" s="667"/>
      <c r="D35" s="667"/>
      <c r="E35" s="667"/>
      <c r="F35" s="667"/>
      <c r="G35" s="667"/>
      <c r="H35" s="667"/>
      <c r="I35" s="667"/>
      <c r="J35" s="667"/>
      <c r="K35" s="667"/>
      <c r="L35" s="667"/>
      <c r="M35" s="667"/>
      <c r="N35" s="667"/>
      <c r="O35" s="667"/>
      <c r="P35" s="667"/>
      <c r="Q35" s="667"/>
      <c r="R35" s="667"/>
      <c r="S35" s="667"/>
      <c r="T35" s="667"/>
      <c r="U35" s="667"/>
      <c r="V35" s="667"/>
      <c r="W35" s="667"/>
      <c r="X35" s="667"/>
      <c r="Y35" s="667"/>
      <c r="Z35" s="667"/>
      <c r="AA35" s="667"/>
    </row>
    <row r="36" spans="1:28" ht="31.05" customHeight="1">
      <c r="A36" s="669"/>
      <c r="B36" s="667" t="str">
        <f>IF($A$1,"* Affichez-en une copie dans le bureau du gérant.","* A copy should be posted in the manager’s office.")</f>
        <v>* A copy should be posted in the manager’s office.</v>
      </c>
      <c r="C36" s="667"/>
      <c r="D36" s="667"/>
      <c r="E36" s="667"/>
      <c r="F36" s="667"/>
      <c r="G36" s="667"/>
      <c r="H36" s="667"/>
      <c r="I36" s="667"/>
      <c r="J36" s="667"/>
      <c r="K36" s="667"/>
      <c r="L36" s="667"/>
      <c r="M36" s="667"/>
      <c r="N36" s="667"/>
      <c r="O36" s="667"/>
      <c r="P36" s="667"/>
      <c r="Q36" s="667"/>
      <c r="R36" s="667"/>
      <c r="S36" s="667"/>
      <c r="T36" s="667"/>
      <c r="U36" s="667"/>
      <c r="V36" s="667"/>
      <c r="W36" s="667"/>
      <c r="X36" s="667"/>
      <c r="Y36" s="667"/>
      <c r="Z36" s="667"/>
      <c r="AA36" s="667"/>
    </row>
    <row r="37" spans="1:28" ht="48" customHeight="1">
      <c r="A37" s="668" t="str">
        <f>IF($A$1,"* Si vous avez des questions ou des recommandations/commentaires, sur cet outil, veuillez ne pas hésiter à communiquer avec Sonia.Avellaneda@ca.mcd.com - conseillère en Exploitation nationale.","If you have any questions/recommendations/comments, regarding this support tool, please do not hesitate to reach out to Sonia.Avellaneda@ca.mcd.com - National Operations Consultant.")</f>
        <v>If you have any questions/recommendations/comments, regarding this support tool, please do not hesitate to reach out to Sonia.Avellaneda@ca.mcd.com - National Operations Consultant.</v>
      </c>
      <c r="B37" s="668"/>
      <c r="C37" s="668"/>
      <c r="D37" s="668"/>
      <c r="E37" s="668"/>
      <c r="F37" s="668"/>
      <c r="G37" s="668"/>
      <c r="H37" s="668"/>
      <c r="I37" s="668"/>
      <c r="J37" s="668"/>
      <c r="K37" s="668"/>
      <c r="L37" s="668"/>
      <c r="M37" s="668"/>
      <c r="N37" s="668"/>
      <c r="O37" s="668"/>
      <c r="P37" s="668"/>
      <c r="Q37" s="668"/>
      <c r="R37" s="668"/>
      <c r="S37" s="668"/>
      <c r="T37" s="668"/>
      <c r="U37" s="668"/>
      <c r="V37" s="668"/>
      <c r="W37" s="668"/>
      <c r="X37" s="668"/>
      <c r="Y37" s="668"/>
      <c r="Z37" s="668"/>
      <c r="AA37" s="668"/>
    </row>
    <row r="38" spans="1:28" ht="45.75" customHeight="1">
      <c r="B38" s="5"/>
      <c r="C38" s="5"/>
      <c r="D38" s="5"/>
      <c r="E38" s="5"/>
      <c r="F38" s="5"/>
      <c r="G38" s="5"/>
      <c r="H38" s="5"/>
      <c r="I38" s="5"/>
      <c r="J38" s="5"/>
      <c r="K38" s="5"/>
      <c r="L38" s="5"/>
      <c r="M38" s="5"/>
      <c r="N38" s="5"/>
    </row>
    <row r="39" spans="1:28" ht="30" customHeight="1">
      <c r="B39" s="5"/>
      <c r="C39" s="5"/>
      <c r="D39" s="5"/>
      <c r="E39" s="5"/>
      <c r="F39" s="5"/>
      <c r="G39" s="5"/>
      <c r="H39" s="5"/>
      <c r="I39" s="5"/>
      <c r="J39" s="5"/>
      <c r="K39" s="5"/>
      <c r="L39" s="5"/>
      <c r="M39" s="5"/>
      <c r="N39" s="5"/>
    </row>
    <row r="40" spans="1:28" ht="45.75" customHeight="1">
      <c r="B40" s="38"/>
      <c r="C40" s="38"/>
      <c r="D40" s="38"/>
      <c r="E40" s="38"/>
      <c r="F40" s="38"/>
      <c r="G40" s="38"/>
      <c r="H40" s="38"/>
      <c r="I40" s="38"/>
      <c r="J40" s="38"/>
      <c r="K40" s="38"/>
      <c r="L40" s="38"/>
      <c r="M40" s="5"/>
      <c r="N40" s="5"/>
    </row>
    <row r="41" spans="1:28" ht="63" customHeight="1">
      <c r="N41" s="5"/>
      <c r="O41" s="48"/>
    </row>
    <row r="42" spans="1:28" ht="39" customHeight="1">
      <c r="N42" s="5"/>
      <c r="O42" s="48"/>
      <c r="P42" s="39"/>
      <c r="Q42" s="39"/>
      <c r="R42" s="39"/>
      <c r="S42" s="39"/>
      <c r="T42" s="39"/>
      <c r="U42" s="39"/>
      <c r="V42" s="39"/>
      <c r="W42" s="39"/>
      <c r="X42" s="39"/>
      <c r="Y42" s="39"/>
      <c r="Z42" s="39"/>
      <c r="AA42" s="39"/>
    </row>
    <row r="43" spans="1:28" ht="85.5" customHeight="1">
      <c r="N43" s="5"/>
    </row>
    <row r="44" spans="1:28" ht="20.25">
      <c r="N44" s="5"/>
      <c r="O44" s="49"/>
      <c r="P44" s="49"/>
      <c r="Q44" s="49"/>
      <c r="R44" s="49"/>
      <c r="S44" s="49"/>
      <c r="T44" s="49"/>
      <c r="U44" s="49"/>
      <c r="V44" s="49"/>
      <c r="W44" s="49"/>
      <c r="X44" s="49"/>
      <c r="Y44" s="49"/>
      <c r="Z44" s="49"/>
      <c r="AA44" s="49"/>
      <c r="AB44" s="49"/>
    </row>
    <row r="45" spans="1:28" ht="15.75" customHeight="1">
      <c r="N45" s="5"/>
      <c r="O45" s="49"/>
      <c r="P45" s="49"/>
      <c r="Q45" s="49"/>
      <c r="R45" s="49"/>
      <c r="S45" s="49"/>
      <c r="T45" s="49"/>
      <c r="U45" s="49"/>
      <c r="V45" s="49"/>
      <c r="W45" s="49"/>
      <c r="X45" s="49"/>
      <c r="Y45" s="49"/>
      <c r="Z45" s="49"/>
      <c r="AA45" s="49"/>
      <c r="AB45" s="49"/>
    </row>
    <row r="46" spans="1:28" ht="15.75" customHeight="1">
      <c r="N46" s="5"/>
    </row>
    <row r="47" spans="1:28" ht="43.5" customHeight="1">
      <c r="N47" s="5"/>
    </row>
    <row r="48" spans="1:28" ht="42.75" customHeight="1">
      <c r="N48" s="5"/>
      <c r="O48" s="5"/>
      <c r="P48" s="5"/>
      <c r="Q48" s="5"/>
      <c r="R48" s="5"/>
      <c r="S48" s="5"/>
      <c r="T48" s="5"/>
      <c r="U48" s="5"/>
      <c r="V48" s="5"/>
      <c r="W48" s="5"/>
      <c r="X48" s="5"/>
    </row>
    <row r="49" ht="53.25" customHeight="1"/>
  </sheetData>
  <sheetProtection algorithmName="SHA-512" hashValue="tmIAM8UGpP0kZcQl9s8eKvWJxmDUJ/lKSRFjdwPcVyJwpAujsG/9KgG3QZIOcMloO+EL+Tw/26bhIB6b4r00eA==" saltValue="LX4vT6IXGLmWuCrcnlFtnA==" spinCount="100000" sheet="1" formatCells="0"/>
  <mergeCells count="38">
    <mergeCell ref="A28:AA28"/>
    <mergeCell ref="B29:AA29"/>
    <mergeCell ref="B30:AA30"/>
    <mergeCell ref="B31:AA31"/>
    <mergeCell ref="E4:AA6"/>
    <mergeCell ref="A7:C7"/>
    <mergeCell ref="A4:C4"/>
    <mergeCell ref="A11:A15"/>
    <mergeCell ref="A24:A27"/>
    <mergeCell ref="A17:A22"/>
    <mergeCell ref="B18:AA18"/>
    <mergeCell ref="B19:AA19"/>
    <mergeCell ref="B21:AA21"/>
    <mergeCell ref="B22:AA22"/>
    <mergeCell ref="A23:AA23"/>
    <mergeCell ref="B24:AA24"/>
    <mergeCell ref="B25:AA25"/>
    <mergeCell ref="B26:AA26"/>
    <mergeCell ref="B27:AA27"/>
    <mergeCell ref="A8:AA8"/>
    <mergeCell ref="B9:AA9"/>
    <mergeCell ref="A10:AA10"/>
    <mergeCell ref="B11:AA11"/>
    <mergeCell ref="B12:AA12"/>
    <mergeCell ref="B13:AA13"/>
    <mergeCell ref="B14:AA14"/>
    <mergeCell ref="B15:AA15"/>
    <mergeCell ref="A16:AA16"/>
    <mergeCell ref="B17:AA17"/>
    <mergeCell ref="B20:AA20"/>
    <mergeCell ref="B32:AA32"/>
    <mergeCell ref="A33:AA33"/>
    <mergeCell ref="B36:AA36"/>
    <mergeCell ref="A37:AA37"/>
    <mergeCell ref="B34:AA34"/>
    <mergeCell ref="A29:A32"/>
    <mergeCell ref="A34:A36"/>
    <mergeCell ref="B35:AA35"/>
  </mergeCells>
  <printOptions horizontalCentered="1" verticalCentered="1"/>
  <pageMargins left="0" right="0" top="0" bottom="0" header="0" footer="0"/>
  <pageSetup scale="50" orientation="landscape" r:id="rId1"/>
  <ignoredErrors>
    <ignoredError sqref="A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print="0" autoFill="0" autoLine="0" autoPict="0">
                <anchor>
                  <from>
                    <xdr:col>0</xdr:col>
                    <xdr:colOff>419100</xdr:colOff>
                    <xdr:row>3</xdr:row>
                    <xdr:rowOff>33338</xdr:rowOff>
                  </from>
                  <to>
                    <xdr:col>1</xdr:col>
                    <xdr:colOff>590550</xdr:colOff>
                    <xdr:row>4</xdr:row>
                    <xdr:rowOff>52388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62"/>
  <sheetViews>
    <sheetView showGridLines="0" topLeftCell="A2" zoomScale="80" zoomScaleNormal="80" workbookViewId="0">
      <selection activeCell="J2" sqref="J2"/>
    </sheetView>
  </sheetViews>
  <sheetFormatPr defaultRowHeight="14.25"/>
  <cols>
    <col min="1" max="1" width="15.796875" customWidth="1"/>
    <col min="2" max="2" width="7.19921875" customWidth="1"/>
    <col min="3" max="3" width="5.46484375" bestFit="1" customWidth="1"/>
    <col min="4" max="4" width="16.796875" bestFit="1" customWidth="1"/>
    <col min="5" max="5" width="19.53125" bestFit="1" customWidth="1"/>
    <col min="6" max="6" width="11.46484375" customWidth="1"/>
    <col min="7" max="7" width="8.19921875" customWidth="1"/>
    <col min="8" max="8" width="7.265625" customWidth="1"/>
    <col min="9" max="9" width="22.19921875" bestFit="1" customWidth="1"/>
    <col min="10" max="10" width="16.46484375" customWidth="1"/>
    <col min="14" max="14" width="30.73046875" customWidth="1"/>
    <col min="15" max="15" width="12.265625" bestFit="1" customWidth="1"/>
  </cols>
  <sheetData>
    <row r="1" spans="1:16" ht="22.05" hidden="1" customHeight="1">
      <c r="A1" s="42" t="b">
        <f>'Instructions New'!A1</f>
        <v>0</v>
      </c>
    </row>
    <row r="2" spans="1:16" ht="22.5">
      <c r="B2" s="46"/>
      <c r="C2" s="691" t="str">
        <f>IF($A$1,"Ventes et nombre de clients","Sales and Guest counts")</f>
        <v>Sales and Guest counts</v>
      </c>
      <c r="D2" s="691"/>
      <c r="E2" s="691"/>
      <c r="F2" s="691"/>
      <c r="G2" s="691"/>
      <c r="H2" s="691"/>
      <c r="I2" s="691"/>
      <c r="J2" s="71" t="str">
        <f>IF($A$1,"Mois","Month:")</f>
        <v>Month:</v>
      </c>
      <c r="K2" s="689" t="str">
        <f>IF($A$1,"Février","February")</f>
        <v>February</v>
      </c>
      <c r="L2" s="689"/>
      <c r="M2" s="689"/>
      <c r="N2" s="46"/>
      <c r="O2" s="46"/>
      <c r="P2" s="46"/>
    </row>
    <row r="3" spans="1:16">
      <c r="B3" s="46"/>
      <c r="C3" s="46"/>
      <c r="D3" s="46"/>
      <c r="E3" s="46"/>
      <c r="F3" s="46"/>
      <c r="G3" s="46"/>
      <c r="H3" s="46"/>
      <c r="I3" s="46"/>
      <c r="J3" s="46"/>
      <c r="K3" s="46"/>
      <c r="L3" s="46"/>
      <c r="M3" s="46"/>
      <c r="N3" s="46"/>
      <c r="O3" s="46"/>
      <c r="P3" s="46"/>
    </row>
    <row r="4" spans="1:16" ht="52.05" customHeight="1">
      <c r="B4" s="46"/>
      <c r="C4" s="695" t="str">
        <f>IF($A$1,"1) Entrez votre % actuel de tendances des ventes et du nombre de clients
2) Entrez les ventes et le nombre de clients précédents. Les ventes et le nombre de clients se calculeront pour vous.
","1. Enter your current Trending % for Sales and Guest Counts.
2. Enter Previous Year Sales and Guest Counts. Sales and Guest counts will be calculated for you.")</f>
        <v>1. Enter your current Trending % for Sales and Guest Counts.
2. Enter Previous Year Sales and Guest Counts. Sales and Guest counts will be calculated for you.</v>
      </c>
      <c r="D4" s="695"/>
      <c r="E4" s="695"/>
      <c r="F4" s="695"/>
      <c r="G4" s="695"/>
      <c r="H4" s="695"/>
      <c r="I4" s="695"/>
      <c r="J4" s="695"/>
      <c r="K4" s="695"/>
      <c r="L4" s="695"/>
      <c r="M4" s="695"/>
      <c r="N4" s="695"/>
      <c r="O4" s="695"/>
      <c r="P4" s="115"/>
    </row>
    <row r="5" spans="1:16" ht="14.55" customHeight="1">
      <c r="B5" s="46"/>
      <c r="C5" s="72"/>
      <c r="D5" s="72"/>
      <c r="E5" s="72"/>
      <c r="F5" s="72"/>
      <c r="G5" s="72"/>
      <c r="H5" s="72"/>
      <c r="I5" s="72"/>
      <c r="J5" s="72"/>
      <c r="K5" s="72"/>
      <c r="L5" s="72"/>
      <c r="M5" s="72"/>
      <c r="N5" s="72"/>
      <c r="O5" s="72"/>
      <c r="P5" s="72"/>
    </row>
    <row r="6" spans="1:16">
      <c r="B6" s="46"/>
      <c r="C6" s="46"/>
      <c r="D6" s="46"/>
      <c r="E6" s="46"/>
      <c r="F6" s="46"/>
      <c r="G6" s="46"/>
      <c r="H6" s="46"/>
      <c r="I6" s="73" t="str">
        <f>IF($A$1,"Tendances ","Trending ")</f>
        <v xml:space="preserve">Trending </v>
      </c>
      <c r="J6" s="46"/>
      <c r="K6" s="46"/>
      <c r="L6" s="46"/>
      <c r="M6" s="46"/>
      <c r="N6" s="46"/>
      <c r="O6" s="46"/>
      <c r="P6" s="46"/>
    </row>
    <row r="7" spans="1:16" ht="17.649999999999999">
      <c r="B7" s="46"/>
      <c r="C7" s="46"/>
      <c r="D7" s="690"/>
      <c r="E7" s="690"/>
      <c r="F7" s="75"/>
      <c r="G7" s="75"/>
      <c r="H7" s="75"/>
      <c r="I7" s="73" t="str">
        <f>IF($A$1,"% ventes","Sales %")</f>
        <v>Sales %</v>
      </c>
      <c r="J7" s="54"/>
      <c r="K7" s="74"/>
      <c r="L7" s="74"/>
      <c r="M7" s="46"/>
      <c r="N7" s="46"/>
      <c r="O7" s="46"/>
      <c r="P7" s="46"/>
    </row>
    <row r="8" spans="1:16" ht="17.649999999999999">
      <c r="B8" s="46"/>
      <c r="C8" s="46"/>
      <c r="D8" s="75"/>
      <c r="E8" s="75"/>
      <c r="F8" s="75"/>
      <c r="G8" s="75"/>
      <c r="H8" s="75"/>
      <c r="I8" s="73" t="str">
        <f>IF($A$1,"% du nombre de clients","Guest Count %")</f>
        <v>Guest Count %</v>
      </c>
      <c r="J8" s="54"/>
      <c r="K8" s="74"/>
      <c r="L8" s="74"/>
      <c r="M8" s="46"/>
      <c r="N8" s="46"/>
      <c r="O8" s="46"/>
      <c r="P8" s="46"/>
    </row>
    <row r="9" spans="1:16" ht="17.649999999999999">
      <c r="B9" s="46"/>
      <c r="C9" s="46"/>
      <c r="D9" s="75"/>
      <c r="E9" s="75"/>
      <c r="F9" s="75"/>
      <c r="G9" s="75"/>
      <c r="H9" s="75"/>
      <c r="I9" s="73"/>
      <c r="J9" s="54"/>
      <c r="K9" s="74"/>
      <c r="L9" s="74"/>
      <c r="M9" s="46"/>
      <c r="N9" s="46"/>
      <c r="O9" s="46"/>
      <c r="P9" s="46"/>
    </row>
    <row r="10" spans="1:16" ht="26.25">
      <c r="B10" s="46"/>
      <c r="C10" s="46"/>
      <c r="D10" s="76" t="str">
        <f>IF($A$1,"Ventes prévues","Projected Sales")</f>
        <v>Projected Sales</v>
      </c>
      <c r="E10" s="77" t="str">
        <f>IF($A$1,"Nombre de clients","Guest Counts")</f>
        <v>Guest Counts</v>
      </c>
      <c r="F10" s="77"/>
      <c r="G10" s="77"/>
      <c r="H10" s="77"/>
      <c r="I10" s="78" t="str">
        <f>IF($A$1,"Ventes quotidiennes 
de l'année précédente","Daily Sales 
Previous Year")</f>
        <v>Daily Sales 
Previous Year</v>
      </c>
      <c r="J10" s="78" t="str">
        <f>IF($A$1,"Nombre de clients de 
l'année précédente","Guest Counts 
Previous Year")</f>
        <v>Guest Counts 
Previous Year</v>
      </c>
      <c r="K10" s="74"/>
      <c r="L10" s="74"/>
      <c r="M10" s="46"/>
      <c r="N10" s="46"/>
      <c r="O10" s="46"/>
      <c r="P10" s="46"/>
    </row>
    <row r="11" spans="1:16">
      <c r="A11" s="556">
        <v>45315</v>
      </c>
      <c r="B11" s="557">
        <f t="shared" ref="B11:B18" si="0">A11</f>
        <v>45315</v>
      </c>
      <c r="C11" s="558" t="str">
        <f>TEXT(B11,"ddd")</f>
        <v>Wed</v>
      </c>
      <c r="D11" s="526"/>
      <c r="E11" s="526"/>
      <c r="F11" s="536"/>
      <c r="G11" s="530">
        <f>F11</f>
        <v>0</v>
      </c>
      <c r="H11" s="537" t="str">
        <f>TEXT(G11,"ddd")</f>
        <v>Sat</v>
      </c>
      <c r="I11" s="78"/>
      <c r="J11" s="78"/>
      <c r="K11" s="74"/>
      <c r="L11" s="74"/>
      <c r="M11" s="46"/>
      <c r="N11" s="46"/>
      <c r="O11" s="46"/>
      <c r="P11" s="46"/>
    </row>
    <row r="12" spans="1:16">
      <c r="A12" s="556">
        <v>45316</v>
      </c>
      <c r="B12" s="557">
        <f t="shared" si="0"/>
        <v>45316</v>
      </c>
      <c r="C12" s="558" t="str">
        <f t="shared" ref="C12:C18" si="1">TEXT(B12,"ddd")</f>
        <v>Thu</v>
      </c>
      <c r="D12" s="559"/>
      <c r="E12" s="527"/>
      <c r="F12" s="536"/>
      <c r="G12" s="530">
        <f>F12</f>
        <v>0</v>
      </c>
      <c r="H12" s="537" t="str">
        <f>TEXT(G12,"ddd")</f>
        <v>Sat</v>
      </c>
      <c r="I12" s="517"/>
      <c r="J12" s="517"/>
      <c r="K12" s="74"/>
      <c r="L12" s="74"/>
      <c r="M12" s="46"/>
      <c r="N12" s="46"/>
      <c r="O12" s="46"/>
      <c r="P12" s="46"/>
    </row>
    <row r="13" spans="1:16">
      <c r="A13" s="556">
        <v>45317</v>
      </c>
      <c r="B13" s="557">
        <f>A13</f>
        <v>45317</v>
      </c>
      <c r="C13" s="558" t="str">
        <f t="shared" si="1"/>
        <v>Fri</v>
      </c>
      <c r="D13" s="559"/>
      <c r="E13" s="527"/>
      <c r="F13" s="536"/>
      <c r="G13" s="530">
        <f t="shared" ref="G13:G18" si="2">F13</f>
        <v>0</v>
      </c>
      <c r="H13" s="537" t="str">
        <f t="shared" ref="H13:H18" si="3">TEXT(G13,"ddd")</f>
        <v>Sat</v>
      </c>
      <c r="I13" s="329"/>
      <c r="J13" s="329"/>
      <c r="K13" s="74"/>
      <c r="L13" s="74"/>
      <c r="M13" s="46"/>
      <c r="N13" s="46"/>
      <c r="O13" s="46"/>
      <c r="P13" s="46"/>
    </row>
    <row r="14" spans="1:16">
      <c r="A14" s="556">
        <v>45318</v>
      </c>
      <c r="B14" s="560">
        <f t="shared" si="0"/>
        <v>45318</v>
      </c>
      <c r="C14" s="561" t="str">
        <f t="shared" si="1"/>
        <v>Sat</v>
      </c>
      <c r="D14" s="559"/>
      <c r="E14" s="527"/>
      <c r="F14" s="536"/>
      <c r="G14" s="530">
        <f t="shared" si="2"/>
        <v>0</v>
      </c>
      <c r="H14" s="570" t="str">
        <f t="shared" si="3"/>
        <v>Sat</v>
      </c>
      <c r="I14" s="292"/>
      <c r="J14" s="292"/>
      <c r="K14" s="74"/>
      <c r="L14" s="74"/>
      <c r="M14" s="46"/>
      <c r="N14" s="46"/>
      <c r="O14" s="46"/>
      <c r="P14" s="46"/>
    </row>
    <row r="15" spans="1:16">
      <c r="A15" s="556">
        <v>45319</v>
      </c>
      <c r="B15" s="560">
        <f>A15</f>
        <v>45319</v>
      </c>
      <c r="C15" s="561" t="str">
        <f>TEXT(B15,"ddd")</f>
        <v>Sun</v>
      </c>
      <c r="D15" s="559"/>
      <c r="E15" s="527"/>
      <c r="F15" s="536"/>
      <c r="G15" s="530">
        <f t="shared" si="2"/>
        <v>0</v>
      </c>
      <c r="H15" s="570" t="str">
        <f t="shared" si="3"/>
        <v>Sat</v>
      </c>
      <c r="I15" s="292"/>
      <c r="J15" s="292"/>
      <c r="K15" s="74"/>
      <c r="L15" s="74"/>
      <c r="M15" s="46"/>
      <c r="N15" s="46"/>
      <c r="O15" s="46"/>
      <c r="P15" s="46"/>
    </row>
    <row r="16" spans="1:16">
      <c r="A16" s="529">
        <v>45320</v>
      </c>
      <c r="B16" s="546">
        <f t="shared" si="0"/>
        <v>45320</v>
      </c>
      <c r="C16" s="547" t="str">
        <f t="shared" si="1"/>
        <v>Mon</v>
      </c>
      <c r="D16" s="471"/>
      <c r="E16" s="527"/>
      <c r="F16" s="536"/>
      <c r="G16" s="530">
        <f t="shared" si="2"/>
        <v>0</v>
      </c>
      <c r="H16" s="570" t="str">
        <f t="shared" si="3"/>
        <v>Sat</v>
      </c>
      <c r="I16" s="292"/>
      <c r="J16" s="292"/>
      <c r="K16" s="74"/>
      <c r="L16" s="693" t="str">
        <f>IF($A$1,"Cible","Targets")</f>
        <v>Targets</v>
      </c>
      <c r="M16" s="693"/>
      <c r="N16" s="693"/>
      <c r="O16" s="46"/>
      <c r="P16" s="46"/>
    </row>
    <row r="17" spans="1:24">
      <c r="A17" s="529">
        <v>45321</v>
      </c>
      <c r="B17" s="474">
        <f t="shared" si="0"/>
        <v>45321</v>
      </c>
      <c r="C17" s="523" t="str">
        <f t="shared" si="1"/>
        <v>Tue</v>
      </c>
      <c r="D17" s="471"/>
      <c r="E17" s="472"/>
      <c r="F17" s="548"/>
      <c r="G17" s="499">
        <f t="shared" si="2"/>
        <v>0</v>
      </c>
      <c r="H17" s="263" t="str">
        <f t="shared" si="3"/>
        <v>Sat</v>
      </c>
      <c r="I17" s="293"/>
      <c r="J17" s="293"/>
      <c r="K17" s="46"/>
      <c r="L17" s="694" t="str">
        <f>IF($A$1,"Prévisions des ventes en $","Sales projections $")</f>
        <v>Sales projections $</v>
      </c>
      <c r="M17" s="694"/>
      <c r="N17" s="694"/>
      <c r="O17" s="80">
        <f>SUM(D19:D47)</f>
        <v>0</v>
      </c>
      <c r="P17" s="46"/>
    </row>
    <row r="18" spans="1:24">
      <c r="A18" s="529">
        <v>45322</v>
      </c>
      <c r="B18" s="474">
        <f t="shared" si="0"/>
        <v>45322</v>
      </c>
      <c r="C18" s="523" t="str">
        <f t="shared" si="1"/>
        <v>Wed</v>
      </c>
      <c r="D18" s="471"/>
      <c r="E18" s="472"/>
      <c r="F18" s="548"/>
      <c r="G18" s="499">
        <f t="shared" si="2"/>
        <v>0</v>
      </c>
      <c r="H18" s="263" t="str">
        <f t="shared" si="3"/>
        <v>Sat</v>
      </c>
      <c r="I18" s="293"/>
      <c r="J18" s="293"/>
      <c r="K18" s="46"/>
      <c r="L18" s="694" t="str">
        <f>IF($A$1,"Ventes prévues en $ de l'état des résultats","P&amp;L Planned Sales $")</f>
        <v>P&amp;L Planned Sales $</v>
      </c>
      <c r="M18" s="694"/>
      <c r="N18" s="694"/>
      <c r="O18" s="81"/>
      <c r="P18" s="46"/>
    </row>
    <row r="19" spans="1:24">
      <c r="A19" s="562">
        <v>45323</v>
      </c>
      <c r="B19" s="137">
        <f t="shared" ref="B19:B61" si="4">B18+DAY(1)</f>
        <v>45323</v>
      </c>
      <c r="C19" s="138" t="str">
        <f t="shared" ref="C19:C61" si="5">TEXT(B19,"ddd")</f>
        <v>Thu</v>
      </c>
      <c r="D19" s="471"/>
      <c r="E19" s="472"/>
      <c r="F19" s="538"/>
      <c r="G19" s="262">
        <f>G18+DAY(1)</f>
        <v>1</v>
      </c>
      <c r="H19" s="263" t="str">
        <f t="shared" ref="H19:H62" si="6">TEXT(G19,"ddd")</f>
        <v>Sun</v>
      </c>
      <c r="I19" s="143"/>
      <c r="J19" s="143"/>
      <c r="K19" s="46"/>
      <c r="L19" s="694" t="str">
        <f>IF($A$1,"Salaire moyen (sans salaire jours fériés $)","Av. Wage (W/O Stat Hol. $)")</f>
        <v>Av. Wage (W/O Stat Hol. $)</v>
      </c>
      <c r="M19" s="694"/>
      <c r="N19" s="694"/>
      <c r="O19" s="81"/>
      <c r="P19" s="46"/>
    </row>
    <row r="20" spans="1:24">
      <c r="A20" s="563" t="s">
        <v>1</v>
      </c>
      <c r="B20" s="137">
        <f t="shared" si="4"/>
        <v>45324</v>
      </c>
      <c r="C20" s="138" t="str">
        <f t="shared" si="5"/>
        <v>Fri</v>
      </c>
      <c r="D20" s="471"/>
      <c r="E20" s="472"/>
      <c r="F20" s="88"/>
      <c r="G20" s="262">
        <f>G19+DAY(1)</f>
        <v>2</v>
      </c>
      <c r="H20" s="263" t="str">
        <f t="shared" si="6"/>
        <v>Mon</v>
      </c>
      <c r="I20" s="143"/>
      <c r="J20" s="143"/>
      <c r="K20" s="46"/>
      <c r="L20" s="694" t="str">
        <f>IF($A$1,"Salaire jours fériés en $","Stat. Holiday $")</f>
        <v>Stat. Holiday $</v>
      </c>
      <c r="M20" s="694"/>
      <c r="N20" s="694"/>
      <c r="O20" s="81"/>
      <c r="P20" s="46"/>
    </row>
    <row r="21" spans="1:24">
      <c r="A21" s="89"/>
      <c r="B21" s="137">
        <f t="shared" si="4"/>
        <v>45325</v>
      </c>
      <c r="C21" s="138" t="str">
        <f t="shared" si="5"/>
        <v>Sat</v>
      </c>
      <c r="D21" s="471"/>
      <c r="E21" s="472"/>
      <c r="F21" s="88"/>
      <c r="G21" s="262">
        <f t="shared" ref="G21:G62" si="7">G20+DAY(1)</f>
        <v>3</v>
      </c>
      <c r="H21" s="263" t="str">
        <f t="shared" si="6"/>
        <v>Tue</v>
      </c>
      <c r="I21" s="143"/>
      <c r="J21" s="143"/>
      <c r="K21" s="46"/>
      <c r="L21" s="694" t="str">
        <f>IF($A$1,"% de main-d’œuvre prévue","Projected Labour %")</f>
        <v>Projected Labour %</v>
      </c>
      <c r="M21" s="694"/>
      <c r="N21" s="694"/>
      <c r="O21" s="82" t="str">
        <f>IF(O18="","",(O24*O19+O20)/O17)</f>
        <v/>
      </c>
      <c r="P21" s="46"/>
    </row>
    <row r="22" spans="1:24" ht="14.55" customHeight="1">
      <c r="A22" s="89"/>
      <c r="B22" s="137">
        <f t="shared" si="4"/>
        <v>45326</v>
      </c>
      <c r="C22" s="138" t="str">
        <f t="shared" si="5"/>
        <v>Sun</v>
      </c>
      <c r="D22" s="471"/>
      <c r="E22" s="472"/>
      <c r="F22" s="88"/>
      <c r="G22" s="262">
        <f t="shared" si="7"/>
        <v>4</v>
      </c>
      <c r="H22" s="263" t="str">
        <f t="shared" si="6"/>
        <v>Wed</v>
      </c>
      <c r="I22" s="143"/>
      <c r="J22" s="62"/>
      <c r="K22" s="46"/>
      <c r="L22" s="694" t="str">
        <f>IF($A$1,"Nombre de clients prévu","Projected Guest Counts")</f>
        <v>Projected Guest Counts</v>
      </c>
      <c r="M22" s="694"/>
      <c r="N22" s="694"/>
      <c r="O22" s="83">
        <f>SUM(E19:E47)</f>
        <v>0</v>
      </c>
      <c r="P22" s="46"/>
    </row>
    <row r="23" spans="1:24" ht="14.55" customHeight="1">
      <c r="A23" s="553"/>
      <c r="B23" s="564">
        <f t="shared" si="4"/>
        <v>45327</v>
      </c>
      <c r="C23" s="565" t="str">
        <f t="shared" si="5"/>
        <v>Mon</v>
      </c>
      <c r="D23" s="559"/>
      <c r="E23" s="472"/>
      <c r="F23" s="88"/>
      <c r="G23" s="262">
        <f t="shared" si="7"/>
        <v>5</v>
      </c>
      <c r="H23" s="263" t="str">
        <f t="shared" si="6"/>
        <v>Thu</v>
      </c>
      <c r="I23" s="143"/>
      <c r="J23" s="62"/>
      <c r="K23" s="46"/>
      <c r="L23" s="694" t="str">
        <f>IF($A$1,"TPÉH cible","Targeted  TPCH")</f>
        <v>Targeted  TPCH</v>
      </c>
      <c r="M23" s="694"/>
      <c r="N23" s="694"/>
      <c r="O23" s="79"/>
      <c r="P23" s="46"/>
    </row>
    <row r="24" spans="1:24" ht="14.55" customHeight="1">
      <c r="A24" s="553"/>
      <c r="B24" s="564">
        <f t="shared" si="4"/>
        <v>45328</v>
      </c>
      <c r="C24" s="565" t="str">
        <f t="shared" si="5"/>
        <v>Tue</v>
      </c>
      <c r="D24" s="559"/>
      <c r="E24" s="527"/>
      <c r="F24" s="533"/>
      <c r="G24" s="532">
        <f t="shared" si="7"/>
        <v>6</v>
      </c>
      <c r="H24" s="531" t="str">
        <f t="shared" si="6"/>
        <v>Fri</v>
      </c>
      <c r="I24" s="143"/>
      <c r="J24" s="62"/>
      <c r="K24" s="46"/>
      <c r="L24" s="694" t="str">
        <f>IF($A$1,"Heures prévues allouées","Projected Hours allowed")</f>
        <v>Projected Hours allowed</v>
      </c>
      <c r="M24" s="694"/>
      <c r="N24" s="694"/>
      <c r="O24" s="83"/>
      <c r="P24" s="46"/>
    </row>
    <row r="25" spans="1:24" ht="14.55" customHeight="1">
      <c r="A25" s="553"/>
      <c r="B25" s="564">
        <f t="shared" si="4"/>
        <v>45329</v>
      </c>
      <c r="C25" s="565" t="str">
        <f t="shared" si="5"/>
        <v>Wed</v>
      </c>
      <c r="D25" s="559"/>
      <c r="E25" s="527"/>
      <c r="F25" s="533"/>
      <c r="G25" s="532">
        <f t="shared" si="7"/>
        <v>7</v>
      </c>
      <c r="H25" s="531" t="str">
        <f t="shared" si="6"/>
        <v>Sat</v>
      </c>
      <c r="I25" s="62"/>
      <c r="J25" s="62"/>
      <c r="K25" s="46"/>
      <c r="L25" s="694" t="str">
        <f>IF($A$1,"Salaire jours fériés/cours (heures)","Salary Holidays / Classes (Hours)")</f>
        <v>Salary Holidays / Classes (Hours)</v>
      </c>
      <c r="M25" s="694"/>
      <c r="N25" s="694"/>
      <c r="O25" s="79"/>
      <c r="P25" s="46"/>
    </row>
    <row r="26" spans="1:24" ht="14.55" customHeight="1">
      <c r="A26" s="553"/>
      <c r="B26" s="564">
        <f t="shared" si="4"/>
        <v>45330</v>
      </c>
      <c r="C26" s="565" t="str">
        <f t="shared" si="5"/>
        <v>Thu</v>
      </c>
      <c r="D26" s="559"/>
      <c r="E26" s="527"/>
      <c r="F26" s="533"/>
      <c r="G26" s="532">
        <f t="shared" si="7"/>
        <v>8</v>
      </c>
      <c r="H26" s="531" t="str">
        <f t="shared" si="6"/>
        <v>Sun</v>
      </c>
      <c r="I26" s="62"/>
      <c r="J26" s="62"/>
      <c r="K26" s="46"/>
      <c r="L26" s="694" t="str">
        <f>IF($A$1,"TPÉH prévues","Projected TPCH")</f>
        <v>Projected TPCH</v>
      </c>
      <c r="M26" s="694"/>
      <c r="N26" s="694"/>
      <c r="O26" s="84"/>
      <c r="P26" s="46"/>
    </row>
    <row r="27" spans="1:24">
      <c r="A27" s="553"/>
      <c r="B27" s="564">
        <f t="shared" si="4"/>
        <v>45331</v>
      </c>
      <c r="C27" s="565" t="str">
        <f t="shared" si="5"/>
        <v>Fri</v>
      </c>
      <c r="D27" s="559"/>
      <c r="E27" s="527"/>
      <c r="F27" s="533"/>
      <c r="G27" s="532">
        <f t="shared" si="7"/>
        <v>9</v>
      </c>
      <c r="H27" s="531" t="str">
        <f t="shared" si="6"/>
        <v>Mon</v>
      </c>
      <c r="I27" s="62"/>
      <c r="J27" s="62"/>
      <c r="K27" s="46"/>
      <c r="L27" s="694" t="str">
        <f>IF($A$1,"% de main-d'œuvre prévue de l'état des résultats","P&amp;L Planned Labour %")</f>
        <v>P&amp;L Planned Labour %</v>
      </c>
      <c r="M27" s="694"/>
      <c r="N27" s="694"/>
      <c r="O27" s="87"/>
      <c r="P27" s="46"/>
    </row>
    <row r="28" spans="1:24">
      <c r="A28" s="553"/>
      <c r="B28" s="564">
        <f t="shared" si="4"/>
        <v>45332</v>
      </c>
      <c r="C28" s="565" t="str">
        <f t="shared" si="5"/>
        <v>Sat</v>
      </c>
      <c r="D28" s="559"/>
      <c r="E28" s="527"/>
      <c r="F28" s="533"/>
      <c r="G28" s="532">
        <f t="shared" si="7"/>
        <v>10</v>
      </c>
      <c r="H28" s="531" t="str">
        <f t="shared" si="6"/>
        <v>Tue</v>
      </c>
      <c r="I28" s="62"/>
      <c r="J28" s="62"/>
      <c r="K28" s="46"/>
      <c r="L28" s="46"/>
      <c r="M28" s="46"/>
      <c r="N28" s="46"/>
      <c r="O28" s="46"/>
      <c r="P28" s="46"/>
    </row>
    <row r="29" spans="1:24" ht="14.65" thickBot="1">
      <c r="A29" s="553"/>
      <c r="B29" s="564">
        <f t="shared" si="4"/>
        <v>45333</v>
      </c>
      <c r="C29" s="565" t="str">
        <f t="shared" si="5"/>
        <v>Sun</v>
      </c>
      <c r="D29" s="559"/>
      <c r="E29" s="527"/>
      <c r="F29" s="533"/>
      <c r="G29" s="532">
        <f t="shared" si="7"/>
        <v>11</v>
      </c>
      <c r="H29" s="531" t="str">
        <f t="shared" si="6"/>
        <v>Wed</v>
      </c>
      <c r="I29" s="62"/>
      <c r="J29" s="62"/>
      <c r="K29" s="46"/>
      <c r="L29" s="692"/>
      <c r="M29" s="692"/>
      <c r="N29" s="692"/>
      <c r="O29" s="85"/>
      <c r="P29" s="46"/>
    </row>
    <row r="30" spans="1:24" ht="15" customHeight="1">
      <c r="A30" s="89"/>
      <c r="B30" s="137">
        <f t="shared" si="4"/>
        <v>45334</v>
      </c>
      <c r="C30" s="138" t="str">
        <f t="shared" si="5"/>
        <v>Mon</v>
      </c>
      <c r="D30" s="471"/>
      <c r="E30" s="527"/>
      <c r="F30" s="533"/>
      <c r="G30" s="532">
        <f t="shared" si="7"/>
        <v>12</v>
      </c>
      <c r="H30" s="531" t="str">
        <f t="shared" si="6"/>
        <v>Thu</v>
      </c>
      <c r="I30" s="62"/>
      <c r="J30" s="62"/>
      <c r="K30" s="46"/>
      <c r="L30" s="683" t="str">
        <f>IF($A$1,"Les valeurs calculées s'entreront dans votre Agenda de planification et horaire de l'équipe de gestion. "," The calculated values will automatically populate to  your 'Planner' and 'Management Schedule'.")</f>
        <v xml:space="preserve"> The calculated values will automatically populate to  your 'Planner' and 'Management Schedule'.</v>
      </c>
      <c r="M30" s="684"/>
      <c r="N30" s="684"/>
      <c r="O30" s="685"/>
      <c r="P30" s="86"/>
      <c r="Q30" s="50"/>
      <c r="R30" s="50"/>
      <c r="S30" s="50"/>
      <c r="T30" s="50"/>
      <c r="U30" s="50"/>
      <c r="V30" s="50"/>
      <c r="W30" s="50"/>
      <c r="X30" s="50"/>
    </row>
    <row r="31" spans="1:24" ht="14.65" thickBot="1">
      <c r="A31" s="89"/>
      <c r="B31" s="137">
        <f t="shared" si="4"/>
        <v>45335</v>
      </c>
      <c r="C31" s="138" t="str">
        <f t="shared" si="5"/>
        <v>Tue</v>
      </c>
      <c r="D31" s="471"/>
      <c r="E31" s="472"/>
      <c r="F31" s="88"/>
      <c r="G31" s="262">
        <f t="shared" si="7"/>
        <v>13</v>
      </c>
      <c r="H31" s="263" t="str">
        <f t="shared" si="6"/>
        <v>Fri</v>
      </c>
      <c r="I31" s="62"/>
      <c r="J31" s="62"/>
      <c r="K31" s="46"/>
      <c r="L31" s="686"/>
      <c r="M31" s="687"/>
      <c r="N31" s="687"/>
      <c r="O31" s="688"/>
      <c r="P31" s="46"/>
    </row>
    <row r="32" spans="1:24">
      <c r="A32" s="89"/>
      <c r="B32" s="137">
        <f t="shared" si="4"/>
        <v>45336</v>
      </c>
      <c r="C32" s="138" t="str">
        <f t="shared" si="5"/>
        <v>Wed</v>
      </c>
      <c r="D32" s="471"/>
      <c r="E32" s="472"/>
      <c r="F32" s="88"/>
      <c r="G32" s="262">
        <f t="shared" si="7"/>
        <v>14</v>
      </c>
      <c r="H32" s="263" t="str">
        <f t="shared" si="6"/>
        <v>Sat</v>
      </c>
      <c r="I32" s="62"/>
      <c r="J32" s="62"/>
      <c r="K32" s="46"/>
      <c r="L32" s="46"/>
      <c r="M32" s="73"/>
      <c r="N32" s="73"/>
      <c r="O32" s="46"/>
      <c r="P32" s="46"/>
    </row>
    <row r="33" spans="1:16">
      <c r="A33" s="89"/>
      <c r="B33" s="137">
        <f t="shared" si="4"/>
        <v>45337</v>
      </c>
      <c r="C33" s="138" t="str">
        <f t="shared" si="5"/>
        <v>Thu</v>
      </c>
      <c r="D33" s="471"/>
      <c r="E33" s="472"/>
      <c r="F33" s="88"/>
      <c r="G33" s="262">
        <f t="shared" si="7"/>
        <v>15</v>
      </c>
      <c r="H33" s="263" t="str">
        <f t="shared" si="6"/>
        <v>Sun</v>
      </c>
      <c r="I33" s="62"/>
      <c r="J33" s="62"/>
      <c r="K33" s="46"/>
      <c r="L33" s="46"/>
      <c r="M33" s="46"/>
      <c r="N33" s="46"/>
      <c r="O33" s="46"/>
      <c r="P33" s="46"/>
    </row>
    <row r="34" spans="1:16">
      <c r="A34" s="89"/>
      <c r="B34" s="137">
        <f t="shared" si="4"/>
        <v>45338</v>
      </c>
      <c r="C34" s="138" t="str">
        <f t="shared" si="5"/>
        <v>Fri</v>
      </c>
      <c r="D34" s="471"/>
      <c r="E34" s="472"/>
      <c r="F34" s="88"/>
      <c r="G34" s="262">
        <f t="shared" si="7"/>
        <v>16</v>
      </c>
      <c r="H34" s="263" t="str">
        <f t="shared" si="6"/>
        <v>Mon</v>
      </c>
      <c r="I34" s="62"/>
      <c r="J34" s="62"/>
      <c r="K34" s="46"/>
      <c r="L34" s="46"/>
      <c r="M34" s="46"/>
      <c r="N34" s="46"/>
      <c r="O34" s="46"/>
      <c r="P34" s="46"/>
    </row>
    <row r="35" spans="1:16">
      <c r="A35" s="89"/>
      <c r="B35" s="137">
        <f t="shared" si="4"/>
        <v>45339</v>
      </c>
      <c r="C35" s="138" t="str">
        <f t="shared" si="5"/>
        <v>Sat</v>
      </c>
      <c r="D35" s="471"/>
      <c r="E35" s="472"/>
      <c r="F35" s="88"/>
      <c r="G35" s="262">
        <f t="shared" si="7"/>
        <v>17</v>
      </c>
      <c r="H35" s="263" t="str">
        <f t="shared" si="6"/>
        <v>Tue</v>
      </c>
      <c r="I35" s="62"/>
      <c r="J35" s="62"/>
      <c r="K35" s="46"/>
      <c r="L35" s="46"/>
      <c r="M35" s="46"/>
      <c r="N35" s="46"/>
      <c r="O35" s="46"/>
      <c r="P35" s="46"/>
    </row>
    <row r="36" spans="1:16">
      <c r="A36" s="89"/>
      <c r="B36" s="137">
        <f t="shared" si="4"/>
        <v>45340</v>
      </c>
      <c r="C36" s="138" t="str">
        <f t="shared" si="5"/>
        <v>Sun</v>
      </c>
      <c r="D36" s="471"/>
      <c r="E36" s="472"/>
      <c r="F36" s="88"/>
      <c r="G36" s="262">
        <f t="shared" si="7"/>
        <v>18</v>
      </c>
      <c r="H36" s="263" t="str">
        <f t="shared" si="6"/>
        <v>Wed</v>
      </c>
      <c r="I36" s="62"/>
      <c r="J36" s="62"/>
      <c r="K36" s="46"/>
      <c r="L36" s="46"/>
      <c r="M36" s="46"/>
      <c r="N36" s="46"/>
      <c r="O36" s="46"/>
      <c r="P36" s="46"/>
    </row>
    <row r="37" spans="1:16">
      <c r="A37" s="553"/>
      <c r="B37" s="564">
        <f t="shared" si="4"/>
        <v>45341</v>
      </c>
      <c r="C37" s="565" t="str">
        <f t="shared" si="5"/>
        <v>Mon</v>
      </c>
      <c r="D37" s="559"/>
      <c r="E37" s="472"/>
      <c r="F37" s="88"/>
      <c r="G37" s="262">
        <f t="shared" si="7"/>
        <v>19</v>
      </c>
      <c r="H37" s="263" t="str">
        <f t="shared" si="6"/>
        <v>Thu</v>
      </c>
      <c r="I37" s="62"/>
      <c r="J37" s="62"/>
      <c r="K37" s="46"/>
      <c r="L37" s="46"/>
      <c r="M37" s="46"/>
      <c r="N37" s="46"/>
      <c r="O37" s="46"/>
      <c r="P37" s="46"/>
    </row>
    <row r="38" spans="1:16">
      <c r="A38" s="553"/>
      <c r="B38" s="564">
        <f t="shared" si="4"/>
        <v>45342</v>
      </c>
      <c r="C38" s="565" t="str">
        <f t="shared" si="5"/>
        <v>Tue</v>
      </c>
      <c r="D38" s="559"/>
      <c r="E38" s="527"/>
      <c r="F38" s="533"/>
      <c r="G38" s="532">
        <f t="shared" si="7"/>
        <v>20</v>
      </c>
      <c r="H38" s="531" t="str">
        <f t="shared" si="6"/>
        <v>Fri</v>
      </c>
      <c r="I38" s="62"/>
      <c r="J38" s="62"/>
      <c r="K38" s="46"/>
      <c r="L38" s="46"/>
      <c r="M38" s="46"/>
      <c r="N38" s="46"/>
      <c r="O38" s="46"/>
      <c r="P38" s="46"/>
    </row>
    <row r="39" spans="1:16">
      <c r="A39" s="553"/>
      <c r="B39" s="564">
        <f t="shared" si="4"/>
        <v>45343</v>
      </c>
      <c r="C39" s="565" t="str">
        <f t="shared" si="5"/>
        <v>Wed</v>
      </c>
      <c r="D39" s="559"/>
      <c r="E39" s="527"/>
      <c r="F39" s="533"/>
      <c r="G39" s="532">
        <f t="shared" si="7"/>
        <v>21</v>
      </c>
      <c r="H39" s="531" t="str">
        <f t="shared" si="6"/>
        <v>Sat</v>
      </c>
      <c r="I39" s="62"/>
      <c r="J39" s="62"/>
      <c r="K39" s="46"/>
      <c r="L39" s="46"/>
      <c r="M39" s="46"/>
      <c r="N39" s="46"/>
      <c r="O39" s="46"/>
      <c r="P39" s="46"/>
    </row>
    <row r="40" spans="1:16">
      <c r="A40" s="553"/>
      <c r="B40" s="564">
        <f t="shared" si="4"/>
        <v>45344</v>
      </c>
      <c r="C40" s="565" t="str">
        <f t="shared" si="5"/>
        <v>Thu</v>
      </c>
      <c r="D40" s="559"/>
      <c r="E40" s="527"/>
      <c r="F40" s="533"/>
      <c r="G40" s="532">
        <f t="shared" si="7"/>
        <v>22</v>
      </c>
      <c r="H40" s="531" t="str">
        <f t="shared" si="6"/>
        <v>Sun</v>
      </c>
      <c r="I40" s="62"/>
      <c r="J40" s="62"/>
      <c r="K40" s="46"/>
      <c r="L40" s="46"/>
      <c r="M40" s="46"/>
      <c r="N40" s="46"/>
      <c r="O40" s="46"/>
      <c r="P40" s="46"/>
    </row>
    <row r="41" spans="1:16">
      <c r="A41" s="553"/>
      <c r="B41" s="564">
        <f t="shared" si="4"/>
        <v>45345</v>
      </c>
      <c r="C41" s="565" t="str">
        <f t="shared" si="5"/>
        <v>Fri</v>
      </c>
      <c r="D41" s="559"/>
      <c r="E41" s="527"/>
      <c r="F41" s="533"/>
      <c r="G41" s="532">
        <f t="shared" si="7"/>
        <v>23</v>
      </c>
      <c r="H41" s="531" t="str">
        <f t="shared" si="6"/>
        <v>Mon</v>
      </c>
      <c r="I41" s="62"/>
      <c r="J41" s="62"/>
      <c r="K41" s="46"/>
      <c r="L41" s="46"/>
      <c r="M41" s="46"/>
      <c r="N41" s="46"/>
      <c r="O41" s="46"/>
      <c r="P41" s="46"/>
    </row>
    <row r="42" spans="1:16">
      <c r="A42" s="553"/>
      <c r="B42" s="564">
        <f t="shared" si="4"/>
        <v>45346</v>
      </c>
      <c r="C42" s="565" t="str">
        <f t="shared" si="5"/>
        <v>Sat</v>
      </c>
      <c r="D42" s="559"/>
      <c r="E42" s="527"/>
      <c r="F42" s="533"/>
      <c r="G42" s="532">
        <f t="shared" si="7"/>
        <v>24</v>
      </c>
      <c r="H42" s="531" t="str">
        <f t="shared" si="6"/>
        <v>Tue</v>
      </c>
      <c r="I42" s="62"/>
      <c r="J42" s="62"/>
      <c r="K42" s="46"/>
      <c r="L42" s="46"/>
      <c r="M42" s="46"/>
      <c r="N42" s="46"/>
      <c r="O42" s="46"/>
      <c r="P42" s="46"/>
    </row>
    <row r="43" spans="1:16">
      <c r="A43" s="553"/>
      <c r="B43" s="564">
        <f t="shared" si="4"/>
        <v>45347</v>
      </c>
      <c r="C43" s="565" t="str">
        <f t="shared" si="5"/>
        <v>Sun</v>
      </c>
      <c r="D43" s="559"/>
      <c r="E43" s="527"/>
      <c r="F43" s="533"/>
      <c r="G43" s="532">
        <f t="shared" si="7"/>
        <v>25</v>
      </c>
      <c r="H43" s="531" t="str">
        <f t="shared" si="6"/>
        <v>Wed</v>
      </c>
      <c r="I43" s="62"/>
      <c r="J43" s="62"/>
      <c r="K43" s="46"/>
      <c r="L43" s="46"/>
      <c r="M43" s="46"/>
      <c r="N43" s="46"/>
      <c r="O43" s="46"/>
      <c r="P43" s="46"/>
    </row>
    <row r="44" spans="1:16">
      <c r="A44" s="89"/>
      <c r="B44" s="137">
        <f t="shared" si="4"/>
        <v>45348</v>
      </c>
      <c r="C44" s="138" t="str">
        <f t="shared" si="5"/>
        <v>Mon</v>
      </c>
      <c r="D44" s="471"/>
      <c r="E44" s="527"/>
      <c r="F44" s="533"/>
      <c r="G44" s="532">
        <f t="shared" si="7"/>
        <v>26</v>
      </c>
      <c r="H44" s="531" t="str">
        <f t="shared" si="6"/>
        <v>Thu</v>
      </c>
      <c r="I44" s="62"/>
      <c r="J44" s="62"/>
      <c r="K44" s="46"/>
      <c r="L44" s="46"/>
      <c r="M44" s="46"/>
      <c r="N44" s="46"/>
      <c r="O44" s="46"/>
      <c r="P44" s="46"/>
    </row>
    <row r="45" spans="1:16">
      <c r="A45" s="89"/>
      <c r="B45" s="524">
        <f t="shared" si="4"/>
        <v>45349</v>
      </c>
      <c r="C45" s="525" t="str">
        <f t="shared" si="5"/>
        <v>Tue</v>
      </c>
      <c r="D45" s="471"/>
      <c r="E45" s="472"/>
      <c r="F45" s="88"/>
      <c r="G45" s="262">
        <f t="shared" si="7"/>
        <v>27</v>
      </c>
      <c r="H45" s="263" t="str">
        <f t="shared" si="6"/>
        <v>Fri</v>
      </c>
      <c r="I45" s="62"/>
      <c r="J45" s="62"/>
      <c r="K45" s="46"/>
      <c r="L45" s="46"/>
      <c r="M45" s="46"/>
      <c r="N45" s="46"/>
      <c r="O45" s="46"/>
      <c r="P45" s="46"/>
    </row>
    <row r="46" spans="1:16">
      <c r="A46" s="89"/>
      <c r="B46" s="524">
        <f t="shared" si="4"/>
        <v>45350</v>
      </c>
      <c r="C46" s="525" t="str">
        <f t="shared" si="5"/>
        <v>Wed</v>
      </c>
      <c r="D46" s="471"/>
      <c r="E46" s="472"/>
      <c r="F46" s="88"/>
      <c r="G46" s="262">
        <f t="shared" si="7"/>
        <v>28</v>
      </c>
      <c r="H46" s="263" t="str">
        <f t="shared" si="6"/>
        <v>Sat</v>
      </c>
      <c r="I46" s="62"/>
      <c r="J46" s="62"/>
      <c r="K46" s="46"/>
      <c r="L46" s="46"/>
      <c r="M46" s="46"/>
      <c r="N46" s="46"/>
      <c r="O46" s="46"/>
      <c r="P46" s="46"/>
    </row>
    <row r="47" spans="1:16">
      <c r="A47" s="89"/>
      <c r="B47" s="524">
        <f t="shared" si="4"/>
        <v>45351</v>
      </c>
      <c r="C47" s="525" t="str">
        <f t="shared" si="5"/>
        <v>Thu</v>
      </c>
      <c r="D47" s="471"/>
      <c r="E47" s="472"/>
      <c r="F47" s="88"/>
      <c r="G47" s="262">
        <f t="shared" si="7"/>
        <v>29</v>
      </c>
      <c r="H47" s="263" t="str">
        <f t="shared" si="6"/>
        <v>Sun</v>
      </c>
      <c r="I47" s="62"/>
      <c r="J47" s="62"/>
      <c r="K47" s="46"/>
      <c r="L47" s="46"/>
      <c r="M47" s="46"/>
      <c r="N47" s="46"/>
      <c r="O47" s="46"/>
      <c r="P47" s="46"/>
    </row>
    <row r="48" spans="1:16">
      <c r="A48" s="89"/>
      <c r="B48" s="137">
        <f t="shared" si="4"/>
        <v>45352</v>
      </c>
      <c r="C48" s="138" t="str">
        <f t="shared" si="5"/>
        <v>Fri</v>
      </c>
      <c r="D48" s="471"/>
      <c r="E48" s="472"/>
      <c r="F48" s="89"/>
      <c r="G48" s="262">
        <f t="shared" si="7"/>
        <v>30</v>
      </c>
      <c r="H48" s="263" t="str">
        <f t="shared" si="6"/>
        <v>Mon</v>
      </c>
      <c r="I48" s="62"/>
      <c r="J48" s="62"/>
    </row>
    <row r="49" spans="1:10">
      <c r="A49" s="543"/>
      <c r="B49" s="137">
        <f t="shared" si="4"/>
        <v>45353</v>
      </c>
      <c r="C49" s="261" t="str">
        <f t="shared" si="5"/>
        <v>Sat</v>
      </c>
      <c r="D49" s="471"/>
      <c r="E49" s="472"/>
      <c r="F49" s="291"/>
      <c r="G49" s="262">
        <f t="shared" si="7"/>
        <v>31</v>
      </c>
      <c r="H49" s="263" t="str">
        <f t="shared" si="6"/>
        <v>Tue</v>
      </c>
      <c r="I49" s="62"/>
      <c r="J49" s="62"/>
    </row>
    <row r="50" spans="1:10">
      <c r="A50" s="543"/>
      <c r="B50" s="290">
        <f t="shared" si="4"/>
        <v>45354</v>
      </c>
      <c r="C50" s="261" t="str">
        <f t="shared" si="5"/>
        <v>Sun</v>
      </c>
      <c r="D50" s="471"/>
      <c r="E50" s="472"/>
      <c r="F50" s="291"/>
      <c r="G50" s="262">
        <f t="shared" si="7"/>
        <v>32</v>
      </c>
      <c r="H50" s="263" t="str">
        <f t="shared" si="6"/>
        <v>Wed</v>
      </c>
      <c r="I50" s="62"/>
      <c r="J50" s="62"/>
    </row>
    <row r="51" spans="1:10">
      <c r="A51" s="566"/>
      <c r="B51" s="567">
        <f t="shared" si="4"/>
        <v>45355</v>
      </c>
      <c r="C51" s="568" t="str">
        <f t="shared" si="5"/>
        <v>Mon</v>
      </c>
      <c r="D51" s="559"/>
      <c r="E51" s="472"/>
      <c r="F51" s="291"/>
      <c r="G51" s="262">
        <f t="shared" si="7"/>
        <v>33</v>
      </c>
      <c r="H51" s="263" t="str">
        <f t="shared" si="6"/>
        <v>Thu</v>
      </c>
      <c r="I51" s="62"/>
      <c r="J51" s="62"/>
    </row>
    <row r="52" spans="1:10">
      <c r="A52" s="566"/>
      <c r="B52" s="567">
        <f t="shared" si="4"/>
        <v>45356</v>
      </c>
      <c r="C52" s="568" t="str">
        <f t="shared" si="5"/>
        <v>Tue</v>
      </c>
      <c r="D52" s="559"/>
      <c r="E52" s="527"/>
      <c r="F52" s="534"/>
      <c r="G52" s="532">
        <f t="shared" si="7"/>
        <v>34</v>
      </c>
      <c r="H52" s="531" t="str">
        <f t="shared" si="6"/>
        <v>Fri</v>
      </c>
      <c r="I52" s="62"/>
      <c r="J52" s="62"/>
    </row>
    <row r="53" spans="1:10">
      <c r="A53" s="566"/>
      <c r="B53" s="567">
        <f t="shared" si="4"/>
        <v>45357</v>
      </c>
      <c r="C53" s="568" t="str">
        <f t="shared" si="5"/>
        <v>Wed</v>
      </c>
      <c r="D53" s="559"/>
      <c r="E53" s="527"/>
      <c r="F53" s="534"/>
      <c r="G53" s="535">
        <f t="shared" si="7"/>
        <v>35</v>
      </c>
      <c r="H53" s="531" t="str">
        <f t="shared" si="6"/>
        <v>Sat</v>
      </c>
      <c r="I53" s="62"/>
      <c r="J53" s="62"/>
    </row>
    <row r="54" spans="1:10">
      <c r="A54" s="566"/>
      <c r="B54" s="567">
        <f t="shared" si="4"/>
        <v>45358</v>
      </c>
      <c r="C54" s="568" t="str">
        <f t="shared" si="5"/>
        <v>Thu</v>
      </c>
      <c r="D54" s="559"/>
      <c r="E54" s="527"/>
      <c r="F54" s="534"/>
      <c r="G54" s="535">
        <f t="shared" si="7"/>
        <v>36</v>
      </c>
      <c r="H54" s="531" t="str">
        <f t="shared" si="6"/>
        <v>Sun</v>
      </c>
      <c r="I54" s="289"/>
      <c r="J54" s="289"/>
    </row>
    <row r="55" spans="1:10">
      <c r="A55" s="569"/>
      <c r="B55" s="567">
        <f t="shared" si="4"/>
        <v>45359</v>
      </c>
      <c r="C55" s="568" t="str">
        <f t="shared" si="5"/>
        <v>Fri</v>
      </c>
      <c r="D55" s="559"/>
      <c r="E55" s="527"/>
      <c r="F55" s="571"/>
      <c r="G55" s="535">
        <f t="shared" si="7"/>
        <v>37</v>
      </c>
      <c r="H55" s="531" t="str">
        <f t="shared" si="6"/>
        <v>Mon</v>
      </c>
      <c r="I55" s="289"/>
      <c r="J55" s="289"/>
    </row>
    <row r="56" spans="1:10">
      <c r="A56" s="569"/>
      <c r="B56" s="567">
        <f t="shared" si="4"/>
        <v>45360</v>
      </c>
      <c r="C56" s="568" t="str">
        <f t="shared" si="5"/>
        <v>Sat</v>
      </c>
      <c r="D56" s="559"/>
      <c r="E56" s="527"/>
      <c r="F56" s="571"/>
      <c r="G56" s="535">
        <f t="shared" si="7"/>
        <v>38</v>
      </c>
      <c r="H56" s="531" t="str">
        <f t="shared" si="6"/>
        <v>Tue</v>
      </c>
      <c r="I56" s="289"/>
      <c r="J56" s="289"/>
    </row>
    <row r="57" spans="1:10">
      <c r="A57" s="569"/>
      <c r="B57" s="567">
        <f t="shared" si="4"/>
        <v>45361</v>
      </c>
      <c r="C57" s="568" t="str">
        <f t="shared" si="5"/>
        <v>Sun</v>
      </c>
      <c r="D57" s="559"/>
      <c r="E57" s="527"/>
      <c r="F57" s="571"/>
      <c r="G57" s="535">
        <f t="shared" si="7"/>
        <v>39</v>
      </c>
      <c r="H57" s="549" t="str">
        <f t="shared" si="6"/>
        <v>Wed</v>
      </c>
      <c r="I57" s="289"/>
      <c r="J57" s="289"/>
    </row>
    <row r="58" spans="1:10">
      <c r="A58" s="475"/>
      <c r="B58" s="290">
        <f t="shared" si="4"/>
        <v>45362</v>
      </c>
      <c r="C58" s="261" t="str">
        <f t="shared" si="5"/>
        <v>Mon</v>
      </c>
      <c r="D58" s="471"/>
      <c r="E58" s="527"/>
      <c r="F58" s="571"/>
      <c r="G58" s="535">
        <f t="shared" si="7"/>
        <v>40</v>
      </c>
      <c r="H58" s="549" t="str">
        <f t="shared" si="6"/>
        <v>Thu</v>
      </c>
      <c r="I58" s="289"/>
      <c r="J58" s="289"/>
    </row>
    <row r="59" spans="1:10">
      <c r="A59" s="291"/>
      <c r="B59" s="290">
        <f t="shared" si="4"/>
        <v>45363</v>
      </c>
      <c r="C59" s="261" t="str">
        <f t="shared" si="5"/>
        <v>Tue</v>
      </c>
      <c r="D59" s="471"/>
      <c r="E59" s="472"/>
      <c r="F59" s="475"/>
      <c r="G59" s="287">
        <f t="shared" si="7"/>
        <v>41</v>
      </c>
      <c r="H59" s="495" t="str">
        <f t="shared" si="6"/>
        <v>Fri</v>
      </c>
      <c r="I59" s="294"/>
      <c r="J59" s="294"/>
    </row>
    <row r="60" spans="1:10">
      <c r="A60" s="475"/>
      <c r="B60" s="290">
        <f t="shared" si="4"/>
        <v>45364</v>
      </c>
      <c r="C60" s="261" t="str">
        <f t="shared" si="5"/>
        <v>Wed</v>
      </c>
      <c r="D60" s="471"/>
      <c r="E60" s="472"/>
      <c r="F60" s="291"/>
      <c r="G60" s="287">
        <f t="shared" si="7"/>
        <v>42</v>
      </c>
      <c r="H60" s="495" t="str">
        <f t="shared" si="6"/>
        <v>Sat</v>
      </c>
      <c r="I60" s="294"/>
      <c r="J60" s="294"/>
    </row>
    <row r="61" spans="1:10">
      <c r="A61" s="291"/>
      <c r="B61" s="290">
        <f t="shared" si="4"/>
        <v>45365</v>
      </c>
      <c r="C61" s="261" t="str">
        <f t="shared" si="5"/>
        <v>Thu</v>
      </c>
      <c r="D61" s="471"/>
      <c r="E61" s="472"/>
      <c r="F61" s="291"/>
      <c r="G61" s="287">
        <f t="shared" si="7"/>
        <v>43</v>
      </c>
      <c r="H61" s="495" t="str">
        <f t="shared" si="6"/>
        <v>Sun</v>
      </c>
      <c r="I61" s="294"/>
      <c r="J61" s="294"/>
    </row>
    <row r="62" spans="1:10">
      <c r="A62" s="291"/>
      <c r="B62" s="291"/>
      <c r="C62" s="291"/>
      <c r="D62" s="291"/>
      <c r="E62" s="291"/>
      <c r="F62" s="291"/>
      <c r="G62" s="287">
        <f t="shared" si="7"/>
        <v>44</v>
      </c>
      <c r="H62" s="495" t="str">
        <f t="shared" si="6"/>
        <v>Mon</v>
      </c>
      <c r="I62" s="294"/>
      <c r="J62" s="294"/>
    </row>
  </sheetData>
  <sheetProtection formatCells="0"/>
  <mergeCells count="18">
    <mergeCell ref="L27:N27"/>
    <mergeCell ref="C4:O4"/>
    <mergeCell ref="L30:O31"/>
    <mergeCell ref="K2:M2"/>
    <mergeCell ref="D7:E7"/>
    <mergeCell ref="C2:I2"/>
    <mergeCell ref="L29:N29"/>
    <mergeCell ref="L16:N16"/>
    <mergeCell ref="L17:N17"/>
    <mergeCell ref="L18:N18"/>
    <mergeCell ref="L19:N19"/>
    <mergeCell ref="L20:N20"/>
    <mergeCell ref="L21:N21"/>
    <mergeCell ref="L22:N22"/>
    <mergeCell ref="L23:N23"/>
    <mergeCell ref="L24:N24"/>
    <mergeCell ref="L25:N25"/>
    <mergeCell ref="L26:N26"/>
  </mergeCells>
  <printOptions horizontalCentered="1" verticalCentered="1"/>
  <pageMargins left="0" right="0" top="0" bottom="0" header="0" footer="0"/>
  <pageSetup scale="6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39"/>
  <sheetViews>
    <sheetView showGridLines="0" showRowColHeaders="0" topLeftCell="B1" workbookViewId="0">
      <selection activeCell="P10" sqref="P10"/>
    </sheetView>
  </sheetViews>
  <sheetFormatPr defaultColWidth="4" defaultRowHeight="14.25"/>
  <cols>
    <col min="1" max="1" width="4" hidden="1" customWidth="1"/>
    <col min="2" max="2" width="0.19921875" customWidth="1"/>
    <col min="3" max="4" width="5.796875" customWidth="1"/>
    <col min="5" max="5" width="8.53125" hidden="1" customWidth="1"/>
    <col min="6" max="6" width="6.265625" bestFit="1" customWidth="1"/>
  </cols>
  <sheetData>
    <row r="1" spans="1:47">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row>
    <row r="2" spans="1:47" ht="0.7" customHeight="1">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spans="1:47">
      <c r="D3" s="5"/>
      <c r="E3" s="5"/>
      <c r="F3" s="5"/>
      <c r="G3" s="5"/>
      <c r="H3" s="5"/>
      <c r="I3" s="5"/>
      <c r="J3" s="5"/>
      <c r="K3" s="5"/>
      <c r="L3" s="5"/>
      <c r="M3" s="5"/>
      <c r="N3" s="5"/>
      <c r="O3" s="5"/>
      <c r="P3" s="5"/>
      <c r="Q3" s="5"/>
      <c r="R3" s="5"/>
      <c r="S3" s="5"/>
      <c r="T3" s="5"/>
      <c r="U3" s="5"/>
      <c r="V3" s="5"/>
      <c r="W3" s="5"/>
      <c r="X3" s="712" t="str">
        <f>IF('Enter Projections'!$A$1,"Vacances","Holiday")</f>
        <v>Holiday</v>
      </c>
      <c r="Y3" s="712"/>
      <c r="Z3" s="58"/>
      <c r="AA3" s="712" t="str">
        <f>IF('Enter Projections'!$A$1,"Congés","Book Offs")</f>
        <v>Book Offs</v>
      </c>
      <c r="AB3" s="712"/>
      <c r="AC3" s="712"/>
      <c r="AD3" s="58"/>
      <c r="AE3" s="704" t="str">
        <f>IF('Enter Projections'!$A$1,"Jours fériés ","Stat Hol")</f>
        <v>Stat Hol</v>
      </c>
      <c r="AF3" s="704"/>
      <c r="AG3" s="58"/>
      <c r="AH3" s="704" t="str">
        <f>IF('Enter Projections'!$A$1,"Cours de formation","Classes")</f>
        <v>Classes</v>
      </c>
      <c r="AI3" s="704"/>
      <c r="AJ3" s="58"/>
      <c r="AK3" s="712" t="str">
        <f>IF('Enter Projections'!$A$1,"Horaires","Schedules")</f>
        <v>Schedules</v>
      </c>
      <c r="AL3" s="712"/>
      <c r="AM3" s="712"/>
      <c r="AN3" s="58"/>
      <c r="AO3" s="704" t="str">
        <f>IF('Enter Projections'!$A$1,"Réunions","Meet")</f>
        <v>Meet</v>
      </c>
      <c r="AP3" s="704"/>
      <c r="AQ3" s="5"/>
    </row>
    <row r="4" spans="1:47" ht="65.2" customHeight="1" thickBot="1">
      <c r="C4" s="51"/>
      <c r="D4" s="5"/>
      <c r="E4" s="5"/>
      <c r="F4" s="714" t="str">
        <f>IF('Enter Projections'!$A$1,"Entrez les données requises (vacances, demandes de congés, cours, MB et entretien de l'appareil à laits ultra-frappés et à lait glacé).","Enter required information (Vacations, Book Off requests, TRC, MB, and Shake PM)")</f>
        <v>Enter required information (Vacations, Book Off requests, TRC, MB, and Shake PM)</v>
      </c>
      <c r="G4" s="714"/>
      <c r="H4" s="714"/>
      <c r="I4" s="714"/>
      <c r="J4" s="714"/>
      <c r="K4" s="714"/>
      <c r="L4" s="714"/>
      <c r="M4" s="714"/>
      <c r="N4" s="714"/>
      <c r="O4" s="714"/>
      <c r="P4" s="714"/>
      <c r="Q4" s="714"/>
      <c r="R4" s="714"/>
      <c r="S4" s="714"/>
      <c r="T4" s="714"/>
      <c r="U4" s="714"/>
      <c r="V4" s="714"/>
      <c r="W4" s="5"/>
      <c r="X4" s="715" t="s">
        <v>2</v>
      </c>
      <c r="Y4" s="715"/>
      <c r="Z4" s="5"/>
      <c r="AA4" s="710" t="s">
        <v>3</v>
      </c>
      <c r="AB4" s="710"/>
      <c r="AC4" s="710"/>
      <c r="AD4" s="5"/>
      <c r="AE4" s="709" t="s">
        <v>4</v>
      </c>
      <c r="AF4" s="709"/>
      <c r="AG4" s="5"/>
      <c r="AH4" s="711" t="s">
        <v>5</v>
      </c>
      <c r="AI4" s="711"/>
      <c r="AJ4" s="5"/>
      <c r="AK4" s="713" t="s">
        <v>6</v>
      </c>
      <c r="AL4" s="713"/>
      <c r="AM4" s="713"/>
      <c r="AN4" s="5"/>
      <c r="AO4" s="705" t="s">
        <v>7</v>
      </c>
      <c r="AP4" s="705"/>
      <c r="AQ4" s="5"/>
    </row>
    <row r="5" spans="1:47">
      <c r="D5" s="5"/>
      <c r="E5" s="5" t="str">
        <f>TEXT(E6,"ddd")</f>
        <v>Sat</v>
      </c>
      <c r="F5" s="171" t="str">
        <f t="shared" ref="F5:AU5" si="0">TEXT(F6,"ddd")</f>
        <v>Mon</v>
      </c>
      <c r="G5" s="172" t="str">
        <f t="shared" si="0"/>
        <v>Tue</v>
      </c>
      <c r="H5" s="172" t="str">
        <f t="shared" si="0"/>
        <v>Wed</v>
      </c>
      <c r="I5" s="172" t="str">
        <f t="shared" si="0"/>
        <v>Thu</v>
      </c>
      <c r="J5" s="172" t="str">
        <f t="shared" si="0"/>
        <v>Fri</v>
      </c>
      <c r="K5" s="172" t="str">
        <f t="shared" si="0"/>
        <v>Sat</v>
      </c>
      <c r="L5" s="173" t="str">
        <f t="shared" si="0"/>
        <v>Sun</v>
      </c>
      <c r="M5" s="176" t="str">
        <f t="shared" si="0"/>
        <v>Mon</v>
      </c>
      <c r="N5" s="174" t="str">
        <f t="shared" si="0"/>
        <v>Tue</v>
      </c>
      <c r="O5" s="174" t="str">
        <f t="shared" si="0"/>
        <v>Wed</v>
      </c>
      <c r="P5" s="174" t="str">
        <f t="shared" si="0"/>
        <v>Thu</v>
      </c>
      <c r="Q5" s="174" t="str">
        <f t="shared" si="0"/>
        <v>Fri</v>
      </c>
      <c r="R5" s="174" t="str">
        <f t="shared" si="0"/>
        <v>Sat</v>
      </c>
      <c r="S5" s="175" t="str">
        <f t="shared" si="0"/>
        <v>Sun</v>
      </c>
      <c r="T5" s="179" t="str">
        <f t="shared" si="0"/>
        <v>Mon</v>
      </c>
      <c r="U5" s="177" t="str">
        <f t="shared" si="0"/>
        <v>Tue</v>
      </c>
      <c r="V5" s="177" t="str">
        <f t="shared" si="0"/>
        <v>Wed</v>
      </c>
      <c r="W5" s="177" t="str">
        <f t="shared" si="0"/>
        <v>Thu</v>
      </c>
      <c r="X5" s="177" t="str">
        <f t="shared" si="0"/>
        <v>Fri</v>
      </c>
      <c r="Y5" s="177" t="str">
        <f t="shared" si="0"/>
        <v>Sat</v>
      </c>
      <c r="Z5" s="178" t="str">
        <f t="shared" si="0"/>
        <v>Sun</v>
      </c>
      <c r="AA5" s="170" t="str">
        <f t="shared" si="0"/>
        <v>Mon</v>
      </c>
      <c r="AB5" s="168" t="str">
        <f t="shared" si="0"/>
        <v>Tue</v>
      </c>
      <c r="AC5" s="168" t="str">
        <f t="shared" si="0"/>
        <v>Wed</v>
      </c>
      <c r="AD5" s="168" t="str">
        <f t="shared" si="0"/>
        <v>Thu</v>
      </c>
      <c r="AE5" s="168" t="str">
        <f t="shared" si="0"/>
        <v>Fri</v>
      </c>
      <c r="AF5" s="168" t="str">
        <f t="shared" si="0"/>
        <v>Sat</v>
      </c>
      <c r="AG5" s="169" t="str">
        <f t="shared" si="0"/>
        <v>Sun</v>
      </c>
      <c r="AH5" s="181" t="str">
        <f t="shared" si="0"/>
        <v>Mon</v>
      </c>
      <c r="AI5" s="180" t="str">
        <f t="shared" si="0"/>
        <v>Tue</v>
      </c>
      <c r="AJ5" s="180" t="str">
        <f t="shared" si="0"/>
        <v>Wed</v>
      </c>
      <c r="AK5" s="180" t="str">
        <f t="shared" si="0"/>
        <v>Thu</v>
      </c>
      <c r="AL5" s="180" t="str">
        <f t="shared" si="0"/>
        <v>Fri</v>
      </c>
      <c r="AM5" s="180" t="str">
        <f t="shared" si="0"/>
        <v>Sat</v>
      </c>
      <c r="AN5" s="267" t="str">
        <f t="shared" si="0"/>
        <v>Sun</v>
      </c>
      <c r="AO5" s="268" t="str">
        <f t="shared" si="0"/>
        <v>Mon</v>
      </c>
      <c r="AP5" s="269" t="str">
        <f t="shared" si="0"/>
        <v>Tue</v>
      </c>
      <c r="AQ5" s="269" t="str">
        <f t="shared" si="0"/>
        <v>Wed</v>
      </c>
      <c r="AR5" s="269" t="str">
        <f t="shared" si="0"/>
        <v>Thu</v>
      </c>
      <c r="AS5" s="269" t="str">
        <f t="shared" si="0"/>
        <v>Fri</v>
      </c>
      <c r="AT5" s="269" t="str">
        <f t="shared" si="0"/>
        <v>Sat</v>
      </c>
      <c r="AU5" s="270" t="str">
        <f t="shared" si="0"/>
        <v>Sun</v>
      </c>
    </row>
    <row r="6" spans="1:47" ht="13.05" customHeight="1">
      <c r="D6" s="44" t="s">
        <v>8</v>
      </c>
      <c r="E6" s="552">
        <f>'Enter Projections'!A14</f>
        <v>45318</v>
      </c>
      <c r="F6" s="125">
        <f>'Enter Projections'!A16</f>
        <v>45320</v>
      </c>
      <c r="G6" s="52">
        <f>F6+DAY(1)</f>
        <v>45321</v>
      </c>
      <c r="H6" s="52">
        <f t="shared" ref="H6:AJ6" si="1">G6+DAY(1)</f>
        <v>45322</v>
      </c>
      <c r="I6" s="52">
        <f t="shared" si="1"/>
        <v>45323</v>
      </c>
      <c r="J6" s="52">
        <f t="shared" si="1"/>
        <v>45324</v>
      </c>
      <c r="K6" s="52">
        <f t="shared" si="1"/>
        <v>45325</v>
      </c>
      <c r="L6" s="126">
        <f t="shared" si="1"/>
        <v>45326</v>
      </c>
      <c r="M6" s="136">
        <f t="shared" si="1"/>
        <v>45327</v>
      </c>
      <c r="N6" s="52">
        <f t="shared" si="1"/>
        <v>45328</v>
      </c>
      <c r="O6" s="52">
        <f t="shared" si="1"/>
        <v>45329</v>
      </c>
      <c r="P6" s="52">
        <f t="shared" si="1"/>
        <v>45330</v>
      </c>
      <c r="Q6" s="52">
        <f t="shared" si="1"/>
        <v>45331</v>
      </c>
      <c r="R6" s="52">
        <f t="shared" si="1"/>
        <v>45332</v>
      </c>
      <c r="S6" s="126">
        <f t="shared" si="1"/>
        <v>45333</v>
      </c>
      <c r="T6" s="136">
        <f t="shared" si="1"/>
        <v>45334</v>
      </c>
      <c r="U6" s="52">
        <f t="shared" si="1"/>
        <v>45335</v>
      </c>
      <c r="V6" s="52">
        <f t="shared" si="1"/>
        <v>45336</v>
      </c>
      <c r="W6" s="52">
        <f t="shared" si="1"/>
        <v>45337</v>
      </c>
      <c r="X6" s="52">
        <f t="shared" si="1"/>
        <v>45338</v>
      </c>
      <c r="Y6" s="52">
        <f t="shared" si="1"/>
        <v>45339</v>
      </c>
      <c r="Z6" s="126">
        <f t="shared" si="1"/>
        <v>45340</v>
      </c>
      <c r="AA6" s="136">
        <f t="shared" si="1"/>
        <v>45341</v>
      </c>
      <c r="AB6" s="52">
        <f t="shared" si="1"/>
        <v>45342</v>
      </c>
      <c r="AC6" s="52">
        <f t="shared" si="1"/>
        <v>45343</v>
      </c>
      <c r="AD6" s="52">
        <f t="shared" si="1"/>
        <v>45344</v>
      </c>
      <c r="AE6" s="52">
        <f t="shared" si="1"/>
        <v>45345</v>
      </c>
      <c r="AF6" s="52">
        <f t="shared" si="1"/>
        <v>45346</v>
      </c>
      <c r="AG6" s="126">
        <f t="shared" si="1"/>
        <v>45347</v>
      </c>
      <c r="AH6" s="136">
        <f t="shared" si="1"/>
        <v>45348</v>
      </c>
      <c r="AI6" s="52">
        <f t="shared" si="1"/>
        <v>45349</v>
      </c>
      <c r="AJ6" s="52">
        <f t="shared" si="1"/>
        <v>45350</v>
      </c>
      <c r="AK6" s="52">
        <f t="shared" ref="AK6:AP6" si="2">AJ6+DAY(1)</f>
        <v>45351</v>
      </c>
      <c r="AL6" s="52">
        <f t="shared" si="2"/>
        <v>45352</v>
      </c>
      <c r="AM6" s="52">
        <f t="shared" si="2"/>
        <v>45353</v>
      </c>
      <c r="AN6" s="126">
        <f>AM6+DAY(1)</f>
        <v>45354</v>
      </c>
      <c r="AO6" s="136">
        <f t="shared" si="2"/>
        <v>45355</v>
      </c>
      <c r="AP6" s="52">
        <f t="shared" si="2"/>
        <v>45356</v>
      </c>
      <c r="AQ6" s="52">
        <f t="shared" ref="AQ6" si="3">AP6+DAY(1)</f>
        <v>45357</v>
      </c>
      <c r="AR6" s="52">
        <f t="shared" ref="AR6" si="4">AQ6+DAY(1)</f>
        <v>45358</v>
      </c>
      <c r="AS6" s="52">
        <f t="shared" ref="AS6" si="5">AR6+DAY(1)</f>
        <v>45359</v>
      </c>
      <c r="AT6" s="52">
        <f t="shared" ref="AT6" si="6">AS6+DAY(1)</f>
        <v>45360</v>
      </c>
      <c r="AU6" s="126">
        <f t="shared" ref="AU6" si="7">AT6+DAY(1)</f>
        <v>45361</v>
      </c>
    </row>
    <row r="7" spans="1:47" ht="13.05" customHeight="1">
      <c r="B7" s="6">
        <v>45323</v>
      </c>
      <c r="C7" s="2" t="str">
        <f t="shared" ref="C7:C37" si="8">TEXT(B7,"ddd")</f>
        <v>Thu</v>
      </c>
      <c r="D7" s="121" t="s">
        <v>72</v>
      </c>
      <c r="E7" s="127" t="s">
        <v>6</v>
      </c>
      <c r="F7" s="127"/>
      <c r="G7" s="120"/>
      <c r="H7" s="120"/>
      <c r="I7" s="120"/>
      <c r="J7" s="120"/>
      <c r="K7" s="120"/>
      <c r="L7" s="128"/>
      <c r="M7" s="127"/>
      <c r="N7" s="120"/>
      <c r="O7" s="120"/>
      <c r="P7" s="120"/>
      <c r="Q7" s="120"/>
      <c r="R7" s="120"/>
      <c r="S7" s="128"/>
      <c r="T7" s="127"/>
      <c r="U7" s="120"/>
      <c r="V7" s="120"/>
      <c r="W7" s="120"/>
      <c r="X7" s="120"/>
      <c r="Y7" s="120"/>
      <c r="Z7" s="128"/>
      <c r="AA7" s="127"/>
      <c r="AB7" s="120"/>
      <c r="AC7" s="120"/>
      <c r="AD7" s="120"/>
      <c r="AE7" s="120"/>
      <c r="AF7" s="120"/>
      <c r="AG7" s="128"/>
      <c r="AH7" s="127"/>
      <c r="AI7" s="120"/>
      <c r="AJ7" s="120"/>
      <c r="AK7" s="120"/>
      <c r="AL7" s="120"/>
      <c r="AM7" s="120"/>
      <c r="AN7" s="128"/>
      <c r="AO7" s="127"/>
      <c r="AP7" s="120"/>
      <c r="AQ7" s="120"/>
      <c r="AR7" s="120"/>
      <c r="AS7" s="120"/>
      <c r="AT7" s="120"/>
      <c r="AU7" s="128"/>
    </row>
    <row r="8" spans="1:47" ht="13.05" customHeight="1">
      <c r="A8" s="3"/>
      <c r="B8" s="1">
        <f t="shared" ref="B8:B37" si="9">B7+DAY(1)</f>
        <v>45324</v>
      </c>
      <c r="C8" s="2" t="str">
        <f t="shared" si="8"/>
        <v>Fri</v>
      </c>
      <c r="D8" s="53" t="s">
        <v>73</v>
      </c>
      <c r="E8" s="129" t="s">
        <v>10</v>
      </c>
      <c r="F8" s="129"/>
      <c r="G8" s="47"/>
      <c r="H8" s="47"/>
      <c r="I8" s="47"/>
      <c r="J8" s="47"/>
      <c r="K8" s="47"/>
      <c r="L8" s="130"/>
      <c r="M8" s="129" t="s">
        <v>3</v>
      </c>
      <c r="N8" s="47"/>
      <c r="O8" s="47"/>
      <c r="P8" s="47"/>
      <c r="Q8" s="47"/>
      <c r="R8" s="47"/>
      <c r="S8" s="130"/>
      <c r="T8" s="129"/>
      <c r="U8" s="47"/>
      <c r="V8" s="47"/>
      <c r="W8" s="47"/>
      <c r="X8" s="47"/>
      <c r="Y8" s="47"/>
      <c r="Z8" s="130"/>
      <c r="AA8" s="129"/>
      <c r="AB8" s="47"/>
      <c r="AC8" s="47"/>
      <c r="AD8" s="47"/>
      <c r="AE8" s="47"/>
      <c r="AF8" s="47"/>
      <c r="AG8" s="130"/>
      <c r="AH8" s="129"/>
      <c r="AI8" s="47"/>
      <c r="AJ8" s="47"/>
      <c r="AK8" s="47"/>
      <c r="AL8" s="47"/>
      <c r="AM8" s="47"/>
      <c r="AN8" s="130"/>
      <c r="AO8" s="129"/>
      <c r="AP8" s="47"/>
      <c r="AQ8" s="47"/>
      <c r="AR8" s="47"/>
      <c r="AS8" s="47"/>
      <c r="AT8" s="47"/>
      <c r="AU8" s="130"/>
    </row>
    <row r="9" spans="1:47" ht="13.05" customHeight="1">
      <c r="A9" s="3"/>
      <c r="B9" s="1">
        <f t="shared" si="9"/>
        <v>45325</v>
      </c>
      <c r="C9" s="2" t="str">
        <f t="shared" si="8"/>
        <v>Sat</v>
      </c>
      <c r="D9" s="121" t="s">
        <v>74</v>
      </c>
      <c r="E9" s="127"/>
      <c r="F9" s="127"/>
      <c r="G9" s="120"/>
      <c r="H9" s="120"/>
      <c r="I9" s="120"/>
      <c r="J9" s="120"/>
      <c r="K9" s="120"/>
      <c r="L9" s="128"/>
      <c r="M9" s="127"/>
      <c r="N9" s="120"/>
      <c r="O9" s="120"/>
      <c r="P9" s="120"/>
      <c r="Q9" s="120"/>
      <c r="R9" s="120"/>
      <c r="S9" s="128"/>
      <c r="T9" s="127"/>
      <c r="U9" s="120"/>
      <c r="V9" s="120"/>
      <c r="W9" s="120"/>
      <c r="X9" s="120"/>
      <c r="Y9" s="120"/>
      <c r="Z9" s="128"/>
      <c r="AA9" s="127"/>
      <c r="AB9" s="120"/>
      <c r="AC9" s="120"/>
      <c r="AD9" s="120"/>
      <c r="AE9" s="120"/>
      <c r="AF9" s="120"/>
      <c r="AG9" s="128"/>
      <c r="AH9" s="127"/>
      <c r="AI9" s="120"/>
      <c r="AJ9" s="120"/>
      <c r="AK9" s="120"/>
      <c r="AL9" s="120"/>
      <c r="AM9" s="120"/>
      <c r="AN9" s="128"/>
      <c r="AO9" s="127"/>
      <c r="AP9" s="120"/>
      <c r="AQ9" s="120"/>
      <c r="AR9" s="120"/>
      <c r="AS9" s="120"/>
      <c r="AT9" s="120"/>
      <c r="AU9" s="128"/>
    </row>
    <row r="10" spans="1:47" ht="13.05" customHeight="1">
      <c r="A10" s="3"/>
      <c r="B10" s="1">
        <f t="shared" si="9"/>
        <v>45326</v>
      </c>
      <c r="C10" s="2" t="str">
        <f t="shared" si="8"/>
        <v>Sun</v>
      </c>
      <c r="D10" s="53" t="s">
        <v>75</v>
      </c>
      <c r="E10" s="127"/>
      <c r="F10" s="129"/>
      <c r="G10" s="47"/>
      <c r="H10" s="47"/>
      <c r="I10" s="47"/>
      <c r="J10" s="47"/>
      <c r="K10" s="47"/>
      <c r="L10" s="130"/>
      <c r="M10" s="129"/>
      <c r="N10" s="47"/>
      <c r="O10" s="47"/>
      <c r="P10" s="47"/>
      <c r="Q10" s="47"/>
      <c r="R10" s="47"/>
      <c r="S10" s="130"/>
      <c r="T10" s="129"/>
      <c r="U10" s="47"/>
      <c r="V10" s="47"/>
      <c r="W10" s="47"/>
      <c r="X10" s="47"/>
      <c r="Y10" s="47"/>
      <c r="Z10" s="130"/>
      <c r="AA10" s="129"/>
      <c r="AB10" s="47"/>
      <c r="AC10" s="47"/>
      <c r="AD10" s="47"/>
      <c r="AE10" s="47"/>
      <c r="AF10" s="47"/>
      <c r="AG10" s="130"/>
      <c r="AH10" s="129"/>
      <c r="AI10" s="47"/>
      <c r="AJ10" s="47"/>
      <c r="AK10" s="47"/>
      <c r="AL10" s="47"/>
      <c r="AM10" s="47"/>
      <c r="AN10" s="130"/>
      <c r="AO10" s="129"/>
      <c r="AP10" s="47"/>
      <c r="AQ10" s="47"/>
      <c r="AR10" s="47"/>
      <c r="AS10" s="47"/>
      <c r="AT10" s="47"/>
      <c r="AU10" s="130"/>
    </row>
    <row r="11" spans="1:47" ht="13.05" customHeight="1">
      <c r="A11" s="3"/>
      <c r="B11" s="1">
        <f t="shared" si="9"/>
        <v>45327</v>
      </c>
      <c r="C11" s="2" t="str">
        <f t="shared" si="8"/>
        <v>Mon</v>
      </c>
      <c r="D11" s="121" t="s">
        <v>76</v>
      </c>
      <c r="E11" s="127"/>
      <c r="F11" s="127"/>
      <c r="G11" s="120"/>
      <c r="H11" s="120"/>
      <c r="I11" s="120"/>
      <c r="J11" s="120"/>
      <c r="K11" s="120"/>
      <c r="L11" s="128"/>
      <c r="M11" s="127" t="s">
        <v>3</v>
      </c>
      <c r="N11" s="120"/>
      <c r="O11" s="120"/>
      <c r="P11" s="120"/>
      <c r="Q11" s="120"/>
      <c r="R11" s="120"/>
      <c r="S11" s="128"/>
      <c r="T11" s="127"/>
      <c r="U11" s="120"/>
      <c r="V11" s="120"/>
      <c r="W11" s="120"/>
      <c r="X11" s="120"/>
      <c r="Y11" s="120"/>
      <c r="Z11" s="128"/>
      <c r="AA11" s="127"/>
      <c r="AB11" s="120"/>
      <c r="AC11" s="120"/>
      <c r="AD11" s="120"/>
      <c r="AE11" s="120"/>
      <c r="AF11" s="120"/>
      <c r="AG11" s="128"/>
      <c r="AH11" s="127"/>
      <c r="AI11" s="120"/>
      <c r="AJ11" s="120"/>
      <c r="AK11" s="120"/>
      <c r="AL11" s="120"/>
      <c r="AM11" s="120"/>
      <c r="AN11" s="128"/>
      <c r="AO11" s="127"/>
      <c r="AP11" s="120"/>
      <c r="AQ11" s="120"/>
      <c r="AR11" s="120"/>
      <c r="AS11" s="120"/>
      <c r="AT11" s="120"/>
      <c r="AU11" s="128"/>
    </row>
    <row r="12" spans="1:47" ht="13.05" customHeight="1">
      <c r="A12" s="3"/>
      <c r="B12" s="1">
        <f t="shared" si="9"/>
        <v>45328</v>
      </c>
      <c r="C12" s="2" t="str">
        <f t="shared" si="8"/>
        <v>Tue</v>
      </c>
      <c r="D12" s="53" t="s">
        <v>77</v>
      </c>
      <c r="E12" s="127"/>
      <c r="F12" s="129"/>
      <c r="G12" s="47"/>
      <c r="H12" s="47"/>
      <c r="I12" s="47"/>
      <c r="J12" s="47"/>
      <c r="K12" s="47"/>
      <c r="L12" s="130"/>
      <c r="M12" s="129"/>
      <c r="N12" s="47"/>
      <c r="O12" s="47"/>
      <c r="P12" s="47"/>
      <c r="Q12" s="47"/>
      <c r="R12" s="47"/>
      <c r="S12" s="130"/>
      <c r="T12" s="129"/>
      <c r="U12" s="47"/>
      <c r="V12" s="47"/>
      <c r="W12" s="47"/>
      <c r="X12" s="47"/>
      <c r="Y12" s="47"/>
      <c r="Z12" s="130"/>
      <c r="AA12" s="129"/>
      <c r="AB12" s="47" t="s">
        <v>5</v>
      </c>
      <c r="AC12" s="47" t="s">
        <v>5</v>
      </c>
      <c r="AD12" s="47"/>
      <c r="AE12" s="47"/>
      <c r="AF12" s="47"/>
      <c r="AG12" s="130"/>
      <c r="AH12" s="129"/>
      <c r="AI12" s="47"/>
      <c r="AJ12" s="47"/>
      <c r="AK12" s="47"/>
      <c r="AL12" s="47"/>
      <c r="AM12" s="47"/>
      <c r="AN12" s="130"/>
      <c r="AO12" s="129"/>
      <c r="AP12" s="47"/>
      <c r="AQ12" s="47"/>
      <c r="AR12" s="47"/>
      <c r="AS12" s="47"/>
      <c r="AT12" s="47"/>
      <c r="AU12" s="130"/>
    </row>
    <row r="13" spans="1:47" ht="13.05" customHeight="1">
      <c r="A13" s="3"/>
      <c r="B13" s="1">
        <f t="shared" si="9"/>
        <v>45329</v>
      </c>
      <c r="C13" s="2" t="str">
        <f t="shared" si="8"/>
        <v>Wed</v>
      </c>
      <c r="D13" s="121" t="s">
        <v>78</v>
      </c>
      <c r="E13" s="127"/>
      <c r="F13" s="127"/>
      <c r="G13" s="120"/>
      <c r="H13" s="120"/>
      <c r="I13" s="120"/>
      <c r="J13" s="120"/>
      <c r="K13" s="120"/>
      <c r="L13" s="128"/>
      <c r="M13" s="127"/>
      <c r="N13" s="120"/>
      <c r="O13" s="120"/>
      <c r="P13" s="120"/>
      <c r="Q13" s="120"/>
      <c r="R13" s="120"/>
      <c r="S13" s="128"/>
      <c r="T13" s="127"/>
      <c r="U13" s="120"/>
      <c r="V13" s="120"/>
      <c r="W13" s="120"/>
      <c r="X13" s="120"/>
      <c r="Y13" s="120"/>
      <c r="Z13" s="128"/>
      <c r="AA13" s="127"/>
      <c r="AB13" s="120"/>
      <c r="AC13" s="120"/>
      <c r="AD13" s="120"/>
      <c r="AE13" s="120"/>
      <c r="AF13" s="120"/>
      <c r="AG13" s="128"/>
      <c r="AH13" s="127"/>
      <c r="AI13" s="120"/>
      <c r="AJ13" s="120"/>
      <c r="AK13" s="120"/>
      <c r="AL13" s="120"/>
      <c r="AM13" s="120"/>
      <c r="AN13" s="128"/>
      <c r="AO13" s="127"/>
      <c r="AP13" s="120"/>
      <c r="AQ13" s="120"/>
      <c r="AR13" s="120"/>
      <c r="AS13" s="120"/>
      <c r="AT13" s="120"/>
      <c r="AU13" s="128"/>
    </row>
    <row r="14" spans="1:47" ht="13.05" customHeight="1">
      <c r="A14" s="4"/>
      <c r="B14" s="1">
        <f t="shared" si="9"/>
        <v>45330</v>
      </c>
      <c r="C14" s="2" t="str">
        <f t="shared" si="8"/>
        <v>Thu</v>
      </c>
      <c r="D14" s="53" t="s">
        <v>79</v>
      </c>
      <c r="E14" s="127"/>
      <c r="F14" s="129"/>
      <c r="G14" s="47"/>
      <c r="H14" s="47"/>
      <c r="I14" s="47"/>
      <c r="J14" s="47"/>
      <c r="K14" s="47"/>
      <c r="L14" s="130"/>
      <c r="M14" s="129"/>
      <c r="N14" s="47"/>
      <c r="O14" s="47"/>
      <c r="P14" s="47"/>
      <c r="Q14" s="47"/>
      <c r="R14" s="47" t="s">
        <v>3</v>
      </c>
      <c r="S14" s="130" t="s">
        <v>3</v>
      </c>
      <c r="T14" s="129"/>
      <c r="U14" s="47"/>
      <c r="V14" s="47"/>
      <c r="W14" s="47"/>
      <c r="X14" s="47"/>
      <c r="Y14" s="47"/>
      <c r="Z14" s="130"/>
      <c r="AA14" s="129"/>
      <c r="AB14" s="47"/>
      <c r="AC14" s="47"/>
      <c r="AD14" s="47"/>
      <c r="AE14" s="47"/>
      <c r="AF14" s="47"/>
      <c r="AG14" s="130"/>
      <c r="AH14" s="129"/>
      <c r="AI14" s="47"/>
      <c r="AJ14" s="47"/>
      <c r="AK14" s="47"/>
      <c r="AL14" s="47"/>
      <c r="AM14" s="47"/>
      <c r="AN14" s="130"/>
      <c r="AO14" s="129"/>
      <c r="AP14" s="47"/>
      <c r="AQ14" s="47"/>
      <c r="AR14" s="47"/>
      <c r="AS14" s="47"/>
      <c r="AT14" s="47"/>
      <c r="AU14" s="130"/>
    </row>
    <row r="15" spans="1:47" ht="13.05" customHeight="1">
      <c r="A15" s="4"/>
      <c r="B15" s="1">
        <f t="shared" si="9"/>
        <v>45331</v>
      </c>
      <c r="C15" s="2" t="str">
        <f t="shared" si="8"/>
        <v>Fri</v>
      </c>
      <c r="D15" s="121" t="s">
        <v>80</v>
      </c>
      <c r="E15" s="127"/>
      <c r="F15" s="127"/>
      <c r="G15" s="120"/>
      <c r="H15" s="120"/>
      <c r="I15" s="120"/>
      <c r="J15" s="120"/>
      <c r="K15" s="120"/>
      <c r="L15" s="128"/>
      <c r="M15" s="127"/>
      <c r="N15" s="120"/>
      <c r="O15" s="120"/>
      <c r="P15" s="120"/>
      <c r="Q15" s="120"/>
      <c r="R15" s="120"/>
      <c r="S15" s="128"/>
      <c r="T15" s="127"/>
      <c r="U15" s="120"/>
      <c r="V15" s="120"/>
      <c r="W15" s="120"/>
      <c r="X15" s="120"/>
      <c r="Y15" s="120" t="s">
        <v>3</v>
      </c>
      <c r="Z15" s="128" t="s">
        <v>3</v>
      </c>
      <c r="AA15" s="127" t="s">
        <v>2</v>
      </c>
      <c r="AB15" s="120" t="s">
        <v>2</v>
      </c>
      <c r="AC15" s="120" t="s">
        <v>2</v>
      </c>
      <c r="AD15" s="120" t="s">
        <v>2</v>
      </c>
      <c r="AE15" s="120" t="s">
        <v>2</v>
      </c>
      <c r="AF15" s="120" t="s">
        <v>2</v>
      </c>
      <c r="AG15" s="128" t="s">
        <v>2</v>
      </c>
      <c r="AH15" s="127"/>
      <c r="AI15" s="120"/>
      <c r="AJ15" s="120"/>
      <c r="AK15" s="120"/>
      <c r="AL15" s="120"/>
      <c r="AM15" s="120"/>
      <c r="AN15" s="128"/>
      <c r="AO15" s="127"/>
      <c r="AP15" s="120"/>
      <c r="AQ15" s="120"/>
      <c r="AR15" s="120"/>
      <c r="AS15" s="120"/>
      <c r="AT15" s="120"/>
      <c r="AU15" s="128"/>
    </row>
    <row r="16" spans="1:47" ht="13.05" customHeight="1">
      <c r="A16" s="4"/>
      <c r="B16" s="1">
        <f t="shared" si="9"/>
        <v>45332</v>
      </c>
      <c r="C16" s="2" t="str">
        <f t="shared" si="8"/>
        <v>Sat</v>
      </c>
      <c r="D16" s="53" t="s">
        <v>81</v>
      </c>
      <c r="E16" s="127"/>
      <c r="F16" s="129"/>
      <c r="G16" s="47"/>
      <c r="H16" s="47"/>
      <c r="I16" s="47"/>
      <c r="J16" s="47"/>
      <c r="K16" s="47"/>
      <c r="L16" s="130"/>
      <c r="M16" s="129"/>
      <c r="N16" s="47"/>
      <c r="O16" s="47"/>
      <c r="P16" s="47" t="s">
        <v>3</v>
      </c>
      <c r="Q16" s="47"/>
      <c r="R16" s="47"/>
      <c r="S16" s="130"/>
      <c r="T16" s="129"/>
      <c r="U16" s="47"/>
      <c r="V16" s="47"/>
      <c r="W16" s="47"/>
      <c r="X16" s="47"/>
      <c r="Y16" s="47"/>
      <c r="Z16" s="130"/>
      <c r="AA16" s="129" t="s">
        <v>3</v>
      </c>
      <c r="AB16" s="47" t="s">
        <v>3</v>
      </c>
      <c r="AC16" s="47"/>
      <c r="AD16" s="47"/>
      <c r="AE16" s="47"/>
      <c r="AF16" s="47"/>
      <c r="AG16" s="130"/>
      <c r="AH16" s="129"/>
      <c r="AI16" s="47"/>
      <c r="AJ16" s="47"/>
      <c r="AK16" s="47"/>
      <c r="AL16" s="47"/>
      <c r="AM16" s="47"/>
      <c r="AN16" s="130"/>
      <c r="AO16" s="129"/>
      <c r="AP16" s="47"/>
      <c r="AQ16" s="47"/>
      <c r="AR16" s="47"/>
      <c r="AS16" s="47"/>
      <c r="AT16" s="47"/>
      <c r="AU16" s="130"/>
    </row>
    <row r="17" spans="1:47" ht="13.05" customHeight="1">
      <c r="A17" s="4"/>
      <c r="B17" s="1">
        <f t="shared" si="9"/>
        <v>45333</v>
      </c>
      <c r="C17" s="2" t="str">
        <f t="shared" si="8"/>
        <v>Sun</v>
      </c>
      <c r="D17" s="121" t="s">
        <v>82</v>
      </c>
      <c r="E17" s="127"/>
      <c r="F17" s="127"/>
      <c r="G17" s="120"/>
      <c r="H17" s="120"/>
      <c r="I17" s="120"/>
      <c r="J17" s="120"/>
      <c r="K17" s="120"/>
      <c r="L17" s="128"/>
      <c r="M17" s="127"/>
      <c r="N17" s="120"/>
      <c r="O17" s="120"/>
      <c r="P17" s="120"/>
      <c r="Q17" s="120"/>
      <c r="R17" s="120"/>
      <c r="S17" s="128"/>
      <c r="T17" s="127"/>
      <c r="U17" s="120"/>
      <c r="V17" s="120"/>
      <c r="W17" s="120"/>
      <c r="X17" s="120"/>
      <c r="Y17" s="120"/>
      <c r="Z17" s="128"/>
      <c r="AA17" s="127"/>
      <c r="AB17" s="120"/>
      <c r="AC17" s="120"/>
      <c r="AD17" s="120"/>
      <c r="AE17" s="120"/>
      <c r="AF17" s="120"/>
      <c r="AG17" s="128"/>
      <c r="AH17" s="127"/>
      <c r="AI17" s="120"/>
      <c r="AJ17" s="120"/>
      <c r="AK17" s="120"/>
      <c r="AL17" s="120"/>
      <c r="AM17" s="120"/>
      <c r="AN17" s="128"/>
      <c r="AO17" s="127"/>
      <c r="AP17" s="120"/>
      <c r="AQ17" s="120"/>
      <c r="AR17" s="120"/>
      <c r="AS17" s="120"/>
      <c r="AT17" s="120"/>
      <c r="AU17" s="128"/>
    </row>
    <row r="18" spans="1:47" ht="13.05" customHeight="1">
      <c r="A18" s="4"/>
      <c r="B18" s="1">
        <f t="shared" si="9"/>
        <v>45334</v>
      </c>
      <c r="C18" s="2" t="str">
        <f t="shared" si="8"/>
        <v>Mon</v>
      </c>
      <c r="D18" s="53" t="s">
        <v>83</v>
      </c>
      <c r="E18" s="127"/>
      <c r="F18" s="129"/>
      <c r="G18" s="47"/>
      <c r="H18" s="47"/>
      <c r="I18" s="47"/>
      <c r="J18" s="47"/>
      <c r="K18" s="47"/>
      <c r="L18" s="130"/>
      <c r="M18" s="129"/>
      <c r="N18" s="47"/>
      <c r="O18" s="47"/>
      <c r="P18" s="47"/>
      <c r="Q18" s="47"/>
      <c r="R18" s="47"/>
      <c r="S18" s="130"/>
      <c r="T18" s="129"/>
      <c r="U18" s="47"/>
      <c r="V18" s="47"/>
      <c r="W18" s="47"/>
      <c r="X18" s="47"/>
      <c r="Y18" s="47"/>
      <c r="Z18" s="130"/>
      <c r="AA18" s="129"/>
      <c r="AB18" s="47"/>
      <c r="AC18" s="47"/>
      <c r="AD18" s="47"/>
      <c r="AE18" s="47"/>
      <c r="AF18" s="47"/>
      <c r="AG18" s="130"/>
      <c r="AH18" s="129"/>
      <c r="AI18" s="47"/>
      <c r="AJ18" s="47"/>
      <c r="AK18" s="47"/>
      <c r="AL18" s="47"/>
      <c r="AM18" s="47"/>
      <c r="AN18" s="130"/>
      <c r="AO18" s="271"/>
      <c r="AP18" s="265"/>
      <c r="AQ18" s="265"/>
      <c r="AR18" s="265"/>
      <c r="AS18" s="265"/>
      <c r="AT18" s="265"/>
      <c r="AU18" s="130"/>
    </row>
    <row r="19" spans="1:47" ht="13.05" customHeight="1">
      <c r="A19" s="4"/>
      <c r="B19" s="1">
        <f t="shared" si="9"/>
        <v>45335</v>
      </c>
      <c r="C19" s="2" t="str">
        <f t="shared" si="8"/>
        <v>Tue</v>
      </c>
      <c r="D19" s="121" t="s">
        <v>84</v>
      </c>
      <c r="E19" s="127"/>
      <c r="F19" s="127"/>
      <c r="G19" s="120"/>
      <c r="H19" s="120"/>
      <c r="I19" s="120"/>
      <c r="J19" s="120"/>
      <c r="K19" s="120"/>
      <c r="L19" s="128"/>
      <c r="M19" s="127"/>
      <c r="N19" s="120"/>
      <c r="O19" s="120"/>
      <c r="P19" s="120"/>
      <c r="Q19" s="120"/>
      <c r="R19" s="120"/>
      <c r="S19" s="128"/>
      <c r="T19" s="127"/>
      <c r="U19" s="120"/>
      <c r="V19" s="120"/>
      <c r="W19" s="120"/>
      <c r="X19" s="120"/>
      <c r="Y19" s="120"/>
      <c r="Z19" s="128"/>
      <c r="AA19" s="127"/>
      <c r="AB19" s="120"/>
      <c r="AC19" s="120"/>
      <c r="AD19" s="120"/>
      <c r="AE19" s="120"/>
      <c r="AF19" s="120"/>
      <c r="AG19" s="128"/>
      <c r="AH19" s="127"/>
      <c r="AI19" s="120"/>
      <c r="AJ19" s="120"/>
      <c r="AK19" s="120"/>
      <c r="AL19" s="120"/>
      <c r="AM19" s="120"/>
      <c r="AN19" s="128"/>
      <c r="AO19" s="272"/>
      <c r="AP19" s="264"/>
      <c r="AQ19" s="264"/>
      <c r="AR19" s="264"/>
      <c r="AS19" s="264"/>
      <c r="AT19" s="264"/>
      <c r="AU19" s="128"/>
    </row>
    <row r="20" spans="1:47" ht="13.05" customHeight="1">
      <c r="A20" s="4"/>
      <c r="B20" s="1">
        <f t="shared" si="9"/>
        <v>45336</v>
      </c>
      <c r="C20" s="2" t="str">
        <f t="shared" si="8"/>
        <v>Wed</v>
      </c>
      <c r="D20" s="53" t="s">
        <v>85</v>
      </c>
      <c r="E20" s="127"/>
      <c r="F20" s="129"/>
      <c r="G20" s="47"/>
      <c r="H20" s="47"/>
      <c r="I20" s="47"/>
      <c r="J20" s="47"/>
      <c r="K20" s="47"/>
      <c r="L20" s="130"/>
      <c r="M20" s="129"/>
      <c r="N20" s="47"/>
      <c r="O20" s="47"/>
      <c r="P20" s="47"/>
      <c r="Q20" s="47"/>
      <c r="R20" s="47"/>
      <c r="S20" s="130"/>
      <c r="T20" s="129"/>
      <c r="U20" s="47"/>
      <c r="V20" s="47"/>
      <c r="W20" s="47"/>
      <c r="X20" s="47"/>
      <c r="Y20" s="47"/>
      <c r="Z20" s="130"/>
      <c r="AA20" s="129"/>
      <c r="AB20" s="47"/>
      <c r="AC20" s="47"/>
      <c r="AD20" s="47"/>
      <c r="AE20" s="47"/>
      <c r="AF20" s="47"/>
      <c r="AG20" s="130"/>
      <c r="AH20" s="129"/>
      <c r="AI20" s="47"/>
      <c r="AJ20" s="47"/>
      <c r="AK20" s="47"/>
      <c r="AL20" s="47"/>
      <c r="AM20" s="47"/>
      <c r="AN20" s="130"/>
      <c r="AO20" s="271"/>
      <c r="AP20" s="265"/>
      <c r="AQ20" s="265"/>
      <c r="AR20" s="265"/>
      <c r="AS20" s="265"/>
      <c r="AT20" s="265"/>
      <c r="AU20" s="130"/>
    </row>
    <row r="21" spans="1:47" ht="13.05" customHeight="1">
      <c r="A21" s="4"/>
      <c r="B21" s="1">
        <f t="shared" si="9"/>
        <v>45337</v>
      </c>
      <c r="C21" s="2" t="str">
        <f t="shared" si="8"/>
        <v>Thu</v>
      </c>
      <c r="D21" s="121" t="s">
        <v>86</v>
      </c>
      <c r="E21" s="127"/>
      <c r="F21" s="127"/>
      <c r="G21" s="120"/>
      <c r="H21" s="120"/>
      <c r="I21" s="120"/>
      <c r="J21" s="120"/>
      <c r="K21" s="120"/>
      <c r="L21" s="128"/>
      <c r="M21" s="127"/>
      <c r="N21" s="120"/>
      <c r="O21" s="120"/>
      <c r="P21" s="120"/>
      <c r="Q21" s="120"/>
      <c r="R21" s="120"/>
      <c r="S21" s="128"/>
      <c r="T21" s="127"/>
      <c r="U21" s="120"/>
      <c r="V21" s="120"/>
      <c r="W21" s="120"/>
      <c r="X21" s="120"/>
      <c r="Y21" s="120"/>
      <c r="Z21" s="128"/>
      <c r="AA21" s="127"/>
      <c r="AB21" s="120"/>
      <c r="AC21" s="120"/>
      <c r="AD21" s="120"/>
      <c r="AE21" s="120"/>
      <c r="AF21" s="120"/>
      <c r="AG21" s="128"/>
      <c r="AH21" s="127"/>
      <c r="AI21" s="120"/>
      <c r="AJ21" s="120"/>
      <c r="AK21" s="120"/>
      <c r="AL21" s="120"/>
      <c r="AM21" s="120"/>
      <c r="AN21" s="128"/>
      <c r="AO21" s="272"/>
      <c r="AP21" s="264"/>
      <c r="AQ21" s="264"/>
      <c r="AR21" s="264"/>
      <c r="AS21" s="264"/>
      <c r="AT21" s="264"/>
      <c r="AU21" s="128"/>
    </row>
    <row r="22" spans="1:47" ht="13.05" customHeight="1">
      <c r="A22" s="4"/>
      <c r="B22" s="1">
        <f t="shared" si="9"/>
        <v>45338</v>
      </c>
      <c r="C22" s="2" t="str">
        <f t="shared" si="8"/>
        <v>Fri</v>
      </c>
      <c r="D22" s="53" t="s">
        <v>87</v>
      </c>
      <c r="E22" s="127"/>
      <c r="F22" s="129"/>
      <c r="G22" s="47"/>
      <c r="H22" s="47"/>
      <c r="I22" s="47"/>
      <c r="J22" s="47"/>
      <c r="K22" s="47"/>
      <c r="L22" s="130"/>
      <c r="M22" s="129"/>
      <c r="N22" s="47"/>
      <c r="O22" s="47"/>
      <c r="P22" s="47"/>
      <c r="Q22" s="47"/>
      <c r="R22" s="47"/>
      <c r="S22" s="130"/>
      <c r="T22" s="129"/>
      <c r="U22" s="47"/>
      <c r="V22" s="47"/>
      <c r="W22" s="47"/>
      <c r="X22" s="47"/>
      <c r="Y22" s="47"/>
      <c r="Z22" s="130"/>
      <c r="AA22" s="129"/>
      <c r="AB22" s="47"/>
      <c r="AC22" s="47"/>
      <c r="AD22" s="47"/>
      <c r="AE22" s="47"/>
      <c r="AF22" s="47"/>
      <c r="AG22" s="130"/>
      <c r="AH22" s="129"/>
      <c r="AI22" s="47"/>
      <c r="AJ22" s="47"/>
      <c r="AK22" s="47"/>
      <c r="AL22" s="47"/>
      <c r="AM22" s="47"/>
      <c r="AN22" s="130"/>
      <c r="AO22" s="129"/>
      <c r="AP22" s="47"/>
      <c r="AQ22" s="47"/>
      <c r="AR22" s="47"/>
      <c r="AS22" s="47"/>
      <c r="AT22" s="47"/>
      <c r="AU22" s="130"/>
    </row>
    <row r="23" spans="1:47" ht="13.05" customHeight="1">
      <c r="A23" s="4"/>
      <c r="B23" s="1">
        <f t="shared" si="9"/>
        <v>45339</v>
      </c>
      <c r="C23" s="2" t="str">
        <f t="shared" si="8"/>
        <v>Sat</v>
      </c>
      <c r="D23" s="121"/>
      <c r="E23" s="127"/>
      <c r="F23" s="127"/>
      <c r="G23" s="120"/>
      <c r="H23" s="120"/>
      <c r="I23" s="120"/>
      <c r="J23" s="120"/>
      <c r="K23" s="120"/>
      <c r="L23" s="128"/>
      <c r="M23" s="127"/>
      <c r="N23" s="120"/>
      <c r="O23" s="120"/>
      <c r="P23" s="120"/>
      <c r="Q23" s="120"/>
      <c r="R23" s="120"/>
      <c r="S23" s="128"/>
      <c r="T23" s="127"/>
      <c r="U23" s="120"/>
      <c r="V23" s="120"/>
      <c r="W23" s="120"/>
      <c r="X23" s="120"/>
      <c r="Y23" s="120"/>
      <c r="Z23" s="128"/>
      <c r="AA23" s="127"/>
      <c r="AB23" s="120"/>
      <c r="AC23" s="120"/>
      <c r="AD23" s="120"/>
      <c r="AE23" s="120"/>
      <c r="AF23" s="120"/>
      <c r="AG23" s="128"/>
      <c r="AH23" s="127"/>
      <c r="AI23" s="120"/>
      <c r="AJ23" s="120"/>
      <c r="AK23" s="120"/>
      <c r="AL23" s="120"/>
      <c r="AM23" s="120"/>
      <c r="AN23" s="128"/>
      <c r="AO23" s="127"/>
      <c r="AP23" s="120"/>
      <c r="AQ23" s="120"/>
      <c r="AR23" s="120"/>
      <c r="AS23" s="120"/>
      <c r="AT23" s="120"/>
      <c r="AU23" s="128"/>
    </row>
    <row r="24" spans="1:47" ht="13.05" customHeight="1">
      <c r="A24" s="4"/>
      <c r="B24" s="1">
        <f t="shared" si="9"/>
        <v>45340</v>
      </c>
      <c r="C24" s="2" t="str">
        <f t="shared" si="8"/>
        <v>Sun</v>
      </c>
      <c r="D24" s="53" t="s">
        <v>88</v>
      </c>
      <c r="E24" s="127"/>
      <c r="F24" s="129"/>
      <c r="G24" s="47"/>
      <c r="H24" s="47"/>
      <c r="I24" s="47"/>
      <c r="J24" s="47"/>
      <c r="K24" s="47"/>
      <c r="L24" s="130"/>
      <c r="M24" s="129"/>
      <c r="N24" s="47"/>
      <c r="O24" s="47"/>
      <c r="P24" s="47"/>
      <c r="Q24" s="47"/>
      <c r="R24" s="47"/>
      <c r="S24" s="130"/>
      <c r="T24" s="129"/>
      <c r="U24" s="47"/>
      <c r="V24" s="47"/>
      <c r="W24" s="47"/>
      <c r="X24" s="47"/>
      <c r="Y24" s="47"/>
      <c r="Z24" s="130"/>
      <c r="AA24" s="129"/>
      <c r="AB24" s="47"/>
      <c r="AC24" s="47"/>
      <c r="AD24" s="47"/>
      <c r="AE24" s="47"/>
      <c r="AF24" s="47"/>
      <c r="AG24" s="130"/>
      <c r="AH24" s="129"/>
      <c r="AI24" s="47"/>
      <c r="AJ24" s="47"/>
      <c r="AK24" s="47"/>
      <c r="AL24" s="47"/>
      <c r="AM24" s="47"/>
      <c r="AN24" s="130"/>
      <c r="AO24" s="129"/>
      <c r="AP24" s="47"/>
      <c r="AQ24" s="47"/>
      <c r="AR24" s="47"/>
      <c r="AS24" s="47"/>
      <c r="AT24" s="47"/>
      <c r="AU24" s="130"/>
    </row>
    <row r="25" spans="1:47" ht="13.05" customHeight="1">
      <c r="A25" s="4"/>
      <c r="B25" s="1">
        <f t="shared" si="9"/>
        <v>45341</v>
      </c>
      <c r="C25" s="2" t="str">
        <f t="shared" si="8"/>
        <v>Mon</v>
      </c>
      <c r="D25" s="121" t="s">
        <v>85</v>
      </c>
      <c r="E25" s="127"/>
      <c r="F25" s="127"/>
      <c r="G25" s="120"/>
      <c r="H25" s="120"/>
      <c r="I25" s="120"/>
      <c r="J25" s="120"/>
      <c r="K25" s="120"/>
      <c r="L25" s="128"/>
      <c r="M25" s="127"/>
      <c r="N25" s="120"/>
      <c r="O25" s="120"/>
      <c r="P25" s="120"/>
      <c r="Q25" s="120"/>
      <c r="R25" s="120"/>
      <c r="S25" s="128"/>
      <c r="T25" s="127"/>
      <c r="U25" s="120"/>
      <c r="V25" s="120"/>
      <c r="W25" s="120"/>
      <c r="X25" s="120"/>
      <c r="Y25" s="120"/>
      <c r="Z25" s="128"/>
      <c r="AA25" s="127"/>
      <c r="AB25" s="120"/>
      <c r="AC25" s="120"/>
      <c r="AD25" s="120"/>
      <c r="AE25" s="120"/>
      <c r="AF25" s="120"/>
      <c r="AG25" s="128"/>
      <c r="AH25" s="127"/>
      <c r="AI25" s="120"/>
      <c r="AJ25" s="120"/>
      <c r="AK25" s="120"/>
      <c r="AL25" s="120"/>
      <c r="AM25" s="120"/>
      <c r="AN25" s="128"/>
      <c r="AO25" s="127"/>
      <c r="AP25" s="120"/>
      <c r="AQ25" s="120"/>
      <c r="AR25" s="120"/>
      <c r="AS25" s="120"/>
      <c r="AT25" s="120"/>
      <c r="AU25" s="128"/>
    </row>
    <row r="26" spans="1:47" ht="13.05" customHeight="1">
      <c r="A26" s="4"/>
      <c r="B26" s="1">
        <f t="shared" si="9"/>
        <v>45342</v>
      </c>
      <c r="C26" s="2" t="str">
        <f t="shared" si="8"/>
        <v>Tue</v>
      </c>
      <c r="D26" s="53"/>
      <c r="E26" s="127"/>
      <c r="F26" s="129"/>
      <c r="G26" s="47"/>
      <c r="H26" s="47"/>
      <c r="I26" s="47"/>
      <c r="J26" s="47"/>
      <c r="K26" s="47"/>
      <c r="L26" s="130"/>
      <c r="M26" s="129"/>
      <c r="N26" s="47"/>
      <c r="O26" s="47"/>
      <c r="P26" s="47"/>
      <c r="Q26" s="47"/>
      <c r="R26" s="47"/>
      <c r="S26" s="130"/>
      <c r="T26" s="129"/>
      <c r="U26" s="47"/>
      <c r="V26" s="47"/>
      <c r="W26" s="47"/>
      <c r="X26" s="47"/>
      <c r="Y26" s="47"/>
      <c r="Z26" s="130"/>
      <c r="AA26" s="129"/>
      <c r="AB26" s="47"/>
      <c r="AC26" s="47"/>
      <c r="AD26" s="47"/>
      <c r="AE26" s="47"/>
      <c r="AF26" s="47"/>
      <c r="AG26" s="130"/>
      <c r="AH26" s="129"/>
      <c r="AI26" s="47"/>
      <c r="AJ26" s="47"/>
      <c r="AK26" s="47"/>
      <c r="AL26" s="47"/>
      <c r="AM26" s="47"/>
      <c r="AN26" s="130"/>
      <c r="AO26" s="129"/>
      <c r="AP26" s="47"/>
      <c r="AQ26" s="47"/>
      <c r="AR26" s="47"/>
      <c r="AS26" s="47"/>
      <c r="AT26" s="47"/>
      <c r="AU26" s="130"/>
    </row>
    <row r="27" spans="1:47" ht="13.05" customHeight="1">
      <c r="A27" s="4"/>
      <c r="B27" s="1">
        <f t="shared" si="9"/>
        <v>45343</v>
      </c>
      <c r="C27" s="2" t="str">
        <f t="shared" si="8"/>
        <v>Wed</v>
      </c>
      <c r="D27" s="121" t="s">
        <v>89</v>
      </c>
      <c r="E27" s="127"/>
      <c r="F27" s="127"/>
      <c r="G27" s="120"/>
      <c r="H27" s="120"/>
      <c r="I27" s="120"/>
      <c r="J27" s="120"/>
      <c r="K27" s="120"/>
      <c r="L27" s="128"/>
      <c r="M27" s="127"/>
      <c r="N27" s="120"/>
      <c r="O27" s="120"/>
      <c r="P27" s="120"/>
      <c r="Q27" s="120"/>
      <c r="R27" s="120"/>
      <c r="S27" s="128"/>
      <c r="T27" s="127"/>
      <c r="U27" s="120"/>
      <c r="V27" s="120"/>
      <c r="W27" s="120"/>
      <c r="X27" s="120"/>
      <c r="Y27" s="120"/>
      <c r="Z27" s="128"/>
      <c r="AA27" s="127"/>
      <c r="AB27" s="120"/>
      <c r="AC27" s="120"/>
      <c r="AD27" s="120"/>
      <c r="AE27" s="120"/>
      <c r="AF27" s="120"/>
      <c r="AG27" s="128"/>
      <c r="AH27" s="127"/>
      <c r="AI27" s="120"/>
      <c r="AJ27" s="120"/>
      <c r="AK27" s="120"/>
      <c r="AL27" s="120"/>
      <c r="AM27" s="120"/>
      <c r="AN27" s="128"/>
      <c r="AO27" s="127"/>
      <c r="AP27" s="120"/>
      <c r="AQ27" s="120"/>
      <c r="AR27" s="120"/>
      <c r="AS27" s="120"/>
      <c r="AT27" s="120"/>
      <c r="AU27" s="128"/>
    </row>
    <row r="28" spans="1:47" ht="13.05" customHeight="1">
      <c r="A28" s="4"/>
      <c r="B28" s="1">
        <f t="shared" si="9"/>
        <v>45344</v>
      </c>
      <c r="C28" s="2" t="str">
        <f t="shared" si="8"/>
        <v>Thu</v>
      </c>
      <c r="D28" s="53" t="s">
        <v>90</v>
      </c>
      <c r="E28" s="127"/>
      <c r="F28" s="129"/>
      <c r="G28" s="47"/>
      <c r="H28" s="47"/>
      <c r="I28" s="47"/>
      <c r="J28" s="47"/>
      <c r="K28" s="47"/>
      <c r="L28" s="130"/>
      <c r="M28" s="129"/>
      <c r="N28" s="47"/>
      <c r="O28" s="47"/>
      <c r="P28" s="47"/>
      <c r="Q28" s="47"/>
      <c r="R28" s="47"/>
      <c r="S28" s="130"/>
      <c r="T28" s="129"/>
      <c r="U28" s="47"/>
      <c r="V28" s="47"/>
      <c r="W28" s="47"/>
      <c r="X28" s="47"/>
      <c r="Y28" s="47"/>
      <c r="Z28" s="130"/>
      <c r="AA28" s="129"/>
      <c r="AB28" s="47"/>
      <c r="AC28" s="47"/>
      <c r="AD28" s="47"/>
      <c r="AE28" s="47"/>
      <c r="AF28" s="47"/>
      <c r="AG28" s="130"/>
      <c r="AH28" s="129"/>
      <c r="AI28" s="47"/>
      <c r="AJ28" s="47"/>
      <c r="AK28" s="47"/>
      <c r="AL28" s="47"/>
      <c r="AM28" s="47"/>
      <c r="AN28" s="130"/>
      <c r="AO28" s="129"/>
      <c r="AP28" s="47"/>
      <c r="AQ28" s="47"/>
      <c r="AR28" s="47"/>
      <c r="AS28" s="47"/>
      <c r="AT28" s="47"/>
      <c r="AU28" s="130"/>
    </row>
    <row r="29" spans="1:47" ht="13.05" customHeight="1">
      <c r="A29" s="4"/>
      <c r="B29" s="1">
        <f t="shared" si="9"/>
        <v>45345</v>
      </c>
      <c r="C29" s="2" t="str">
        <f t="shared" si="8"/>
        <v>Fri</v>
      </c>
      <c r="D29" s="121"/>
      <c r="E29" s="127"/>
      <c r="F29" s="127"/>
      <c r="G29" s="120"/>
      <c r="H29" s="120"/>
      <c r="I29" s="120"/>
      <c r="J29" s="120"/>
      <c r="K29" s="120"/>
      <c r="L29" s="128"/>
      <c r="M29" s="127"/>
      <c r="N29" s="120"/>
      <c r="O29" s="120"/>
      <c r="P29" s="120"/>
      <c r="Q29" s="120"/>
      <c r="R29" s="120"/>
      <c r="S29" s="128"/>
      <c r="T29" s="127"/>
      <c r="U29" s="120"/>
      <c r="V29" s="120"/>
      <c r="W29" s="120"/>
      <c r="X29" s="120"/>
      <c r="Y29" s="120"/>
      <c r="Z29" s="128"/>
      <c r="AA29" s="127"/>
      <c r="AB29" s="120"/>
      <c r="AC29" s="120"/>
      <c r="AD29" s="120"/>
      <c r="AE29" s="120"/>
      <c r="AF29" s="120"/>
      <c r="AG29" s="128"/>
      <c r="AH29" s="127"/>
      <c r="AI29" s="120"/>
      <c r="AJ29" s="120"/>
      <c r="AK29" s="120"/>
      <c r="AL29" s="120"/>
      <c r="AM29" s="120"/>
      <c r="AN29" s="128"/>
      <c r="AO29" s="127"/>
      <c r="AP29" s="120"/>
      <c r="AQ29" s="120"/>
      <c r="AR29" s="120"/>
      <c r="AS29" s="120"/>
      <c r="AT29" s="120"/>
      <c r="AU29" s="128"/>
    </row>
    <row r="30" spans="1:47" ht="13.05" customHeight="1">
      <c r="A30" s="4"/>
      <c r="B30" s="1">
        <f t="shared" si="9"/>
        <v>45346</v>
      </c>
      <c r="C30" s="2" t="str">
        <f t="shared" si="8"/>
        <v>Sat</v>
      </c>
      <c r="D30" s="53"/>
      <c r="E30" s="127"/>
      <c r="F30" s="129"/>
      <c r="G30" s="47"/>
      <c r="H30" s="47"/>
      <c r="I30" s="47"/>
      <c r="J30" s="47"/>
      <c r="K30" s="47"/>
      <c r="L30" s="130"/>
      <c r="M30" s="129"/>
      <c r="N30" s="47"/>
      <c r="O30" s="47"/>
      <c r="P30" s="47"/>
      <c r="Q30" s="47"/>
      <c r="R30" s="47"/>
      <c r="S30" s="130"/>
      <c r="T30" s="129"/>
      <c r="U30" s="47"/>
      <c r="V30" s="47"/>
      <c r="W30" s="47"/>
      <c r="X30" s="47"/>
      <c r="Y30" s="47"/>
      <c r="Z30" s="130"/>
      <c r="AA30" s="129"/>
      <c r="AB30" s="47"/>
      <c r="AC30" s="47"/>
      <c r="AD30" s="47"/>
      <c r="AE30" s="47"/>
      <c r="AF30" s="47"/>
      <c r="AG30" s="130"/>
      <c r="AH30" s="129"/>
      <c r="AI30" s="47"/>
      <c r="AJ30" s="47"/>
      <c r="AK30" s="47"/>
      <c r="AL30" s="47"/>
      <c r="AM30" s="47"/>
      <c r="AN30" s="130"/>
      <c r="AO30" s="129"/>
      <c r="AP30" s="47"/>
      <c r="AQ30" s="47"/>
      <c r="AR30" s="47"/>
      <c r="AS30" s="47"/>
      <c r="AT30" s="47"/>
      <c r="AU30" s="130"/>
    </row>
    <row r="31" spans="1:47" ht="13.05" customHeight="1">
      <c r="A31" s="4"/>
      <c r="B31" s="1">
        <f t="shared" si="9"/>
        <v>45347</v>
      </c>
      <c r="C31" s="2" t="str">
        <f t="shared" si="8"/>
        <v>Sun</v>
      </c>
      <c r="D31" s="121"/>
      <c r="E31" s="127"/>
      <c r="F31" s="127"/>
      <c r="G31" s="120"/>
      <c r="H31" s="120"/>
      <c r="I31" s="120"/>
      <c r="J31" s="120"/>
      <c r="K31" s="120"/>
      <c r="L31" s="128"/>
      <c r="M31" s="127"/>
      <c r="N31" s="120"/>
      <c r="O31" s="120"/>
      <c r="P31" s="120"/>
      <c r="Q31" s="120"/>
      <c r="R31" s="120"/>
      <c r="S31" s="128"/>
      <c r="T31" s="127"/>
      <c r="U31" s="120"/>
      <c r="V31" s="120"/>
      <c r="W31" s="120"/>
      <c r="X31" s="120"/>
      <c r="Y31" s="120"/>
      <c r="Z31" s="128"/>
      <c r="AA31" s="127"/>
      <c r="AB31" s="120"/>
      <c r="AC31" s="120"/>
      <c r="AD31" s="120"/>
      <c r="AE31" s="120"/>
      <c r="AF31" s="120"/>
      <c r="AG31" s="128"/>
      <c r="AH31" s="127"/>
      <c r="AI31" s="120"/>
      <c r="AJ31" s="120"/>
      <c r="AK31" s="120"/>
      <c r="AL31" s="120"/>
      <c r="AM31" s="120"/>
      <c r="AN31" s="128"/>
      <c r="AO31" s="127"/>
      <c r="AP31" s="120"/>
      <c r="AQ31" s="120"/>
      <c r="AR31" s="120"/>
      <c r="AS31" s="120"/>
      <c r="AT31" s="120"/>
      <c r="AU31" s="128"/>
    </row>
    <row r="32" spans="1:47">
      <c r="A32" s="4"/>
      <c r="B32" s="1">
        <f t="shared" si="9"/>
        <v>45348</v>
      </c>
      <c r="C32" s="2" t="str">
        <f t="shared" si="8"/>
        <v>Mon</v>
      </c>
      <c r="D32" s="122"/>
      <c r="E32" s="122"/>
      <c r="F32" s="131" t="s">
        <v>12</v>
      </c>
      <c r="G32" s="123"/>
      <c r="H32" s="123"/>
      <c r="I32" s="123"/>
      <c r="J32" s="123"/>
      <c r="K32" s="123"/>
      <c r="L32" s="132"/>
      <c r="M32" s="131"/>
      <c r="N32" s="123"/>
      <c r="O32" s="123"/>
      <c r="P32" s="123"/>
      <c r="Q32" s="123"/>
      <c r="R32" s="123"/>
      <c r="S32" s="132"/>
      <c r="T32" s="131"/>
      <c r="U32" s="123"/>
      <c r="V32" s="123"/>
      <c r="W32" s="123"/>
      <c r="X32" s="123"/>
      <c r="Y32" s="123"/>
      <c r="Z32" s="132"/>
      <c r="AA32" s="131"/>
      <c r="AB32" s="123"/>
      <c r="AC32" s="123"/>
      <c r="AD32" s="123"/>
      <c r="AE32" s="123"/>
      <c r="AF32" s="123"/>
      <c r="AG32" s="132"/>
      <c r="AH32" s="131"/>
      <c r="AI32" s="123"/>
      <c r="AJ32" s="123" t="s">
        <v>12</v>
      </c>
      <c r="AK32" s="123"/>
      <c r="AL32" s="123"/>
      <c r="AM32" s="123"/>
      <c r="AN32" s="132"/>
      <c r="AO32" s="131" t="s">
        <v>13</v>
      </c>
      <c r="AP32" s="123" t="s">
        <v>14</v>
      </c>
      <c r="AQ32" s="123" t="s">
        <v>13</v>
      </c>
      <c r="AR32" s="123" t="s">
        <v>12</v>
      </c>
      <c r="AS32" s="123" t="s">
        <v>13</v>
      </c>
      <c r="AT32" s="123" t="s">
        <v>12</v>
      </c>
      <c r="AU32" s="132" t="s">
        <v>13</v>
      </c>
    </row>
    <row r="33" spans="1:47" ht="26.65" thickBot="1">
      <c r="A33" s="4"/>
      <c r="B33" s="1">
        <f t="shared" si="9"/>
        <v>45349</v>
      </c>
      <c r="C33" s="2" t="str">
        <f t="shared" si="8"/>
        <v>Tue</v>
      </c>
      <c r="D33" s="124" t="str">
        <f>IF('Enter Projections'!$A$1,"LAITS ULTRA-FRAPPÉS","SHAKE")</f>
        <v>SHAKE</v>
      </c>
      <c r="E33" s="124"/>
      <c r="F33" s="133" t="s">
        <v>15</v>
      </c>
      <c r="G33" s="134"/>
      <c r="H33" s="134"/>
      <c r="I33" s="134"/>
      <c r="J33" s="134"/>
      <c r="K33" s="134"/>
      <c r="L33" s="135"/>
      <c r="M33" s="133"/>
      <c r="N33" s="134" t="s">
        <v>16</v>
      </c>
      <c r="O33" s="134"/>
      <c r="P33" s="134"/>
      <c r="Q33" s="134" t="s">
        <v>17</v>
      </c>
      <c r="R33" s="134" t="s">
        <v>16</v>
      </c>
      <c r="S33" s="135"/>
      <c r="T33" s="133"/>
      <c r="U33" s="134"/>
      <c r="V33" s="134"/>
      <c r="W33" s="134"/>
      <c r="X33" s="134"/>
      <c r="Y33" s="134"/>
      <c r="Z33" s="135"/>
      <c r="AA33" s="133"/>
      <c r="AB33" s="134"/>
      <c r="AC33" s="134"/>
      <c r="AD33" s="134"/>
      <c r="AE33" s="134"/>
      <c r="AF33" s="134"/>
      <c r="AG33" s="135"/>
      <c r="AH33" s="133"/>
      <c r="AI33" s="134"/>
      <c r="AJ33" s="134" t="s">
        <v>16</v>
      </c>
      <c r="AK33" s="134"/>
      <c r="AL33" s="134" t="s">
        <v>16</v>
      </c>
      <c r="AM33" s="134"/>
      <c r="AN33" s="135" t="s">
        <v>15</v>
      </c>
      <c r="AO33" s="133" t="s">
        <v>16</v>
      </c>
      <c r="AP33" s="134" t="s">
        <v>15</v>
      </c>
      <c r="AQ33" s="134" t="s">
        <v>17</v>
      </c>
      <c r="AR33" s="134" t="s">
        <v>16</v>
      </c>
      <c r="AS33" s="134" t="s">
        <v>15</v>
      </c>
      <c r="AT33" s="134" t="s">
        <v>17</v>
      </c>
      <c r="AU33" s="135" t="s">
        <v>15</v>
      </c>
    </row>
    <row r="34" spans="1:47">
      <c r="A34" s="4"/>
      <c r="B34" s="1">
        <f t="shared" si="9"/>
        <v>45350</v>
      </c>
      <c r="C34" s="2" t="str">
        <f t="shared" si="8"/>
        <v>Wed</v>
      </c>
      <c r="D34" s="2"/>
      <c r="E34" s="2"/>
      <c r="F34" s="43"/>
      <c r="G34" s="43"/>
      <c r="H34" s="43"/>
      <c r="I34" s="43"/>
      <c r="J34" s="43"/>
      <c r="K34" s="43"/>
      <c r="L34" s="43"/>
      <c r="M34" s="43"/>
      <c r="N34" s="43"/>
      <c r="O34" s="43"/>
      <c r="P34" s="43"/>
      <c r="Q34" s="43"/>
      <c r="R34" s="43"/>
      <c r="S34" s="43"/>
      <c r="T34" s="43"/>
      <c r="U34" s="43"/>
      <c r="V34" s="43"/>
      <c r="W34" s="43"/>
      <c r="X34" s="5"/>
      <c r="Y34" s="5"/>
      <c r="Z34" s="5"/>
      <c r="AA34" s="5"/>
      <c r="AB34" s="5"/>
      <c r="AC34" s="5"/>
      <c r="AD34" s="5"/>
      <c r="AE34" s="5"/>
      <c r="AF34" s="5"/>
      <c r="AG34" s="5"/>
      <c r="AH34" s="5"/>
      <c r="AI34" s="5"/>
      <c r="AJ34" s="5"/>
      <c r="AK34" s="5"/>
      <c r="AL34" s="5"/>
      <c r="AM34" s="5"/>
      <c r="AN34" s="5"/>
      <c r="AO34" s="5"/>
      <c r="AP34" s="5"/>
      <c r="AQ34" s="5"/>
    </row>
    <row r="35" spans="1:47">
      <c r="A35" s="4"/>
      <c r="B35" s="1">
        <f t="shared" si="9"/>
        <v>45351</v>
      </c>
      <c r="C35" s="2" t="str">
        <f t="shared" si="8"/>
        <v>Thu</v>
      </c>
      <c r="D35" s="2"/>
      <c r="E35" s="2"/>
      <c r="F35" s="697" t="s">
        <v>11</v>
      </c>
      <c r="G35" s="697"/>
      <c r="H35" s="697"/>
      <c r="I35" s="697"/>
      <c r="J35" s="697"/>
      <c r="K35" s="697"/>
      <c r="L35" s="697"/>
      <c r="M35" s="55"/>
      <c r="N35" s="699" t="str">
        <f>IF('Enter Projections'!$A$1,"LAITS ULTRA-FRAPPÉS","SHAKE")</f>
        <v>SHAKE</v>
      </c>
      <c r="O35" s="699"/>
      <c r="P35" s="700"/>
      <c r="Q35" s="700"/>
      <c r="R35" s="700"/>
      <c r="S35" s="700"/>
      <c r="T35" s="700"/>
      <c r="U35" s="55"/>
      <c r="V35" s="55"/>
      <c r="W35" s="55"/>
      <c r="X35" s="55"/>
      <c r="Y35" s="55"/>
      <c r="Z35" s="55"/>
      <c r="AA35" s="5"/>
      <c r="AB35" s="5"/>
      <c r="AC35" s="5"/>
      <c r="AD35" s="5"/>
      <c r="AE35" s="5"/>
      <c r="AF35" s="5"/>
      <c r="AG35" s="5"/>
      <c r="AH35" s="5"/>
      <c r="AI35" s="5"/>
      <c r="AJ35" s="5"/>
      <c r="AK35" s="5"/>
      <c r="AL35" s="5"/>
      <c r="AM35" s="5"/>
      <c r="AN35" s="5"/>
      <c r="AO35" s="5"/>
      <c r="AP35" s="5"/>
      <c r="AQ35" s="5"/>
    </row>
    <row r="36" spans="1:47">
      <c r="A36" s="4"/>
      <c r="B36" s="1">
        <f t="shared" si="9"/>
        <v>45352</v>
      </c>
      <c r="C36" s="2" t="str">
        <f t="shared" si="8"/>
        <v>Fri</v>
      </c>
      <c r="D36" s="2"/>
      <c r="E36" s="2"/>
      <c r="F36" s="56" t="s">
        <v>12</v>
      </c>
      <c r="G36" s="706" t="str">
        <f>IF('Enter Projections'!$A$1,"Livraison","Delivery")</f>
        <v>Delivery</v>
      </c>
      <c r="H36" s="707"/>
      <c r="I36" s="707"/>
      <c r="J36" s="707"/>
      <c r="K36" s="707"/>
      <c r="L36" s="708"/>
      <c r="M36" s="55"/>
      <c r="N36" s="701" t="s">
        <v>18</v>
      </c>
      <c r="O36" s="702"/>
      <c r="P36" s="701" t="str">
        <f>IF('Enter Projections'!$A$1,"NETTOYAGE HEBDOMADAIRE","WEEKLY CL")</f>
        <v>WEEKLY CL</v>
      </c>
      <c r="Q36" s="703"/>
      <c r="R36" s="703"/>
      <c r="S36" s="703"/>
      <c r="T36" s="703"/>
      <c r="U36" s="703"/>
      <c r="V36" s="703"/>
      <c r="W36" s="703"/>
      <c r="X36" s="703"/>
      <c r="Y36" s="703"/>
      <c r="Z36" s="702"/>
      <c r="AA36" s="5"/>
      <c r="AB36" s="5"/>
      <c r="AC36" s="5"/>
      <c r="AD36" s="5"/>
      <c r="AE36" s="5"/>
      <c r="AF36" s="5"/>
      <c r="AG36" s="5"/>
      <c r="AH36" s="5"/>
      <c r="AI36" s="5"/>
      <c r="AJ36" s="5"/>
      <c r="AK36" s="5"/>
      <c r="AL36" s="5"/>
      <c r="AM36" s="5"/>
      <c r="AN36" s="5"/>
      <c r="AO36" s="5"/>
      <c r="AP36" s="5"/>
      <c r="AQ36" s="5"/>
    </row>
    <row r="37" spans="1:47">
      <c r="A37" s="4"/>
      <c r="B37" s="1">
        <f t="shared" si="9"/>
        <v>45353</v>
      </c>
      <c r="C37" s="2" t="str">
        <f t="shared" si="8"/>
        <v>Sat</v>
      </c>
      <c r="D37" s="2"/>
      <c r="E37" s="2"/>
      <c r="F37" s="56" t="s">
        <v>14</v>
      </c>
      <c r="G37" s="696" t="str">
        <f>IF('Enter Projections'!$A$1,"Date d'appel","Call Date")</f>
        <v>Call Date</v>
      </c>
      <c r="H37" s="696"/>
      <c r="I37" s="696"/>
      <c r="J37" s="696"/>
      <c r="K37" s="696"/>
      <c r="L37" s="696"/>
      <c r="M37" s="55"/>
      <c r="N37" s="698" t="s">
        <v>16</v>
      </c>
      <c r="O37" s="698"/>
      <c r="P37" s="701" t="str">
        <f>IF('Enter Projections'!$A$1,"CYCLE DE NETTOYAGE","Cleaning Cycle")</f>
        <v>Cleaning Cycle</v>
      </c>
      <c r="Q37" s="703"/>
      <c r="R37" s="703"/>
      <c r="S37" s="703"/>
      <c r="T37" s="703"/>
      <c r="U37" s="703"/>
      <c r="V37" s="703"/>
      <c r="W37" s="703"/>
      <c r="X37" s="703"/>
      <c r="Y37" s="703"/>
      <c r="Z37" s="702"/>
      <c r="AA37" s="5"/>
      <c r="AB37" s="5"/>
      <c r="AC37" s="5"/>
      <c r="AD37" s="5"/>
      <c r="AE37" s="5"/>
      <c r="AF37" s="5"/>
      <c r="AG37" s="5"/>
      <c r="AH37" s="5"/>
      <c r="AI37" s="5"/>
      <c r="AJ37" s="5"/>
      <c r="AK37" s="5"/>
      <c r="AL37" s="5"/>
      <c r="AM37" s="5"/>
      <c r="AN37" s="5"/>
      <c r="AO37" s="5"/>
      <c r="AP37" s="5"/>
      <c r="AQ37" s="5"/>
    </row>
    <row r="38" spans="1:47">
      <c r="D38" s="5"/>
      <c r="E38" s="5"/>
      <c r="F38" s="56" t="s">
        <v>13</v>
      </c>
      <c r="G38" s="696" t="str">
        <f>IF('Enter Projections'!$A$1,"Date d'appel et livraison","Call Date &amp; Delivery")</f>
        <v>Call Date &amp; Delivery</v>
      </c>
      <c r="H38" s="696"/>
      <c r="I38" s="696"/>
      <c r="J38" s="696"/>
      <c r="K38" s="696"/>
      <c r="L38" s="696"/>
      <c r="M38" s="55"/>
      <c r="N38" s="57" t="s">
        <v>17</v>
      </c>
      <c r="O38" s="57"/>
      <c r="P38" s="701" t="str">
        <f>IF('Enter Projections'!$A$1,"TROUSSE DE MISE AU POINT TRIMESTRIELLE","QRT Tune up KIT")</f>
        <v>QRT Tune up KIT</v>
      </c>
      <c r="Q38" s="703"/>
      <c r="R38" s="703"/>
      <c r="S38" s="703"/>
      <c r="T38" s="703"/>
      <c r="U38" s="703"/>
      <c r="V38" s="703"/>
      <c r="W38" s="703"/>
      <c r="X38" s="703"/>
      <c r="Y38" s="703"/>
      <c r="Z38" s="702"/>
      <c r="AA38" s="5"/>
      <c r="AB38" s="5"/>
      <c r="AC38" s="5"/>
      <c r="AD38" s="5"/>
      <c r="AE38" s="5"/>
      <c r="AF38" s="5"/>
      <c r="AG38" s="5"/>
      <c r="AH38" s="5"/>
      <c r="AI38" s="5"/>
      <c r="AJ38" s="5"/>
      <c r="AK38" s="5"/>
      <c r="AL38" s="5"/>
      <c r="AM38" s="5"/>
      <c r="AN38" s="5"/>
      <c r="AO38" s="5"/>
      <c r="AP38" s="5"/>
      <c r="AQ38" s="5"/>
    </row>
    <row r="39" spans="1:47">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sheetData>
  <sheetProtection formatCells="0"/>
  <mergeCells count="23">
    <mergeCell ref="AO3:AP3"/>
    <mergeCell ref="AO4:AP4"/>
    <mergeCell ref="G36:L36"/>
    <mergeCell ref="G37:L37"/>
    <mergeCell ref="AE4:AF4"/>
    <mergeCell ref="AE3:AF3"/>
    <mergeCell ref="AA4:AC4"/>
    <mergeCell ref="AH4:AI4"/>
    <mergeCell ref="AH3:AI3"/>
    <mergeCell ref="AK3:AM3"/>
    <mergeCell ref="AK4:AM4"/>
    <mergeCell ref="F4:V4"/>
    <mergeCell ref="X3:Y3"/>
    <mergeCell ref="X4:Y4"/>
    <mergeCell ref="AA3:AC3"/>
    <mergeCell ref="G38:L38"/>
    <mergeCell ref="F35:L35"/>
    <mergeCell ref="N37:O37"/>
    <mergeCell ref="N35:T35"/>
    <mergeCell ref="N36:O36"/>
    <mergeCell ref="P36:Z36"/>
    <mergeCell ref="P37:Z37"/>
    <mergeCell ref="P38:Z38"/>
  </mergeCells>
  <conditionalFormatting sqref="E7:E31 F7:AU33 F34:W34">
    <cfRule type="cellIs" dxfId="264" priority="2" operator="equal">
      <formula>"SHAKE"</formula>
    </cfRule>
    <cfRule type="cellIs" dxfId="263" priority="13" operator="equal">
      <formula>"S.H."</formula>
    </cfRule>
    <cfRule type="cellIs" dxfId="262" priority="14" operator="equal">
      <formula>"TRC"</formula>
    </cfRule>
    <cfRule type="cellIs" dxfId="261" priority="15" operator="equal">
      <formula>"MB"</formula>
    </cfRule>
    <cfRule type="cellIs" dxfId="260" priority="16" operator="equal">
      <formula>"H"</formula>
    </cfRule>
    <cfRule type="cellIs" dxfId="259" priority="17" operator="equal">
      <formula>"XX"</formula>
    </cfRule>
  </conditionalFormatting>
  <dataValidations count="5">
    <dataValidation type="list" allowBlank="1" showInputMessage="1" showErrorMessage="1" sqref="F34:W34" xr:uid="{00000000-0002-0000-0200-000000000000}">
      <formula1>"H,XX,S.H.,TRC,MB,SHAKE"</formula1>
    </dataValidation>
    <dataValidation type="list" allowBlank="1" showInputMessage="1" showErrorMessage="1" sqref="G32:AU32" xr:uid="{00000000-0002-0000-0200-000001000000}">
      <formula1>"D,C,C/D"</formula1>
    </dataValidation>
    <dataValidation type="list" showInputMessage="1" showErrorMessage="1" sqref="F32" xr:uid="{00000000-0002-0000-0200-000002000000}">
      <formula1>"D,C,C/D"</formula1>
    </dataValidation>
    <dataValidation type="list" allowBlank="1" showInputMessage="1" showErrorMessage="1" sqref="F33:AU33" xr:uid="{00000000-0002-0000-0200-000003000000}">
      <formula1>"WK,CYC,QTR"</formula1>
    </dataValidation>
    <dataValidation type="list" allowBlank="1" showInputMessage="1" showErrorMessage="1" sqref="E7:AU31" xr:uid="{00000000-0002-0000-0200-000004000000}">
      <formula1>"H,X,XX,S.H.,TRC,SCH,MTG"</formula1>
    </dataValidation>
  </dataValidations>
  <printOptions horizontalCentered="1" verticalCentered="1"/>
  <pageMargins left="0" right="0" top="0" bottom="0" header="0" footer="0"/>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H20"/>
  <sheetViews>
    <sheetView showGridLines="0" showRowColHeaders="0" topLeftCell="A6" zoomScale="40" zoomScaleNormal="40" zoomScaleSheetLayoutView="28" workbookViewId="0">
      <selection activeCell="F10" sqref="F10"/>
    </sheetView>
  </sheetViews>
  <sheetFormatPr defaultRowHeight="14.25"/>
  <cols>
    <col min="1" max="1" width="55.73046875" customWidth="1"/>
    <col min="2" max="2" width="23.19921875" customWidth="1"/>
    <col min="3" max="8" width="60.53125" customWidth="1"/>
  </cols>
  <sheetData>
    <row r="1" spans="1:8" ht="60" customHeight="1">
      <c r="A1" s="719" t="str">
        <f>'Enter Projections'!K2</f>
        <v>February</v>
      </c>
      <c r="B1" s="720"/>
      <c r="C1" s="732" t="s">
        <v>19</v>
      </c>
      <c r="D1" s="732"/>
      <c r="E1" s="732"/>
      <c r="F1" s="723"/>
      <c r="G1" s="724"/>
      <c r="H1" s="725"/>
    </row>
    <row r="2" spans="1:8" ht="60" customHeight="1">
      <c r="A2" s="721"/>
      <c r="B2" s="722"/>
      <c r="C2" s="733"/>
      <c r="D2" s="733"/>
      <c r="E2" s="733"/>
      <c r="F2" s="726"/>
      <c r="G2" s="727"/>
      <c r="H2" s="728"/>
    </row>
    <row r="3" spans="1:8" ht="60" customHeight="1">
      <c r="A3" s="721"/>
      <c r="B3" s="722"/>
      <c r="C3" s="733"/>
      <c r="D3" s="733"/>
      <c r="E3" s="733"/>
      <c r="F3" s="729"/>
      <c r="G3" s="730"/>
      <c r="H3" s="731"/>
    </row>
    <row r="4" spans="1:8" ht="27" customHeight="1">
      <c r="A4" s="716"/>
      <c r="B4" s="717"/>
      <c r="C4" s="717"/>
      <c r="D4" s="717"/>
      <c r="E4" s="717"/>
      <c r="F4" s="717"/>
      <c r="G4" s="717"/>
      <c r="H4" s="718"/>
    </row>
    <row r="5" spans="1:8" ht="98.55" customHeight="1">
      <c r="A5" s="736" t="str">
        <f>IF('Enter Projections'!$A$1," 30 à 60 jours en un coup d’œil "," 30 to 60 Days At A Glance ")</f>
        <v xml:space="preserve"> 30 to 60 Days At A Glance </v>
      </c>
      <c r="B5" s="737"/>
      <c r="C5" s="738" t="str">
        <f>IF('Enter Projections'!$A$1," Consultez le calendrier des offres régionales de l’appli Mon McDo chaque semaine pour vous assurer que vous avez suffisamment de personnel."," Review the My McD’s Weekly Regional offer calendar to ensure you have adequate staff scheduled ")</f>
        <v xml:space="preserve"> Review the My McD’s Weekly Regional offer calendar to ensure you have adequate staff scheduled </v>
      </c>
      <c r="D5" s="738"/>
      <c r="E5" s="739" t="str">
        <f>IF('Enter Projections'!$A$1," Consultez les pages des communications sur la technologie sur @mcd pour les mises à jour."," Review the Technology Communications @mcd pages for updates ")</f>
        <v xml:space="preserve"> Review the Technology Communications @mcd pages for updates </v>
      </c>
      <c r="F5" s="739"/>
      <c r="G5" s="740" t="str">
        <f>IF('Enter Projections'!$A$1," Prenez connaissance du caucus préquart quotidien sur la COVID-19"," Review the MIW Covid - 19 Resources, prior to opening")</f>
        <v xml:space="preserve"> Review the MIW Covid - 19 Resources, prior to opening</v>
      </c>
      <c r="H5" s="741"/>
    </row>
    <row r="6" spans="1:8" ht="25.5" customHeight="1">
      <c r="A6" s="492"/>
      <c r="B6" s="484"/>
      <c r="C6" s="485"/>
      <c r="D6" s="485"/>
      <c r="E6" s="486"/>
      <c r="F6" s="487"/>
      <c r="G6" s="487"/>
      <c r="H6" s="493"/>
    </row>
    <row r="7" spans="1:8" ht="100.05" customHeight="1">
      <c r="A7" s="734" t="s">
        <v>20</v>
      </c>
      <c r="B7" s="735"/>
      <c r="C7" s="242" t="str">
        <f>IF('Enter Projections'!$A$1,"Programme","Programs")</f>
        <v>Programs</v>
      </c>
      <c r="D7" s="243" t="str">
        <f>IF('Enter Projections'!$A$1,"Activités du gérant général","General Manager Activities:")</f>
        <v>General Manager Activities:</v>
      </c>
      <c r="E7" s="243" t="str">
        <f>IF('Enter Projections'!$A$1,"Gérant du département de l'expérience-client","Guest Experience Department Mgr")</f>
        <v>Guest Experience Department Mgr</v>
      </c>
      <c r="F7" s="243" t="str">
        <f>IF('Enter Projections'!$A$1,"Gérant du département du personnel","People Department Mgr")</f>
        <v>People Department Mgr</v>
      </c>
      <c r="G7" s="243" t="str">
        <f>IF('Enter Projections'!$A$1,"Gérant du département de la cuisine","Kitchen Department Mgr")</f>
        <v>Kitchen Department Mgr</v>
      </c>
      <c r="H7" s="244" t="str">
        <f>IF('Enter Projections'!$A$1,"Gérant du département des installations","Facility Department Mgr")</f>
        <v>Facility Department Mgr</v>
      </c>
    </row>
    <row r="8" spans="1:8" ht="120" customHeight="1">
      <c r="A8" s="221" t="s">
        <v>21</v>
      </c>
      <c r="B8" s="222">
        <v>32018.820000000007</v>
      </c>
      <c r="C8" s="223"/>
      <c r="D8" s="230" t="str">
        <f>IF('Enter Projections'!$A$1,"Préparer et tenir chaque semaine une journée des résultats de l’entreprise du département (un par un)","Prepare for and conduct department weekly business results day (one on one)")</f>
        <v>Prepare for and conduct department weekly business results day (one on one)</v>
      </c>
      <c r="E8" s="245" t="str">
        <f>IF('Enter Projections'!$A$1,"Préparer et tenir chaque semaine une journée des résultats de l’entreprise; mettre à jour les plans d’action"," Prepare and conduct department weekly business results day; ensure action plans are updated.")</f>
        <v xml:space="preserve"> Prepare and conduct department weekly business results day; ensure action plans are updated.</v>
      </c>
      <c r="F8" s="246" t="str">
        <f>IF('Enter Projections'!$A$1,"Préparer et tenir chaque semaine une journée des résultats de l’entreprise; mettre à jour les plans d’action"," Prepare and conduct department weekly business results day; ensure action plans are updated.")</f>
        <v xml:space="preserve"> Prepare and conduct department weekly business results day; ensure action plans are updated.</v>
      </c>
      <c r="G8" s="247" t="str">
        <f>IF('Enter Projections'!$A$1,"Préparer et tenir chaque semaine une journée des résultats de l’entreprise; mettre à jour les plans d’action","Prepare and conduct department weekly business results day; ensure action plans are updated.")</f>
        <v>Prepare and conduct department weekly business results day; ensure action plans are updated.</v>
      </c>
      <c r="H8" s="253" t="str">
        <f>IF('Enter Projections'!$A$1,"Préparer et tenir chaque semaine une journée des résultats de l’entreprise; mettre à jour les plans d’action","Prepare and conduct department weekly business results day; ensure action plans are updated.")</f>
        <v>Prepare and conduct department weekly business results day; ensure action plans are updated.</v>
      </c>
    </row>
    <row r="9" spans="1:8" ht="120" customHeight="1">
      <c r="A9" s="221" t="s">
        <v>22</v>
      </c>
      <c r="B9" s="222">
        <v>389000</v>
      </c>
      <c r="C9" s="483" t="str">
        <f>IF('Enter Projections'!$A$1," Maximisez vos chances de GAGNER - consultez le compte à rebours pour gagner.","
")</f>
        <v xml:space="preserve">
</v>
      </c>
      <c r="D9" s="237" t="str">
        <f>IF('Enter Projections'!$A$1,"Mettre à jour les plans d’action du PAER","Update (ROIP Action Plans)")</f>
        <v>Update (ROIP Action Plans)</v>
      </c>
      <c r="E9" s="245" t="str">
        <f>IF('Enter Projections'!$A$1,"Planifier et coordonner toutes les activités de lancement norme d'or","Plan and coordinate all GSL activities")</f>
        <v>Plan and coordinate all GSL activities</v>
      </c>
      <c r="F9" s="327" t="str">
        <f>IF('Enter Projections'!$A$1," Mener l’Analyse des besoins en formation de mars"," Conduct March training need analysis ")</f>
        <v xml:space="preserve"> Conduct March training need analysis </v>
      </c>
      <c r="G9" s="247" t="str">
        <f>IF('Enter Projections'!$A$1," Effectuer le diagnostic COA"," Complete MFY Diagnostic")</f>
        <v xml:space="preserve"> Complete MFY Diagnostic</v>
      </c>
      <c r="H9" s="254" t="str">
        <f>IF('Enter Projections'!$A$1,"Lire le bulletin d'Équipement Canada","Review Equipement Canada Newsletter")</f>
        <v>Review Equipement Canada Newsletter</v>
      </c>
    </row>
    <row r="10" spans="1:8" ht="120" customHeight="1">
      <c r="A10" s="221" t="s">
        <v>23</v>
      </c>
      <c r="B10" s="224">
        <v>15.5</v>
      </c>
      <c r="C10" s="225"/>
      <c r="D10" s="237" t="str">
        <f>IF('Enter Projections'!$A$1,"Remplir la Liste de vérification de l’hygiène alimentaire","Complete Food Safety Monthly Checklist")</f>
        <v>Complete Food Safety Monthly Checklist</v>
      </c>
      <c r="E10" s="248" t="str">
        <f>IF('Enter Projections'!$A$1,"Planifier et coordonner toutes les activités de marketing local"," Plan and coordinate all LSM activities")</f>
        <v xml:space="preserve"> Plan and coordinate all LSM activities</v>
      </c>
      <c r="F10" s="235" t="str">
        <f>IF('Enter Projections'!$A$1,"Remplir l'Outil de diagnostic ThoughtWorks ESP","Complete ESP ThoughtWorks Diagnostic")</f>
        <v>Complete ESP ThoughtWorks Diagnostic</v>
      </c>
      <c r="G10" s="233" t="str">
        <f>IF('Enter Projections'!$A$1,"Remplir la Liste de vérification mensuelle de la mise au point du bœuf","Complete Monthly Beef Tune-up Checklist")</f>
        <v>Complete Monthly Beef Tune-up Checklist</v>
      </c>
      <c r="H10" s="254" t="str">
        <f>IF('Enter Projections'!$A$1,"Assigner les responsabilités de nettoyage et d'entretien préventif hebdomadaires et mensuelles"," Assign weekly &amp; Monthly Cleaning and PM maintenance responsibilities")</f>
        <v xml:space="preserve"> Assign weekly &amp; Monthly Cleaning and PM maintenance responsibilities</v>
      </c>
    </row>
    <row r="11" spans="1:8" ht="120" customHeight="1">
      <c r="A11" s="221" t="s">
        <v>24</v>
      </c>
      <c r="B11" s="224">
        <v>3200</v>
      </c>
      <c r="C11" s="226"/>
      <c r="D11" s="239" t="str">
        <f>IF('Enter Projections'!$A$1,"Remplir l'Agenda de planification et l'horaire de l'équipe de gestion","Complete Manager Planner and Schedule")</f>
        <v>Complete Manager Planner and Schedule</v>
      </c>
      <c r="E11" s="231" t="str">
        <f>IF('Enter Projections'!$A$1,"Planifier et coordonner toute la programmation dans les caisses"," Plan and coordinate all POS programming")</f>
        <v xml:space="preserve"> Plan and coordinate all POS programming</v>
      </c>
      <c r="F11" s="235" t="str">
        <f>IF('Enter Projections'!$A$1,"Planifier et tenir des entrevues; commander des tenues de travail","Conduct interviews, order uniforms")</f>
        <v>Conduct interviews, order uniforms</v>
      </c>
      <c r="G11" s="233" t="str">
        <f>IF('Enter Projections'!$A$1,"Mettre à jour le système d'étiquetage-fraîcheur"," Update Freshness Labeler")</f>
        <v xml:space="preserve"> Update Freshness Labeler</v>
      </c>
      <c r="H11" s="254" t="str">
        <f>IF('Enter Projections'!$A$1,"Passer en revue l'entretien préventif et s'assurer de son exécution","Review PM and assess completion")</f>
        <v>Review PM and assess completion</v>
      </c>
    </row>
    <row r="12" spans="1:8" ht="120" customHeight="1">
      <c r="A12" s="221" t="s">
        <v>25</v>
      </c>
      <c r="B12" s="227">
        <v>0.51537650603449348</v>
      </c>
      <c r="C12" s="228"/>
      <c r="D12" s="239" t="str">
        <f>IF('Enter Projections'!$A$1,"Mener les deuxièmes entrevues et prendre les décisions finales d'embauche d'équipiers","Conduct 2nd interviews with applicants (final decision)")</f>
        <v>Conduct 2nd interviews with applicants (final decision)</v>
      </c>
      <c r="E12" s="234" t="str">
        <f>IF('Enter Projections'!$A$1, "  Relancer les marches à suivre sur le café infusé, le café glacé et les boissons de spécialité "," Rehit on Brewing, Ice coffee, and Specialty Procedures ")</f>
        <v xml:space="preserve"> Rehit on Brewing, Ice coffee, and Specialty Procedures </v>
      </c>
      <c r="F12" s="235" t="str">
        <f>IF('Enter Projections'!$A$1,"Rédiger et effectuer des évaluations de rendement ","Plan and conduct performance reviews")</f>
        <v>Plan and conduct performance reviews</v>
      </c>
      <c r="G12" s="233" t="str">
        <f>IF('Enter Projections'!$A$1,"Vérifier la formation en hygiène alimentaire","Verify Food Safety training")</f>
        <v>Verify Food Safety training</v>
      </c>
      <c r="H12" s="254" t="str">
        <f>IF('Enter Projections'!$A$1,"Effectuer les inspections de la sécurité en restaurant"," Conduct Restaurant Safety Inspection")</f>
        <v xml:space="preserve"> Conduct Restaurant Safety Inspection</v>
      </c>
    </row>
    <row r="13" spans="1:8" ht="120" customHeight="1">
      <c r="A13" s="221" t="s">
        <v>26</v>
      </c>
      <c r="B13" s="229">
        <v>7012.6840000000002</v>
      </c>
      <c r="C13" s="228"/>
      <c r="D13" s="326" t="str">
        <f>IF('Enter Projections'!$A$1,"Planifier et mener les suivis d'intégration après 60 jours","Plan and conduct 60-day follow-up Orientation")</f>
        <v>Plan and conduct 60-day follow-up Orientation</v>
      </c>
      <c r="E13" s="231"/>
      <c r="F13" s="235" t="str">
        <f>IF('Enter Projections'!$A$1,"Mettre à jour la formation à l'aide des FCP (planifier la formation)","Update SOC completion (Plan Training)")</f>
        <v>Update SOC completion (Plan Training)</v>
      </c>
      <c r="G13" s="233" t="str">
        <f>IF('Enter Projections'!$A$1," Planifier la formation sur les nouveaux programmes "," Plan for training for new programs")</f>
        <v xml:space="preserve"> Plan for training for new programs</v>
      </c>
      <c r="H13" s="254" t="str">
        <f>IF('Enter Projections'!$A$1," Effectuez le nettoyage des ventilateurs d’évacuation et des cheminées."," Complete Exhaust Cleaning Maintenance ")</f>
        <v xml:space="preserve"> Complete Exhaust Cleaning Maintenance </v>
      </c>
    </row>
    <row r="14" spans="1:8" ht="120" customHeight="1">
      <c r="A14" s="221" t="s">
        <v>27</v>
      </c>
      <c r="B14" s="232">
        <v>9.5</v>
      </c>
      <c r="C14" s="228"/>
      <c r="D14" s="330" t="str">
        <f>IF('Enter Projections'!$A$1," Prévoir à l’horaire le gérant des installations pour qu’il effectue les tâches d'entretien préventif "," Schedule FM manager to complete required PM tasks ")</f>
        <v xml:space="preserve"> Schedule FM manager to complete required PM tasks </v>
      </c>
      <c r="E14" s="231"/>
      <c r="F14" s="235" t="str">
        <f>IF('Enter Projections'!$A$1," Mise à jour de l’outil des HMOV (outil des HMOV des McW)"," Update VLH Tool (MiW VLH Tool)")</f>
        <v xml:space="preserve"> Update VLH Tool (MiW VLH Tool)</v>
      </c>
      <c r="G14" s="233"/>
      <c r="H14" s="254" t="str">
        <f>IF('Enter Projections'!$A$1," Effectuez les activités quotidiennes, hebdomadaires et mensuelles liées à la technologie."," Complete daily, weekly, monthly technology related activities. ")</f>
        <v xml:space="preserve"> Complete daily, weekly, monthly technology related activities. </v>
      </c>
    </row>
    <row r="15" spans="1:8" ht="120" customHeight="1">
      <c r="A15" s="221" t="s">
        <v>28</v>
      </c>
      <c r="B15" s="229">
        <v>858.17726315789446</v>
      </c>
      <c r="C15" s="226"/>
      <c r="D15" s="488" t="str">
        <f>IF('Enter Projections'!$A$1," Passez en revue les billets ouverts du CBRE avec le gérant des installations."," Review CBRE open tickets with Facility Manager")</f>
        <v xml:space="preserve"> Review CBRE open tickets with Facility Manager</v>
      </c>
      <c r="E15" s="234"/>
      <c r="F15" s="235"/>
      <c r="G15" s="233"/>
      <c r="H15" s="254" t="str">
        <f>IF('Enter Projections'!$A$1," Passez en revue les étapes de dépannage de l’équipement technologique avec votre équipe."," Review technology equipment trouble shooting with Team ")</f>
        <v xml:space="preserve"> Review technology equipment trouble shooting with Team </v>
      </c>
    </row>
    <row r="16" spans="1:8" ht="101.2" customHeight="1">
      <c r="A16" s="221" t="s">
        <v>29</v>
      </c>
      <c r="B16" s="232">
        <v>120</v>
      </c>
      <c r="C16" s="236"/>
      <c r="D16" s="237" t="str">
        <f>IF('Enter Projections'!$A$1," McW - inspection du ventilateur d’évacuation "," MiW - Exhaust Fan inspection ")</f>
        <v xml:space="preserve"> MiW - Exhaust Fan inspection </v>
      </c>
      <c r="E16" s="231" t="s">
        <v>1</v>
      </c>
      <c r="F16" s="249"/>
      <c r="G16" s="233"/>
      <c r="H16" s="254" t="str">
        <f>IF('Enter Projections'!$A$1," Passez en revue l’utilisation du portail du Centre de dépannage pour les situations non urgentes."," Review use of the SD portal for non-urgent matters ")</f>
        <v xml:space="preserve"> Review use of the SD portal for non-urgent matters </v>
      </c>
    </row>
    <row r="17" spans="1:8" ht="120" customHeight="1">
      <c r="A17" s="221" t="s">
        <v>30</v>
      </c>
      <c r="B17" s="238">
        <v>8.1716031186784619</v>
      </c>
      <c r="C17" s="223"/>
      <c r="D17" s="239" t="str">
        <f>IF('Enter Projections'!$A$1," McW - prévoir l'inspection"," MiW – Schedule Backflow inspection")</f>
        <v xml:space="preserve"> MiW – Schedule Backflow inspection</v>
      </c>
      <c r="E17" s="231" t="s">
        <v>1</v>
      </c>
      <c r="F17" s="235"/>
      <c r="G17" s="233"/>
      <c r="H17" s="254" t="str">
        <f>IF('Enter Projections'!$A$1," Faites du suivi sur la résolution de tous les éléments identifiés comme non conformes (RTE)."," Follow up on the resolution of all elements identified as non-compliant (OPT)")</f>
        <v xml:space="preserve"> Follow up on the resolution of all elements identified as non-compliant (OPT)</v>
      </c>
    </row>
    <row r="18" spans="1:8" ht="120" customHeight="1">
      <c r="A18" s="221" t="s">
        <v>31</v>
      </c>
      <c r="B18" s="489">
        <v>36.36</v>
      </c>
      <c r="C18" s="223"/>
      <c r="D18" s="490" t="str">
        <f>IF('Enter Projections'!$A$1," Présentez les évaluations des membres de l’équipe de gestion."," Present management Team's evaluations ")</f>
        <v xml:space="preserve"> Present management Team's evaluations </v>
      </c>
      <c r="E18" s="231" t="s">
        <v>1</v>
      </c>
      <c r="F18" s="235"/>
      <c r="G18" s="233"/>
      <c r="H18" s="254" t="str">
        <f>IF('Enter Projections'!$A$1, "  Effectuer les tâches d’entretien préventif de l’équipement en vue de l’événement McCafé "," Complete Equipment PM tasks for McCafé Event Preparation ")</f>
        <v xml:space="preserve"> Complete Equipment PM tasks for McCafé Event Preparation </v>
      </c>
    </row>
    <row r="19" spans="1:8" ht="120" customHeight="1">
      <c r="A19" s="221"/>
      <c r="B19" s="489"/>
      <c r="C19" s="223"/>
      <c r="D19" s="491" t="str">
        <f>IF('Enter Projections'!$A$1," Effectuez les activités quotidiennes, hebdomadaires et mensuelles liées à la technologie."," Complete daily, weekly, monthly technology related activities. ")</f>
        <v xml:space="preserve"> Complete daily, weekly, monthly technology related activities. </v>
      </c>
      <c r="E19" s="231"/>
      <c r="F19" s="235"/>
      <c r="G19" s="233"/>
      <c r="H19" s="254" t="str">
        <f>IF('Enter Projections'!$A$1, "  Commander de l’équipement McCafé, au besoin "," Order McCafé Equipment if needed ")</f>
        <v xml:space="preserve"> Order McCafé Equipment if needed </v>
      </c>
    </row>
    <row r="20" spans="1:8" ht="50.2" customHeight="1" thickBot="1">
      <c r="A20" s="240"/>
      <c r="B20" s="241"/>
      <c r="C20" s="256"/>
      <c r="D20" s="494" t="str">
        <f>IF('Enter Projections'!$A$1, "  Remplir l’outil de la capacité du café "," Complete Coffee Capacity Tool ")</f>
        <v xml:space="preserve"> Complete Coffee Capacity Tool </v>
      </c>
      <c r="E20" s="250" t="s">
        <v>1</v>
      </c>
      <c r="F20" s="251"/>
      <c r="G20" s="252"/>
      <c r="H20" s="255"/>
    </row>
  </sheetData>
  <mergeCells count="9">
    <mergeCell ref="A4:H4"/>
    <mergeCell ref="A1:B3"/>
    <mergeCell ref="F1:H3"/>
    <mergeCell ref="C1:E3"/>
    <mergeCell ref="A7:B7"/>
    <mergeCell ref="A5:B5"/>
    <mergeCell ref="C5:D5"/>
    <mergeCell ref="E5:F5"/>
    <mergeCell ref="G5:H5"/>
  </mergeCells>
  <hyperlinks>
    <hyperlink ref="C5:D5" r:id="rId1" display="https://www.atmcd.com/sites/canada/the-3ds/SitePage/1940118/deals" xr:uid="{00000000-0004-0000-0300-000000000000}"/>
    <hyperlink ref="E5:F5" r:id="rId2" display=" Review the Technology Communications @mcd page for updates" xr:uid="{00000000-0004-0000-0300-000001000000}"/>
    <hyperlink ref="G5:H5" r:id="rId3" display="https://www.atmcd.com/sites/canada/people/SitePage/841911/covid-19" xr:uid="{00000000-0004-0000-0300-000003000000}"/>
    <hyperlink ref="A5:B5" r:id="rId4" display="https://spo.mcd.com/sites/atmcd_ca/In the Restaurant/English/Operations/NABIT/Manager's Guides/3 Month at/3 Months at a Glance.pdf" xr:uid="{00000000-0004-0000-0300-000002000000}"/>
    <hyperlink ref="D19" r:id="rId5" display="https://www.atmcd.com/sites/canada/technology/SitePage/687013/for-restaurants" xr:uid="{72E4F023-9933-42AB-A50F-BF2538BC39D6}"/>
  </hyperlinks>
  <pageMargins left="0.25" right="0.2" top="0.75" bottom="0.75" header="0.3" footer="0.3"/>
  <pageSetup scale="23"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A120"/>
  <sheetViews>
    <sheetView showGridLines="0" showRowColHeaders="0" topLeftCell="C41" zoomScale="50" zoomScaleNormal="50" workbookViewId="0">
      <selection activeCell="I50" sqref="I50"/>
    </sheetView>
  </sheetViews>
  <sheetFormatPr defaultColWidth="10" defaultRowHeight="14.25"/>
  <cols>
    <col min="1" max="1" width="10.73046875" style="7" hidden="1" customWidth="1"/>
    <col min="2" max="2" width="8.53125" style="7" hidden="1" customWidth="1"/>
    <col min="3" max="3" width="13.265625" style="7" customWidth="1"/>
    <col min="4" max="4" width="42.46484375" style="7" customWidth="1"/>
    <col min="5" max="11" width="41.53125" style="11" customWidth="1"/>
    <col min="12" max="12" width="2.73046875" style="11" hidden="1" customWidth="1"/>
    <col min="13" max="13" width="39.73046875" style="12" customWidth="1"/>
    <col min="14" max="14" width="5" style="13" hidden="1" customWidth="1"/>
    <col min="15" max="15" width="3.265625" style="11" hidden="1" customWidth="1"/>
    <col min="16" max="16" width="8.265625" style="11" hidden="1" customWidth="1"/>
    <col min="17" max="17" width="19" style="11" hidden="1" customWidth="1"/>
    <col min="18" max="20" width="0" style="11" hidden="1" customWidth="1"/>
    <col min="21" max="21" width="0.73046875" style="11" hidden="1" customWidth="1"/>
    <col min="22" max="22" width="7" style="11" hidden="1" customWidth="1"/>
    <col min="23" max="16384" width="10" style="11"/>
  </cols>
  <sheetData>
    <row r="1" spans="1:17" ht="14.65" thickBot="1">
      <c r="A1" s="7" t="b">
        <v>1</v>
      </c>
    </row>
    <row r="2" spans="1:17" ht="25.05" customHeight="1">
      <c r="C2" s="41"/>
      <c r="D2" s="777" t="str">
        <f>IF('Enter Projections'!$A$1,"Mois","Month:")</f>
        <v>Month:</v>
      </c>
      <c r="E2" s="775" t="str">
        <f>'Enter Projections'!K2</f>
        <v>February</v>
      </c>
      <c r="F2" s="775"/>
      <c r="G2" s="779" t="str">
        <f>IF('Enter Projections'!$A$1,"Nom du restaurant :","Restaurant Name:")</f>
        <v>Restaurant Name:</v>
      </c>
      <c r="H2" s="779"/>
      <c r="I2" s="773"/>
      <c r="J2" s="387"/>
      <c r="K2" s="388"/>
    </row>
    <row r="3" spans="1:17" ht="24" customHeight="1" thickBot="1">
      <c r="D3" s="778"/>
      <c r="E3" s="776"/>
      <c r="F3" s="776"/>
      <c r="G3" s="780"/>
      <c r="H3" s="780"/>
      <c r="I3" s="774"/>
      <c r="J3" s="295"/>
      <c r="K3" s="389"/>
    </row>
    <row r="4" spans="1:17" ht="14.65" hidden="1" thickBot="1">
      <c r="D4" s="390"/>
      <c r="E4" s="70"/>
      <c r="F4" s="70"/>
      <c r="G4" s="70"/>
      <c r="H4" s="70"/>
      <c r="I4" s="70"/>
      <c r="J4" s="70"/>
      <c r="K4" s="391"/>
    </row>
    <row r="5" spans="1:17" ht="15.4" hidden="1" thickBot="1">
      <c r="D5" s="771" t="str">
        <f>IF('Enter Projections'!$A$1,"Nom du restaurant :","Targets")</f>
        <v>Targets</v>
      </c>
      <c r="E5" s="772"/>
      <c r="F5" s="182"/>
      <c r="G5" s="183"/>
      <c r="H5" s="184"/>
      <c r="I5" s="185"/>
      <c r="J5" s="184"/>
      <c r="K5" s="392"/>
    </row>
    <row r="6" spans="1:17" ht="49.5" hidden="1" customHeight="1">
      <c r="D6" s="393" t="str">
        <f>IF('Enter Projections'!$A$1,"Prévisions des ventes en $","Sale Projected $")</f>
        <v>Sale Projected $</v>
      </c>
      <c r="E6" s="64">
        <f>'Enter Projections'!O17</f>
        <v>0</v>
      </c>
      <c r="F6" s="258"/>
      <c r="G6" s="186"/>
      <c r="H6" s="187"/>
      <c r="I6" s="188"/>
      <c r="J6" s="189"/>
      <c r="K6" s="394"/>
    </row>
    <row r="7" spans="1:17" ht="31.5" hidden="1" customHeight="1">
      <c r="D7" s="393" t="str">
        <f>IF('Enter Projections'!$A$1,"Ventes prévues en $ de l'état des résultats","PnLPlanned Sales")</f>
        <v>PnLPlanned Sales</v>
      </c>
      <c r="E7" s="64">
        <f>'Enter Projections'!O18</f>
        <v>0</v>
      </c>
      <c r="F7" s="259"/>
      <c r="G7" s="190"/>
      <c r="H7" s="187"/>
      <c r="I7" s="191"/>
      <c r="J7" s="192"/>
      <c r="K7" s="395"/>
    </row>
    <row r="8" spans="1:17" ht="48.7" hidden="1" customHeight="1">
      <c r="D8" s="396" t="str">
        <f>IF('Enter Projections'!$A$1,"Salaire moyen (sans salaire jours fériés $)","Av. Wage (W/O Stat Hol. $")</f>
        <v>Av. Wage (W/O Stat Hol. $</v>
      </c>
      <c r="E8" s="64">
        <f>'Enter Projections'!O19</f>
        <v>0</v>
      </c>
      <c r="F8" s="193"/>
      <c r="G8" s="190"/>
      <c r="H8" s="190"/>
      <c r="I8" s="194"/>
      <c r="J8" s="195"/>
      <c r="K8" s="397"/>
    </row>
    <row r="9" spans="1:17" ht="36" hidden="1" customHeight="1">
      <c r="D9" s="396" t="str">
        <f>IF('Enter Projections'!$A$1,"Sal. moyen (sans salaire jours fériés $)","Stat. Holiday $")</f>
        <v>Stat. Holiday $</v>
      </c>
      <c r="E9" s="64">
        <f>'Enter Projections'!O20</f>
        <v>0</v>
      </c>
      <c r="F9" s="196"/>
      <c r="G9" s="197"/>
      <c r="H9" s="198"/>
      <c r="I9" s="199"/>
      <c r="J9" s="200"/>
      <c r="K9" s="397"/>
    </row>
    <row r="10" spans="1:17" ht="30.7" hidden="1" customHeight="1">
      <c r="D10" s="396" t="str">
        <f>IF('Enter Projections'!$A$1,"% de main-d’œuvre prévue","Projected Labour %")</f>
        <v>Projected Labour %</v>
      </c>
      <c r="E10" s="65" t="str">
        <f>'Enter Projections'!O21</f>
        <v/>
      </c>
      <c r="F10" s="201"/>
      <c r="G10" s="197"/>
      <c r="H10" s="202"/>
      <c r="I10" s="203"/>
      <c r="J10" s="204"/>
      <c r="K10" s="395"/>
    </row>
    <row r="11" spans="1:17" ht="69.7" hidden="1" customHeight="1">
      <c r="D11" s="396" t="str">
        <f>IF('Enter Projections'!$A$1,"Nombre de clients prévu","Projected Guest Counts")</f>
        <v>Projected Guest Counts</v>
      </c>
      <c r="E11" s="66">
        <f>'Enter Projections'!O22</f>
        <v>0</v>
      </c>
      <c r="F11" s="201"/>
      <c r="G11" s="205"/>
      <c r="H11" s="206"/>
      <c r="I11" s="203"/>
      <c r="J11" s="207"/>
      <c r="K11" s="398"/>
    </row>
    <row r="12" spans="1:17" ht="38.549999999999997" hidden="1" customHeight="1">
      <c r="D12" s="399" t="str">
        <f>IF('Enter Projections'!$A$1,"TPÉH cible","Targeted  TPCH")</f>
        <v>Targeted  TPCH</v>
      </c>
      <c r="E12" s="67">
        <f>'Enter Projections'!O23</f>
        <v>0</v>
      </c>
      <c r="F12" s="201"/>
      <c r="G12" s="205"/>
      <c r="H12" s="208"/>
      <c r="I12" s="203"/>
      <c r="J12" s="209"/>
      <c r="K12" s="398"/>
    </row>
    <row r="13" spans="1:17" ht="3.7" hidden="1" customHeight="1">
      <c r="D13" s="400" t="str">
        <f>IF('Enter Projections'!$A$1,"Heures prévues allouées","Projected Hours allowed")</f>
        <v>Projected Hours allowed</v>
      </c>
      <c r="E13" s="66">
        <f>'Enter Projections'!O24</f>
        <v>0</v>
      </c>
      <c r="F13" s="210"/>
      <c r="G13" s="198"/>
      <c r="H13" s="211"/>
      <c r="I13" s="212"/>
      <c r="J13" s="213"/>
      <c r="K13" s="395"/>
    </row>
    <row r="14" spans="1:17" ht="40.049999999999997" hidden="1" customHeight="1">
      <c r="D14" s="400" t="str">
        <f>IF('Enter Projections'!$A$1,"Salaire jours fériés/cours (heures)","Salary Holidays / Classes (Hours)")</f>
        <v>Salary Holidays / Classes (Hours)</v>
      </c>
      <c r="E14" s="66">
        <f>'Enter Projections'!O25</f>
        <v>0</v>
      </c>
      <c r="F14" s="260"/>
      <c r="G14" s="214"/>
      <c r="H14" s="215"/>
      <c r="I14" s="286"/>
      <c r="J14" s="216"/>
      <c r="K14" s="401"/>
    </row>
    <row r="15" spans="1:17" ht="3.7" hidden="1" customHeight="1">
      <c r="D15" s="400" t="str">
        <f>IF('Enter Projections'!$A$1,"TPÉH prévues","Projected TPCH")</f>
        <v>Projected TPCH</v>
      </c>
      <c r="E15" s="67">
        <f>'Enter Projections'!O26</f>
        <v>0</v>
      </c>
      <c r="F15" s="769"/>
      <c r="G15" s="206"/>
      <c r="H15" s="215"/>
      <c r="I15" s="199"/>
      <c r="J15" s="216"/>
      <c r="K15" s="402"/>
    </row>
    <row r="16" spans="1:17" ht="30" hidden="1" customHeight="1">
      <c r="D16" s="403" t="str">
        <f>IF('Enter Projections'!$A$1,"% de main-d'œuvre prévue de l'état des résultats","P&amp;L Planned Labour %")</f>
        <v>P&amp;L Planned Labour %</v>
      </c>
      <c r="E16" s="67">
        <f>'Enter Projections'!O27</f>
        <v>0</v>
      </c>
      <c r="F16" s="770"/>
      <c r="G16" s="217"/>
      <c r="H16" s="218"/>
      <c r="I16" s="219"/>
      <c r="J16" s="220"/>
      <c r="K16" s="404"/>
      <c r="Q16" s="14"/>
    </row>
    <row r="17" spans="1:27" s="30" customFormat="1" ht="3.7" hidden="1" customHeight="1">
      <c r="D17" s="405"/>
      <c r="E17" s="142"/>
      <c r="F17" s="139"/>
      <c r="G17" s="68"/>
      <c r="H17" s="69"/>
      <c r="I17" s="69"/>
      <c r="J17" s="141"/>
      <c r="K17" s="406"/>
      <c r="M17" s="35"/>
      <c r="N17" s="36"/>
      <c r="Q17" s="37"/>
    </row>
    <row r="18" spans="1:27" ht="14.2" customHeight="1">
      <c r="A18" s="8" t="s">
        <v>32</v>
      </c>
      <c r="B18" s="34">
        <f>'Enter (Vac BFs TrCl MB'!B7</f>
        <v>45323</v>
      </c>
      <c r="C18" s="34"/>
      <c r="D18" s="407"/>
      <c r="E18" s="70"/>
      <c r="F18" s="296"/>
      <c r="G18" s="297"/>
      <c r="H18" s="297"/>
      <c r="I18" s="583"/>
      <c r="J18" s="583"/>
      <c r="K18" s="408"/>
      <c r="M18" s="15"/>
      <c r="O18" s="16"/>
      <c r="Q18" s="17"/>
    </row>
    <row r="19" spans="1:27" ht="29.2" customHeight="1">
      <c r="A19" s="7" t="s">
        <v>33</v>
      </c>
      <c r="B19" s="9">
        <f>EOMONTH(B18,-1)+1</f>
        <v>45323</v>
      </c>
      <c r="C19" s="9"/>
      <c r="D19" s="745" t="str">
        <f>IF('Enter Projections'!$A$1," Offres mobiles hebdomadaires "," Weekly Mobile Offers ")</f>
        <v xml:space="preserve"> Weekly Mobile Offers </v>
      </c>
      <c r="E19" s="746"/>
      <c r="F19" s="746"/>
      <c r="G19" s="746"/>
      <c r="H19" s="746"/>
      <c r="I19" s="746"/>
      <c r="J19" s="746"/>
      <c r="K19" s="747"/>
      <c r="M19" s="18"/>
      <c r="O19" s="16"/>
      <c r="P19" s="744"/>
      <c r="Q19" s="744"/>
      <c r="R19" s="744"/>
      <c r="S19" s="744"/>
      <c r="T19" s="744"/>
      <c r="U19" s="744"/>
      <c r="V19" s="744"/>
      <c r="W19" s="744"/>
      <c r="X19" s="744"/>
      <c r="Y19" s="744"/>
      <c r="Z19" s="744"/>
      <c r="AA19" s="744"/>
    </row>
    <row r="20" spans="1:27" ht="13.5" customHeight="1">
      <c r="A20" s="7" t="s">
        <v>34</v>
      </c>
      <c r="B20" s="7">
        <f>+WEEKDAY(B19-1)</f>
        <v>4</v>
      </c>
      <c r="D20" s="409"/>
      <c r="E20" s="70"/>
      <c r="F20" s="140"/>
      <c r="G20" s="70"/>
      <c r="H20" s="70"/>
      <c r="I20" s="70"/>
      <c r="J20" s="140"/>
      <c r="K20" s="391"/>
      <c r="M20" s="18"/>
      <c r="O20" s="16"/>
      <c r="P20" s="744"/>
      <c r="Q20" s="744"/>
      <c r="R20" s="744"/>
      <c r="S20" s="744"/>
      <c r="T20" s="744"/>
      <c r="U20" s="744"/>
      <c r="V20" s="744"/>
      <c r="W20" s="744"/>
      <c r="X20" s="744"/>
      <c r="Y20" s="744"/>
      <c r="Z20" s="744"/>
      <c r="AA20" s="744"/>
    </row>
    <row r="21" spans="1:27" s="19" customFormat="1" ht="39.700000000000003" customHeight="1">
      <c r="A21" s="10" t="s">
        <v>35</v>
      </c>
      <c r="B21" s="10">
        <f>MONTH(B18)</f>
        <v>2</v>
      </c>
      <c r="C21" s="10"/>
      <c r="D21" s="410" t="str">
        <f>IF('Enter Projections'!A1,"TACTIQUES DE SOUTIEN 
ACTIONS PRÉVUES","TACTICS TO SUPPORT 
ACTION PLAN")</f>
        <v>TACTICS TO SUPPORT 
ACTION PLAN</v>
      </c>
      <c r="E21" s="338" t="str">
        <f>IF('Enter Projections'!$A$1,"LUN","MON")</f>
        <v>MON</v>
      </c>
      <c r="F21" s="338" t="str">
        <f>IF('Enter Projections'!$A$1,"MAR","TUE")</f>
        <v>TUE</v>
      </c>
      <c r="G21" s="338" t="str">
        <f>IF('Enter Projections'!$A$1,"MER","WED")</f>
        <v>WED</v>
      </c>
      <c r="H21" s="338" t="str">
        <f>IF('Enter Projections'!$A$1,"JEU","THU")</f>
        <v>THU</v>
      </c>
      <c r="I21" s="338" t="str">
        <f>IF('Enter Projections'!$A$1,"VEN","FRI")</f>
        <v>FRI</v>
      </c>
      <c r="J21" s="338" t="str">
        <f>IF('Enter Projections'!$A$1,"SAM","SAT")</f>
        <v>SAT</v>
      </c>
      <c r="K21" s="411" t="str">
        <f>IF('Enter Projections'!$A$1,"DIM","SUN")</f>
        <v>SUN</v>
      </c>
      <c r="M21" s="18" t="str">
        <f>IFERROR(IF(INDEX('Enter Projections'!B17:E47,MATCH(J22,'Enter Projections'!$D$17:$D$47,0),3)=0,"",INDEX('Enter Projections'!B17:E47,MATCH(J22,'Enter Projections'!$D$17:$D$47,0),3)),"")</f>
        <v/>
      </c>
      <c r="N21" s="13"/>
      <c r="O21" s="16"/>
    </row>
    <row r="22" spans="1:27" s="16" customFormat="1" ht="21" customHeight="1">
      <c r="A22" s="20"/>
      <c r="B22" s="20"/>
      <c r="C22" s="20"/>
      <c r="D22" s="412" t="s">
        <v>36</v>
      </c>
      <c r="E22" s="339">
        <f>(COLUMNS($E22:E22)+(ROWS(E$22:E22)-1)*7-$B$20+$B$19)</f>
        <v>45320</v>
      </c>
      <c r="F22" s="339">
        <f>(COLUMNS($E22:F22)+(ROWS(F$22:F22)-1)*7-$B$20+$B$19)</f>
        <v>45321</v>
      </c>
      <c r="G22" s="349">
        <f>(COLUMNS($E22:G22)+(ROWS(G$22:G22)-1)*7-$B$20+$B$19)</f>
        <v>45322</v>
      </c>
      <c r="H22" s="349">
        <f>(COLUMNS($E22:H22)+(ROWS(H$22:H22)-1)*7-$B$20+$B$19)</f>
        <v>45323</v>
      </c>
      <c r="I22" s="349">
        <f>(COLUMNS($E22:I22)+(ROWS(I$22:I22)-1)*7-$B$20+$B$19)</f>
        <v>45324</v>
      </c>
      <c r="J22" s="349">
        <f>(COLUMNS($E22:J22)+(ROWS(J$22:J22)-1)*7-$B$20+$B$19)</f>
        <v>45325</v>
      </c>
      <c r="K22" s="413">
        <f>IF(MONTH(COLUMNS($E22:K22)+(ROWS(K$22:K22)-1)*7-$B$20+$B$19)=MONTH(B18),COLUMNS($E22:K22)+(ROWS(K$22:K22)-1)*7-$B$20+$B$19,"")</f>
        <v>45326</v>
      </c>
      <c r="M22" s="18"/>
      <c r="N22" s="13"/>
      <c r="O22" s="11"/>
    </row>
    <row r="23" spans="1:27" s="16" customFormat="1" ht="15" customHeight="1">
      <c r="A23" s="21"/>
      <c r="B23" s="328">
        <v>44256</v>
      </c>
      <c r="C23" s="21"/>
      <c r="D23" s="414">
        <f>SUM(E23:K23)</f>
        <v>0</v>
      </c>
      <c r="E23" s="340" t="str">
        <f>IFERROR(IF(INDEX('Enter Projections'!$B$13:$E$54,MATCH(E22,'Enter Projections'!$B$13:$B$54,0),3)=0,"",INDEX('Enter Projections'!$B$13:$E$54,MATCH(E22,'Enter Projections'!$B$13:$B$54,0),3)),"")</f>
        <v/>
      </c>
      <c r="F23" s="346" t="str">
        <f>IFERROR(IF(INDEX('Enter Projections'!$B$13:$E$47,MATCH(F22,'Enter Projections'!$B$13:$B$47,0),3)=0,"",INDEX('Enter Projections'!$B$13:$E$47,MATCH(F22,'Enter Projections'!$B$13:$B$47,0),3)),"")</f>
        <v/>
      </c>
      <c r="G23" s="340" t="str">
        <f>IFERROR(IF(INDEX('Enter Projections'!$B$13:$E$47,MATCH(G22,'Enter Projections'!$B$13:$B$47,0),3)=0,"",INDEX('Enter Projections'!$B$13:$E$47,MATCH(G22,'Enter Projections'!$B$13:$B$47,0),3)),"")</f>
        <v/>
      </c>
      <c r="H23" s="340" t="str">
        <f>IFERROR(IF(INDEX('Enter Projections'!$B$13:$E$47,MATCH(H22,'Enter Projections'!$B$13:$B$47,0),3)=0,"",INDEX('Enter Projections'!$B$13:$E$47,MATCH(H22,'Enter Projections'!$B$13:$B$47,0),3)),"")</f>
        <v/>
      </c>
      <c r="I23" s="340" t="str">
        <f>IFERROR(IF(INDEX('Enter Projections'!$B$17:$E$47,MATCH(I22,'Enter Projections'!$B$17:$B$47,0),3)=0,"",INDEX('Enter Projections'!$B$17:$E$47,MATCH(I22,'Enter Projections'!$B$17:$B$47,0),3)),"")</f>
        <v/>
      </c>
      <c r="J23" s="340" t="str">
        <f>IFERROR(IF(INDEX('Enter Projections'!$B$17:$E$47,MATCH(J22,'Enter Projections'!$B$17:$B$47,0),3)=0,"",INDEX('Enter Projections'!$B$17:$E$47,MATCH(J22,'Enter Projections'!$B$17:$B$47,0),3)),"")</f>
        <v/>
      </c>
      <c r="K23" s="415" t="str">
        <f>IFERROR(IF(INDEX('Enter Projections'!$B$17:$E$47,MATCH(K22,'Enter Projections'!$B$17:$B$47,0),3)=0,"",INDEX('Enter Projections'!$B$17:$E$47,MATCH(K22,'Enter Projections'!$B$17:$B$47,0),3)),"")</f>
        <v/>
      </c>
      <c r="M23" s="18"/>
      <c r="N23" s="13"/>
      <c r="O23" s="11"/>
      <c r="P23" s="22">
        <f>+IF(E23="",0,1)</f>
        <v>0</v>
      </c>
      <c r="Q23" s="23">
        <f t="shared" ref="Q23:V23" si="0">+IF(F23="",0,1)</f>
        <v>0</v>
      </c>
      <c r="R23" s="23">
        <f t="shared" si="0"/>
        <v>0</v>
      </c>
      <c r="S23" s="23">
        <f t="shared" si="0"/>
        <v>0</v>
      </c>
      <c r="T23" s="23">
        <f t="shared" si="0"/>
        <v>0</v>
      </c>
      <c r="U23" s="23">
        <f t="shared" si="0"/>
        <v>0</v>
      </c>
      <c r="V23" s="24">
        <f t="shared" si="0"/>
        <v>0</v>
      </c>
    </row>
    <row r="24" spans="1:27" s="16" customFormat="1" ht="15" customHeight="1">
      <c r="A24" s="21"/>
      <c r="B24" s="21"/>
      <c r="C24" s="21"/>
      <c r="D24" s="414">
        <f>SUM(E24:K24)</f>
        <v>0</v>
      </c>
      <c r="E24" s="341" t="str">
        <f>IFERROR(IF(INDEX('Enter Projections'!$B$13:$E$47,MATCH(E22,'Enter Projections'!$B$13:$B$47,0),4)=0,"",INDEX('Enter Projections'!$B$13:$E$47,MATCH(E22,'Enter Projections'!$B$13:$B$47,0),4)),"")</f>
        <v/>
      </c>
      <c r="F24" s="341" t="str">
        <f>IFERROR(IF(INDEX('Enter Projections'!$B$13:$E$47,MATCH(F22,'Enter Projections'!$B$13:$B$47,0),4)=0,"",INDEX('Enter Projections'!$B$13:$E$47,MATCH(F22,'Enter Projections'!$B$13:$B$47,0),4)),"")</f>
        <v/>
      </c>
      <c r="G24" s="341" t="str">
        <f>IFERROR(IF(INDEX('Enter Projections'!$B$13:$E$47,MATCH(G22,'Enter Projections'!$B$13:$B$47,0),4)=0,"",INDEX('Enter Projections'!$B$13:$E$47,MATCH(G22,'Enter Projections'!$B$13:$B$47,0),4)),"")</f>
        <v/>
      </c>
      <c r="H24" s="341" t="str">
        <f>IFERROR(IF(INDEX('Enter Projections'!$B$13:$E$47,MATCH(H22,'Enter Projections'!$B$13:$B$47,0),4)=0,"",INDEX('Enter Projections'!$B$13:$E$47,MATCH(H22,'Enter Projections'!$B$13:$B$47,0),4)),"")</f>
        <v/>
      </c>
      <c r="I24" s="341" t="str">
        <f>IFERROR(IF(INDEX('Enter Projections'!$B$17:$E$47,MATCH(I22,'Enter Projections'!$B$17:$B$47,0),4)=0,"",INDEX('Enter Projections'!$B$17:$E$47,MATCH(I22,'Enter Projections'!$B$17:$B$47,0),4)),"")</f>
        <v/>
      </c>
      <c r="J24" s="341" t="str">
        <f>IFERROR(IF(INDEX('Enter Projections'!$B$17:$E$47,MATCH(J22,'Enter Projections'!$B$17:$B$47,0),4)=0,"",INDEX('Enter Projections'!$B$17:$E$47,MATCH(J22,'Enter Projections'!$B$17:$B$47,0),4)),"")</f>
        <v/>
      </c>
      <c r="K24" s="416" t="str">
        <f>IFERROR(IF(INDEX('Enter Projections'!$B$17:$E$47,MATCH(K22,'Enter Projections'!$B$17:$B$47,0),4)=0,"",INDEX('Enter Projections'!$B$17:$E$47,MATCH(K22,'Enter Projections'!$B$17:$B$47,0),4)),"")</f>
        <v/>
      </c>
      <c r="M24" s="18"/>
      <c r="N24" s="13"/>
      <c r="O24" s="11"/>
      <c r="P24" s="25"/>
      <c r="V24" s="26"/>
    </row>
    <row r="25" spans="1:27" s="16" customFormat="1" ht="38.200000000000003" customHeight="1">
      <c r="A25" s="21"/>
      <c r="B25" s="21"/>
      <c r="C25" s="21"/>
      <c r="D25" s="627"/>
      <c r="E25" s="342" t="str">
        <f>IF('Enter Projections'!$A$1,"Liens dynamiques NABIT","NABIT Hot Link Review")</f>
        <v>NABIT Hot Link Review</v>
      </c>
      <c r="F25" s="347"/>
      <c r="G25" s="521" t="s">
        <v>48</v>
      </c>
      <c r="H25" s="347" t="str">
        <f>IF('Enter Projections'!$A$1," Jeudi mise au point "," Tune Up Thursday ")</f>
        <v xml:space="preserve"> Tune Up Thursday </v>
      </c>
      <c r="I25" s="514" t="s">
        <v>143</v>
      </c>
      <c r="J25" s="522"/>
      <c r="K25" s="518"/>
      <c r="M25" s="18"/>
      <c r="N25" s="13"/>
      <c r="O25" s="11"/>
      <c r="P25" s="25"/>
      <c r="V25" s="26"/>
    </row>
    <row r="26" spans="1:27" s="16" customFormat="1" ht="35.200000000000003" customHeight="1">
      <c r="A26" s="21"/>
      <c r="B26" s="21"/>
      <c r="C26" s="21"/>
      <c r="D26" s="604"/>
      <c r="E26" s="343" t="str">
        <f>IF('Enter Projections'!$A$1,"Calendrier des offres sur l’appli mobile Mon McDo"," My McD’s Mobile Calendar ")</f>
        <v xml:space="preserve"> My McD’s Mobile Calendar </v>
      </c>
      <c r="F26" s="581" t="str">
        <f>IF('Enter Projections'!$A$1," Rafraîchissement du café "," Coffee Refresh ")</f>
        <v xml:space="preserve"> Coffee Refresh </v>
      </c>
      <c r="G26" s="350"/>
      <c r="H26" s="479"/>
      <c r="I26" s="348"/>
      <c r="J26" s="350"/>
      <c r="K26" s="515"/>
      <c r="M26" s="18"/>
      <c r="N26" s="13"/>
      <c r="O26" s="11"/>
      <c r="P26" s="25"/>
      <c r="V26" s="26"/>
    </row>
    <row r="27" spans="1:27" s="16" customFormat="1" ht="65.55" customHeight="1">
      <c r="A27" s="21"/>
      <c r="B27" s="21"/>
      <c r="C27" s="21"/>
      <c r="D27" s="597"/>
      <c r="E27" s="577" t="str">
        <f>IF('Enter Projections'!$A$1," Fin du McCroustillant miel épicé et du McCroustillant miel épicé avec bacon "," Hot Honey McCrispy &amp; Bacon Hot Honey McCrispy Ends ")</f>
        <v xml:space="preserve"> Hot Honey McCrispy &amp; Bacon Hot Honey McCrispy Ends </v>
      </c>
      <c r="F27" s="572"/>
      <c r="G27" s="348"/>
      <c r="H27" s="344"/>
      <c r="I27" s="348"/>
      <c r="J27" s="496"/>
      <c r="K27" s="417"/>
      <c r="M27" s="18"/>
      <c r="N27" s="13"/>
      <c r="O27" s="11"/>
      <c r="P27" s="25"/>
      <c r="V27" s="26"/>
    </row>
    <row r="28" spans="1:27" s="16" customFormat="1" ht="21" customHeight="1">
      <c r="A28" s="21"/>
      <c r="B28" s="21"/>
      <c r="C28" s="21"/>
      <c r="D28" s="761"/>
      <c r="E28" s="767" t="str">
        <f>IF('Enter Projections'!$A$1," Fin du McFlurry Tourbillon Siakam "," Siakam Swirl McFlurry Ends ")</f>
        <v xml:space="preserve"> Siakam Swirl McFlurry Ends </v>
      </c>
      <c r="F28" s="763"/>
      <c r="G28" s="351"/>
      <c r="H28" s="506"/>
      <c r="I28" s="355"/>
      <c r="J28" s="496"/>
      <c r="K28" s="418"/>
      <c r="M28" s="18"/>
      <c r="N28" s="13"/>
      <c r="O28" s="11"/>
      <c r="P28" s="25"/>
      <c r="V28" s="26"/>
    </row>
    <row r="29" spans="1:27" s="16" customFormat="1" ht="29.2" customHeight="1">
      <c r="A29" s="21"/>
      <c r="B29" s="21"/>
      <c r="C29" s="21"/>
      <c r="D29" s="762"/>
      <c r="E29" s="768"/>
      <c r="F29" s="764"/>
      <c r="G29" s="352"/>
      <c r="H29" s="507"/>
      <c r="I29" s="352"/>
      <c r="J29" s="496"/>
      <c r="K29" s="419"/>
      <c r="M29" s="18"/>
      <c r="N29" s="13"/>
      <c r="O29" s="11"/>
      <c r="P29" s="25"/>
      <c r="V29" s="26"/>
    </row>
    <row r="30" spans="1:27" s="16" customFormat="1" ht="36" customHeight="1">
      <c r="A30" s="21"/>
      <c r="B30" s="21"/>
      <c r="C30" s="21"/>
      <c r="D30" s="628"/>
      <c r="E30" s="344"/>
      <c r="F30" s="350"/>
      <c r="G30" s="353"/>
      <c r="H30" s="353"/>
      <c r="I30" s="353"/>
      <c r="J30" s="496"/>
      <c r="K30" s="420"/>
      <c r="M30" s="18"/>
      <c r="N30" s="13"/>
      <c r="O30" s="11"/>
      <c r="P30" s="25"/>
      <c r="V30" s="26"/>
    </row>
    <row r="31" spans="1:27" s="16" customFormat="1" ht="24.7" customHeight="1">
      <c r="A31" s="21"/>
      <c r="B31" s="21"/>
      <c r="C31" s="21"/>
      <c r="D31" s="629"/>
      <c r="E31" s="477"/>
      <c r="F31" s="478"/>
      <c r="G31" s="354"/>
      <c r="H31" s="354"/>
      <c r="I31" s="354"/>
      <c r="J31" s="496"/>
      <c r="K31" s="421"/>
      <c r="M31" s="18"/>
      <c r="N31" s="13"/>
      <c r="O31" s="11"/>
      <c r="P31" s="25"/>
      <c r="V31" s="26"/>
    </row>
    <row r="32" spans="1:27" s="16" customFormat="1" ht="25.05" customHeight="1">
      <c r="A32" s="21"/>
      <c r="B32" s="21"/>
      <c r="C32" s="21"/>
      <c r="D32" s="630"/>
      <c r="E32" s="345"/>
      <c r="F32" s="345"/>
      <c r="G32" s="345"/>
      <c r="H32" s="345"/>
      <c r="I32" s="345"/>
      <c r="J32" s="497"/>
      <c r="K32" s="422"/>
      <c r="M32" s="18"/>
      <c r="N32" s="13"/>
      <c r="O32" s="11"/>
      <c r="P32" s="25"/>
      <c r="V32" s="26"/>
    </row>
    <row r="33" spans="1:22" s="16" customFormat="1" ht="1.05" customHeight="1">
      <c r="A33" s="21"/>
      <c r="B33" s="21"/>
      <c r="C33" s="21"/>
      <c r="D33" s="423"/>
      <c r="E33" s="334"/>
      <c r="F33" s="257"/>
      <c r="G33" s="257"/>
      <c r="H33" s="505"/>
      <c r="I33" s="257"/>
      <c r="J33" s="257"/>
      <c r="K33" s="424"/>
      <c r="M33" s="18"/>
      <c r="N33" s="13"/>
      <c r="O33" s="11"/>
      <c r="P33" s="25">
        <f>IF(E33="",0,200)</f>
        <v>0</v>
      </c>
      <c r="Q33" s="16">
        <f t="shared" ref="Q33:V33" si="1">IF(F33="",0,200)</f>
        <v>0</v>
      </c>
      <c r="R33" s="16">
        <f t="shared" si="1"/>
        <v>0</v>
      </c>
      <c r="S33" s="16">
        <f t="shared" si="1"/>
        <v>0</v>
      </c>
      <c r="T33" s="16">
        <f t="shared" si="1"/>
        <v>0</v>
      </c>
      <c r="U33" s="16">
        <f t="shared" si="1"/>
        <v>0</v>
      </c>
      <c r="V33" s="26">
        <f t="shared" si="1"/>
        <v>0</v>
      </c>
    </row>
    <row r="34" spans="1:22" s="16" customFormat="1" ht="21" customHeight="1">
      <c r="A34" s="20"/>
      <c r="B34" s="21"/>
      <c r="C34" s="21"/>
      <c r="D34" s="425" t="s">
        <v>36</v>
      </c>
      <c r="E34" s="303">
        <f>COLUMNS($E34:E34)+(ROWS(E$22:E34)-12)*7-$B$20+$B$19</f>
        <v>45327</v>
      </c>
      <c r="F34" s="303">
        <f>COLUMNS($E34:F34)+(ROWS(F$22:F34)-12)*7-$B$20+$B$19</f>
        <v>45328</v>
      </c>
      <c r="G34" s="303">
        <f>COLUMNS($E34:G34)+(ROWS(G$22:G34)-12)*7-$B$20+$B$19</f>
        <v>45329</v>
      </c>
      <c r="H34" s="303">
        <f>COLUMNS($E34:H34)+(ROWS(H$22:H34)-12)*7-$B$20+$B$19</f>
        <v>45330</v>
      </c>
      <c r="I34" s="303">
        <f>COLUMNS($E34:I34)+(ROWS(I$22:I34)-12)*7-$B$20+$B$19</f>
        <v>45331</v>
      </c>
      <c r="J34" s="303">
        <f>COLUMNS($E34:J34)+(ROWS(J$22:J34)-12)*7-$B$20+$B$19</f>
        <v>45332</v>
      </c>
      <c r="K34" s="426">
        <f>COLUMNS($E34:K34)+(ROWS(K$22:K34)-12)*7-$B$20+$B$19</f>
        <v>45333</v>
      </c>
      <c r="M34" s="18"/>
      <c r="P34" s="27">
        <f>P23+P33</f>
        <v>0</v>
      </c>
      <c r="Q34" s="28">
        <f t="shared" ref="Q34:V34" si="2">Q23+Q33</f>
        <v>0</v>
      </c>
      <c r="R34" s="28">
        <f t="shared" si="2"/>
        <v>0</v>
      </c>
      <c r="S34" s="28">
        <f t="shared" si="2"/>
        <v>0</v>
      </c>
      <c r="T34" s="28">
        <f t="shared" si="2"/>
        <v>0</v>
      </c>
      <c r="U34" s="28">
        <f t="shared" si="2"/>
        <v>0</v>
      </c>
      <c r="V34" s="29">
        <f t="shared" si="2"/>
        <v>0</v>
      </c>
    </row>
    <row r="35" spans="1:22" s="16" customFormat="1" ht="15" customHeight="1">
      <c r="A35" s="21"/>
      <c r="B35" s="21"/>
      <c r="C35" s="21"/>
      <c r="D35" s="427">
        <f>SUM(E35:K35)</f>
        <v>0</v>
      </c>
      <c r="E35" s="304" t="str">
        <f>IFERROR(IF(INDEX('Enter Projections'!$B$17:$E$47,MATCH(E34,'Enter Projections'!$B$17:$B$47,0),3)=0,"",INDEX('Enter Projections'!$B$17:$E$47,MATCH(E34,'Enter Projections'!$B$17:$B$47,0),3)),"")</f>
        <v/>
      </c>
      <c r="F35" s="304" t="str">
        <f>IFERROR(IF(INDEX('Enter Projections'!$B$17:$E$47,MATCH(F34,'Enter Projections'!$B$17:$B$47,0),3)=0,"",INDEX('Enter Projections'!$B$17:$E$47,MATCH(F34,'Enter Projections'!$B$17:$B$47,0),3)),"")</f>
        <v/>
      </c>
      <c r="G35" s="304" t="str">
        <f>IFERROR(IF(INDEX('Enter Projections'!$B$17:$E$47,MATCH(G34,'Enter Projections'!$B$17:$B$47,0),3)=0,"",INDEX('Enter Projections'!$B$17:$E$47,MATCH(G34,'Enter Projections'!$B$17:$B$47,0),3)),"")</f>
        <v/>
      </c>
      <c r="H35" s="304" t="str">
        <f>IFERROR(IF(INDEX('Enter Projections'!$B$17:$E$47,MATCH(H34,'Enter Projections'!$B$17:$B$47,0),3)=0,"",INDEX('Enter Projections'!$B$17:$E$47,MATCH(H34,'Enter Projections'!$B$17:$B$47,0),3)),"")</f>
        <v/>
      </c>
      <c r="I35" s="304" t="str">
        <f>IFERROR(IF(INDEX('Enter Projections'!$B$17:$E$47,MATCH(I34,'Enter Projections'!$B$17:$B$47,0),3)=0,"",INDEX('Enter Projections'!$B$17:$E$47,MATCH(I34,'Enter Projections'!$B$17:$B$47,0),3)),"")</f>
        <v/>
      </c>
      <c r="J35" s="304" t="str">
        <f>IFERROR(IF(INDEX('Enter Projections'!$B$17:$E$47,MATCH(J34,'Enter Projections'!$B$17:$B$47,0),3)=0,"",INDEX('Enter Projections'!$B$17:$E$47,MATCH(J34,'Enter Projections'!$B$17:$B$47,0),3)),"")</f>
        <v/>
      </c>
      <c r="K35" s="428" t="str">
        <f>IFERROR(IF(INDEX('Enter Projections'!$B$17:$E$47,MATCH(K34,'Enter Projections'!$B$17:$B$47,0),3)=0,"",INDEX('Enter Projections'!$B$17:$E$47,MATCH(K34,'Enter Projections'!$B$17:$B$47,0),3)),"")</f>
        <v/>
      </c>
      <c r="M35" s="18"/>
      <c r="P35" s="22">
        <f>+IF(E35="",0,1)</f>
        <v>0</v>
      </c>
      <c r="Q35" s="23">
        <f t="shared" ref="Q35:V35" si="3">+IF(F35="",0,1)</f>
        <v>0</v>
      </c>
      <c r="R35" s="23">
        <f t="shared" si="3"/>
        <v>0</v>
      </c>
      <c r="S35" s="23">
        <f t="shared" si="3"/>
        <v>0</v>
      </c>
      <c r="T35" s="23">
        <f t="shared" si="3"/>
        <v>0</v>
      </c>
      <c r="U35" s="23">
        <f t="shared" si="3"/>
        <v>0</v>
      </c>
      <c r="V35" s="24">
        <f t="shared" si="3"/>
        <v>0</v>
      </c>
    </row>
    <row r="36" spans="1:22" s="16" customFormat="1" ht="15" customHeight="1">
      <c r="A36" s="21"/>
      <c r="B36" s="21"/>
      <c r="C36" s="21"/>
      <c r="D36" s="429">
        <f>SUM(E36:K36)</f>
        <v>0</v>
      </c>
      <c r="E36" s="358" t="str">
        <f>IFERROR(IF(INDEX('Enter Projections'!$B$17:$E$47,MATCH(E34,'Enter Projections'!$B$17:$B$47,0),4)=0,"",INDEX('Enter Projections'!$B$17:$E$47,MATCH(E34,'Enter Projections'!$B$17:$B$47,0),4)),"")</f>
        <v/>
      </c>
      <c r="F36" s="358" t="str">
        <f>IFERROR(IF(INDEX('Enter Projections'!$B$17:$E$47,MATCH(F34,'Enter Projections'!$B$17:$B$47,0),4)=0,"",INDEX('Enter Projections'!$B$17:$E$47,MATCH(F34,'Enter Projections'!$B$17:$B$47,0),4)),"")</f>
        <v/>
      </c>
      <c r="G36" s="358" t="str">
        <f>IFERROR(IF(INDEX('Enter Projections'!$B$17:$E$47,MATCH(G34,'Enter Projections'!$B$17:$B$47,0),4)=0,"",INDEX('Enter Projections'!$B$17:$E$47,MATCH(G34,'Enter Projections'!$B$17:$B$47,0),4)),"")</f>
        <v/>
      </c>
      <c r="H36" s="358" t="str">
        <f>IFERROR(IF(INDEX('Enter Projections'!$B$17:$E$47,MATCH(H34,'Enter Projections'!$B$17:$B$47,0),4)=0,"",INDEX('Enter Projections'!$B$17:$E$47,MATCH(H34,'Enter Projections'!$B$17:$B$47,0),4)),"")</f>
        <v/>
      </c>
      <c r="I36" s="358" t="str">
        <f>IFERROR(IF(INDEX('Enter Projections'!$B$17:$E$47,MATCH(I34,'Enter Projections'!$B$17:$B$47,0),4)=0,"",INDEX('Enter Projections'!$B$17:$E$47,MATCH(I34,'Enter Projections'!$B$17:$B$47,0),4)),"")</f>
        <v/>
      </c>
      <c r="J36" s="358" t="str">
        <f>IFERROR(IF(INDEX('Enter Projections'!$B$17:$E$47,MATCH(J34,'Enter Projections'!$B$17:$B$47,0),4)=0,"",INDEX('Enter Projections'!$B$17:$E$47,MATCH(J34,'Enter Projections'!$B$17:$B$47,0),4)),"")</f>
        <v/>
      </c>
      <c r="K36" s="430" t="str">
        <f>IFERROR(IF(INDEX('Enter Projections'!$B$17:$E$47,MATCH(K34,'Enter Projections'!$B$17:$B$47,0),4)=0,"",INDEX('Enter Projections'!$B$17:$E$47,MATCH(K34,'Enter Projections'!$B$17:$B$47,0),4)),"")</f>
        <v/>
      </c>
      <c r="M36" s="18"/>
      <c r="P36" s="25"/>
      <c r="V36" s="26"/>
    </row>
    <row r="37" spans="1:22" s="16" customFormat="1" ht="43.5" customHeight="1">
      <c r="A37" s="21"/>
      <c r="B37" s="21"/>
      <c r="C37" s="21"/>
      <c r="D37" s="586" t="s">
        <v>45</v>
      </c>
      <c r="E37" s="367" t="str">
        <f>IF('Enter Projections'!$A$1,"Liens dynamiques NABIT","NABIT Hot Link Review")</f>
        <v>NABIT Hot Link Review</v>
      </c>
      <c r="F37" s="468" t="s">
        <v>46</v>
      </c>
      <c r="G37" s="587" t="s">
        <v>47</v>
      </c>
      <c r="H37" s="362" t="str">
        <f>IF('Enter Projections'!$A$1," Jeudi mise au point "," Tune Up Thursday ")</f>
        <v xml:space="preserve"> Tune Up Thursday </v>
      </c>
      <c r="I37" s="361" t="s">
        <v>52</v>
      </c>
      <c r="J37" s="361" t="s">
        <v>52</v>
      </c>
      <c r="K37" s="361" t="s">
        <v>52</v>
      </c>
      <c r="M37" s="18"/>
      <c r="P37" s="25"/>
      <c r="V37" s="26"/>
    </row>
    <row r="38" spans="1:22" s="16" customFormat="1" ht="34.049999999999997" customHeight="1">
      <c r="A38" s="21"/>
      <c r="B38" s="21"/>
      <c r="C38" s="21"/>
      <c r="D38" s="498"/>
      <c r="E38" s="343" t="str">
        <f>IF('Enter Projections'!$A$1,"Calendrier des offres sur l’appli mobile Mon McDo"," My McD’s Mobile Calendar ")</f>
        <v xml:space="preserve"> My McD’s Mobile Calendar </v>
      </c>
      <c r="F38" s="370"/>
      <c r="G38" s="479"/>
      <c r="H38" s="363"/>
      <c r="I38" s="356" t="s">
        <v>143</v>
      </c>
      <c r="J38" s="356" t="s">
        <v>146</v>
      </c>
      <c r="K38" s="502"/>
      <c r="M38" s="18"/>
      <c r="P38" s="25"/>
      <c r="V38" s="26"/>
    </row>
    <row r="39" spans="1:22" s="16" customFormat="1" ht="38.200000000000003" customHeight="1">
      <c r="A39" s="21"/>
      <c r="B39" s="21"/>
      <c r="C39" s="21"/>
      <c r="D39" s="597"/>
      <c r="E39" s="578" t="str">
        <f>IF('Enter Projections'!$A$1," Fin du relancement du marchandisage des Burritos-matin "," Breakfast Burrito Merch Re-hit Ends ")</f>
        <v xml:space="preserve"> Breakfast Burrito Merch Re-hit Ends </v>
      </c>
      <c r="F39" s="370"/>
      <c r="G39" s="593" t="s">
        <v>70</v>
      </c>
      <c r="H39" s="633" t="s">
        <v>144</v>
      </c>
      <c r="I39" s="344" t="s">
        <v>203</v>
      </c>
      <c r="J39" s="356" t="s">
        <v>204</v>
      </c>
      <c r="K39" s="431"/>
      <c r="M39" s="18"/>
      <c r="P39" s="25"/>
      <c r="V39" s="26"/>
    </row>
    <row r="40" spans="1:22" s="16" customFormat="1" ht="43.5" customHeight="1">
      <c r="A40" s="21"/>
      <c r="B40" s="21"/>
      <c r="C40" s="21"/>
      <c r="D40" s="598"/>
      <c r="E40" s="584" t="str">
        <f>IF('Enter Projections'!$A$1," Fin du livre Je peux être un champion du changement "," I Can Be a Champion Change Ends ")</f>
        <v xml:space="preserve"> I Can Be a Champion Change Ends </v>
      </c>
      <c r="F40" s="585" t="str">
        <f>IF('Enter Projections'!$A$1," Début du livre Je peux être un écrivain inspirant "," I Can Be an Inspired Writer Starts ")</f>
        <v xml:space="preserve"> I Can Be an Inspired Writer Starts </v>
      </c>
      <c r="G40" s="588" t="s">
        <v>49</v>
      </c>
      <c r="H40" s="631" t="s">
        <v>71</v>
      </c>
      <c r="I40" s="356"/>
      <c r="J40" s="356" t="s">
        <v>205</v>
      </c>
      <c r="K40" s="432"/>
      <c r="M40" s="18"/>
      <c r="P40" s="25"/>
      <c r="V40" s="26"/>
    </row>
    <row r="41" spans="1:22" s="16" customFormat="1" ht="34.049999999999997" customHeight="1">
      <c r="A41" s="21"/>
      <c r="B41" s="21"/>
      <c r="C41" s="21"/>
      <c r="D41" s="602"/>
      <c r="E41" s="544" t="s">
        <v>170</v>
      </c>
      <c r="F41" s="545"/>
      <c r="G41" s="356" t="s">
        <v>231</v>
      </c>
      <c r="H41" s="356"/>
      <c r="I41" s="356"/>
      <c r="J41" s="356"/>
      <c r="K41" s="432"/>
      <c r="M41" s="18"/>
      <c r="P41" s="25"/>
      <c r="V41" s="26"/>
    </row>
    <row r="42" spans="1:22" s="16" customFormat="1" ht="48.7" customHeight="1">
      <c r="A42" s="21"/>
      <c r="B42" s="21"/>
      <c r="C42" s="21"/>
      <c r="D42" s="603"/>
      <c r="E42" s="540" t="s">
        <v>148</v>
      </c>
      <c r="F42" s="344" t="s">
        <v>173</v>
      </c>
      <c r="G42" s="16" t="s">
        <v>207</v>
      </c>
      <c r="H42" s="356" t="s">
        <v>209</v>
      </c>
      <c r="I42" s="356"/>
      <c r="J42" s="356"/>
      <c r="K42" s="432"/>
      <c r="M42" s="18"/>
      <c r="P42" s="25"/>
      <c r="V42" s="26"/>
    </row>
    <row r="43" spans="1:22" s="16" customFormat="1" ht="4.05" customHeight="1">
      <c r="A43" s="21"/>
      <c r="B43" s="21"/>
      <c r="C43" s="21"/>
      <c r="D43" s="604"/>
      <c r="E43" s="541"/>
      <c r="F43" s="473"/>
      <c r="G43" s="356"/>
      <c r="H43" s="364"/>
      <c r="I43" s="359"/>
      <c r="J43" s="359"/>
      <c r="K43" s="432"/>
      <c r="M43" s="18"/>
      <c r="P43" s="25"/>
      <c r="V43" s="26"/>
    </row>
    <row r="44" spans="1:22" s="16" customFormat="1" ht="10.050000000000001" customHeight="1">
      <c r="A44" s="21"/>
      <c r="B44" s="21"/>
      <c r="C44" s="21"/>
      <c r="D44" s="605"/>
      <c r="E44" s="541"/>
      <c r="F44" s="360"/>
      <c r="G44" s="360" t="s">
        <v>208</v>
      </c>
      <c r="H44" s="360"/>
      <c r="I44" s="360"/>
      <c r="J44" s="360"/>
      <c r="K44" s="433"/>
      <c r="M44" s="18"/>
      <c r="P44" s="25"/>
      <c r="V44" s="26"/>
    </row>
    <row r="45" spans="1:22" s="16" customFormat="1" ht="27.7" customHeight="1">
      <c r="A45" s="21"/>
      <c r="B45" s="21"/>
      <c r="C45" s="21"/>
      <c r="D45" s="606"/>
      <c r="E45" s="542" t="s">
        <v>206</v>
      </c>
      <c r="F45" s="508"/>
      <c r="G45" s="365"/>
      <c r="H45" s="365"/>
      <c r="I45" s="357"/>
      <c r="J45" s="357"/>
      <c r="K45" s="434"/>
      <c r="P45" s="25">
        <f>IF(E42="",0,200)</f>
        <v>200</v>
      </c>
      <c r="Q45" s="16">
        <f t="shared" ref="Q45:V45" si="4">IF(F45="",0,200)</f>
        <v>0</v>
      </c>
      <c r="R45" s="16">
        <f t="shared" si="4"/>
        <v>0</v>
      </c>
      <c r="S45" s="16">
        <f t="shared" si="4"/>
        <v>0</v>
      </c>
      <c r="T45" s="16">
        <f>IF(I45="",0,200)</f>
        <v>0</v>
      </c>
      <c r="U45" s="16">
        <f t="shared" si="4"/>
        <v>0</v>
      </c>
      <c r="V45" s="26">
        <f t="shared" si="4"/>
        <v>0</v>
      </c>
    </row>
    <row r="46" spans="1:22" s="16" customFormat="1" ht="21" customHeight="1">
      <c r="A46" s="21"/>
      <c r="B46" s="21"/>
      <c r="C46" s="21"/>
      <c r="D46" s="435" t="s">
        <v>36</v>
      </c>
      <c r="E46" s="333">
        <f>COLUMNS($E46:E46)+(ROWS(E$22:E46)-23)*7-$B$20+$B$19</f>
        <v>45334</v>
      </c>
      <c r="F46" s="333">
        <f>COLUMNS($E46:F46)+(ROWS(F$22:F46)-23)*7-$B$20+$B$19</f>
        <v>45335</v>
      </c>
      <c r="G46" s="333">
        <f>COLUMNS($E46:G46)+(ROWS(G$22:G46)-23)*7-$B$20+$B$19</f>
        <v>45336</v>
      </c>
      <c r="H46" s="333">
        <f>COLUMNS($E46:H46)+(ROWS(H$22:H46)-23)*7-$B$20+$B$19</f>
        <v>45337</v>
      </c>
      <c r="I46" s="333">
        <f>COLUMNS($E46:I46)+(ROWS(I$22:I46)-23)*7-$B$20+$B$19</f>
        <v>45338</v>
      </c>
      <c r="J46" s="333">
        <f>COLUMNS($E46:J46)+(ROWS(J$22:J46)-23)*7-$B$20+$B$19</f>
        <v>45339</v>
      </c>
      <c r="K46" s="436">
        <f>COLUMNS($E46:K46)+(ROWS(K$22:K46)-23)*7-$B$20+$B$19</f>
        <v>45340</v>
      </c>
      <c r="P46" s="27">
        <f>P35+P45</f>
        <v>200</v>
      </c>
      <c r="Q46" s="28">
        <f t="shared" ref="Q46:V46" si="5">Q35+Q45</f>
        <v>0</v>
      </c>
      <c r="R46" s="28">
        <f t="shared" si="5"/>
        <v>0</v>
      </c>
      <c r="S46" s="28">
        <f t="shared" si="5"/>
        <v>0</v>
      </c>
      <c r="T46" s="28">
        <f t="shared" si="5"/>
        <v>0</v>
      </c>
      <c r="U46" s="28">
        <f t="shared" si="5"/>
        <v>0</v>
      </c>
      <c r="V46" s="29">
        <f t="shared" si="5"/>
        <v>0</v>
      </c>
    </row>
    <row r="47" spans="1:22" s="16" customFormat="1" ht="15" customHeight="1">
      <c r="A47" s="21"/>
      <c r="B47" s="21"/>
      <c r="C47" s="21"/>
      <c r="D47" s="437">
        <f>SUM(E47:K47)</f>
        <v>0</v>
      </c>
      <c r="E47" s="308" t="str">
        <f>IFERROR(IF(INDEX('Enter Projections'!$B$17:$E$47,MATCH(E46,'Enter Projections'!$B$17:$B$47,0),3)=0,"",INDEX('Enter Projections'!$B$17:$E$47,MATCH(E46,'Enter Projections'!$B$17:$B$47,0),3)),"")</f>
        <v/>
      </c>
      <c r="F47" s="308" t="str">
        <f>IFERROR(IF(INDEX('Enter Projections'!$B$17:$E$47,MATCH(F46,'Enter Projections'!$B$17:$B$47,0),3)=0,"",INDEX('Enter Projections'!$B$17:$E$47,MATCH(F46,'Enter Projections'!$B$17:$B$47,0),3)),"")</f>
        <v/>
      </c>
      <c r="G47" s="308" t="str">
        <f>IFERROR(IF(INDEX('Enter Projections'!$B$17:$E$47,MATCH(G46,'Enter Projections'!$B$17:$B$47,0),3)=0,"",INDEX('Enter Projections'!$B$17:$E$47,MATCH(G46,'Enter Projections'!$B$17:$B$47,0),3)),"")</f>
        <v/>
      </c>
      <c r="H47" s="308" t="str">
        <f>IFERROR(IF(INDEX('Enter Projections'!$B$17:$E$47,MATCH(H46,'Enter Projections'!$B$17:$B$47,0),3)=0,"",INDEX('Enter Projections'!$B$17:$E$47,MATCH(H46,'Enter Projections'!$B$17:$B$47,0),3)),"")</f>
        <v/>
      </c>
      <c r="I47" s="308" t="str">
        <f>IFERROR(IF(INDEX('Enter Projections'!$B$17:$E$47,MATCH(I46,'Enter Projections'!$B$17:$B$47,0),3)=0,"",INDEX('Enter Projections'!$B$17:$E$47,MATCH(I46,'Enter Projections'!$B$17:$B$47,0),3)),"")</f>
        <v/>
      </c>
      <c r="J47" s="308" t="str">
        <f>IFERROR(IF(INDEX('Enter Projections'!$B$17:$E$47,MATCH(J46,'Enter Projections'!$B$17:$B$47,0),3)=0,"",INDEX('Enter Projections'!$B$17:$E$47,MATCH(J46,'Enter Projections'!$B$17:$B$47,0),3)),"")</f>
        <v/>
      </c>
      <c r="K47" s="438" t="str">
        <f>IFERROR(IF(INDEX('Enter Projections'!$B$17:$E$47,MATCH(K46,'Enter Projections'!$B$17:$B$47,0),3)=0,"",INDEX('Enter Projections'!$B$17:$E$47,MATCH(K46,'Enter Projections'!$B$17:$B$47,0),3)),"")</f>
        <v/>
      </c>
      <c r="P47" s="22">
        <f>+IF(E47="",0,1)</f>
        <v>0</v>
      </c>
      <c r="Q47" s="23">
        <f t="shared" ref="Q47:V47" si="6">+IF(F47="",0,1)</f>
        <v>0</v>
      </c>
      <c r="R47" s="23">
        <f t="shared" si="6"/>
        <v>0</v>
      </c>
      <c r="S47" s="23">
        <f t="shared" si="6"/>
        <v>0</v>
      </c>
      <c r="T47" s="23">
        <f t="shared" si="6"/>
        <v>0</v>
      </c>
      <c r="U47" s="23">
        <f t="shared" si="6"/>
        <v>0</v>
      </c>
      <c r="V47" s="24">
        <f t="shared" si="6"/>
        <v>0</v>
      </c>
    </row>
    <row r="48" spans="1:22" s="16" customFormat="1" ht="15" customHeight="1">
      <c r="A48" s="21"/>
      <c r="B48" s="21"/>
      <c r="C48" s="21"/>
      <c r="D48" s="439">
        <f>SUM(E48:K48)</f>
        <v>0</v>
      </c>
      <c r="E48" s="368" t="str">
        <f>IFERROR(IF(INDEX('Enter Projections'!$B$17:$E$47,MATCH(E46,'Enter Projections'!$B$17:$B$47,0),4)=0,"",INDEX('Enter Projections'!$B$17:$E$47,MATCH(E46,'Enter Projections'!$B$17:$B$47,0),4)),"")</f>
        <v/>
      </c>
      <c r="F48" s="368" t="str">
        <f>IFERROR(IF(INDEX('Enter Projections'!$B$17:$E$47,MATCH(F46,'Enter Projections'!$B$17:$B$47,0),4)=0,"",INDEX('Enter Projections'!$B$17:$E$47,MATCH(F46,'Enter Projections'!$B$17:$B$47,0),4)),"")</f>
        <v/>
      </c>
      <c r="G48" s="368" t="str">
        <f>IFERROR(IF(INDEX('Enter Projections'!$B$17:$E$47,MATCH(G46,'Enter Projections'!$B$17:$B$47,0),4)=0,"",INDEX('Enter Projections'!$B$17:$E$47,MATCH(G46,'Enter Projections'!$B$17:$B$47,0),4)),"")</f>
        <v/>
      </c>
      <c r="H48" s="368" t="str">
        <f>IFERROR(IF(INDEX('Enter Projections'!$B$17:$E$47,MATCH(H46,'Enter Projections'!$B$17:$B$47,0),4)=0,"",INDEX('Enter Projections'!$B$17:$E$47,MATCH(H46,'Enter Projections'!$B$17:$B$47,0),4)),"")</f>
        <v/>
      </c>
      <c r="I48" s="368" t="str">
        <f>IFERROR(IF(INDEX('Enter Projections'!$B$17:$E$47,MATCH(I46,'Enter Projections'!$B$17:$B$47,0),4)=0,"",INDEX('Enter Projections'!$B$17:$E$47,MATCH(I46,'Enter Projections'!$B$17:$B$47,0),4)),"")</f>
        <v/>
      </c>
      <c r="J48" s="368" t="str">
        <f>IFERROR(IF(INDEX('Enter Projections'!$B$17:$E$47,MATCH(J46,'Enter Projections'!$B$17:$B$47,0),4)=0,"",INDEX('Enter Projections'!$B$17:$E$47,MATCH(J46,'Enter Projections'!$B$17:$B$47,0),4)),"")</f>
        <v/>
      </c>
      <c r="K48" s="440" t="str">
        <f>IFERROR(IF(INDEX('Enter Projections'!$B$17:$E$47,MATCH(K46,'Enter Projections'!$B$17:$B$47,0),4)=0,"",INDEX('Enter Projections'!$B$17:$E$47,MATCH(K46,'Enter Projections'!$B$17:$B$47,0),4)),"")</f>
        <v/>
      </c>
      <c r="P48" s="25"/>
      <c r="V48" s="26"/>
    </row>
    <row r="49" spans="1:22" s="16" customFormat="1" ht="42" customHeight="1">
      <c r="A49" s="21"/>
      <c r="B49" s="21"/>
      <c r="C49" s="21"/>
      <c r="D49" s="441"/>
      <c r="E49" s="369" t="str">
        <f>IF('Enter Projections'!$A$1,"Liens dynamiques NABIT","NABIT Hot Link Review")</f>
        <v>NABIT Hot Link Review</v>
      </c>
      <c r="F49" s="596" t="s">
        <v>68</v>
      </c>
      <c r="G49" s="590" t="s">
        <v>51</v>
      </c>
      <c r="H49" s="375" t="str">
        <f>IF('Enter Projections'!$A$1," Jeudi mise au point "," Tune Up Thursday ")</f>
        <v xml:space="preserve"> Tune Up Thursday </v>
      </c>
      <c r="I49" s="516"/>
      <c r="J49" s="512" t="s">
        <v>145</v>
      </c>
      <c r="K49" s="500"/>
      <c r="P49" s="25"/>
      <c r="V49" s="26"/>
    </row>
    <row r="50" spans="1:22" s="16" customFormat="1" ht="48" customHeight="1">
      <c r="A50" s="21"/>
      <c r="B50" s="21"/>
      <c r="C50" s="21"/>
      <c r="D50" s="601" t="s">
        <v>69</v>
      </c>
      <c r="E50" s="576" t="str">
        <f>IF('Enter Projections'!$A$1," Début du programme de motivation Étoiles du leadership de quart "," The Shift Leadership All Stars Incentive Starts ")</f>
        <v xml:space="preserve"> The Shift Leadership All Stars Incentive Starts </v>
      </c>
      <c r="F50" s="589" t="s">
        <v>50</v>
      </c>
      <c r="G50" s="377" t="s">
        <v>147</v>
      </c>
      <c r="H50" s="592" t="s">
        <v>53</v>
      </c>
      <c r="I50" s="384" t="s">
        <v>143</v>
      </c>
      <c r="J50" s="371"/>
      <c r="K50" s="442"/>
      <c r="P50" s="25"/>
      <c r="V50" s="26"/>
    </row>
    <row r="51" spans="1:22" s="16" customFormat="1" ht="25.05" customHeight="1">
      <c r="A51" s="21"/>
      <c r="B51" s="21"/>
      <c r="C51" s="21"/>
      <c r="D51" s="600"/>
      <c r="E51" s="370"/>
      <c r="F51" s="370"/>
      <c r="H51" s="385" t="s">
        <v>55</v>
      </c>
      <c r="I51" s="377"/>
      <c r="J51" s="377" t="s">
        <v>216</v>
      </c>
      <c r="K51" s="443"/>
      <c r="P51" s="25"/>
      <c r="V51" s="26"/>
    </row>
    <row r="52" spans="1:22" s="16" customFormat="1" ht="23.2" customHeight="1">
      <c r="A52" s="21"/>
      <c r="B52" s="21"/>
      <c r="C52" s="21"/>
      <c r="D52" s="607"/>
      <c r="E52" s="503"/>
      <c r="F52" s="370" t="s">
        <v>222</v>
      </c>
      <c r="G52" s="377"/>
      <c r="H52" s="591" t="s">
        <v>54</v>
      </c>
      <c r="I52" s="377" t="s">
        <v>237</v>
      </c>
      <c r="J52" s="377" t="s">
        <v>217</v>
      </c>
      <c r="K52" s="444"/>
      <c r="P52" s="25"/>
      <c r="V52" s="26"/>
    </row>
    <row r="53" spans="1:22" s="16" customFormat="1" ht="26.55" customHeight="1">
      <c r="A53" s="21"/>
      <c r="B53" s="21"/>
      <c r="C53" s="21"/>
      <c r="D53" s="519"/>
      <c r="E53" s="371"/>
      <c r="F53" s="749"/>
      <c r="G53" s="377"/>
      <c r="H53" s="377" t="s">
        <v>211</v>
      </c>
      <c r="I53" s="377"/>
      <c r="J53" s="377"/>
      <c r="K53" s="444"/>
      <c r="P53" s="25"/>
      <c r="V53" s="26"/>
    </row>
    <row r="54" spans="1:22" s="16" customFormat="1" ht="9" customHeight="1">
      <c r="A54" s="21"/>
      <c r="B54" s="21"/>
      <c r="C54" s="21"/>
      <c r="D54" s="607"/>
      <c r="E54" s="366"/>
      <c r="F54" s="750"/>
      <c r="G54" s="377"/>
      <c r="H54" s="377"/>
      <c r="I54" s="377"/>
      <c r="J54" s="377"/>
      <c r="K54" s="444"/>
      <c r="P54" s="25"/>
      <c r="V54" s="26"/>
    </row>
    <row r="55" spans="1:22" s="16" customFormat="1" ht="17.2" customHeight="1">
      <c r="A55" s="21"/>
      <c r="B55" s="21"/>
      <c r="C55" s="21"/>
      <c r="D55" s="608"/>
      <c r="E55" s="372"/>
      <c r="F55" s="376"/>
      <c r="G55" s="377"/>
      <c r="H55" s="378" t="s">
        <v>212</v>
      </c>
      <c r="I55" s="378"/>
      <c r="J55" s="378" t="s">
        <v>218</v>
      </c>
      <c r="K55" s="445"/>
      <c r="P55" s="25"/>
      <c r="V55" s="26"/>
    </row>
    <row r="56" spans="1:22" s="16" customFormat="1" ht="14.55" customHeight="1">
      <c r="A56" s="21"/>
      <c r="B56" s="21"/>
      <c r="C56" s="21"/>
      <c r="D56" s="609"/>
      <c r="E56" s="757"/>
      <c r="F56" s="373"/>
      <c r="G56" s="759"/>
      <c r="H56" s="655" t="s">
        <v>215</v>
      </c>
      <c r="I56" s="379"/>
      <c r="J56" s="656" t="s">
        <v>219</v>
      </c>
      <c r="K56" s="446"/>
      <c r="P56" s="25"/>
      <c r="V56" s="26"/>
    </row>
    <row r="57" spans="1:22" s="16" customFormat="1" ht="9.6999999999999993" customHeight="1">
      <c r="A57" s="21"/>
      <c r="B57" s="21"/>
      <c r="C57" s="21"/>
      <c r="D57" s="447"/>
      <c r="E57" s="758"/>
      <c r="F57" s="374"/>
      <c r="G57" s="760"/>
      <c r="H57" s="357"/>
      <c r="I57" s="380"/>
      <c r="J57" s="381"/>
      <c r="K57" s="434"/>
      <c r="P57" s="25">
        <f>IF(E56="",0,200)</f>
        <v>0</v>
      </c>
      <c r="Q57" s="16">
        <f t="shared" ref="Q57:V57" si="7">IF(F57="",0,200)</f>
        <v>0</v>
      </c>
      <c r="R57" s="16">
        <f t="shared" si="7"/>
        <v>0</v>
      </c>
      <c r="S57" s="16">
        <f t="shared" si="7"/>
        <v>0</v>
      </c>
      <c r="T57" s="16">
        <f t="shared" si="7"/>
        <v>0</v>
      </c>
      <c r="U57" s="16">
        <f t="shared" si="7"/>
        <v>0</v>
      </c>
      <c r="V57" s="26">
        <f t="shared" si="7"/>
        <v>0</v>
      </c>
    </row>
    <row r="58" spans="1:22" s="16" customFormat="1" ht="21" customHeight="1">
      <c r="A58" s="21"/>
      <c r="B58" s="21"/>
      <c r="C58" s="21"/>
      <c r="D58" s="435" t="s">
        <v>36</v>
      </c>
      <c r="E58" s="333">
        <f>COLUMNS($E58:E58)+(ROWS(E$22:E58)-34)*7-$B$20+$B$19</f>
        <v>45341</v>
      </c>
      <c r="F58" s="333">
        <f>COLUMNS($E58:F58)+(ROWS(F$22:F58)-34)*7-$B$20+$B$19</f>
        <v>45342</v>
      </c>
      <c r="G58" s="333">
        <f>COLUMNS($E58:G58)+(ROWS(G$22:G58)-34)*7-$B$20+$B$19</f>
        <v>45343</v>
      </c>
      <c r="H58" s="333">
        <f>COLUMNS($E58:H58)+(ROWS(H$22:H58)-34)*7-$B$20+$B$19</f>
        <v>45344</v>
      </c>
      <c r="I58" s="333">
        <f>COLUMNS($E58:I58)+(ROWS(I$22:I58)-34)*7-$B$20+$B$19</f>
        <v>45345</v>
      </c>
      <c r="J58" s="333">
        <f>COLUMNS($E58:J58)+(ROWS(J$22:J58)-34)*7-$B$20+$B$19</f>
        <v>45346</v>
      </c>
      <c r="K58" s="436">
        <f>COLUMNS($E58:K58)+(ROWS(K$22:K58)-34)*7-$B$20+$B$19</f>
        <v>45347</v>
      </c>
      <c r="P58" s="27">
        <f t="shared" ref="P58:V58" si="8">P47+P57</f>
        <v>0</v>
      </c>
      <c r="Q58" s="28">
        <f t="shared" si="8"/>
        <v>0</v>
      </c>
      <c r="R58" s="28">
        <f t="shared" si="8"/>
        <v>0</v>
      </c>
      <c r="S58" s="28">
        <f t="shared" si="8"/>
        <v>0</v>
      </c>
      <c r="T58" s="28">
        <f t="shared" si="8"/>
        <v>0</v>
      </c>
      <c r="U58" s="28">
        <f t="shared" si="8"/>
        <v>0</v>
      </c>
      <c r="V58" s="29">
        <f t="shared" si="8"/>
        <v>0</v>
      </c>
    </row>
    <row r="59" spans="1:22" s="16" customFormat="1" ht="15" customHeight="1">
      <c r="A59" s="21"/>
      <c r="B59" s="21"/>
      <c r="C59" s="21"/>
      <c r="D59" s="437">
        <f>SUM(E59:K59)</f>
        <v>0</v>
      </c>
      <c r="E59" s="308" t="str">
        <f>IFERROR(IF(INDEX('Enter Projections'!$B$17:$E$47,MATCH(E58,'Enter Projections'!$B$17:$B$47,0),3)=0,"",INDEX('Enter Projections'!$B$17:$E$47,MATCH(E58,'Enter Projections'!$B$17:$B$47,0),3)),"")</f>
        <v/>
      </c>
      <c r="F59" s="308" t="str">
        <f>IFERROR(IF(INDEX('Enter Projections'!$B$17:$E$47,MATCH(F58,'Enter Projections'!$B$17:$B$47,0),3)=0,"",INDEX('Enter Projections'!$B$17:$E$47,MATCH(F58,'Enter Projections'!$B$17:$B$47,0),3)),"")</f>
        <v/>
      </c>
      <c r="G59" s="308" t="str">
        <f>IFERROR(IF(INDEX('Enter Projections'!$B$17:$E$47,MATCH(G58,'Enter Projections'!$B$17:$B$47,0),3)=0,"",INDEX('Enter Projections'!$B$17:$E$47,MATCH(G58,'Enter Projections'!$B$17:$B$47,0),3)),"")</f>
        <v/>
      </c>
      <c r="H59" s="308" t="str">
        <f>IFERROR(IF(INDEX('Enter Projections'!$B$17:$E$47,MATCH(H58,'Enter Projections'!$B$17:$B$47,0),3)=0,"",INDEX('Enter Projections'!$B$17:$E$47,MATCH(H58,'Enter Projections'!$B$17:$B$47,0),3)),"")</f>
        <v/>
      </c>
      <c r="I59" s="308" t="str">
        <f>IFERROR(IF(INDEX('Enter Projections'!$B$17:$E$47,MATCH(I58,'Enter Projections'!$B$17:$B$47,0),3)=0,"",INDEX('Enter Projections'!$B$17:$E$47,MATCH(I58,'Enter Projections'!$B$17:$B$47,0),3)),"")</f>
        <v/>
      </c>
      <c r="J59" s="308" t="str">
        <f>IFERROR(IF(INDEX('Enter Projections'!$B$17:$E$47,MATCH(J58,'Enter Projections'!$B$17:$B$47,0),3)=0,"",INDEX('Enter Projections'!$B$17:$E$47,MATCH(J58,'Enter Projections'!$B$17:$B$47,0),3)),"")</f>
        <v/>
      </c>
      <c r="K59" s="438" t="str">
        <f>IFERROR(IF(INDEX('Enter Projections'!$B$17:$E$47,MATCH(K58,'Enter Projections'!$B$17:$B$47,0),3)=0,"",INDEX('Enter Projections'!$B$17:$E$47,MATCH(K58,'Enter Projections'!$B$17:$B$47,0),3)),"")</f>
        <v/>
      </c>
      <c r="P59" s="22">
        <f>+IF(E59="",0,1)</f>
        <v>0</v>
      </c>
      <c r="Q59" s="23">
        <f t="shared" ref="Q59:V59" si="9">+IF(F59="",0,1)</f>
        <v>0</v>
      </c>
      <c r="R59" s="23">
        <f t="shared" si="9"/>
        <v>0</v>
      </c>
      <c r="S59" s="23">
        <f t="shared" si="9"/>
        <v>0</v>
      </c>
      <c r="T59" s="23">
        <f t="shared" si="9"/>
        <v>0</v>
      </c>
      <c r="U59" s="23">
        <f t="shared" si="9"/>
        <v>0</v>
      </c>
      <c r="V59" s="24">
        <f t="shared" si="9"/>
        <v>0</v>
      </c>
    </row>
    <row r="60" spans="1:22" s="16" customFormat="1" ht="15" customHeight="1">
      <c r="A60" s="21"/>
      <c r="B60" s="21"/>
      <c r="C60" s="21"/>
      <c r="D60" s="439">
        <f>SUM(E60:K60)</f>
        <v>0</v>
      </c>
      <c r="E60" s="318" t="str">
        <f>IFERROR(IF(INDEX('Enter Projections'!$B$17:$E$47,MATCH(E58,'Enter Projections'!$B$17:$B$47,0),4)=0,"",INDEX('Enter Projections'!$B$17:$E$47,MATCH(E58,'Enter Projections'!$B$17:$B$47,0),4)),"")</f>
        <v/>
      </c>
      <c r="F60" s="318" t="str">
        <f>IFERROR(IF(INDEX('Enter Projections'!$B$17:$E$47,MATCH(F58,'Enter Projections'!$B$17:$B$47,0),4)=0,"",INDEX('Enter Projections'!$B$17:$E$47,MATCH(F58,'Enter Projections'!$B$17:$B$47,0),4)),"")</f>
        <v/>
      </c>
      <c r="G60" s="318" t="str">
        <f>IFERROR(IF(INDEX('Enter Projections'!$B$17:$E$47,MATCH(G58,'Enter Projections'!$B$17:$B$47,0),4)=0,"",INDEX('Enter Projections'!$B$17:$E$47,MATCH(G58,'Enter Projections'!$B$17:$B$47,0),4)),"")</f>
        <v/>
      </c>
      <c r="H60" s="318" t="str">
        <f>IFERROR(IF(INDEX('Enter Projections'!$B$17:$E$47,MATCH(H58,'Enter Projections'!$B$17:$B$47,0),4)=0,"",INDEX('Enter Projections'!$B$17:$E$47,MATCH(H58,'Enter Projections'!$B$17:$B$47,0),4)),"")</f>
        <v/>
      </c>
      <c r="I60" s="318" t="str">
        <f>IFERROR(IF(INDEX('Enter Projections'!$B$17:$E$47,MATCH(I58,'Enter Projections'!$B$17:$B$47,0),4)=0,"",INDEX('Enter Projections'!$B$17:$E$47,MATCH(I58,'Enter Projections'!$B$17:$B$47,0),4)),"")</f>
        <v/>
      </c>
      <c r="J60" s="318" t="str">
        <f>IFERROR(IF(INDEX('Enter Projections'!$B$17:$E$47,MATCH(J58,'Enter Projections'!$B$17:$B$47,0),4)=0,"",INDEX('Enter Projections'!$B$17:$E$47,MATCH(J58,'Enter Projections'!$B$17:$B$47,0),4)),"")</f>
        <v/>
      </c>
      <c r="K60" s="448" t="str">
        <f>IFERROR(IF(INDEX('Enter Projections'!$B$17:$E$47,MATCH(K58,'Enter Projections'!$B$17:$B$47,0),4)=0,"",INDEX('Enter Projections'!$B$17:$E$47,MATCH(K58,'Enter Projections'!$B$17:$B$47,0),4)),"")</f>
        <v/>
      </c>
      <c r="P60" s="25"/>
      <c r="V60" s="26"/>
    </row>
    <row r="61" spans="1:22" s="16" customFormat="1" ht="41.2" customHeight="1">
      <c r="A61" s="21"/>
      <c r="B61" s="21"/>
      <c r="C61" s="21"/>
      <c r="D61" s="610"/>
      <c r="E61" s="369" t="str">
        <f>IF('Enter Projections'!$A$1,"Liens dynamiques NABIT","NABIT Hot Link Review")</f>
        <v>NABIT Hot Link Review</v>
      </c>
      <c r="F61" s="512"/>
      <c r="G61" s="469"/>
      <c r="H61" s="375" t="str">
        <f>IF('Enter Projections'!$A$1," Jeudi mise au point "," Tune Up Thursday ")</f>
        <v xml:space="preserve"> Tune Up Thursday </v>
      </c>
      <c r="I61" s="550" t="s">
        <v>143</v>
      </c>
      <c r="J61" s="752" t="s">
        <v>223</v>
      </c>
      <c r="K61" s="554"/>
      <c r="P61" s="25"/>
      <c r="V61" s="26"/>
    </row>
    <row r="62" spans="1:22" s="16" customFormat="1" ht="48" customHeight="1">
      <c r="A62" s="21"/>
      <c r="B62" s="21"/>
      <c r="C62" s="21"/>
      <c r="D62" s="608"/>
      <c r="E62" s="575" t="s">
        <v>56</v>
      </c>
      <c r="F62" s="579" t="str">
        <f>IF('Enter Projections'!$A$1," Début du Lait ultra-frappé à la menthe "," Shamrock Shake Starts ")</f>
        <v xml:space="preserve"> Shamrock Shake Starts </v>
      </c>
      <c r="G62" s="470" t="s">
        <v>221</v>
      </c>
      <c r="H62" s="366"/>
      <c r="I62" s="371"/>
      <c r="J62" s="753"/>
      <c r="K62" s="551"/>
      <c r="P62" s="25"/>
      <c r="V62" s="26"/>
    </row>
    <row r="63" spans="1:22" s="16" customFormat="1" ht="59.55" customHeight="1">
      <c r="A63" s="21"/>
      <c r="B63" s="21"/>
      <c r="C63" s="21"/>
      <c r="D63" s="599"/>
      <c r="E63" s="370" t="s">
        <v>57</v>
      </c>
      <c r="F63" s="765" t="s">
        <v>58</v>
      </c>
      <c r="G63" s="766"/>
      <c r="H63" s="589"/>
      <c r="J63" s="753"/>
      <c r="K63" s="551"/>
      <c r="P63" s="25"/>
      <c r="V63" s="26"/>
    </row>
    <row r="64" spans="1:22" s="16" customFormat="1" ht="3" customHeight="1">
      <c r="A64" s="21"/>
      <c r="B64" s="21"/>
      <c r="C64" s="21"/>
      <c r="D64" s="611"/>
      <c r="E64" s="370"/>
      <c r="F64" s="765"/>
      <c r="G64" s="766"/>
      <c r="H64" s="377"/>
      <c r="I64" s="371"/>
      <c r="J64" s="753"/>
      <c r="K64" s="443"/>
      <c r="P64" s="25"/>
      <c r="V64" s="26"/>
    </row>
    <row r="65" spans="1:22" s="16" customFormat="1" ht="31.05" customHeight="1">
      <c r="A65" s="21"/>
      <c r="B65" s="21"/>
      <c r="C65" s="21"/>
      <c r="D65" s="600"/>
      <c r="E65" s="370" t="s">
        <v>220</v>
      </c>
      <c r="F65" s="385" t="s">
        <v>59</v>
      </c>
      <c r="G65" s="385" t="s">
        <v>59</v>
      </c>
      <c r="H65" s="377"/>
      <c r="I65" s="371"/>
      <c r="J65" s="753"/>
      <c r="K65" s="480"/>
      <c r="P65" s="25"/>
      <c r="V65" s="26"/>
    </row>
    <row r="66" spans="1:22" s="16" customFormat="1" ht="27.7" customHeight="1">
      <c r="A66" s="21"/>
      <c r="B66" s="21"/>
      <c r="C66" s="21"/>
      <c r="D66" s="609"/>
      <c r="E66" s="351"/>
      <c r="F66" s="385" t="s">
        <v>61</v>
      </c>
      <c r="G66" s="470"/>
      <c r="H66" s="595" t="s">
        <v>66</v>
      </c>
      <c r="I66" s="371"/>
      <c r="J66" s="753"/>
      <c r="K66" s="480"/>
      <c r="P66" s="25"/>
      <c r="V66" s="26"/>
    </row>
    <row r="67" spans="1:22" s="16" customFormat="1" ht="5.2" hidden="1" customHeight="1">
      <c r="A67" s="21"/>
      <c r="B67" s="21"/>
      <c r="C67" s="21"/>
      <c r="D67" s="612"/>
      <c r="E67" s="377"/>
      <c r="F67" s="385"/>
      <c r="G67" s="470"/>
      <c r="H67" s="377"/>
      <c r="I67" s="371"/>
      <c r="J67" s="753"/>
      <c r="K67" s="480"/>
      <c r="P67" s="25"/>
      <c r="V67" s="26"/>
    </row>
    <row r="68" spans="1:22" s="16" customFormat="1" ht="5.2" customHeight="1">
      <c r="A68" s="21"/>
      <c r="B68" s="21"/>
      <c r="C68" s="21"/>
      <c r="D68" s="613"/>
      <c r="E68" s="373"/>
      <c r="F68" s="360" t="s">
        <v>60</v>
      </c>
      <c r="G68" s="360"/>
      <c r="H68" s="373"/>
      <c r="I68" s="373"/>
      <c r="J68" s="753"/>
      <c r="K68" s="480"/>
      <c r="P68" s="25"/>
      <c r="V68" s="26"/>
    </row>
    <row r="69" spans="1:22" s="16" customFormat="1" ht="5.2" customHeight="1">
      <c r="A69" s="21"/>
      <c r="B69" s="21"/>
      <c r="C69" s="21"/>
      <c r="D69" s="520"/>
      <c r="E69" s="382"/>
      <c r="F69" s="386"/>
      <c r="G69" s="357"/>
      <c r="H69" s="382"/>
      <c r="I69" s="380"/>
      <c r="J69" s="754"/>
      <c r="K69" s="481"/>
      <c r="P69" s="25">
        <f>IF(E69="",0,200)</f>
        <v>0</v>
      </c>
      <c r="Q69" s="16">
        <f t="shared" ref="Q69:V69" si="10">IF(F69="",0,200)</f>
        <v>0</v>
      </c>
      <c r="R69" s="16">
        <f t="shared" si="10"/>
        <v>0</v>
      </c>
      <c r="S69" s="16">
        <f t="shared" si="10"/>
        <v>0</v>
      </c>
      <c r="T69" s="16">
        <f t="shared" si="10"/>
        <v>0</v>
      </c>
      <c r="U69" s="16">
        <f t="shared" si="10"/>
        <v>0</v>
      </c>
      <c r="V69" s="26">
        <f t="shared" si="10"/>
        <v>0</v>
      </c>
    </row>
    <row r="70" spans="1:22" s="16" customFormat="1" ht="21" customHeight="1">
      <c r="A70" s="20"/>
      <c r="B70" s="20"/>
      <c r="C70" s="20"/>
      <c r="D70" s="449" t="s">
        <v>36</v>
      </c>
      <c r="E70" s="383">
        <f>COLUMNS($E58:E70)+(ROWS(E$22:E70)-45)*7-$B$20+$B$19</f>
        <v>45348</v>
      </c>
      <c r="F70" s="383">
        <f>COLUMNS($E58:F70)+(ROWS(F$22:F70)-45)*7-$B$20+$B$19</f>
        <v>45349</v>
      </c>
      <c r="G70" s="383">
        <f>(COLUMNS($E70:G70)+(ROWS(G$22:G70)-45)*7-$B$20+$B$19)</f>
        <v>45350</v>
      </c>
      <c r="H70" s="383">
        <f>(COLUMNS($E70:H70)+(ROWS(H$22:H70)-45)*7-$B$20+$B$19)</f>
        <v>45351</v>
      </c>
      <c r="I70" s="383">
        <f>(COLUMNS($E70:I70)+(ROWS(I$22:I70)-45)*7-$B$20+$B$19)</f>
        <v>45352</v>
      </c>
      <c r="J70" s="383">
        <f>(COLUMNS($E70:J70)+(ROWS(J$22:J70)-45)*7-$B$20+$B$19)</f>
        <v>45353</v>
      </c>
      <c r="K70" s="450">
        <f>(COLUMNS($E70:K70)+(ROWS(K$22:K70)-45)*7-$B$20+$B$19)</f>
        <v>45354</v>
      </c>
      <c r="P70" s="27">
        <f t="shared" ref="P70:V70" si="11">P59+P69</f>
        <v>0</v>
      </c>
      <c r="Q70" s="28">
        <f t="shared" si="11"/>
        <v>0</v>
      </c>
      <c r="R70" s="28">
        <f t="shared" si="11"/>
        <v>0</v>
      </c>
      <c r="S70" s="28">
        <f t="shared" si="11"/>
        <v>0</v>
      </c>
      <c r="T70" s="28">
        <f t="shared" si="11"/>
        <v>0</v>
      </c>
      <c r="U70" s="28">
        <f t="shared" si="11"/>
        <v>0</v>
      </c>
      <c r="V70" s="29">
        <f t="shared" si="11"/>
        <v>0</v>
      </c>
    </row>
    <row r="71" spans="1:22" s="16" customFormat="1" ht="15" customHeight="1">
      <c r="A71" s="21"/>
      <c r="B71" s="21"/>
      <c r="C71" s="21"/>
      <c r="D71" s="451">
        <f>SUM(E71:K71)</f>
        <v>0</v>
      </c>
      <c r="E71" s="304" t="str">
        <f>IFERROR(IF(INDEX('Enter Projections'!$B$17:$E$47,MATCH(E70,'Enter Projections'!$B$17:$B$47,0),3)=0,"",INDEX('Enter Projections'!$B$17:$E$47,MATCH(E70,'Enter Projections'!$B$17:$B$47,0),3)),"")</f>
        <v/>
      </c>
      <c r="F71" s="314" t="str">
        <f>IFERROR(IF(INDEX('Enter Projections'!$B$17:$E$55,MATCH(F70,'Enter Projections'!$B$17:$B$55,0),3)=0,"",INDEX('Enter Projections'!$B$17:$E$55,MATCH(F70,'Enter Projections'!$B$17:$B$55,0),3)),"")</f>
        <v/>
      </c>
      <c r="G71" s="314" t="str">
        <f>IFERROR(IF(INDEX('Enter Projections'!$B$17:$E$55,MATCH(G70,'Enter Projections'!$B$17:$B$55,0),3)=0,"",INDEX('Enter Projections'!$B$17:$E$55,MATCH(G70,'Enter Projections'!$B$17:$B$55,0),3)),"")</f>
        <v/>
      </c>
      <c r="H71" s="314" t="str">
        <f>IFERROR(IF(INDEX('Enter Projections'!$B$17:$E$51,MATCH(H70,'Enter Projections'!$B$17:$B$51,0),3)=0,"",INDEX('Enter Projections'!$B$17:$E$51,MATCH(H70,'Enter Projections'!$B$17:$B$51,0),3)),"")</f>
        <v/>
      </c>
      <c r="I71" s="314" t="str">
        <f>IFERROR(IF(INDEX('Enter Projections'!$B$17:$E$51,MATCH(I70,'Enter Projections'!$B$17:$B$51,0),3)=0,"",INDEX('Enter Projections'!$B$17:$E$51,MATCH(I70,'Enter Projections'!$B$17:$B$51,0),3)),"")</f>
        <v/>
      </c>
      <c r="J71" s="314" t="str">
        <f>IFERROR(IF(INDEX('Enter Projections'!$B$17:$E$55,MATCH(J70,'Enter Projections'!$B$17:$B$55,0),3)=0,"",INDEX('Enter Projections'!$B$17:$E$55,MATCH(J70,'Enter Projections'!$B$17:$B$55,0),3)),"")</f>
        <v/>
      </c>
      <c r="K71" s="452" t="str">
        <f>IFERROR(IF(INDEX('Enter Projections'!$B$17:$E$55,MATCH(K70,'Enter Projections'!$B$17:$B$55,0),3)=0,"",INDEX('Enter Projections'!$B$17:$E$55,MATCH(K70,'Enter Projections'!$B$17:$B$55,0),3)),"")</f>
        <v/>
      </c>
      <c r="P71" s="22">
        <f>+IF(E71="",0,1)</f>
        <v>0</v>
      </c>
      <c r="Q71" s="23">
        <f t="shared" ref="Q71:V71" si="12">+IF(F71="",0,1)</f>
        <v>0</v>
      </c>
      <c r="R71" s="23">
        <f t="shared" si="12"/>
        <v>0</v>
      </c>
      <c r="S71" s="23">
        <f t="shared" si="12"/>
        <v>0</v>
      </c>
      <c r="T71" s="23">
        <f t="shared" si="12"/>
        <v>0</v>
      </c>
      <c r="U71" s="23">
        <f t="shared" si="12"/>
        <v>0</v>
      </c>
      <c r="V71" s="24">
        <f t="shared" si="12"/>
        <v>0</v>
      </c>
    </row>
    <row r="72" spans="1:22" s="16" customFormat="1" ht="15" customHeight="1">
      <c r="A72" s="21"/>
      <c r="B72" s="21"/>
      <c r="C72" s="21"/>
      <c r="D72" s="453">
        <f>SUM(E72:K72)</f>
        <v>0</v>
      </c>
      <c r="E72" s="313" t="str">
        <f>IFERROR(IF(INDEX('Enter Projections'!$B$17:$E$53,MATCH(E70,'Enter Projections'!$B$17:$B$53,0),4)=0,"",INDEX('Enter Projections'!$B$17:$E$53,MATCH(E70,'Enter Projections'!$B$17:$B$53,0),4)),"")</f>
        <v/>
      </c>
      <c r="F72" s="313" t="str">
        <f>IFERROR(IF(INDEX('Enter Projections'!$B$17:$E$55,MATCH(F70,'Enter Projections'!$B$17:$B$55,0),4)=0,"",INDEX('Enter Projections'!$B$17:$E$55,MATCH(F70,'Enter Projections'!$B$17:$B$55,0),4)),"")</f>
        <v/>
      </c>
      <c r="G72" s="313" t="str">
        <f>IFERROR(IF(INDEX('Enter Projections'!$B$17:$E$51,MATCH(G70,'Enter Projections'!$B$17:$B$51,0),4)=0,"",INDEX('Enter Projections'!$B$17:$E$51,MATCH(G70,'Enter Projections'!$B$17:$B$51,0),4)),"")</f>
        <v/>
      </c>
      <c r="H72" s="313" t="str">
        <f>IFERROR(IF(INDEX('Enter Projections'!$B$17:$E$51,MATCH(H70,'Enter Projections'!$B$17:$B$51,0),4)=0,"",INDEX('Enter Projections'!$B$17:$E$51,MATCH(H70,'Enter Projections'!$B$17:$B$51,0),4)),"")</f>
        <v/>
      </c>
      <c r="I72" s="313" t="str">
        <f>IFERROR(IF(INDEX('Enter Projections'!$B$17:$E$51,MATCH(I70,'Enter Projections'!$B$17:$B$51,0),4)=0,"",INDEX('Enter Projections'!$B$17:$E$51,MATCH(I70,'Enter Projections'!$B$17:$B$51,0),4)),"")</f>
        <v/>
      </c>
      <c r="J72" s="313" t="str">
        <f>IFERROR(IF(INDEX('Enter Projections'!$B$17:$E$55,MATCH(J70,'Enter Projections'!$B$17:$B$55,0),4)=0,"",INDEX('Enter Projections'!$B$17:$E$55,MATCH(J70,'Enter Projections'!$B$17:$B$55,0),4)),"")</f>
        <v/>
      </c>
      <c r="K72" s="454" t="str">
        <f>IFERROR(IF(INDEX('Enter Projections'!$B$17:$E$55,MATCH(K70,'Enter Projections'!$B$17:$B$55,0),4)=0,"",INDEX('Enter Projections'!$B$17:$E$55,MATCH(K70,'Enter Projections'!$B$17:$B$55,0),4)),"")</f>
        <v/>
      </c>
      <c r="P72" s="25"/>
      <c r="V72" s="26"/>
    </row>
    <row r="73" spans="1:22" s="16" customFormat="1" ht="46.05" customHeight="1">
      <c r="A73" s="21"/>
      <c r="B73" s="21"/>
      <c r="C73" s="21"/>
      <c r="D73" s="625"/>
      <c r="E73" s="309" t="str">
        <f>IF('Enter Projections'!$A$1,"Liens dynamiques NABIT","NABIT Hot Link Review")</f>
        <v>NABIT Hot Link Review</v>
      </c>
      <c r="F73" s="312" t="s">
        <v>62</v>
      </c>
      <c r="G73" s="311"/>
      <c r="H73" s="310" t="str">
        <f>IF('Enter Projections'!$A$1," Jeudi mise au point "," Tune Up Thursday ")</f>
        <v xml:space="preserve"> Tune Up Thursday </v>
      </c>
      <c r="I73" s="305" t="s">
        <v>67</v>
      </c>
      <c r="J73" s="755"/>
      <c r="K73" s="555"/>
      <c r="P73" s="25"/>
      <c r="V73" s="26"/>
    </row>
    <row r="74" spans="1:22" s="16" customFormat="1" ht="23.2" customHeight="1">
      <c r="A74" s="21"/>
      <c r="B74" s="21"/>
      <c r="C74" s="21"/>
      <c r="D74" s="626"/>
      <c r="E74" s="573"/>
      <c r="F74" s="501"/>
      <c r="G74" s="336" t="s">
        <v>63</v>
      </c>
      <c r="H74" s="305"/>
      <c r="I74" s="337"/>
      <c r="J74" s="755"/>
      <c r="K74" s="513"/>
      <c r="P74" s="25"/>
      <c r="V74" s="26"/>
    </row>
    <row r="75" spans="1:22" s="16" customFormat="1" ht="34.5" customHeight="1">
      <c r="A75" s="21"/>
      <c r="B75" s="21"/>
      <c r="C75" s="21"/>
      <c r="D75" s="614"/>
      <c r="E75" s="582" t="str">
        <f>IF('Enter Projections'!$A$1," Fin du McCôte "," McRib Ends ")</f>
        <v xml:space="preserve"> McRib Ends </v>
      </c>
      <c r="F75" s="580" t="str">
        <f>IF('Enter Projections'!$A$1," Début du Projet Dub "," Project Dub Starts ")</f>
        <v xml:space="preserve"> Project Dub Starts </v>
      </c>
      <c r="G75" s="336" t="s">
        <v>64</v>
      </c>
      <c r="H75" s="504"/>
      <c r="I75" s="337"/>
      <c r="J75" s="755"/>
      <c r="K75" s="455"/>
      <c r="P75" s="25"/>
      <c r="V75" s="26"/>
    </row>
    <row r="76" spans="1:22" s="16" customFormat="1" ht="31.05" customHeight="1">
      <c r="A76" s="21"/>
      <c r="B76" s="21"/>
      <c r="C76" s="21"/>
      <c r="D76" s="615"/>
      <c r="E76" s="748" t="str">
        <f>IF('Enter Projections'!$A$1," Fin de Sonic The Hedgehog "," Sonic the Hedgehog Ends ")</f>
        <v xml:space="preserve"> Sonic the Hedgehog Ends </v>
      </c>
      <c r="F76" s="751" t="str">
        <f>IF('Enter Projections'!$A$1," Début du JF Multiversus "," Multiversus Start ")</f>
        <v xml:space="preserve"> Multiversus Start </v>
      </c>
      <c r="G76" s="337"/>
      <c r="H76" s="336"/>
      <c r="I76" s="306"/>
      <c r="J76" s="756"/>
      <c r="K76" s="455"/>
      <c r="P76" s="25"/>
      <c r="V76" s="26"/>
    </row>
    <row r="77" spans="1:22" s="16" customFormat="1" ht="24" customHeight="1">
      <c r="A77" s="21"/>
      <c r="B77" s="21"/>
      <c r="C77" s="21"/>
      <c r="D77" s="616"/>
      <c r="E77" s="748"/>
      <c r="F77" s="751"/>
      <c r="G77" s="337"/>
      <c r="H77" s="337"/>
      <c r="I77" s="306"/>
      <c r="J77" s="756"/>
      <c r="K77" s="455"/>
      <c r="P77" s="25"/>
      <c r="V77" s="26"/>
    </row>
    <row r="78" spans="1:22" s="16" customFormat="1" ht="32.200000000000003" customHeight="1">
      <c r="A78" s="21"/>
      <c r="B78" s="21"/>
      <c r="C78" s="21"/>
      <c r="D78" s="510"/>
      <c r="E78" s="305"/>
      <c r="F78" s="594" t="s">
        <v>65</v>
      </c>
      <c r="G78" s="337"/>
      <c r="H78" s="501"/>
      <c r="I78" s="306"/>
      <c r="J78" s="476"/>
      <c r="K78" s="455"/>
      <c r="P78" s="25"/>
      <c r="V78" s="26"/>
    </row>
    <row r="79" spans="1:22" s="16" customFormat="1" ht="21" customHeight="1">
      <c r="A79" s="21"/>
      <c r="B79" s="21"/>
      <c r="C79" s="21"/>
      <c r="D79" s="617"/>
      <c r="E79" s="511"/>
      <c r="F79" s="501"/>
      <c r="G79" s="305"/>
      <c r="H79" s="336"/>
      <c r="I79" s="315"/>
      <c r="J79" s="476"/>
      <c r="K79" s="456"/>
      <c r="P79" s="25"/>
      <c r="V79" s="26"/>
    </row>
    <row r="80" spans="1:22" s="16" customFormat="1" ht="12.7" customHeight="1">
      <c r="A80" s="21"/>
      <c r="B80" s="21"/>
      <c r="C80" s="21"/>
      <c r="D80" s="618"/>
      <c r="E80" s="511"/>
      <c r="F80" s="306"/>
      <c r="G80" s="306"/>
      <c r="H80" s="337"/>
      <c r="I80" s="306"/>
      <c r="J80" s="476"/>
      <c r="K80" s="457"/>
      <c r="P80" s="25"/>
      <c r="V80" s="26"/>
    </row>
    <row r="81" spans="1:22" s="16" customFormat="1" ht="5.2" customHeight="1">
      <c r="A81" s="21"/>
      <c r="B81" s="21"/>
      <c r="C81" s="21"/>
      <c r="D81" s="619"/>
      <c r="E81" s="335"/>
      <c r="F81" s="335"/>
      <c r="G81" s="335"/>
      <c r="H81" s="335"/>
      <c r="I81" s="335"/>
      <c r="J81" s="482"/>
      <c r="K81" s="458"/>
      <c r="P81" s="25">
        <f>IF(E81="",0,200)</f>
        <v>0</v>
      </c>
      <c r="Q81" s="16">
        <f t="shared" ref="Q81:V81" si="13">IF(F81="",0,200)</f>
        <v>0</v>
      </c>
      <c r="R81" s="16">
        <f t="shared" si="13"/>
        <v>0</v>
      </c>
      <c r="S81" s="16">
        <f t="shared" si="13"/>
        <v>0</v>
      </c>
      <c r="T81" s="16">
        <f t="shared" si="13"/>
        <v>0</v>
      </c>
      <c r="U81" s="16">
        <f t="shared" si="13"/>
        <v>0</v>
      </c>
      <c r="V81" s="26">
        <f t="shared" si="13"/>
        <v>0</v>
      </c>
    </row>
    <row r="82" spans="1:22" ht="21" customHeight="1">
      <c r="D82" s="459" t="s">
        <v>36</v>
      </c>
      <c r="E82" s="333">
        <f>(COLUMNS($E70:E82)+(ROWS(E$22:E82)-56)*7-$B$20+$B$19)</f>
        <v>45355</v>
      </c>
      <c r="F82" s="333">
        <f>(COLUMNS($E70:F82)+(ROWS(F$22:F82)-56)*7-$B$20+$B$19)</f>
        <v>45356</v>
      </c>
      <c r="G82" s="333">
        <f>(COLUMNS($E70:G82)+(ROWS(G$22:G82)-56)*7-$B$20+$B$19)</f>
        <v>45357</v>
      </c>
      <c r="H82" s="333">
        <f>(COLUMNS($E70:H82)+(ROWS(H$22:H82)-56)*7-$B$20+$B$19)</f>
        <v>45358</v>
      </c>
      <c r="I82" s="333">
        <f>(COLUMNS($E70:I82)+(ROWS(I$22:I82)-56)*7-$B$20+$B$19)</f>
        <v>45359</v>
      </c>
      <c r="J82" s="333">
        <f>(COLUMNS($E70:J82)+(ROWS(J$22:J82)-56)*7-$B$20+$B$19)</f>
        <v>45360</v>
      </c>
      <c r="K82" s="436">
        <f>(COLUMNS($E70:K82)+(ROWS(K$22:K82)-56)*7-$B$20+$B$19)</f>
        <v>45361</v>
      </c>
      <c r="P82" s="27">
        <f>P71+P81</f>
        <v>0</v>
      </c>
      <c r="Q82" s="28">
        <f t="shared" ref="Q82:V82" si="14">Q71+Q81</f>
        <v>0</v>
      </c>
      <c r="R82" s="28">
        <f t="shared" si="14"/>
        <v>0</v>
      </c>
      <c r="S82" s="28">
        <f t="shared" si="14"/>
        <v>0</v>
      </c>
      <c r="T82" s="28">
        <f t="shared" si="14"/>
        <v>0</v>
      </c>
      <c r="U82" s="28">
        <f t="shared" si="14"/>
        <v>0</v>
      </c>
      <c r="V82" s="29">
        <f t="shared" si="14"/>
        <v>0</v>
      </c>
    </row>
    <row r="83" spans="1:22" ht="15" customHeight="1">
      <c r="A83" s="30"/>
      <c r="B83" s="30"/>
      <c r="C83" s="30"/>
      <c r="D83" s="437">
        <f>SUM(E83:K83)</f>
        <v>0</v>
      </c>
      <c r="E83" s="317" t="str">
        <f>IFERROR(IF(INDEX('Enter Projections'!$B$17:$E$54,MATCH(E82,'Enter Projections'!$B$17:$B$54,0),3)=0,"",INDEX('Enter Projections'!$B$17:$E$54,MATCH(E82,'Enter Projections'!$B$17:$B$54,0),3)),"")</f>
        <v/>
      </c>
      <c r="F83" s="317" t="str">
        <f>IFERROR(IF(INDEX('Enter Projections'!$B$17:$E$55,MATCH(F82,'Enter Projections'!$B$17:$B$55,0),3)=0,"",INDEX('Enter Projections'!$B$17:$E$55,MATCH(F82,'Enter Projections'!$B$17:$B$55,0),3)),"")</f>
        <v/>
      </c>
      <c r="G83" s="317" t="str">
        <f>IFERROR(IF(INDEX('Enter Projections'!$B$17:$E$56,MATCH(G82,'Enter Projections'!$B$17:$B$56,0),3)=0,"",INDEX('Enter Projections'!$B$17:$E$56,MATCH(G82,'Enter Projections'!$B$17:$B$56,0),3)),"")</f>
        <v/>
      </c>
      <c r="H83" s="317" t="str">
        <f>IFERROR(IF(INDEX('Enter Projections'!$B$17:$E$57,MATCH(H82,'Enter Projections'!$B$17:$B$57,0),3)=0,"",INDEX('Enter Projections'!$B$17:$E$57,MATCH(H82,'Enter Projections'!$B$17:$B$57,0),3)),"")</f>
        <v/>
      </c>
      <c r="I83" s="317" t="str">
        <f>IFERROR(IF(INDEX('Enter Projections'!$B$17:$E$57,MATCH(I82,'Enter Projections'!$B$17:$B$57,0),3)=0,"",INDEX('Enter Projections'!$B$17:$E$57,MATCH(I82,'Enter Projections'!$B$17:$B$57,0),3)),"")</f>
        <v/>
      </c>
      <c r="J83" s="317" t="str">
        <f>IFERROR(IF(INDEX('Enter Projections'!$B$17:$E$59,MATCH(J82,'Enter Projections'!$B$17:$B$59,0),3)=0,"",INDEX('Enter Projections'!$B$17:$E$59,MATCH(J82,'Enter Projections'!$B$17:$B$59,0),3)),"")</f>
        <v/>
      </c>
      <c r="K83" s="460" t="str">
        <f>IFERROR(IF(INDEX('Enter Projections'!$B$17:$E$59,MATCH(K82,'Enter Projections'!$B$17:$B$59,0),3)=0,"",INDEX('Enter Projections'!$B$17:$E$59,MATCH(K82,'Enter Projections'!$B$17:$B$59,0),3)),"")</f>
        <v/>
      </c>
      <c r="P83" s="22">
        <f>+IF(E83="",0,1)</f>
        <v>0</v>
      </c>
      <c r="Q83" s="23">
        <f t="shared" ref="Q83:V83" si="15">+IF(F83="",0,1)</f>
        <v>0</v>
      </c>
      <c r="R83" s="23">
        <f t="shared" si="15"/>
        <v>0</v>
      </c>
      <c r="S83" s="23">
        <f t="shared" si="15"/>
        <v>0</v>
      </c>
      <c r="T83" s="23">
        <f t="shared" si="15"/>
        <v>0</v>
      </c>
      <c r="U83" s="23">
        <f t="shared" si="15"/>
        <v>0</v>
      </c>
      <c r="V83" s="24">
        <f t="shared" si="15"/>
        <v>0</v>
      </c>
    </row>
    <row r="84" spans="1:22" ht="15" customHeight="1">
      <c r="A84" s="30"/>
      <c r="B84" s="30"/>
      <c r="C84" s="30"/>
      <c r="D84" s="461">
        <f>SUM(E84:K84)</f>
        <v>0</v>
      </c>
      <c r="E84" s="318" t="str">
        <f>IFERROR(IF(INDEX('Enter Projections'!$B$17:$E$54,MATCH(E82,'Enter Projections'!$B$17:$B$54,0),4)=0,"",INDEX('Enter Projections'!$B$17:$E$54,MATCH(E82,'Enter Projections'!$B$17:$B$54,0),4)),"")</f>
        <v/>
      </c>
      <c r="F84" s="318" t="str">
        <f>IFERROR(IF(INDEX('Enter Projections'!$B$17:$E$55,MATCH(F82,'Enter Projections'!$B$17:$B$55,0),4)=0,"",INDEX('Enter Projections'!$B$17:$E$55,MATCH(F82,'Enter Projections'!$B$17:$B$55,0),4)),"")</f>
        <v/>
      </c>
      <c r="G84" s="318" t="str">
        <f>IFERROR(IF(INDEX('Enter Projections'!$B$17:$E$56,MATCH(G82,'Enter Projections'!$B$17:$B$56,0),4)=0,"",INDEX('Enter Projections'!$B$17:$E$56,MATCH(G82,'Enter Projections'!$B$17:$B$56,0),4)),"")</f>
        <v/>
      </c>
      <c r="H84" s="318" t="str">
        <f>IFERROR(IF(INDEX('Enter Projections'!$B$17:$E$57,MATCH(H82,'Enter Projections'!$B$17:$B$57,0),4)=0,"",INDEX('Enter Projections'!$B$17:$E$57,MATCH(H82,'Enter Projections'!$B$17:$B$57,0),4)),"")</f>
        <v/>
      </c>
      <c r="I84" s="318" t="str">
        <f>IFERROR(IF(INDEX('Enter Projections'!$B$17:$E$57,MATCH(I82,'Enter Projections'!$B$17:$B$57,0),4)=0,"",INDEX('Enter Projections'!$B$17:$E$57,MATCH(I82,'Enter Projections'!$B$17:$B$57,0),4)),"")</f>
        <v/>
      </c>
      <c r="J84" s="318" t="str">
        <f>IFERROR(IF(INDEX('Enter Projections'!$B$17:$E$59,MATCH(J82,'Enter Projections'!$B$17:$B$59,0),4)=0,"",INDEX('Enter Projections'!$B$17:$E$59,MATCH(J82,'Enter Projections'!$B$17:$B$59,0),4)),"")</f>
        <v/>
      </c>
      <c r="K84" s="448" t="str">
        <f>IFERROR(IF(INDEX('Enter Projections'!$B$17:$E$59,MATCH(K82,'Enter Projections'!$B$17:$B$59,0),4)=0,"",INDEX('Enter Projections'!$B$17:$E$59,MATCH(K82,'Enter Projections'!$B$17:$B$59,0),4)),"")</f>
        <v/>
      </c>
      <c r="P84" s="25"/>
      <c r="Q84" s="16"/>
      <c r="R84" s="16"/>
      <c r="S84" s="16"/>
      <c r="T84" s="16"/>
      <c r="U84" s="16"/>
      <c r="V84" s="26"/>
    </row>
    <row r="85" spans="1:22" ht="38.549999999999997" customHeight="1">
      <c r="A85" s="30"/>
      <c r="B85" s="30"/>
      <c r="C85" s="30"/>
      <c r="D85" s="620"/>
      <c r="E85" s="319" t="str">
        <f>IF('Enter Projections'!$A$1,"Liens dynamiques NABIT","NABIT Hot Link Review")</f>
        <v>NABIT Hot Link Review</v>
      </c>
      <c r="F85" s="321"/>
      <c r="G85" s="322" t="s">
        <v>225</v>
      </c>
      <c r="H85" s="307" t="str">
        <f>IF('Enter Projections'!$A$1," Jeudi mise au point "," Tune Up Thursday ")</f>
        <v xml:space="preserve"> Tune Up Thursday </v>
      </c>
      <c r="I85" s="325"/>
      <c r="J85" s="325"/>
      <c r="K85" s="742"/>
      <c r="P85" s="25"/>
      <c r="Q85" s="16"/>
      <c r="R85" s="16"/>
      <c r="S85" s="16"/>
      <c r="T85" s="16"/>
      <c r="U85" s="16"/>
      <c r="V85" s="26"/>
    </row>
    <row r="86" spans="1:22" ht="32.200000000000003" customHeight="1">
      <c r="A86" s="30"/>
      <c r="B86" s="30"/>
      <c r="C86" s="30"/>
      <c r="D86" s="621"/>
      <c r="E86" s="300" t="str">
        <f>IF('Enter Projections'!$A$1,"Calendrier des offres sur l’appli mobile Mon McDo"," My McD’s Mobile Calendar ")</f>
        <v xml:space="preserve"> My McD’s Mobile Calendar </v>
      </c>
      <c r="F86" s="574"/>
      <c r="G86" s="323"/>
      <c r="H86" s="299"/>
      <c r="I86" s="299"/>
      <c r="J86" s="337"/>
      <c r="K86" s="743"/>
      <c r="P86" s="25"/>
      <c r="Q86" s="16"/>
      <c r="R86" s="16"/>
      <c r="S86" s="16"/>
      <c r="T86" s="16"/>
      <c r="U86" s="16"/>
      <c r="V86" s="26"/>
    </row>
    <row r="87" spans="1:22" ht="41.55" customHeight="1">
      <c r="A87" s="30"/>
      <c r="B87" s="30"/>
      <c r="C87" s="30"/>
      <c r="D87" s="622"/>
      <c r="E87" s="539"/>
      <c r="F87" s="501"/>
      <c r="G87" s="337"/>
      <c r="H87" s="298" t="s">
        <v>37</v>
      </c>
      <c r="I87" s="299"/>
      <c r="J87" s="316"/>
      <c r="K87" s="743"/>
      <c r="P87" s="25"/>
      <c r="Q87" s="16"/>
      <c r="R87" s="16"/>
      <c r="S87" s="16"/>
      <c r="T87" s="16"/>
      <c r="U87" s="16"/>
      <c r="V87" s="26"/>
    </row>
    <row r="88" spans="1:22" ht="17.2" hidden="1" customHeight="1">
      <c r="A88" s="30"/>
      <c r="B88" s="30"/>
      <c r="C88" s="30"/>
      <c r="D88" s="462"/>
      <c r="E88" s="528"/>
      <c r="F88" s="332"/>
      <c r="G88" s="337"/>
      <c r="H88" s="324"/>
      <c r="I88" s="337"/>
      <c r="J88" s="337"/>
      <c r="K88" s="743"/>
      <c r="P88" s="25"/>
      <c r="Q88" s="16"/>
      <c r="R88" s="16"/>
      <c r="S88" s="16"/>
      <c r="T88" s="16"/>
      <c r="U88" s="16"/>
      <c r="V88" s="26"/>
    </row>
    <row r="89" spans="1:22" ht="15" hidden="1" customHeight="1">
      <c r="A89" s="30"/>
      <c r="B89" s="30"/>
      <c r="C89" s="30"/>
      <c r="D89" s="463"/>
      <c r="E89" s="509"/>
      <c r="F89" s="320"/>
      <c r="G89" s="337"/>
      <c r="H89" s="324"/>
      <c r="I89" s="337"/>
      <c r="J89" s="337"/>
      <c r="K89" s="743"/>
      <c r="P89" s="25"/>
      <c r="Q89" s="16"/>
      <c r="R89" s="16"/>
      <c r="S89" s="16"/>
      <c r="T89" s="16"/>
      <c r="U89" s="16"/>
      <c r="V89" s="26"/>
    </row>
    <row r="90" spans="1:22" ht="15" hidden="1" customHeight="1">
      <c r="A90" s="30"/>
      <c r="B90" s="30"/>
      <c r="C90" s="30"/>
      <c r="D90" s="463"/>
      <c r="E90" s="509"/>
      <c r="F90" s="337"/>
      <c r="G90" s="337"/>
      <c r="H90" s="324"/>
      <c r="I90" s="337"/>
      <c r="J90" s="337"/>
      <c r="K90" s="743"/>
      <c r="P90" s="25"/>
      <c r="Q90" s="16"/>
      <c r="R90" s="16"/>
      <c r="S90" s="16"/>
      <c r="T90" s="16"/>
      <c r="U90" s="16"/>
      <c r="V90" s="26"/>
    </row>
    <row r="91" spans="1:22" ht="46.5" customHeight="1">
      <c r="A91" s="30"/>
      <c r="B91" s="30"/>
      <c r="C91" s="30"/>
      <c r="D91" s="623"/>
      <c r="E91" s="501"/>
      <c r="F91" s="539"/>
      <c r="G91" s="337"/>
      <c r="H91" s="337"/>
      <c r="I91" s="337"/>
      <c r="J91" s="337"/>
      <c r="K91" s="743"/>
      <c r="P91" s="25"/>
      <c r="Q91" s="16"/>
      <c r="R91" s="16"/>
      <c r="S91" s="16"/>
      <c r="T91" s="16"/>
      <c r="U91" s="16"/>
      <c r="V91" s="26"/>
    </row>
    <row r="92" spans="1:22" ht="10.5" customHeight="1">
      <c r="A92" s="30"/>
      <c r="B92" s="30"/>
      <c r="C92" s="30"/>
      <c r="D92" s="624"/>
      <c r="E92" s="336"/>
      <c r="F92" s="336"/>
      <c r="G92" s="337"/>
      <c r="H92" s="337"/>
      <c r="I92" s="337"/>
      <c r="J92" s="337"/>
      <c r="K92" s="743"/>
      <c r="P92" s="25"/>
      <c r="Q92" s="16"/>
      <c r="R92" s="16"/>
      <c r="S92" s="16"/>
      <c r="T92" s="16"/>
      <c r="U92" s="16"/>
      <c r="V92" s="26"/>
    </row>
    <row r="93" spans="1:22" ht="41.2" customHeight="1">
      <c r="D93" s="618"/>
      <c r="E93" s="336"/>
      <c r="F93" s="337"/>
      <c r="G93" s="301"/>
      <c r="H93" s="302"/>
      <c r="I93" s="302"/>
      <c r="J93" s="302"/>
      <c r="K93" s="743"/>
      <c r="P93" s="25">
        <f t="shared" ref="P93:V93" si="16">IF(E92="",0,200)</f>
        <v>0</v>
      </c>
      <c r="Q93" s="16">
        <f t="shared" si="16"/>
        <v>0</v>
      </c>
      <c r="R93" s="16">
        <f t="shared" si="16"/>
        <v>0</v>
      </c>
      <c r="S93" s="16">
        <f t="shared" si="16"/>
        <v>0</v>
      </c>
      <c r="T93" s="16">
        <f t="shared" si="16"/>
        <v>0</v>
      </c>
      <c r="U93" s="16">
        <f t="shared" si="16"/>
        <v>0</v>
      </c>
      <c r="V93" s="26">
        <f t="shared" si="16"/>
        <v>0</v>
      </c>
    </row>
    <row r="94" spans="1:22" ht="5.2" customHeight="1" thickBot="1">
      <c r="D94" s="464"/>
      <c r="E94" s="465"/>
      <c r="F94" s="465"/>
      <c r="G94" s="465"/>
      <c r="H94" s="465"/>
      <c r="I94" s="466"/>
      <c r="J94" s="466"/>
      <c r="K94" s="467"/>
      <c r="P94" s="27">
        <f>P83+P93</f>
        <v>0</v>
      </c>
      <c r="Q94" s="28">
        <f t="shared" ref="Q94:V94" si="17">Q83+Q93</f>
        <v>0</v>
      </c>
      <c r="R94" s="28">
        <f t="shared" si="17"/>
        <v>0</v>
      </c>
      <c r="S94" s="28">
        <f t="shared" si="17"/>
        <v>0</v>
      </c>
      <c r="T94" s="28">
        <f t="shared" si="17"/>
        <v>0</v>
      </c>
      <c r="U94" s="28">
        <f t="shared" si="17"/>
        <v>0</v>
      </c>
      <c r="V94" s="29">
        <f t="shared" si="17"/>
        <v>0</v>
      </c>
    </row>
    <row r="98" spans="13:14">
      <c r="M98" s="31"/>
      <c r="N98" s="32"/>
    </row>
    <row r="99" spans="13:14">
      <c r="N99" s="33"/>
    </row>
    <row r="120" spans="7:7">
      <c r="G120" s="30"/>
    </row>
  </sheetData>
  <sheetProtection formatCells="0" formatColumns="0" formatRows="0" selectLockedCells="1"/>
  <mergeCells count="22">
    <mergeCell ref="F15:F16"/>
    <mergeCell ref="D5:E5"/>
    <mergeCell ref="I2:I3"/>
    <mergeCell ref="E2:F3"/>
    <mergeCell ref="D2:D3"/>
    <mergeCell ref="G2:H3"/>
    <mergeCell ref="K85:K93"/>
    <mergeCell ref="P19:AA20"/>
    <mergeCell ref="D19:K19"/>
    <mergeCell ref="E76:E77"/>
    <mergeCell ref="F53:F54"/>
    <mergeCell ref="F76:F77"/>
    <mergeCell ref="J61:J69"/>
    <mergeCell ref="J73:J75"/>
    <mergeCell ref="J76:J77"/>
    <mergeCell ref="E56:E57"/>
    <mergeCell ref="G56:G57"/>
    <mergeCell ref="D28:D29"/>
    <mergeCell ref="F28:F29"/>
    <mergeCell ref="F63:F64"/>
    <mergeCell ref="G63:G64"/>
    <mergeCell ref="E28:E29"/>
  </mergeCells>
  <conditionalFormatting sqref="D26 G40 E42:F42 H42:K42">
    <cfRule type="cellIs" dxfId="258" priority="122" operator="equal">
      <formula>"O"</formula>
    </cfRule>
    <cfRule type="cellIs" dxfId="257" priority="121" operator="equal">
      <formula>"P"</formula>
    </cfRule>
    <cfRule type="cellIs" dxfId="256" priority="123" operator="equal">
      <formula>"Sa"</formula>
    </cfRule>
    <cfRule type="cellIs" dxfId="255" priority="125" operator="equal">
      <formula>"H"</formula>
    </cfRule>
    <cfRule type="cellIs" dxfId="254" priority="124" operator="equal">
      <formula>"F"</formula>
    </cfRule>
  </conditionalFormatting>
  <conditionalFormatting sqref="D30:D31">
    <cfRule type="cellIs" dxfId="253" priority="165" operator="equal">
      <formula>"H"</formula>
    </cfRule>
    <cfRule type="cellIs" dxfId="252" priority="164" operator="equal">
      <formula>"F"</formula>
    </cfRule>
    <cfRule type="cellIs" dxfId="251" priority="163" operator="equal">
      <formula>"Sa"</formula>
    </cfRule>
    <cfRule type="cellIs" dxfId="250" priority="162" operator="equal">
      <formula>"O"</formula>
    </cfRule>
    <cfRule type="cellIs" dxfId="249" priority="161" operator="equal">
      <formula>"P"</formula>
    </cfRule>
  </conditionalFormatting>
  <conditionalFormatting sqref="D42:D43">
    <cfRule type="cellIs" dxfId="248" priority="156" operator="equal">
      <formula>"P"</formula>
    </cfRule>
    <cfRule type="cellIs" dxfId="247" priority="157" operator="equal">
      <formula>"O"</formula>
    </cfRule>
    <cfRule type="cellIs" dxfId="246" priority="160" operator="equal">
      <formula>"H"</formula>
    </cfRule>
    <cfRule type="cellIs" dxfId="245" priority="159" operator="equal">
      <formula>"F"</formula>
    </cfRule>
    <cfRule type="cellIs" dxfId="244" priority="158" operator="equal">
      <formula>"Sa"</formula>
    </cfRule>
  </conditionalFormatting>
  <conditionalFormatting sqref="D50">
    <cfRule type="cellIs" dxfId="243" priority="129" operator="equal">
      <formula>"F"</formula>
    </cfRule>
    <cfRule type="cellIs" dxfId="242" priority="126" operator="equal">
      <formula>"P"</formula>
    </cfRule>
    <cfRule type="cellIs" dxfId="241" priority="127" operator="equal">
      <formula>"O"</formula>
    </cfRule>
    <cfRule type="cellIs" dxfId="240" priority="130" operator="equal">
      <formula>"H"</formula>
    </cfRule>
    <cfRule type="cellIs" dxfId="239" priority="128" operator="equal">
      <formula>"Sa"</formula>
    </cfRule>
  </conditionalFormatting>
  <conditionalFormatting sqref="D56:D57">
    <cfRule type="cellIs" dxfId="238" priority="118" operator="equal">
      <formula>"Sa"</formula>
    </cfRule>
    <cfRule type="cellIs" dxfId="237" priority="117" operator="equal">
      <formula>"O"</formula>
    </cfRule>
    <cfRule type="cellIs" dxfId="236" priority="116" operator="equal">
      <formula>"P"</formula>
    </cfRule>
    <cfRule type="cellIs" dxfId="235" priority="120" operator="equal">
      <formula>"H"</formula>
    </cfRule>
    <cfRule type="cellIs" dxfId="234" priority="119" operator="equal">
      <formula>"F"</formula>
    </cfRule>
  </conditionalFormatting>
  <conditionalFormatting sqref="D66">
    <cfRule type="cellIs" dxfId="233" priority="149" operator="equal">
      <formula>"F"</formula>
    </cfRule>
    <cfRule type="cellIs" dxfId="232" priority="150" operator="equal">
      <formula>"H"</formula>
    </cfRule>
    <cfRule type="cellIs" dxfId="231" priority="148" operator="equal">
      <formula>"Sa"</formula>
    </cfRule>
    <cfRule type="cellIs" dxfId="230" priority="147" operator="equal">
      <formula>"O"</formula>
    </cfRule>
    <cfRule type="cellIs" dxfId="229" priority="146" operator="equal">
      <formula>"P"</formula>
    </cfRule>
  </conditionalFormatting>
  <conditionalFormatting sqref="D69">
    <cfRule type="cellIs" dxfId="228" priority="85" operator="equal">
      <formula>"H"</formula>
    </cfRule>
    <cfRule type="cellIs" dxfId="227" priority="84" operator="equal">
      <formula>"F"</formula>
    </cfRule>
    <cfRule type="cellIs" dxfId="226" priority="83" operator="equal">
      <formula>"Sa"</formula>
    </cfRule>
    <cfRule type="cellIs" dxfId="225" priority="82" operator="equal">
      <formula>"O"</formula>
    </cfRule>
    <cfRule type="cellIs" dxfId="224" priority="81" operator="equal">
      <formula>"P"</formula>
    </cfRule>
  </conditionalFormatting>
  <conditionalFormatting sqref="D74">
    <cfRule type="cellIs" dxfId="223" priority="205" operator="equal">
      <formula>"H"</formula>
    </cfRule>
    <cfRule type="cellIs" dxfId="222" priority="201" operator="equal">
      <formula>"P"</formula>
    </cfRule>
    <cfRule type="cellIs" dxfId="221" priority="202" operator="equal">
      <formula>"O"</formula>
    </cfRule>
    <cfRule type="cellIs" dxfId="220" priority="203" operator="equal">
      <formula>"Sa"</formula>
    </cfRule>
    <cfRule type="cellIs" dxfId="219" priority="204" operator="equal">
      <formula>"F"</formula>
    </cfRule>
  </conditionalFormatting>
  <conditionalFormatting sqref="D80">
    <cfRule type="cellIs" dxfId="218" priority="145" operator="equal">
      <formula>"H"</formula>
    </cfRule>
    <cfRule type="cellIs" dxfId="217" priority="144" operator="equal">
      <formula>"F"</formula>
    </cfRule>
    <cfRule type="cellIs" dxfId="216" priority="143" operator="equal">
      <formula>"Sa"</formula>
    </cfRule>
    <cfRule type="cellIs" dxfId="215" priority="142" operator="equal">
      <formula>"O"</formula>
    </cfRule>
    <cfRule type="cellIs" dxfId="214" priority="141" operator="equal">
      <formula>"P"</formula>
    </cfRule>
  </conditionalFormatting>
  <conditionalFormatting sqref="D93">
    <cfRule type="cellIs" dxfId="213" priority="140" operator="equal">
      <formula>"H"</formula>
    </cfRule>
    <cfRule type="cellIs" dxfId="212" priority="137" operator="equal">
      <formula>"O"</formula>
    </cfRule>
    <cfRule type="cellIs" dxfId="211" priority="136" operator="equal">
      <formula>"P"</formula>
    </cfRule>
    <cfRule type="cellIs" dxfId="210" priority="138" operator="equal">
      <formula>"Sa"</formula>
    </cfRule>
    <cfRule type="cellIs" dxfId="209" priority="139" operator="equal">
      <formula>"F"</formula>
    </cfRule>
  </conditionalFormatting>
  <conditionalFormatting sqref="D38:E38">
    <cfRule type="cellIs" dxfId="208" priority="131" operator="equal">
      <formula>"P"</formula>
    </cfRule>
    <cfRule type="cellIs" dxfId="207" priority="132" operator="equal">
      <formula>"O"</formula>
    </cfRule>
    <cfRule type="cellIs" dxfId="206" priority="135" operator="equal">
      <formula>"H"</formula>
    </cfRule>
    <cfRule type="cellIs" dxfId="205" priority="134" operator="equal">
      <formula>"F"</formula>
    </cfRule>
    <cfRule type="cellIs" dxfId="204" priority="133" operator="equal">
      <formula>"Sa"</formula>
    </cfRule>
  </conditionalFormatting>
  <conditionalFormatting sqref="E25:E26">
    <cfRule type="cellIs" dxfId="203" priority="333" operator="equal">
      <formula>"Sa"</formula>
    </cfRule>
    <cfRule type="cellIs" dxfId="202" priority="335" operator="equal">
      <formula>"H"</formula>
    </cfRule>
    <cfRule type="cellIs" dxfId="201" priority="334" operator="equal">
      <formula>"F"</formula>
    </cfRule>
    <cfRule type="cellIs" dxfId="200" priority="332" operator="equal">
      <formula>"O"</formula>
    </cfRule>
    <cfRule type="cellIs" dxfId="199" priority="331" operator="equal">
      <formula>"P"</formula>
    </cfRule>
  </conditionalFormatting>
  <conditionalFormatting sqref="E28">
    <cfRule type="cellIs" dxfId="198" priority="104" operator="equal">
      <formula>"F"</formula>
    </cfRule>
    <cfRule type="cellIs" dxfId="197" priority="105" operator="equal">
      <formula>"H"</formula>
    </cfRule>
    <cfRule type="cellIs" dxfId="196" priority="102" operator="equal">
      <formula>"O"</formula>
    </cfRule>
    <cfRule type="cellIs" dxfId="195" priority="103" operator="equal">
      <formula>"Sa"</formula>
    </cfRule>
    <cfRule type="cellIs" dxfId="194" priority="101" operator="equal">
      <formula>"P"</formula>
    </cfRule>
  </conditionalFormatting>
  <conditionalFormatting sqref="E51">
    <cfRule type="cellIs" dxfId="193" priority="210" operator="equal">
      <formula>"H"</formula>
    </cfRule>
    <cfRule type="cellIs" dxfId="192" priority="206" operator="equal">
      <formula>"P"</formula>
    </cfRule>
    <cfRule type="cellIs" dxfId="191" priority="207" operator="equal">
      <formula>"O"</formula>
    </cfRule>
    <cfRule type="cellIs" dxfId="190" priority="208" operator="equal">
      <formula>"Sa"</formula>
    </cfRule>
    <cfRule type="cellIs" dxfId="189" priority="209" operator="equal">
      <formula>"F"</formula>
    </cfRule>
  </conditionalFormatting>
  <conditionalFormatting sqref="E56">
    <cfRule type="cellIs" dxfId="188" priority="35" operator="equal">
      <formula>"H"</formula>
    </cfRule>
    <cfRule type="cellIs" dxfId="187" priority="31" operator="equal">
      <formula>"P"</formula>
    </cfRule>
    <cfRule type="cellIs" dxfId="186" priority="34" operator="equal">
      <formula>"F"</formula>
    </cfRule>
    <cfRule type="cellIs" dxfId="185" priority="32" operator="equal">
      <formula>"O"</formula>
    </cfRule>
    <cfRule type="cellIs" dxfId="184" priority="33" operator="equal">
      <formula>"Sa"</formula>
    </cfRule>
  </conditionalFormatting>
  <conditionalFormatting sqref="E68">
    <cfRule type="cellIs" dxfId="183" priority="39" operator="equal">
      <formula>"F"</formula>
    </cfRule>
    <cfRule type="cellIs" dxfId="182" priority="40" operator="equal">
      <formula>"H"</formula>
    </cfRule>
    <cfRule type="cellIs" dxfId="181" priority="38" operator="equal">
      <formula>"Sa"</formula>
    </cfRule>
    <cfRule type="cellIs" dxfId="180" priority="37" operator="equal">
      <formula>"O"</formula>
    </cfRule>
    <cfRule type="cellIs" dxfId="179" priority="36" operator="equal">
      <formula>"P"</formula>
    </cfRule>
  </conditionalFormatting>
  <conditionalFormatting sqref="E73:E76">
    <cfRule type="cellIs" dxfId="178" priority="246" operator="equal">
      <formula>"P"</formula>
    </cfRule>
    <cfRule type="cellIs" dxfId="177" priority="247" operator="equal">
      <formula>"O"</formula>
    </cfRule>
    <cfRule type="cellIs" dxfId="176" priority="248" operator="equal">
      <formula>"Sa"</formula>
    </cfRule>
    <cfRule type="cellIs" dxfId="175" priority="250" operator="equal">
      <formula>"H"</formula>
    </cfRule>
    <cfRule type="cellIs" dxfId="174" priority="249" operator="equal">
      <formula>"F"</formula>
    </cfRule>
  </conditionalFormatting>
  <conditionalFormatting sqref="E78 G78:H78">
    <cfRule type="cellIs" dxfId="173" priority="10" operator="equal">
      <formula>"H"</formula>
    </cfRule>
    <cfRule type="cellIs" dxfId="172" priority="9" operator="equal">
      <formula>"F"</formula>
    </cfRule>
    <cfRule type="cellIs" dxfId="171" priority="8" operator="equal">
      <formula>"Sa"</formula>
    </cfRule>
    <cfRule type="cellIs" dxfId="170" priority="7" operator="equal">
      <formula>"O"</formula>
    </cfRule>
    <cfRule type="cellIs" dxfId="169" priority="6" operator="equal">
      <formula>"P"</formula>
    </cfRule>
  </conditionalFormatting>
  <conditionalFormatting sqref="E86">
    <cfRule type="cellIs" dxfId="168" priority="244" operator="equal">
      <formula>"F"</formula>
    </cfRule>
    <cfRule type="cellIs" dxfId="167" priority="245" operator="equal">
      <formula>"H"</formula>
    </cfRule>
    <cfRule type="cellIs" dxfId="166" priority="241" operator="equal">
      <formula>"P"</formula>
    </cfRule>
    <cfRule type="cellIs" dxfId="165" priority="242" operator="equal">
      <formula>"O"</formula>
    </cfRule>
    <cfRule type="cellIs" dxfId="164" priority="243" operator="equal">
      <formula>"Sa"</formula>
    </cfRule>
  </conditionalFormatting>
  <conditionalFormatting sqref="E61:F62">
    <cfRule type="cellIs" dxfId="163" priority="252" operator="equal">
      <formula>"O"</formula>
    </cfRule>
    <cfRule type="cellIs" dxfId="162" priority="253" operator="equal">
      <formula>"Sa"</formula>
    </cfRule>
    <cfRule type="cellIs" dxfId="161" priority="254" operator="equal">
      <formula>"F"</formula>
    </cfRule>
    <cfRule type="cellIs" dxfId="160" priority="255" operator="equal">
      <formula>"H"</formula>
    </cfRule>
    <cfRule type="cellIs" dxfId="159" priority="251" operator="equal">
      <formula>"P"</formula>
    </cfRule>
  </conditionalFormatting>
  <conditionalFormatting sqref="E22:K22 E34:K34 E46:K46 E58:K58 E70:K70">
    <cfRule type="expression" dxfId="158" priority="462">
      <formula>MONTH(E22)&lt;&gt;$B$21</formula>
    </cfRule>
  </conditionalFormatting>
  <conditionalFormatting sqref="E35:K35">
    <cfRule type="cellIs" dxfId="157" priority="461" operator="equal">
      <formula>"H"</formula>
    </cfRule>
    <cfRule type="cellIs" dxfId="156" priority="457" operator="equal">
      <formula>"P"</formula>
    </cfRule>
    <cfRule type="cellIs" dxfId="155" priority="458" operator="equal">
      <formula>"O"</formula>
    </cfRule>
    <cfRule type="cellIs" dxfId="154" priority="459" operator="equal">
      <formula>"Sa"</formula>
    </cfRule>
    <cfRule type="cellIs" dxfId="153" priority="460" operator="equal">
      <formula>"F"</formula>
    </cfRule>
  </conditionalFormatting>
  <conditionalFormatting sqref="E37:K37">
    <cfRule type="cellIs" dxfId="152" priority="110" operator="equal">
      <formula>"H"</formula>
    </cfRule>
    <cfRule type="cellIs" dxfId="151" priority="106" operator="equal">
      <formula>"P"</formula>
    </cfRule>
    <cfRule type="cellIs" dxfId="150" priority="109" operator="equal">
      <formula>"F"</formula>
    </cfRule>
    <cfRule type="cellIs" dxfId="149" priority="108" operator="equal">
      <formula>"Sa"</formula>
    </cfRule>
    <cfRule type="cellIs" dxfId="148" priority="107" operator="equal">
      <formula>"O"</formula>
    </cfRule>
  </conditionalFormatting>
  <conditionalFormatting sqref="E47:K48 E49:J49 F50 E52:K52 E54 G54:K54">
    <cfRule type="cellIs" dxfId="147" priority="453" operator="equal">
      <formula>"O"</formula>
    </cfRule>
    <cfRule type="cellIs" dxfId="146" priority="454" operator="equal">
      <formula>"Sa"</formula>
    </cfRule>
    <cfRule type="cellIs" dxfId="145" priority="455" operator="equal">
      <formula>"F"</formula>
    </cfRule>
    <cfRule type="cellIs" dxfId="144" priority="456" operator="equal">
      <formula>"H"</formula>
    </cfRule>
    <cfRule type="cellIs" dxfId="143" priority="452" operator="equal">
      <formula>"P"</formula>
    </cfRule>
  </conditionalFormatting>
  <conditionalFormatting sqref="E59:K59 G61:K61 H62 E64 H64">
    <cfRule type="cellIs" dxfId="142" priority="447" operator="equal">
      <formula>"P"</formula>
    </cfRule>
    <cfRule type="cellIs" dxfId="141" priority="449" operator="equal">
      <formula>"Sa"</formula>
    </cfRule>
    <cfRule type="cellIs" dxfId="140" priority="450" operator="equal">
      <formula>"F"</formula>
    </cfRule>
    <cfRule type="cellIs" dxfId="139" priority="451" operator="equal">
      <formula>"H"</formula>
    </cfRule>
    <cfRule type="cellIs" dxfId="138" priority="448" operator="equal">
      <formula>"O"</formula>
    </cfRule>
  </conditionalFormatting>
  <conditionalFormatting sqref="E82:K82">
    <cfRule type="expression" dxfId="137" priority="306">
      <formula>MONTH(E82)&lt;&gt;$B$21</formula>
    </cfRule>
  </conditionalFormatting>
  <conditionalFormatting sqref="E83:K84">
    <cfRule type="cellIs" dxfId="136" priority="414" operator="equal">
      <formula>"Sa"</formula>
    </cfRule>
    <cfRule type="cellIs" dxfId="135" priority="415" operator="equal">
      <formula>"F"</formula>
    </cfRule>
    <cfRule type="cellIs" dxfId="134" priority="416" operator="equal">
      <formula>"H"</formula>
    </cfRule>
    <cfRule type="cellIs" dxfId="133" priority="412" operator="equal">
      <formula>"P"</formula>
    </cfRule>
    <cfRule type="cellIs" dxfId="132" priority="413" operator="equal">
      <formula>"O"</formula>
    </cfRule>
  </conditionalFormatting>
  <conditionalFormatting sqref="F25">
    <cfRule type="cellIs" dxfId="131" priority="330" operator="equal">
      <formula>"H"</formula>
    </cfRule>
    <cfRule type="cellIs" dxfId="130" priority="329" operator="equal">
      <formula>"F"</formula>
    </cfRule>
    <cfRule type="cellIs" dxfId="129" priority="328" operator="equal">
      <formula>"Sa"</formula>
    </cfRule>
    <cfRule type="cellIs" dxfId="128" priority="327" operator="equal">
      <formula>"O"</formula>
    </cfRule>
    <cfRule type="cellIs" dxfId="127" priority="326" operator="equal">
      <formula>"P"</formula>
    </cfRule>
  </conditionalFormatting>
  <conditionalFormatting sqref="F76:H76">
    <cfRule type="cellIs" dxfId="126" priority="283" operator="equal">
      <formula>"Sa"</formula>
    </cfRule>
    <cfRule type="cellIs" dxfId="125" priority="281" operator="equal">
      <formula>"P"</formula>
    </cfRule>
    <cfRule type="cellIs" dxfId="124" priority="282" operator="equal">
      <formula>"O"</formula>
    </cfRule>
    <cfRule type="cellIs" dxfId="123" priority="284" operator="equal">
      <formula>"F"</formula>
    </cfRule>
    <cfRule type="cellIs" dxfId="122" priority="285" operator="equal">
      <formula>"H"</formula>
    </cfRule>
  </conditionalFormatting>
  <conditionalFormatting sqref="F85:H85">
    <cfRule type="cellIs" dxfId="121" priority="213" operator="equal">
      <formula>"Sa"</formula>
    </cfRule>
    <cfRule type="cellIs" dxfId="120" priority="214" operator="equal">
      <formula>"F"</formula>
    </cfRule>
    <cfRule type="cellIs" dxfId="119" priority="215" operator="equal">
      <formula>"H"</formula>
    </cfRule>
    <cfRule type="cellIs" dxfId="118" priority="212" operator="equal">
      <formula>"O"</formula>
    </cfRule>
    <cfRule type="cellIs" dxfId="117" priority="211" operator="equal">
      <formula>"P"</formula>
    </cfRule>
  </conditionalFormatting>
  <conditionalFormatting sqref="F73:J73">
    <cfRule type="cellIs" dxfId="116" priority="216" operator="equal">
      <formula>"P"</formula>
    </cfRule>
    <cfRule type="cellIs" dxfId="115" priority="217" operator="equal">
      <formula>"O"</formula>
    </cfRule>
    <cfRule type="cellIs" dxfId="114" priority="218" operator="equal">
      <formula>"Sa"</formula>
    </cfRule>
    <cfRule type="cellIs" dxfId="113" priority="219" operator="equal">
      <formula>"F"</formula>
    </cfRule>
    <cfRule type="cellIs" dxfId="112" priority="220" operator="equal">
      <formula>"H"</formula>
    </cfRule>
  </conditionalFormatting>
  <conditionalFormatting sqref="F88:J88 E90:J90 E92:J92">
    <cfRule type="cellIs" dxfId="111" priority="292" operator="equal">
      <formula>"O"</formula>
    </cfRule>
    <cfRule type="cellIs" dxfId="110" priority="293" operator="equal">
      <formula>"Sa"</formula>
    </cfRule>
    <cfRule type="cellIs" dxfId="109" priority="294" operator="equal">
      <formula>"F"</formula>
    </cfRule>
    <cfRule type="cellIs" dxfId="108" priority="295" operator="equal">
      <formula>"H"</formula>
    </cfRule>
    <cfRule type="cellIs" dxfId="107" priority="291" operator="equal">
      <formula>"P"</formula>
    </cfRule>
  </conditionalFormatting>
  <conditionalFormatting sqref="G26">
    <cfRule type="cellIs" dxfId="106" priority="322" operator="equal">
      <formula>"O"</formula>
    </cfRule>
    <cfRule type="cellIs" dxfId="105" priority="321" operator="equal">
      <formula>"P"</formula>
    </cfRule>
    <cfRule type="cellIs" dxfId="104" priority="324" operator="equal">
      <formula>"F"</formula>
    </cfRule>
    <cfRule type="cellIs" dxfId="103" priority="323" operator="equal">
      <formula>"Sa"</formula>
    </cfRule>
    <cfRule type="cellIs" dxfId="102" priority="325" operator="equal">
      <formula>"H"</formula>
    </cfRule>
  </conditionalFormatting>
  <conditionalFormatting sqref="G69">
    <cfRule type="cellIs" dxfId="101" priority="54" operator="equal">
      <formula>"F"</formula>
    </cfRule>
    <cfRule type="cellIs" dxfId="100" priority="52" operator="equal">
      <formula>"O"</formula>
    </cfRule>
    <cfRule type="cellIs" dxfId="99" priority="51" operator="equal">
      <formula>"P"</formula>
    </cfRule>
    <cfRule type="cellIs" dxfId="98" priority="53" operator="equal">
      <formula>"Sa"</formula>
    </cfRule>
    <cfRule type="cellIs" dxfId="97" priority="55" operator="equal">
      <formula>"H"</formula>
    </cfRule>
  </conditionalFormatting>
  <conditionalFormatting sqref="G76 G78 G74">
    <cfRule type="expression" dxfId="96" priority="410">
      <formula>$B$20&lt;3</formula>
    </cfRule>
  </conditionalFormatting>
  <conditionalFormatting sqref="G76:H76 G78:H78 E71">
    <cfRule type="cellIs" dxfId="95" priority="442" operator="equal">
      <formula>"P"</formula>
    </cfRule>
    <cfRule type="cellIs" dxfId="94" priority="443" operator="equal">
      <formula>"O"</formula>
    </cfRule>
    <cfRule type="cellIs" dxfId="93" priority="444" operator="equal">
      <formula>"Sa"</formula>
    </cfRule>
    <cfRule type="cellIs" dxfId="92" priority="445" operator="equal">
      <formula>"F"</formula>
    </cfRule>
    <cfRule type="cellIs" dxfId="91" priority="446" operator="equal">
      <formula>"H"</formula>
    </cfRule>
  </conditionalFormatting>
  <conditionalFormatting sqref="H25:I26 H28:I28 E30:G30">
    <cfRule type="cellIs" dxfId="90" priority="311" operator="equal">
      <formula>"P"</formula>
    </cfRule>
    <cfRule type="cellIs" dxfId="89" priority="312" operator="equal">
      <formula>"O"</formula>
    </cfRule>
    <cfRule type="cellIs" dxfId="88" priority="313" operator="equal">
      <formula>"Sa"</formula>
    </cfRule>
    <cfRule type="cellIs" dxfId="87" priority="314" operator="equal">
      <formula>"F"</formula>
    </cfRule>
    <cfRule type="cellIs" dxfId="86" priority="315" operator="equal">
      <formula>"H"</formula>
    </cfRule>
  </conditionalFormatting>
  <conditionalFormatting sqref="H57:I57">
    <cfRule type="cellIs" dxfId="85" priority="61" operator="equal">
      <formula>"P"</formula>
    </cfRule>
    <cfRule type="cellIs" dxfId="84" priority="65" operator="equal">
      <formula>"H"</formula>
    </cfRule>
    <cfRule type="cellIs" dxfId="83" priority="64" operator="equal">
      <formula>"F"</formula>
    </cfRule>
    <cfRule type="cellIs" dxfId="82" priority="63" operator="equal">
      <formula>"Sa"</formula>
    </cfRule>
    <cfRule type="cellIs" dxfId="81" priority="62" operator="equal">
      <formula>"O"</formula>
    </cfRule>
  </conditionalFormatting>
  <conditionalFormatting sqref="I69">
    <cfRule type="cellIs" dxfId="80" priority="49" operator="equal">
      <formula>"F"</formula>
    </cfRule>
    <cfRule type="cellIs" dxfId="79" priority="50" operator="equal">
      <formula>"H"</formula>
    </cfRule>
    <cfRule type="cellIs" dxfId="78" priority="46" operator="equal">
      <formula>"P"</formula>
    </cfRule>
    <cfRule type="cellIs" dxfId="77" priority="48" operator="equal">
      <formula>"Sa"</formula>
    </cfRule>
    <cfRule type="cellIs" dxfId="76" priority="47" operator="equal">
      <formula>"O"</formula>
    </cfRule>
  </conditionalFormatting>
  <conditionalFormatting sqref="I94:K94">
    <cfRule type="cellIs" dxfId="75" priority="20" operator="equal">
      <formula>"H"</formula>
    </cfRule>
    <cfRule type="cellIs" dxfId="74" priority="19" operator="equal">
      <formula>"F"</formula>
    </cfRule>
    <cfRule type="cellIs" dxfId="73" priority="17" operator="equal">
      <formula>"O"</formula>
    </cfRule>
    <cfRule type="cellIs" dxfId="72" priority="16" operator="equal">
      <formula>"P"</formula>
    </cfRule>
    <cfRule type="cellIs" dxfId="71" priority="18" operator="equal">
      <formula>"Sa"</formula>
    </cfRule>
  </conditionalFormatting>
  <conditionalFormatting sqref="J25">
    <cfRule type="expression" dxfId="70" priority="431">
      <formula>$B$20&gt;6</formula>
    </cfRule>
  </conditionalFormatting>
  <conditionalFormatting sqref="J25:K25 F74:H74 K28 G38:K38 F39 H39 I40:K40 E65:G65 H66 K74 G86:J86">
    <cfRule type="cellIs" dxfId="69" priority="437" operator="equal">
      <formula>"P"</formula>
    </cfRule>
    <cfRule type="cellIs" dxfId="68" priority="438" operator="equal">
      <formula>"O"</formula>
    </cfRule>
    <cfRule type="cellIs" dxfId="67" priority="439" operator="equal">
      <formula>"Sa"</formula>
    </cfRule>
    <cfRule type="cellIs" dxfId="66" priority="440" operator="equal">
      <formula>"F"</formula>
    </cfRule>
    <cfRule type="cellIs" dxfId="65" priority="441" operator="equal">
      <formula>"H"</formula>
    </cfRule>
  </conditionalFormatting>
  <conditionalFormatting sqref="J26:K26">
    <cfRule type="cellIs" dxfId="64" priority="5" operator="equal">
      <formula>"H"</formula>
    </cfRule>
    <cfRule type="cellIs" dxfId="63" priority="3" operator="equal">
      <formula>"Sa"</formula>
    </cfRule>
    <cfRule type="cellIs" dxfId="62" priority="2" operator="equal">
      <formula>"O"</formula>
    </cfRule>
    <cfRule type="cellIs" dxfId="61" priority="1" operator="equal">
      <formula>"P"</formula>
    </cfRule>
    <cfRule type="cellIs" dxfId="60" priority="4" operator="equal">
      <formula>"F"</formula>
    </cfRule>
  </conditionalFormatting>
  <conditionalFormatting sqref="J45:K45">
    <cfRule type="cellIs" dxfId="59" priority="75" operator="equal">
      <formula>"H"</formula>
    </cfRule>
    <cfRule type="cellIs" dxfId="58" priority="74" operator="equal">
      <formula>"F"</formula>
    </cfRule>
    <cfRule type="cellIs" dxfId="57" priority="73" operator="equal">
      <formula>"Sa"</formula>
    </cfRule>
    <cfRule type="cellIs" dxfId="56" priority="72" operator="equal">
      <formula>"O"</formula>
    </cfRule>
    <cfRule type="cellIs" dxfId="55" priority="71" operator="equal">
      <formula>"P"</formula>
    </cfRule>
  </conditionalFormatting>
  <conditionalFormatting sqref="K49:K50">
    <cfRule type="cellIs" dxfId="54" priority="90" operator="equal">
      <formula>"H"</formula>
    </cfRule>
    <cfRule type="cellIs" dxfId="53" priority="89" operator="equal">
      <formula>"F"</formula>
    </cfRule>
    <cfRule type="cellIs" dxfId="52" priority="88" operator="equal">
      <formula>"Sa"</formula>
    </cfRule>
    <cfRule type="cellIs" dxfId="51" priority="87" operator="equal">
      <formula>"O"</formula>
    </cfRule>
    <cfRule type="cellIs" dxfId="50" priority="86" operator="equal">
      <formula>"P"</formula>
    </cfRule>
  </conditionalFormatting>
  <conditionalFormatting sqref="K57">
    <cfRule type="cellIs" dxfId="49" priority="58" operator="equal">
      <formula>"Sa"</formula>
    </cfRule>
    <cfRule type="cellIs" dxfId="48" priority="56" operator="equal">
      <formula>"P"</formula>
    </cfRule>
    <cfRule type="cellIs" dxfId="47" priority="57" operator="equal">
      <formula>"O"</formula>
    </cfRule>
    <cfRule type="cellIs" dxfId="46" priority="59" operator="equal">
      <formula>"F"</formula>
    </cfRule>
    <cfRule type="cellIs" dxfId="45" priority="60" operator="equal">
      <formula>"H"</formula>
    </cfRule>
  </conditionalFormatting>
  <conditionalFormatting sqref="K76 K78">
    <cfRule type="cellIs" dxfId="44" priority="299" operator="equal">
      <formula>"F"</formula>
    </cfRule>
    <cfRule type="cellIs" dxfId="43" priority="297" operator="equal">
      <formula>"O"</formula>
    </cfRule>
    <cfRule type="cellIs" dxfId="42" priority="298" operator="equal">
      <formula>"Sa"</formula>
    </cfRule>
    <cfRule type="cellIs" dxfId="41" priority="296" operator="equal">
      <formula>"P"</formula>
    </cfRule>
    <cfRule type="cellIs" dxfId="40" priority="300" operator="equal">
      <formula>"H"</formula>
    </cfRule>
  </conditionalFormatting>
  <hyperlinks>
    <hyperlink ref="E49" r:id="rId1" display="https://www.atmcd.com/sites/canada/operations/SitePage/649833/hotlinks" xr:uid="{00000000-0004-0000-0400-000000000000}"/>
    <hyperlink ref="E61" r:id="rId2" display="https://www.atmcd.com/sites/canada/operations/SitePage/649833/hotlinks" xr:uid="{00000000-0004-0000-0400-000001000000}"/>
    <hyperlink ref="E73" r:id="rId3" display="https://www.atmcd.com/sites/canada/operations/SitePage/649833/hotlinks" xr:uid="{00000000-0004-0000-0400-000002000000}"/>
    <hyperlink ref="E25" r:id="rId4" display="https://www.atmcd.com/sites/canada/operations/SitePage/649833/hotlinks" xr:uid="{00000000-0004-0000-0400-000003000000}"/>
    <hyperlink ref="E85" r:id="rId5" display="https://www.atmcd.com/sites/canada/operations/SitePage/649833/hotlinks" xr:uid="{00000000-0004-0000-0400-000004000000}"/>
    <hyperlink ref="E26" r:id="rId6" display="https://www.atmcd.com/sites/canada/technology/SitePage/687021/mobile-offers" xr:uid="{00000000-0004-0000-0400-000005000000}"/>
    <hyperlink ref="E38" r:id="rId7" display="https://www.atmcd.com/sites/canada/technology/SitePage/687021/mobile-offers" xr:uid="{00000000-0004-0000-0400-000006000000}"/>
    <hyperlink ref="E86" r:id="rId8" display="https://www.accessmcd.com/content/accessmcd/na/mcweb/en/restaurant/restinfo/Digital/Mobile_App_Offers.html" xr:uid="{00000000-0004-0000-0400-00000A000000}"/>
    <hyperlink ref="E37" r:id="rId9" display="https://www.atmcd.com/sites/canada/operations/SitePage/649833/hotlinks" xr:uid="{00000000-0004-0000-0400-00000B000000}"/>
    <hyperlink ref="D19:K19" r:id="rId10" display="https://statics.teams.cdn.office.net/evergreen-assets/safelinks/1/atp-safelinks.html" xr:uid="{5C5E7004-DF5C-432C-8EB9-CBF565491C02}"/>
  </hyperlinks>
  <printOptions horizontalCentered="1" verticalCentered="1"/>
  <pageMargins left="0" right="0" top="0" bottom="0" header="0" footer="0"/>
  <pageSetup scale="31" orientation="landscape" r:id="rId11"/>
  <ignoredErrors>
    <ignoredError sqref="E35 E59:E61 F59:F60 G59:K60 E47:E49 F47:K48 E36:E37 F35:F36 G35:K36 E25 E83 E84 E85 E71 I23:J23 I24:K2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AD65"/>
  <sheetViews>
    <sheetView showGridLines="0" tabSelected="1" topLeftCell="B5" zoomScale="70" zoomScaleNormal="70" workbookViewId="0">
      <selection activeCell="M42" sqref="M42"/>
    </sheetView>
  </sheetViews>
  <sheetFormatPr defaultRowHeight="14.25"/>
  <cols>
    <col min="1" max="1" width="24.796875" hidden="1" customWidth="1"/>
    <col min="2" max="2" width="16.19921875" customWidth="1"/>
    <col min="10" max="10" width="3.53125" customWidth="1"/>
    <col min="11" max="11" width="16.19921875" customWidth="1"/>
    <col min="16" max="16" width="11.265625" bestFit="1" customWidth="1"/>
    <col min="18" max="18" width="8.73046875" customWidth="1"/>
    <col min="19" max="19" width="3.53125" customWidth="1"/>
    <col min="20" max="20" width="16.19921875" bestFit="1" customWidth="1"/>
  </cols>
  <sheetData>
    <row r="1" spans="1:27" ht="14.65" thickBot="1"/>
    <row r="2" spans="1:27" ht="25.05" customHeight="1">
      <c r="A2" s="40"/>
      <c r="B2" s="96">
        <f>Planner!B18</f>
        <v>45323</v>
      </c>
      <c r="C2" s="114" t="str">
        <f>IF('Enter Projections'!$A$1,"Mois","Month:")</f>
        <v>Month:</v>
      </c>
      <c r="D2" s="114"/>
      <c r="E2" s="811" t="str">
        <f>'Enter Projections'!K2</f>
        <v>February</v>
      </c>
      <c r="F2" s="811"/>
      <c r="G2" s="811"/>
      <c r="H2" s="811"/>
      <c r="I2" s="811"/>
      <c r="J2" s="811"/>
      <c r="K2" s="812" t="str">
        <f>IF('Enter Projections'!$A$1,"Nom du restaurant :","Restaurant Name:")</f>
        <v>Restaurant Name:</v>
      </c>
      <c r="L2" s="812"/>
      <c r="M2" s="812"/>
      <c r="N2" s="812"/>
      <c r="O2" s="813" t="s">
        <v>259</v>
      </c>
      <c r="P2" s="813"/>
      <c r="Q2" s="813"/>
      <c r="R2" s="813"/>
      <c r="S2" s="813"/>
      <c r="T2" s="813"/>
      <c r="U2" s="814" t="str">
        <f>IF('Enter Projections'!$A$1,"% prévues","Planned LBR")</f>
        <v>Planned LBR</v>
      </c>
      <c r="V2" s="814"/>
      <c r="W2" s="815">
        <f>'Enter Projections'!O27/100</f>
        <v>0</v>
      </c>
      <c r="X2" s="815"/>
      <c r="Y2" s="97"/>
      <c r="Z2" s="98"/>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Projections'!$A$1,"MATn-d’œuvre prévue","Proj $")</f>
        <v>Proj $</v>
      </c>
      <c r="J3" s="802"/>
      <c r="K3" s="802"/>
      <c r="L3" s="807">
        <f>'Enter Projections'!O17</f>
        <v>0</v>
      </c>
      <c r="M3" s="807"/>
      <c r="N3" s="802" t="str">
        <f>IF('Enter Projections'!$A$1,"MATn-d’œuvre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808" t="str">
        <f>IF('Enter Projections'!A1,"Événements
spéciaux","Special
Events")</f>
        <v>Special
Events</v>
      </c>
      <c r="C5" s="108"/>
      <c r="D5" s="108"/>
      <c r="E5" s="108"/>
      <c r="F5" s="108"/>
      <c r="G5" s="108"/>
      <c r="H5" s="108"/>
      <c r="I5" s="109"/>
      <c r="J5" s="810"/>
      <c r="K5" s="808" t="str">
        <f>IF('Enter Projections'!A1,"Événements
spéciaux","Special
Events")</f>
        <v>Special
Events</v>
      </c>
      <c r="L5" s="145"/>
      <c r="M5" s="145" t="s">
        <v>141</v>
      </c>
      <c r="N5" s="145" t="s">
        <v>201</v>
      </c>
      <c r="O5" s="145"/>
      <c r="P5" s="145"/>
      <c r="Q5" s="145"/>
      <c r="R5" s="146" t="s">
        <v>131</v>
      </c>
      <c r="S5" s="810"/>
      <c r="T5" s="808" t="str">
        <f>IF('Enter Projections'!A1,"Événements
spéciaux","Special
Events")</f>
        <v>Special
Events</v>
      </c>
      <c r="U5" s="145" t="s">
        <v>136</v>
      </c>
      <c r="V5" s="145" t="s">
        <v>185</v>
      </c>
      <c r="W5" s="145" t="s">
        <v>236</v>
      </c>
      <c r="X5" s="145"/>
      <c r="Y5" s="145" t="s">
        <v>151</v>
      </c>
      <c r="Z5" s="145"/>
      <c r="AA5" s="146"/>
    </row>
    <row r="6" spans="1:27" ht="15">
      <c r="B6" s="809"/>
      <c r="C6" s="95"/>
      <c r="D6" s="95"/>
      <c r="E6" s="95"/>
      <c r="F6" s="95"/>
      <c r="G6" s="95"/>
      <c r="H6" s="95"/>
      <c r="I6" s="110"/>
      <c r="J6" s="810"/>
      <c r="K6" s="809"/>
      <c r="L6" s="147"/>
      <c r="M6" s="147" t="s">
        <v>7</v>
      </c>
      <c r="N6" s="147" t="s">
        <v>7</v>
      </c>
      <c r="O6" s="147"/>
      <c r="P6" s="147"/>
      <c r="Q6" s="147"/>
      <c r="R6" s="148" t="s">
        <v>235</v>
      </c>
      <c r="S6" s="810"/>
      <c r="T6" s="809"/>
      <c r="U6" s="147" t="s">
        <v>137</v>
      </c>
      <c r="V6" s="147" t="s">
        <v>186</v>
      </c>
      <c r="W6" s="147"/>
      <c r="X6" s="147"/>
      <c r="Y6" s="147" t="s">
        <v>152</v>
      </c>
      <c r="Z6" s="147"/>
      <c r="AA6" s="148"/>
    </row>
    <row r="7" spans="1:27" ht="15.4">
      <c r="B7" s="149" t="str">
        <f>IF('Enter (Vac BFs TrCl MB'!$D32=0,"",'Enter (Vac BFs TrCl MB'!$D32)</f>
        <v/>
      </c>
      <c r="C7" s="150" t="str">
        <f>IF(ISERROR(INDEX('Enter (Vac BFs TrCl MB'!$F$7:$AU$37,MATCH(PROSPECT!$B7,'Enter (Vac BFs TrCl MB'!$D$7:$D$37,FALSE),MATCH(PROSPECT!C$11,'Enter (Vac BFs TrCl MB'!$F$6:$AU$6,FALSE))),"",(INDEX('Enter (Vac BFs TrCl MB'!$F$7:$AU$37,MATCH(PROSPECT!$B7,'Enter (Vac BFs TrCl MB'!$D$7:$D$37,FALSE),MATCH(PROSPECT!C$11,'Enter (Vac BFs TrCl MB'!$F$6:$AU$6,FALSE))))</f>
        <v/>
      </c>
      <c r="D7" s="150" t="str">
        <f>IF(ISERROR(INDEX('Enter (Vac BFs TrCl MB'!$F$7:$AU$37,MATCH(PROSPECT!$B7,'Enter (Vac BFs TrCl MB'!$D$7:$D$37,FALSE),MATCH(PROSPECT!D$11,'Enter (Vac BFs TrCl MB'!$F$6:$AU$6,FALSE))),"",(INDEX('Enter (Vac BFs TrCl MB'!$F$7:$AU$37,MATCH(PROSPECT!$B7,'Enter (Vac BFs TrCl MB'!$D$7:$D$37,FALSE),MATCH(PROSPECT!D$11,'Enter (Vac BFs TrCl MB'!$F$6:$AU$6,FALSE))))</f>
        <v/>
      </c>
      <c r="E7" s="150" t="str">
        <f>IF(ISERROR(INDEX('Enter (Vac BFs TrCl MB'!$F$7:$AU$37,MATCH(PROSPECT!$B7,'Enter (Vac BFs TrCl MB'!$D$7:$D$37,FALSE),MATCH(PROSPECT!E$11,'Enter (Vac BFs TrCl MB'!$F$6:$AU$6,FALSE))),"",(INDEX('Enter (Vac BFs TrCl MB'!$F$7:$AU$37,MATCH(PROSPECT!$B7,'Enter (Vac BFs TrCl MB'!$D$7:$D$37,FALSE),MATCH(PROSPECT!E$11,'Enter (Vac BFs TrCl MB'!$F$6:$AU$6,FALSE))))</f>
        <v/>
      </c>
      <c r="F7" s="150" t="str">
        <f>IF(ISERROR(INDEX('Enter (Vac BFs TrCl MB'!$F$7:$AU$37,MATCH(PROSPECT!$B7,'Enter (Vac BFs TrCl MB'!$D$7:$D$37,FALSE),MATCH(PROSPECT!F$11,'Enter (Vac BFs TrCl MB'!$F$6:$AU$6,FALSE))),"",(INDEX('Enter (Vac BFs TrCl MB'!$F$7:$AU$37,MATCH(PROSPECT!$B7,'Enter (Vac BFs TrCl MB'!$D$7:$D$37,FALSE),MATCH(PROSPECT!F$11,'Enter (Vac BFs TrCl MB'!$F$6:$AU$6,FALSE))))</f>
        <v/>
      </c>
      <c r="G7" s="150" t="str">
        <f>IF(ISERROR(INDEX('Enter (Vac BFs TrCl MB'!$F$7:$AU$37,MATCH(PROSPECT!$B7,'Enter (Vac BFs TrCl MB'!$D$7:$D$37,FALSE),MATCH(PROSPECT!G$11,'Enter (Vac BFs TrCl MB'!$F$6:$AU$6,FALSE))),"",(INDEX('Enter (Vac BFs TrCl MB'!$F$7:$AU$37,MATCH(PROSPECT!$B7,'Enter (Vac BFs TrCl MB'!$D$7:$D$37,FALSE),MATCH(PROSPECT!G$11,'Enter (Vac BFs TrCl MB'!$F$6:$AU$6,FALSE))))</f>
        <v/>
      </c>
      <c r="H7" s="150" t="str">
        <f>IF(ISERROR(INDEX('Enter (Vac BFs TrCl MB'!$F$7:$AU$37,MATCH(PROSPECT!$B7,'Enter (Vac BFs TrCl MB'!$D$7:$D$37,FALSE),MATCH(PROSPECT!H$11,'Enter (Vac BFs TrCl MB'!$F$6:$AU$6,FALSE))),"",(INDEX('Enter (Vac BFs TrCl MB'!$F$7:$AU$37,MATCH(PROSPECT!$B7,'Enter (Vac BFs TrCl MB'!$D$7:$D$37,FALSE),MATCH(PROSPECT!H$11,'Enter (Vac BFs TrCl MB'!$F$6:$AU$6,FALSE))))</f>
        <v/>
      </c>
      <c r="I7" s="151" t="str">
        <f>IF(ISERROR(INDEX('Enter (Vac BFs TrCl MB'!$F$7:$AU$37,MATCH(PROSPECT!$B7,'Enter (Vac BFs TrCl MB'!$D$7:$D$37,FALSE),MATCH(PROSPECT!I$11,'Enter (Vac BFs TrCl MB'!$F$6:$AU$6,FALSE))),"",(INDEX('Enter (Vac BFs TrCl MB'!$F$7:$AU$37,MATCH(PROSPECT!$B7,'Enter (Vac BFs TrCl MB'!$D$7:$D$37,FALSE),MATCH(PROSPECT!I$11,'Enter (Vac BFs TrCl MB'!$F$6:$AU$6,FALSE))))</f>
        <v/>
      </c>
      <c r="J7" s="810"/>
      <c r="K7" s="149" t="str">
        <f>IF('Enter (Vac BFs TrCl MB'!$D32=0,"",'Enter (Vac BFs TrCl MB'!$D32)</f>
        <v/>
      </c>
      <c r="L7" s="150" t="str">
        <f>IF(ISERROR(INDEX('Enter (Vac BFs TrCl MB'!$F$7:$AU$37,MATCH(PROSPECT!$B7,'Enter (Vac BFs TrCl MB'!$D$7:$D$37,FALSE),MATCH(PROSPECT!L$11,'Enter (Vac BFs TrCl MB'!$F$6:$AU$6,FALSE))),"",(INDEX('Enter (Vac BFs TrCl MB'!$F$7:$AU$37,MATCH(PROSPECT!$B7,'Enter (Vac BFs TrCl MB'!$D$7:$D$37,FALSE),MATCH(PROSPECT!L$11,'Enter (Vac BFs TrCl MB'!$F$6:$AU$6,FALSE))))</f>
        <v/>
      </c>
      <c r="M7" s="150" t="s">
        <v>142</v>
      </c>
      <c r="N7" s="150" t="str">
        <f>IF(ISERROR(INDEX('Enter (Vac BFs TrCl MB'!$F$7:$AU$37,MATCH(PROSPECT!$B7,'Enter (Vac BFs TrCl MB'!$D$7:$D$37,FALSE),MATCH(PROSPECT!N$11,'Enter (Vac BFs TrCl MB'!$F$6:$AU$6,FALSE))),"",(INDEX('Enter (Vac BFs TrCl MB'!$F$7:$AU$37,MATCH(PROSPECT!$B7,'Enter (Vac BFs TrCl MB'!$D$7:$D$37,FALSE),MATCH(PROSPECT!N$11,'Enter (Vac BFs TrCl MB'!$F$6:$AU$6,FALSE))))</f>
        <v/>
      </c>
      <c r="O7" s="150" t="str">
        <f>IF(ISERROR(INDEX('Enter (Vac BFs TrCl MB'!$F$7:$AU$37,MATCH(PROSPECT!$B7,'Enter (Vac BFs TrCl MB'!$D$7:$D$37,FALSE),MATCH(PROSPECT!O$11,'Enter (Vac BFs TrCl MB'!$F$6:$AU$6,FALSE))),"",(INDEX('Enter (Vac BFs TrCl MB'!$F$7:$AU$37,MATCH(PROSPECT!$B7,'Enter (Vac BFs TrCl MB'!$D$7:$D$37,FALSE),MATCH(PROSPECT!O$11,'Enter (Vac BFs TrCl MB'!$F$6:$AU$6,FALSE))))</f>
        <v/>
      </c>
      <c r="P7" s="150" t="s">
        <v>238</v>
      </c>
      <c r="Q7" s="150" t="s">
        <v>36</v>
      </c>
      <c r="R7" s="151" t="s">
        <v>232</v>
      </c>
      <c r="S7" s="810"/>
      <c r="T7" s="149" t="str">
        <f>IF('Enter (Vac BFs TrCl MB'!$D32=0,"",'Enter (Vac BFs TrCl MB'!$D32)</f>
        <v/>
      </c>
      <c r="U7" s="150" t="str">
        <f>IF(ISERROR(INDEX('Enter (Vac BFs TrCl MB'!$F$7:$AU$37,MATCH(PROSPECT!$B7,'Enter (Vac BFs TrCl MB'!$D$7:$D$37,FALSE),MATCH(PROSPECT!U$11,'Enter (Vac BFs TrCl MB'!$F$6:$AU$6,FALSE))),"",(INDEX('Enter (Vac BFs TrCl MB'!$F$7:$AU$37,MATCH(PROSPECT!$B7,'Enter (Vac BFs TrCl MB'!$D$7:$D$37,FALSE),MATCH(PROSPECT!U$11,'Enter (Vac BFs TrCl MB'!$F$6:$AU$6,FALSE))))</f>
        <v/>
      </c>
      <c r="V7" s="150" t="str">
        <f>IF(ISERROR(INDEX('Enter (Vac BFs TrCl MB'!$F$7:$AU$37,MATCH(PROSPECT!$B7,'Enter (Vac BFs TrCl MB'!$D$7:$D$37,FALSE),MATCH(PROSPECT!V$11,'Enter (Vac BFs TrCl MB'!$F$6:$AU$6,FALSE))),"",(INDEX('Enter (Vac BFs TrCl MB'!$F$7:$AU$37,MATCH(PROSPECT!$B7,'Enter (Vac BFs TrCl MB'!$D$7:$D$37,FALSE),MATCH(PROSPECT!V$11,'Enter (Vac BFs TrCl MB'!$F$6:$AU$6,FALSE))))</f>
        <v/>
      </c>
      <c r="W7" s="150" t="str">
        <f>IF(ISERROR(INDEX('Enter (Vac BFs TrCl MB'!$F$7:$AU$37,MATCH(PROSPECT!$B7,'Enter (Vac BFs TrCl MB'!$D$7:$D$37,FALSE),MATCH(PROSPECT!W$11,'Enter (Vac BFs TrCl MB'!$F$6:$AU$6,FALSE))),"",(INDEX('Enter (Vac BFs TrCl MB'!$F$7:$AU$37,MATCH(PROSPECT!$B7,'Enter (Vac BFs TrCl MB'!$D$7:$D$37,FALSE),MATCH(PROSPECT!W$11,'Enter (Vac BFs TrCl MB'!$F$6:$AU$6,FALSE))))</f>
        <v/>
      </c>
      <c r="X7" s="150" t="str">
        <f>IF(ISERROR(INDEX('Enter (Vac BFs TrCl MB'!$F$7:$AU$37,MATCH(PROSPECT!$B7,'Enter (Vac BFs TrCl MB'!$D$7:$D$37,FALSE),MATCH(PROSPECT!X$11,'Enter (Vac BFs TrCl MB'!$F$6:$AU$6,FALSE))),"",(INDEX('Enter (Vac BFs TrCl MB'!$F$7:$AU$37,MATCH(PROSPECT!$B7,'Enter (Vac BFs TrCl MB'!$D$7:$D$37,FALSE),MATCH(PROSPECT!X$11,'Enter (Vac BFs TrCl MB'!$F$6:$AU$6,FALSE))))</f>
        <v/>
      </c>
      <c r="Y7" s="150"/>
      <c r="Z7" s="150"/>
      <c r="AA7" s="151"/>
    </row>
    <row r="8" spans="1:27" ht="15.4">
      <c r="B8" s="152" t="str">
        <f>IF('Enter (Vac BFs TrCl MB'!$D33=0,"",'Enter (Vac BFs TrCl MB'!$D33)</f>
        <v>SHAKE</v>
      </c>
      <c r="C8" s="150" t="str">
        <f>IF(ISERROR(INDEX('Enter (Vac BFs TrCl MB'!$F$7:$AU$37,MATCH(PROSPECT!$B8,'Enter (Vac BFs TrCl MB'!$D$7:$D$37,FALSE),MATCH(PROSPECT!C$11,'Enter (Vac BFs TrCl MB'!$F$6:$AU$6,FALSE))),"",(INDEX('Enter (Vac BFs TrCl MB'!$F$7:$AU$37,MATCH(PROSPECT!$B8,'Enter (Vac BFs TrCl MB'!$D$7:$D$37,FALSE),MATCH(PROSPECT!C$11,'Enter (Vac BFs TrCl MB'!$F$6:$AU$6,FALSE))))</f>
        <v>WK</v>
      </c>
      <c r="D8" s="150">
        <f>IF(ISERROR(INDEX('Enter (Vac BFs TrCl MB'!$F$7:$AU$37,MATCH(PROSPECT!$B8,'Enter (Vac BFs TrCl MB'!$D$7:$D$37,FALSE),MATCH(PROSPECT!D$11,'Enter (Vac BFs TrCl MB'!$F$6:$AU$6,FALSE))),"",(INDEX('Enter (Vac BFs TrCl MB'!$F$7:$AU$37,MATCH(PROSPECT!$B8,'Enter (Vac BFs TrCl MB'!$D$7:$D$37,FALSE),MATCH(PROSPECT!D$11,'Enter (Vac BFs TrCl MB'!$F$6:$AU$6,FALSE))))</f>
        <v>0</v>
      </c>
      <c r="E8" s="150">
        <f>IF(ISERROR(INDEX('Enter (Vac BFs TrCl MB'!$F$7:$AU$37,MATCH(PROSPECT!$B8,'Enter (Vac BFs TrCl MB'!$D$7:$D$37,FALSE),MATCH(PROSPECT!E$11,'Enter (Vac BFs TrCl MB'!$F$6:$AU$6,FALSE))),"",(INDEX('Enter (Vac BFs TrCl MB'!$F$7:$AU$37,MATCH(PROSPECT!$B8,'Enter (Vac BFs TrCl MB'!$D$7:$D$37,FALSE),MATCH(PROSPECT!E$11,'Enter (Vac BFs TrCl MB'!$F$6:$AU$6,FALSE))))</f>
        <v>0</v>
      </c>
      <c r="F8" s="150">
        <f>IF(ISERROR(INDEX('Enter (Vac BFs TrCl MB'!$F$7:$AU$37,MATCH(PROSPECT!$B8,'Enter (Vac BFs TrCl MB'!$D$7:$D$37,FALSE),MATCH(PROSPECT!F$11,'Enter (Vac BFs TrCl MB'!$F$6:$AU$6,FALSE))),"",(INDEX('Enter (Vac BFs TrCl MB'!$F$7:$AU$37,MATCH(PROSPECT!$B8,'Enter (Vac BFs TrCl MB'!$D$7:$D$37,FALSE),MATCH(PROSPECT!F$11,'Enter (Vac BFs TrCl MB'!$F$6:$AU$6,FALSE))))</f>
        <v>0</v>
      </c>
      <c r="G8" s="150">
        <f>IF(ISERROR(INDEX('Enter (Vac BFs TrCl MB'!$F$7:$AU$37,MATCH(PROSPECT!$B8,'Enter (Vac BFs TrCl MB'!$D$7:$D$37,FALSE),MATCH(PROSPECT!G$11,'Enter (Vac BFs TrCl MB'!$F$6:$AU$6,FALSE))),"",(INDEX('Enter (Vac BFs TrCl MB'!$F$7:$AU$37,MATCH(PROSPECT!$B8,'Enter (Vac BFs TrCl MB'!$D$7:$D$37,FALSE),MATCH(PROSPECT!G$11,'Enter (Vac BFs TrCl MB'!$F$6:$AU$6,FALSE))))</f>
        <v>0</v>
      </c>
      <c r="H8" s="150">
        <f>IF(ISERROR(INDEX('Enter (Vac BFs TrCl MB'!$F$7:$AU$37,MATCH(PROSPECT!$B8,'Enter (Vac BFs TrCl MB'!$D$7:$D$37,FALSE),MATCH(PROSPECT!H$11,'Enter (Vac BFs TrCl MB'!$F$6:$AU$6,FALSE))),"",(INDEX('Enter (Vac BFs TrCl MB'!$F$7:$AU$37,MATCH(PROSPECT!$B8,'Enter (Vac BFs TrCl MB'!$D$7:$D$37,FALSE),MATCH(PROSPECT!H$11,'Enter (Vac BFs TrCl MB'!$F$6:$AU$6,FALSE))))</f>
        <v>0</v>
      </c>
      <c r="I8" s="151">
        <f>IF(ISERROR(INDEX('Enter (Vac BFs TrCl MB'!$F$7:$AU$37,MATCH(PROSPECT!$B8,'Enter (Vac BFs TrCl MB'!$D$7:$D$37,FALSE),MATCH(PROSPECT!I$11,'Enter (Vac BFs TrCl MB'!$F$6:$AU$6,FALSE))),"",(INDEX('Enter (Vac BFs TrCl MB'!$F$7:$AU$37,MATCH(PROSPECT!$B8,'Enter (Vac BFs TrCl MB'!$D$7:$D$37,FALSE),MATCH(PROSPECT!I$11,'Enter (Vac BFs TrCl MB'!$F$6:$AU$6,FALSE))))</f>
        <v>0</v>
      </c>
      <c r="J8" s="810"/>
      <c r="K8" s="152" t="str">
        <f>IF('Enter (Vac BFs TrCl MB'!$D33=0,"",'Enter (Vac BFs TrCl MB'!$D33)</f>
        <v>SHAKE</v>
      </c>
      <c r="L8" s="150">
        <f>IF(ISERROR(INDEX('Enter (Vac BFs TrCl MB'!$F$7:$AU$37,MATCH(PROSPECT!$B8,'Enter (Vac BFs TrCl MB'!$D$7:$D$37,FALSE),MATCH(PROSPECT!L$11,'Enter (Vac BFs TrCl MB'!$F$6:$AU$6,FALSE))),"",(INDEX('Enter (Vac BFs TrCl MB'!$F$7:$AU$37,MATCH(PROSPECT!$B8,'Enter (Vac BFs TrCl MB'!$D$7:$D$37,FALSE),MATCH(PROSPECT!L$11,'Enter (Vac BFs TrCl MB'!$F$6:$AU$6,FALSE))))</f>
        <v>0</v>
      </c>
      <c r="M8" s="150" t="str">
        <f>IF(ISERROR(INDEX('Enter (Vac BFs TrCl MB'!$F$7:$AU$37,MATCH(PROSPECT!$B8,'Enter (Vac BFs TrCl MB'!$D$7:$D$37,FALSE),MATCH(PROSPECT!M$11,'Enter (Vac BFs TrCl MB'!$F$6:$AU$6,FALSE))),"",(INDEX('Enter (Vac BFs TrCl MB'!$F$7:$AU$37,MATCH(PROSPECT!$B8,'Enter (Vac BFs TrCl MB'!$D$7:$D$37,FALSE),MATCH(PROSPECT!M$11,'Enter (Vac BFs TrCl MB'!$F$6:$AU$6,FALSE))))</f>
        <v>CYC</v>
      </c>
      <c r="N8" s="150" t="s">
        <v>213</v>
      </c>
      <c r="O8" s="150" t="s">
        <v>214</v>
      </c>
      <c r="P8" s="150" t="str">
        <f>IF(ISERROR(INDEX('Enter (Vac BFs TrCl MB'!$F$7:$AU$37,MATCH(PROSPECT!$B8,'Enter (Vac BFs TrCl MB'!$D$7:$D$37,FALSE),MATCH(PROSPECT!P$11,'Enter (Vac BFs TrCl MB'!$F$6:$AU$6,FALSE))),"",(INDEX('Enter (Vac BFs TrCl MB'!$F$7:$AU$37,MATCH(PROSPECT!$B8,'Enter (Vac BFs TrCl MB'!$D$7:$D$37,FALSE),MATCH(PROSPECT!P$11,'Enter (Vac BFs TrCl MB'!$F$6:$AU$6,FALSE))))</f>
        <v>QTR</v>
      </c>
      <c r="Q8" s="150" t="str">
        <f>IF(ISERROR(INDEX('Enter (Vac BFs TrCl MB'!$F$7:$AU$37,MATCH(PROSPECT!$B8,'Enter (Vac BFs TrCl MB'!$D$7:$D$37,FALSE),MATCH(PROSPECT!Q$11,'Enter (Vac BFs TrCl MB'!$F$6:$AU$6,FALSE))),"",(INDEX('Enter (Vac BFs TrCl MB'!$F$7:$AU$37,MATCH(PROSPECT!$B8,'Enter (Vac BFs TrCl MB'!$D$7:$D$37,FALSE),MATCH(PROSPECT!Q$11,'Enter (Vac BFs TrCl MB'!$F$6:$AU$6,FALSE))))</f>
        <v>CYC</v>
      </c>
      <c r="R8" s="151">
        <f>IF(ISERROR(INDEX('Enter (Vac BFs TrCl MB'!$F$7:$AU$37,MATCH(PROSPECT!$B8,'Enter (Vac BFs TrCl MB'!$D$7:$D$37,FALSE),MATCH(PROSPECT!R$11,'Enter (Vac BFs TrCl MB'!$F$6:$AU$6,FALSE))),"",(INDEX('Enter (Vac BFs TrCl MB'!$F$7:$AU$37,MATCH(PROSPECT!$B8,'Enter (Vac BFs TrCl MB'!$D$7:$D$37,FALSE),MATCH(PROSPECT!R$11,'Enter (Vac BFs TrCl MB'!$F$6:$AU$6,FALSE))))</f>
        <v>0</v>
      </c>
      <c r="S8" s="810"/>
      <c r="T8" s="152" t="str">
        <f>IF('Enter (Vac BFs TrCl MB'!$D33=0,"",'Enter (Vac BFs TrCl MB'!$D33)</f>
        <v>SHAKE</v>
      </c>
      <c r="U8" s="150">
        <f>IF(ISERROR(INDEX('Enter (Vac BFs TrCl MB'!$F$7:$AU$37,MATCH(PROSPECT!$B8,'Enter (Vac BFs TrCl MB'!$D$7:$D$37,FALSE),MATCH(PROSPECT!U$11,'Enter (Vac BFs TrCl MB'!$F$6:$AU$6,FALSE))),"",(INDEX('Enter (Vac BFs TrCl MB'!$F$7:$AU$37,MATCH(PROSPECT!$B8,'Enter (Vac BFs TrCl MB'!$D$7:$D$37,FALSE),MATCH(PROSPECT!U$11,'Enter (Vac BFs TrCl MB'!$F$6:$AU$6,FALSE))))</f>
        <v>0</v>
      </c>
      <c r="V8" s="150">
        <f>IF(ISERROR(INDEX('Enter (Vac BFs TrCl MB'!$F$7:$AU$37,MATCH(PROSPECT!$B8,'Enter (Vac BFs TrCl MB'!$D$7:$D$37,FALSE),MATCH(PROSPECT!V$11,'Enter (Vac BFs TrCl MB'!$F$6:$AU$6,FALSE))),"",(INDEX('Enter (Vac BFs TrCl MB'!$F$7:$AU$37,MATCH(PROSPECT!$B8,'Enter (Vac BFs TrCl MB'!$D$7:$D$37,FALSE),MATCH(PROSPECT!V$11,'Enter (Vac BFs TrCl MB'!$F$6:$AU$6,FALSE))))</f>
        <v>0</v>
      </c>
      <c r="W8" s="150">
        <f>IF(ISERROR(INDEX('Enter (Vac BFs TrCl MB'!$F$7:$AU$37,MATCH(PROSPECT!$B8,'Enter (Vac BFs TrCl MB'!$D$7:$D$37,FALSE),MATCH(PROSPECT!W$11,'Enter (Vac BFs TrCl MB'!$F$6:$AU$6,FALSE))),"",(INDEX('Enter (Vac BFs TrCl MB'!$F$7:$AU$37,MATCH(PROSPECT!$B8,'Enter (Vac BFs TrCl MB'!$D$7:$D$37,FALSE),MATCH(PROSPECT!W$11,'Enter (Vac BFs TrCl MB'!$F$6:$AU$6,FALSE))))</f>
        <v>0</v>
      </c>
      <c r="X8" s="150">
        <f>IF(ISERROR(INDEX('Enter (Vac BFs TrCl MB'!$F$7:$AU$37,MATCH(PROSPECT!$B8,'Enter (Vac BFs TrCl MB'!$D$7:$D$37,FALSE),MATCH(PROSPECT!X$11,'Enter (Vac BFs TrCl MB'!$F$6:$AU$6,FALSE))),"",(INDEX('Enter (Vac BFs TrCl MB'!$F$7:$AU$37,MATCH(PROSPECT!$B8,'Enter (Vac BFs TrCl MB'!$D$7:$D$37,FALSE),MATCH(PROSPECT!X$11,'Enter (Vac BFs TrCl MB'!$F$6:$AU$6,FALSE))))</f>
        <v>0</v>
      </c>
      <c r="Y8" s="150" t="s">
        <v>239</v>
      </c>
      <c r="Z8" s="150">
        <f>IF(ISERROR(INDEX('Enter (Vac BFs TrCl MB'!$F$7:$AU$37,MATCH(PROSPECT!$B8,'Enter (Vac BFs TrCl MB'!$D$7:$D$37,FALSE),MATCH(PROSPECT!Z$11,'Enter (Vac BFs TrCl MB'!$F$6:$AU$6,FALSE))),"",(INDEX('Enter (Vac BFs TrCl MB'!$F$7:$AU$37,MATCH(PROSPECT!$B8,'Enter (Vac BFs TrCl MB'!$D$7:$D$37,FALSE),MATCH(PROSPECT!Z$11,'Enter (Vac BFs TrCl MB'!$F$6:$AU$6,FALSE))))</f>
        <v>0</v>
      </c>
      <c r="AA8" s="151">
        <f>IF(ISERROR(INDEX('Enter (Vac BFs TrCl MB'!$F$7:$AU$37,MATCH(PROSPECT!$B8,'Enter (Vac BFs TrCl MB'!$D$7:$D$37,FALSE),MATCH(PROSPECT!AA$11,'Enter (Vac BFs TrCl MB'!$F$6:$AU$6,FALSE))),"",(INDEX('Enter (Vac BFs TrCl MB'!$F$7:$AU$37,MATCH(PROSPECT!$B8,'Enter (Vac BFs TrCl MB'!$D$7:$D$37,FALSE),MATCH(PROSPECT!AA$11,'Enter (Vac BFs TrCl MB'!$F$6:$AU$6,FALSE))))</f>
        <v>0</v>
      </c>
    </row>
    <row r="9" spans="1:27" ht="15.4">
      <c r="B9" s="157" t="str">
        <f>IF('Enter Projections'!$A$1,"$ prévus","Projected $" )</f>
        <v>Projected $</v>
      </c>
      <c r="C9" s="158" t="str">
        <f>Planner!E$23</f>
        <v/>
      </c>
      <c r="D9" s="158" t="str">
        <f>Planner!F$23</f>
        <v/>
      </c>
      <c r="E9" s="158" t="str">
        <f>Planner!G$23</f>
        <v/>
      </c>
      <c r="F9" s="158" t="str">
        <f>Planner!H$23</f>
        <v/>
      </c>
      <c r="G9" s="158" t="str">
        <f>Planner!I$23</f>
        <v/>
      </c>
      <c r="H9" s="158" t="str">
        <f>Planner!J$23</f>
        <v/>
      </c>
      <c r="I9" s="158" t="str">
        <f>Planner!K$23</f>
        <v/>
      </c>
      <c r="J9" s="810"/>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8" t="str">
        <f>Planner!K$35</f>
        <v/>
      </c>
      <c r="S9" s="810"/>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8" t="str">
        <f>Planner!K$47</f>
        <v/>
      </c>
    </row>
    <row r="10" spans="1:27" ht="15.4">
      <c r="B10" s="157" t="str">
        <f>IF('Enter Projections'!$A$1,"NC","G.C.")</f>
        <v>G.C.</v>
      </c>
      <c r="C10" s="160" t="str">
        <f>Planner!E$24</f>
        <v/>
      </c>
      <c r="D10" s="160" t="str">
        <f>Planner!F$24</f>
        <v/>
      </c>
      <c r="E10" s="160" t="str">
        <f>Planner!G$24</f>
        <v/>
      </c>
      <c r="F10" s="160" t="str">
        <f>Planner!H$24</f>
        <v/>
      </c>
      <c r="G10" s="160" t="str">
        <f>Planner!I$24</f>
        <v/>
      </c>
      <c r="H10" s="160" t="str">
        <f>Planner!J$24</f>
        <v/>
      </c>
      <c r="I10" s="160" t="str">
        <f>Planner!K$24</f>
        <v/>
      </c>
      <c r="J10" s="810"/>
      <c r="K10" s="157" t="str">
        <f>IF('Enter Projections'!$A$1,"NC","G.C.")</f>
        <v>G.C.</v>
      </c>
      <c r="L10" s="158" t="str">
        <f>Planner!E$36</f>
        <v/>
      </c>
      <c r="M10" s="158" t="str">
        <f>Planner!F$36</f>
        <v/>
      </c>
      <c r="N10" s="158"/>
      <c r="O10" s="158" t="str">
        <f>Planner!H$36</f>
        <v/>
      </c>
      <c r="P10" s="158" t="str">
        <f>Planner!I$36</f>
        <v/>
      </c>
      <c r="Q10" s="158" t="str">
        <f>Planner!J$36</f>
        <v/>
      </c>
      <c r="R10" s="158" t="str">
        <f>Planner!K$36</f>
        <v/>
      </c>
      <c r="S10" s="810"/>
      <c r="T10" s="166" t="str">
        <f>IF($A$1,"NC","G.C.")</f>
        <v>G.C.</v>
      </c>
      <c r="U10" s="158" t="str">
        <f>Planner!E$48</f>
        <v/>
      </c>
      <c r="V10" s="158" t="str">
        <f>Planner!F$48</f>
        <v/>
      </c>
      <c r="W10" s="158" t="str">
        <f>Planner!G$48</f>
        <v/>
      </c>
      <c r="X10" s="158" t="str">
        <f>Planner!H$48</f>
        <v/>
      </c>
      <c r="Y10" s="158" t="str">
        <f>Planner!I$48</f>
        <v/>
      </c>
      <c r="Z10" s="158" t="str">
        <f>Planner!J$48</f>
        <v/>
      </c>
      <c r="AA10" s="158" t="str">
        <f>Planner!K$48</f>
        <v/>
      </c>
    </row>
    <row r="11" spans="1:27" ht="15.4">
      <c r="B11" s="157" t="s">
        <v>32</v>
      </c>
      <c r="C11" s="163">
        <v>45320</v>
      </c>
      <c r="D11" s="163">
        <v>45321</v>
      </c>
      <c r="E11" s="163">
        <v>45322</v>
      </c>
      <c r="F11" s="163">
        <v>45323</v>
      </c>
      <c r="G11" s="163">
        <v>45324</v>
      </c>
      <c r="H11" s="163">
        <v>45325</v>
      </c>
      <c r="I11" s="163">
        <v>45326</v>
      </c>
      <c r="J11" s="810"/>
      <c r="K11" s="157" t="s">
        <v>32</v>
      </c>
      <c r="L11" s="163">
        <v>45327</v>
      </c>
      <c r="M11" s="163">
        <v>45328</v>
      </c>
      <c r="N11" s="163">
        <v>45329</v>
      </c>
      <c r="O11" s="163">
        <v>45330</v>
      </c>
      <c r="P11" s="163">
        <v>45331</v>
      </c>
      <c r="Q11" s="163">
        <v>45332</v>
      </c>
      <c r="R11" s="163">
        <v>45333</v>
      </c>
      <c r="S11" s="810"/>
      <c r="T11" s="167" t="s">
        <v>32</v>
      </c>
      <c r="U11" s="163">
        <v>45334</v>
      </c>
      <c r="V11" s="163">
        <v>45335</v>
      </c>
      <c r="W11" s="163">
        <v>45336</v>
      </c>
      <c r="X11" s="163">
        <v>45337</v>
      </c>
      <c r="Y11" s="163">
        <v>45338</v>
      </c>
      <c r="Z11" s="163">
        <v>45339</v>
      </c>
      <c r="AA11" s="163">
        <v>45340</v>
      </c>
    </row>
    <row r="12" spans="1:27" ht="15.4">
      <c r="B12" s="157" t="str">
        <f>IF('Enter Projections'!$A$1,"Nom","Name")</f>
        <v>Name</v>
      </c>
      <c r="C12" s="164" t="str">
        <f>IF('Enter Projections'!$A$1,"LUN","MON")</f>
        <v>MON</v>
      </c>
      <c r="D12" s="164" t="str">
        <f>IF('Enter Projections'!$A$1,"MAR","TUE")</f>
        <v>TUE</v>
      </c>
      <c r="E12" s="164" t="str">
        <f>IF('Enter Projections'!$A$1,"MER","WED")</f>
        <v>WED</v>
      </c>
      <c r="F12" s="164" t="str">
        <f>IF('Enter Projections'!$A$1,"JEU","THU")</f>
        <v>THU</v>
      </c>
      <c r="G12" s="164" t="str">
        <f>IF('Enter Projections'!$A$1,"VEN","FRI")</f>
        <v>FRI</v>
      </c>
      <c r="H12" s="164" t="str">
        <f>IF('Enter Projections'!$A$1,"SAM","SAT")</f>
        <v>SAT</v>
      </c>
      <c r="I12" s="165" t="str">
        <f>IF('Enter Projections'!$A$1,"DIM","SUN")</f>
        <v>SUN</v>
      </c>
      <c r="J12" s="810"/>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10"/>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tr">
        <f>IF('Enter (Vac BFs TrCl MB'!$D7=0,"",'Enter (Vac BFs TrCl MB'!$D7)</f>
        <v>Brittney</v>
      </c>
      <c r="C13" s="153" t="s">
        <v>96</v>
      </c>
      <c r="D13" s="153" t="s">
        <v>97</v>
      </c>
      <c r="E13" s="153" t="s">
        <v>98</v>
      </c>
      <c r="F13" s="662" t="s">
        <v>99</v>
      </c>
      <c r="G13" s="637" t="s">
        <v>100</v>
      </c>
      <c r="H13" s="637" t="s">
        <v>9</v>
      </c>
      <c r="I13" s="638" t="s">
        <v>9</v>
      </c>
      <c r="J13" s="810"/>
      <c r="K13" s="111" t="str">
        <f>IF('Enter (Vac BFs TrCl MB'!$D7=0,"",'Enter (Vac BFs TrCl MB'!$D7)</f>
        <v>Brittney</v>
      </c>
      <c r="L13" s="288" t="s">
        <v>134</v>
      </c>
      <c r="M13" s="663" t="s">
        <v>125</v>
      </c>
      <c r="N13" s="153" t="s">
        <v>174</v>
      </c>
      <c r="O13" s="652" t="s">
        <v>128</v>
      </c>
      <c r="P13" s="153" t="s">
        <v>130</v>
      </c>
      <c r="Q13" s="153" t="s">
        <v>247</v>
      </c>
      <c r="R13" s="154" t="s">
        <v>3</v>
      </c>
      <c r="S13" s="810"/>
      <c r="T13" s="111" t="str">
        <f>IF('Enter (Vac BFs TrCl MB'!$D7=0,"",'Enter (Vac BFs TrCl MB'!$D7)</f>
        <v>Brittney</v>
      </c>
      <c r="U13" s="662" t="s">
        <v>120</v>
      </c>
      <c r="V13" s="662" t="s">
        <v>135</v>
      </c>
      <c r="W13" s="153" t="s">
        <v>9</v>
      </c>
      <c r="X13" s="153" t="s">
        <v>210</v>
      </c>
      <c r="Y13" s="153" t="s">
        <v>97</v>
      </c>
      <c r="Z13" s="153" t="s">
        <v>96</v>
      </c>
      <c r="AA13" s="154" t="s">
        <v>3</v>
      </c>
    </row>
    <row r="14" spans="1:27" ht="15">
      <c r="B14" s="111" t="str">
        <f>IF('Enter (Vac BFs TrCl MB'!$D8=0,"",'Enter (Vac BFs TrCl MB'!$D8)</f>
        <v>Jayda</v>
      </c>
      <c r="C14" s="153" t="s">
        <v>101</v>
      </c>
      <c r="D14" s="153" t="s">
        <v>9</v>
      </c>
      <c r="E14" s="153" t="s">
        <v>9</v>
      </c>
      <c r="F14" s="153" t="s">
        <v>102</v>
      </c>
      <c r="G14" s="153" t="s">
        <v>113</v>
      </c>
      <c r="H14" s="153" t="s">
        <v>103</v>
      </c>
      <c r="I14" s="154" t="s">
        <v>104</v>
      </c>
      <c r="J14" s="810"/>
      <c r="K14" s="112" t="str">
        <f>IF('Enter (Vac BFs TrCl MB'!$D8=0,"",'Enter (Vac BFs TrCl MB'!$D8)</f>
        <v>Jayda</v>
      </c>
      <c r="L14" s="153" t="s">
        <v>105</v>
      </c>
      <c r="M14" s="663" t="s">
        <v>103</v>
      </c>
      <c r="N14" s="153" t="s">
        <v>101</v>
      </c>
      <c r="O14" s="153" t="s">
        <v>96</v>
      </c>
      <c r="P14" s="637" t="s">
        <v>100</v>
      </c>
      <c r="Q14" s="637" t="s">
        <v>3</v>
      </c>
      <c r="R14" s="638" t="s">
        <v>3</v>
      </c>
      <c r="S14" s="810"/>
      <c r="T14" s="112" t="str">
        <f>IF('Enter (Vac BFs TrCl MB'!$D8=0,"",'Enter (Vac BFs TrCl MB'!$D8)</f>
        <v>Jayda</v>
      </c>
      <c r="U14" s="153" t="s">
        <v>9</v>
      </c>
      <c r="V14" s="153" t="s">
        <v>9</v>
      </c>
      <c r="W14" s="153" t="s">
        <v>101</v>
      </c>
      <c r="X14" s="153" t="s">
        <v>101</v>
      </c>
      <c r="Y14" s="153" t="s">
        <v>104</v>
      </c>
      <c r="Z14" s="153" t="s">
        <v>105</v>
      </c>
      <c r="AA14" s="154" t="s">
        <v>113</v>
      </c>
    </row>
    <row r="15" spans="1:27" ht="15">
      <c r="B15" s="111" t="str">
        <f>IF('Enter (Vac BFs TrCl MB'!$D9=0,"",'Enter (Vac BFs TrCl MB'!$D9)</f>
        <v>Harkaml</v>
      </c>
      <c r="C15" s="153" t="s">
        <v>6</v>
      </c>
      <c r="D15" s="153" t="s">
        <v>104</v>
      </c>
      <c r="E15" s="153" t="s">
        <v>105</v>
      </c>
      <c r="F15" s="153" t="s">
        <v>9</v>
      </c>
      <c r="G15" s="153" t="s">
        <v>9</v>
      </c>
      <c r="H15" s="153" t="s">
        <v>104</v>
      </c>
      <c r="I15" s="154" t="s">
        <v>106</v>
      </c>
      <c r="J15" s="810"/>
      <c r="K15" s="112" t="str">
        <f>IF('Enter (Vac BFs TrCl MB'!$D9=0,"",'Enter (Vac BFs TrCl MB'!$D9)</f>
        <v>Harkaml</v>
      </c>
      <c r="L15" s="153" t="s">
        <v>6</v>
      </c>
      <c r="M15" s="663" t="s">
        <v>126</v>
      </c>
      <c r="N15" s="153" t="s">
        <v>9</v>
      </c>
      <c r="O15" s="153" t="s">
        <v>9</v>
      </c>
      <c r="P15" s="153" t="s">
        <v>96</v>
      </c>
      <c r="Q15" s="642" t="s">
        <v>155</v>
      </c>
      <c r="R15" s="653" t="s">
        <v>149</v>
      </c>
      <c r="S15" s="810"/>
      <c r="T15" s="112" t="str">
        <f>IF('Enter (Vac BFs TrCl MB'!$D9=0,"",'Enter (Vac BFs TrCl MB'!$D9)</f>
        <v>Harkaml</v>
      </c>
      <c r="U15" s="153" t="s">
        <v>6</v>
      </c>
      <c r="V15" s="637" t="s">
        <v>100</v>
      </c>
      <c r="W15" s="153" t="s">
        <v>96</v>
      </c>
      <c r="X15" s="153" t="s">
        <v>104</v>
      </c>
      <c r="Y15" s="637" t="s">
        <v>3</v>
      </c>
      <c r="Z15" s="637" t="s">
        <v>9</v>
      </c>
      <c r="AA15" s="154" t="s">
        <v>121</v>
      </c>
    </row>
    <row r="16" spans="1:27" ht="15">
      <c r="B16" s="111" t="str">
        <f>IF('Enter (Vac BFs TrCl MB'!$D10=0,"",'Enter (Vac BFs TrCl MB'!$D10)</f>
        <v>Chehal</v>
      </c>
      <c r="C16" s="153" t="s">
        <v>9</v>
      </c>
      <c r="D16" s="153" t="s">
        <v>9</v>
      </c>
      <c r="E16" s="153" t="s">
        <v>96</v>
      </c>
      <c r="F16" s="153" t="s">
        <v>104</v>
      </c>
      <c r="G16" s="153" t="s">
        <v>105</v>
      </c>
      <c r="H16" s="153" t="s">
        <v>105</v>
      </c>
      <c r="I16" s="154" t="s">
        <v>105</v>
      </c>
      <c r="J16" s="810"/>
      <c r="K16" s="112" t="str">
        <f>IF('Enter (Vac BFs TrCl MB'!$D10=0,"",'Enter (Vac BFs TrCl MB'!$D10)</f>
        <v>Chehal</v>
      </c>
      <c r="L16" s="153" t="s">
        <v>133</v>
      </c>
      <c r="M16" s="663" t="s">
        <v>123</v>
      </c>
      <c r="N16" s="153" t="s">
        <v>9</v>
      </c>
      <c r="O16" s="153" t="s">
        <v>101</v>
      </c>
      <c r="P16" s="153" t="s">
        <v>9</v>
      </c>
      <c r="Q16" s="153" t="s">
        <v>104</v>
      </c>
      <c r="R16" s="154" t="s">
        <v>105</v>
      </c>
      <c r="S16" s="810"/>
      <c r="T16" s="112" t="str">
        <f>IF('Enter (Vac BFs TrCl MB'!$D10=0,"",'Enter (Vac BFs TrCl MB'!$D10)</f>
        <v>Chehal</v>
      </c>
      <c r="U16" s="153" t="s">
        <v>105</v>
      </c>
      <c r="V16" s="153" t="s">
        <v>133</v>
      </c>
      <c r="W16" s="153" t="s">
        <v>9</v>
      </c>
      <c r="X16" s="153" t="s">
        <v>9</v>
      </c>
      <c r="Y16" s="642" t="s">
        <v>249</v>
      </c>
      <c r="Z16" s="153" t="s">
        <v>101</v>
      </c>
      <c r="AA16" s="154" t="s">
        <v>105</v>
      </c>
    </row>
    <row r="17" spans="2:30" ht="15">
      <c r="B17" s="111" t="str">
        <f>IF('Enter (Vac BFs TrCl MB'!$D11=0,"",'Enter (Vac BFs TrCl MB'!$D11)</f>
        <v>Alex</v>
      </c>
      <c r="C17" s="637" t="s">
        <v>100</v>
      </c>
      <c r="D17" s="153" t="s">
        <v>105</v>
      </c>
      <c r="E17" s="153" t="s">
        <v>104</v>
      </c>
      <c r="F17" s="662" t="s">
        <v>107</v>
      </c>
      <c r="G17" s="662" t="s">
        <v>107</v>
      </c>
      <c r="H17" s="637" t="s">
        <v>9</v>
      </c>
      <c r="I17" s="638" t="s">
        <v>9</v>
      </c>
      <c r="J17" s="810"/>
      <c r="K17" s="112" t="str">
        <f>IF('Enter (Vac BFs TrCl MB'!$D11=0,"",'Enter (Vac BFs TrCl MB'!$D11)</f>
        <v>Alex</v>
      </c>
      <c r="L17" s="153" t="str">
        <f>IF(ISERROR(INDEX('Enter (Vac BFs TrCl MB'!$F$7:$AU$37,MATCH(PROSPECT!$B17,'Enter (Vac BFs TrCl MB'!$D$7:$D$37,FALSE),MATCH(PROSPECT!L$11,'Enter (Vac BFs TrCl MB'!$F$6:$AU$6,FALSE))),"",(INDEX('Enter (Vac BFs TrCl MB'!$F$7:$AU$37,MATCH(PROSPECT!$B17,'Enter (Vac BFs TrCl MB'!$D$7:$D$37,FALSE),MATCH(PROSPECT!L$11,'Enter (Vac BFs TrCl MB'!$F$6:$AU$6,FALSE))))</f>
        <v>XX</v>
      </c>
      <c r="M17" s="663" t="s">
        <v>105</v>
      </c>
      <c r="N17" s="641" t="s">
        <v>262</v>
      </c>
      <c r="O17" s="641" t="s">
        <v>261</v>
      </c>
      <c r="P17" s="153" t="s">
        <v>104</v>
      </c>
      <c r="Q17" s="153" t="s">
        <v>9</v>
      </c>
      <c r="R17" s="154" t="s">
        <v>104</v>
      </c>
      <c r="S17" s="810"/>
      <c r="T17" s="112" t="str">
        <f>IF('Enter (Vac BFs TrCl MB'!$D11=0,"",'Enter (Vac BFs TrCl MB'!$D11)</f>
        <v>Alex</v>
      </c>
      <c r="U17" s="153" t="s">
        <v>9</v>
      </c>
      <c r="V17" s="153" t="s">
        <v>9</v>
      </c>
      <c r="W17" s="153" t="s">
        <v>192</v>
      </c>
      <c r="X17" s="153" t="s">
        <v>105</v>
      </c>
      <c r="Y17" s="642" t="s">
        <v>153</v>
      </c>
      <c r="Z17" s="153" t="s">
        <v>104</v>
      </c>
      <c r="AA17" s="154" t="s">
        <v>104</v>
      </c>
    </row>
    <row r="18" spans="2:30" ht="15">
      <c r="B18" s="111" t="s">
        <v>108</v>
      </c>
      <c r="C18" s="662" t="s">
        <v>107</v>
      </c>
      <c r="D18" s="153" t="s">
        <v>101</v>
      </c>
      <c r="E18" s="662" t="s">
        <v>109</v>
      </c>
      <c r="F18" s="153" t="s">
        <v>9</v>
      </c>
      <c r="G18" s="153" t="s">
        <v>9</v>
      </c>
      <c r="H18" s="153" t="s">
        <v>101</v>
      </c>
      <c r="I18" s="154" t="s">
        <v>101</v>
      </c>
      <c r="J18" s="810"/>
      <c r="K18" s="112" t="str">
        <f>IF('Enter (Vac BFs TrCl MB'!$D12=0,"",'Enter (Vac BFs TrCl MB'!$D12)</f>
        <v>Akansha</v>
      </c>
      <c r="L18" s="662" t="s">
        <v>120</v>
      </c>
      <c r="M18" s="153" t="s">
        <v>9</v>
      </c>
      <c r="N18" s="153" t="s">
        <v>9</v>
      </c>
      <c r="O18" s="662" t="s">
        <v>120</v>
      </c>
      <c r="P18" s="662" t="s">
        <v>129</v>
      </c>
      <c r="Q18" s="643" t="s">
        <v>115</v>
      </c>
      <c r="R18" s="658" t="s">
        <v>224</v>
      </c>
      <c r="S18" s="810"/>
      <c r="T18" s="112" t="str">
        <f>IF('Enter (Vac BFs TrCl MB'!$D12=0,"",'Enter (Vac BFs TrCl MB'!$D12)</f>
        <v>Akansha</v>
      </c>
      <c r="U18" s="662" t="s">
        <v>119</v>
      </c>
      <c r="V18" s="153" t="s">
        <v>9</v>
      </c>
      <c r="W18" s="153" t="s">
        <v>104</v>
      </c>
      <c r="X18" s="662" t="s">
        <v>120</v>
      </c>
      <c r="Y18" s="642" t="s">
        <v>150</v>
      </c>
      <c r="Z18" s="153" t="s">
        <v>9</v>
      </c>
      <c r="AA18" s="154" t="s">
        <v>159</v>
      </c>
    </row>
    <row r="19" spans="2:30" ht="15">
      <c r="B19" s="111" t="str">
        <f>IF('Enter (Vac BFs TrCl MB'!$D13=0,"",'Enter (Vac BFs TrCl MB'!$D13)</f>
        <v>Kiran</v>
      </c>
      <c r="C19" s="153" t="s">
        <v>110</v>
      </c>
      <c r="D19" s="153" t="s">
        <v>96</v>
      </c>
      <c r="E19" s="153" t="s">
        <v>101</v>
      </c>
      <c r="F19" s="153" t="s">
        <v>96</v>
      </c>
      <c r="G19" s="153" t="s">
        <v>111</v>
      </c>
      <c r="H19" s="637" t="s">
        <v>9</v>
      </c>
      <c r="I19" s="638" t="s">
        <v>9</v>
      </c>
      <c r="J19" s="810"/>
      <c r="K19" s="632" t="s">
        <v>78</v>
      </c>
      <c r="L19" s="153" t="s">
        <v>110</v>
      </c>
      <c r="M19" s="153" t="s">
        <v>9</v>
      </c>
      <c r="N19" s="153" t="s">
        <v>9</v>
      </c>
      <c r="O19" s="153" t="s">
        <v>104</v>
      </c>
      <c r="P19" s="153" t="s">
        <v>101</v>
      </c>
      <c r="Q19" s="153" t="s">
        <v>113</v>
      </c>
      <c r="R19" s="154" t="s">
        <v>103</v>
      </c>
      <c r="S19" s="810"/>
      <c r="T19" s="112" t="str">
        <f>IF('Enter (Vac BFs TrCl MB'!$D13=0,"",'Enter (Vac BFs TrCl MB'!$D13)</f>
        <v>Kiran</v>
      </c>
      <c r="U19" s="153" t="s">
        <v>110</v>
      </c>
      <c r="V19" s="153" t="s">
        <v>9</v>
      </c>
      <c r="W19" s="153" t="s">
        <v>9</v>
      </c>
      <c r="X19" s="153" t="s">
        <v>113</v>
      </c>
      <c r="Y19" s="153" t="s">
        <v>96</v>
      </c>
      <c r="Z19" s="153" t="s">
        <v>110</v>
      </c>
      <c r="AA19" s="154" t="s">
        <v>110</v>
      </c>
    </row>
    <row r="20" spans="2:30" ht="15">
      <c r="B20" s="111" t="str">
        <f>IF('Enter (Vac BFs TrCl MB'!$D14=0,"",'Enter (Vac BFs TrCl MB'!$D14)</f>
        <v>Mahshid</v>
      </c>
      <c r="C20" s="153" t="s">
        <v>9</v>
      </c>
      <c r="D20" s="153" t="s">
        <v>9</v>
      </c>
      <c r="E20" s="153" t="s">
        <v>9</v>
      </c>
      <c r="F20" s="153" t="s">
        <v>105</v>
      </c>
      <c r="G20" s="153" t="s">
        <v>112</v>
      </c>
      <c r="H20" s="153" t="s">
        <v>112</v>
      </c>
      <c r="I20" s="154" t="s">
        <v>103</v>
      </c>
      <c r="J20" s="810"/>
      <c r="K20" s="112" t="str">
        <f>IF('Enter (Vac BFs TrCl MB'!$D14=0,"",'Enter (Vac BFs TrCl MB'!$D14)</f>
        <v>Mahshid</v>
      </c>
      <c r="L20" s="153" t="s">
        <v>104</v>
      </c>
      <c r="M20" s="153" t="s">
        <v>9</v>
      </c>
      <c r="N20" s="153" t="s">
        <v>96</v>
      </c>
      <c r="O20" s="153" t="s">
        <v>113</v>
      </c>
      <c r="P20" s="153" t="s">
        <v>9</v>
      </c>
      <c r="Q20" s="637" t="str">
        <f>IF(ISERROR(INDEX('Enter (Vac BFs TrCl MB'!$F$7:$AU$37,MATCH(PROSPECT!$B20,'Enter (Vac BFs TrCl MB'!$D$7:$D$37,FALSE),MATCH(PROSPECT!Q$11,'Enter (Vac BFs TrCl MB'!$F$6:$AU$6,FALSE))),"",(INDEX('Enter (Vac BFs TrCl MB'!$F$7:$AU$37,MATCH(PROSPECT!$B20,'Enter (Vac BFs TrCl MB'!$D$7:$D$37,FALSE),MATCH(PROSPECT!Q$11,'Enter (Vac BFs TrCl MB'!$F$6:$AU$6,FALSE))))</f>
        <v>XX</v>
      </c>
      <c r="R20" s="638" t="str">
        <f>IF(ISERROR(INDEX('Enter (Vac BFs TrCl MB'!$F$7:$AU$37,MATCH(PROSPECT!$B20,'Enter (Vac BFs TrCl MB'!$D$7:$D$37,FALSE),MATCH(PROSPECT!R$11,'Enter (Vac BFs TrCl MB'!$F$6:$AU$6,FALSE))),"",(INDEX('Enter (Vac BFs TrCl MB'!$F$7:$AU$37,MATCH(PROSPECT!$B20,'Enter (Vac BFs TrCl MB'!$D$7:$D$37,FALSE),MATCH(PROSPECT!R$11,'Enter (Vac BFs TrCl MB'!$F$6:$AU$6,FALSE))))</f>
        <v>XX</v>
      </c>
      <c r="S20" s="810"/>
      <c r="T20" s="112" t="str">
        <f>IF('Enter (Vac BFs TrCl MB'!$D14=0,"",'Enter (Vac BFs TrCl MB'!$D14)</f>
        <v>Mahshid</v>
      </c>
      <c r="U20" s="153" t="s">
        <v>9</v>
      </c>
      <c r="V20" s="153" t="s">
        <v>105</v>
      </c>
      <c r="W20" s="153" t="s">
        <v>9</v>
      </c>
      <c r="X20" s="153" t="s">
        <v>96</v>
      </c>
      <c r="Y20" s="153" t="s">
        <v>9</v>
      </c>
      <c r="Z20" s="153" t="s">
        <v>113</v>
      </c>
      <c r="AA20" s="154" t="s">
        <v>103</v>
      </c>
    </row>
    <row r="21" spans="2:30" ht="15">
      <c r="B21" s="111" t="str">
        <f>IF('Enter (Vac BFs TrCl MB'!$D15=0,"",'Enter (Vac BFs TrCl MB'!$D15)</f>
        <v>Harry</v>
      </c>
      <c r="C21" s="153" t="s">
        <v>9</v>
      </c>
      <c r="D21" s="153" t="s">
        <v>9</v>
      </c>
      <c r="E21" s="153" t="s">
        <v>113</v>
      </c>
      <c r="F21" s="153" t="s">
        <v>113</v>
      </c>
      <c r="G21" s="153" t="s">
        <v>96</v>
      </c>
      <c r="H21" s="153" t="s">
        <v>96</v>
      </c>
      <c r="I21" s="154" t="s">
        <v>110</v>
      </c>
      <c r="J21" s="810"/>
      <c r="K21" s="112" t="str">
        <f>IF('Enter (Vac BFs TrCl MB'!$D15=0,"",'Enter (Vac BFs TrCl MB'!$D15)</f>
        <v>Harry</v>
      </c>
      <c r="L21" s="153" t="s">
        <v>101</v>
      </c>
      <c r="M21" s="153" t="s">
        <v>101</v>
      </c>
      <c r="N21" s="153" t="s">
        <v>9</v>
      </c>
      <c r="O21" s="153" t="s">
        <v>9</v>
      </c>
      <c r="P21" s="153" t="s">
        <v>105</v>
      </c>
      <c r="Q21" s="153" t="s">
        <v>96</v>
      </c>
      <c r="R21" s="651" t="s">
        <v>116</v>
      </c>
      <c r="S21" s="810"/>
      <c r="T21" s="112" t="str">
        <f>IF('Enter (Vac BFs TrCl MB'!$D15=0,"",'Enter (Vac BFs TrCl MB'!$D15)</f>
        <v>Harry</v>
      </c>
      <c r="U21" s="153" t="s">
        <v>101</v>
      </c>
      <c r="V21" s="153" t="s">
        <v>101</v>
      </c>
      <c r="W21" s="153" t="s">
        <v>113</v>
      </c>
      <c r="X21" s="153" t="s">
        <v>112</v>
      </c>
      <c r="Y21" s="153" t="s">
        <v>101</v>
      </c>
      <c r="Z21" s="637" t="str">
        <f>IF(ISERROR(INDEX('Enter (Vac BFs TrCl MB'!$F$7:$AU$37,MATCH(PROSPECT!$B21,'Enter (Vac BFs TrCl MB'!$D$7:$D$37,FALSE),MATCH(PROSPECT!Z$11,'Enter (Vac BFs TrCl MB'!$F$6:$AU$6,FALSE))),"",(INDEX('Enter (Vac BFs TrCl MB'!$F$7:$AU$37,MATCH(PROSPECT!$B21,'Enter (Vac BFs TrCl MB'!$D$7:$D$37,FALSE),MATCH(PROSPECT!Z$11,'Enter (Vac BFs TrCl MB'!$F$6:$AU$6,FALSE))))</f>
        <v>XX</v>
      </c>
      <c r="AA21" s="638" t="str">
        <f>IF(ISERROR(INDEX('Enter (Vac BFs TrCl MB'!$F$7:$AU$37,MATCH(PROSPECT!$B21,'Enter (Vac BFs TrCl MB'!$D$7:$D$37,FALSE),MATCH(PROSPECT!AA$11,'Enter (Vac BFs TrCl MB'!$F$6:$AU$6,FALSE))),"",(INDEX('Enter (Vac BFs TrCl MB'!$F$7:$AU$37,MATCH(PROSPECT!$B21,'Enter (Vac BFs TrCl MB'!$D$7:$D$37,FALSE),MATCH(PROSPECT!AA$11,'Enter (Vac BFs TrCl MB'!$F$6:$AU$6,FALSE))))</f>
        <v>XX</v>
      </c>
    </row>
    <row r="22" spans="2:30" ht="15">
      <c r="B22" s="111" t="str">
        <f>IF('Enter (Vac BFs TrCl MB'!$D16=0,"",'Enter (Vac BFs TrCl MB'!$D16)</f>
        <v>Parm</v>
      </c>
      <c r="C22" s="153" t="s">
        <v>9</v>
      </c>
      <c r="D22" s="153" t="s">
        <v>9</v>
      </c>
      <c r="E22" s="652" t="s">
        <v>114</v>
      </c>
      <c r="F22" s="153" t="s">
        <v>9</v>
      </c>
      <c r="G22" s="650" t="s">
        <v>115</v>
      </c>
      <c r="H22" s="650" t="s">
        <v>115</v>
      </c>
      <c r="I22" s="651" t="s">
        <v>116</v>
      </c>
      <c r="J22" s="810"/>
      <c r="K22" s="112" t="str">
        <f>IF('Enter (Vac BFs TrCl MB'!$D16=0,"",'Enter (Vac BFs TrCl MB'!$D16)</f>
        <v>Parm</v>
      </c>
      <c r="L22" s="153" t="s">
        <v>9</v>
      </c>
      <c r="M22" s="642" t="s">
        <v>150</v>
      </c>
      <c r="N22" s="153" t="s">
        <v>104</v>
      </c>
      <c r="O22" s="153" t="str">
        <f>IF(ISERROR(INDEX('Enter (Vac BFs TrCl MB'!$F$7:$AU$37,MATCH(PROSPECT!$B22,'Enter (Vac BFs TrCl MB'!$D$7:$D$37,FALSE),MATCH(PROSPECT!O$11,'Enter (Vac BFs TrCl MB'!$F$6:$AU$6,FALSE))),"",(INDEX('Enter (Vac BFs TrCl MB'!$F$7:$AU$37,MATCH(PROSPECT!$B22,'Enter (Vac BFs TrCl MB'!$D$7:$D$37,FALSE),MATCH(PROSPECT!O$11,'Enter (Vac BFs TrCl MB'!$F$6:$AU$6,FALSE))))</f>
        <v>XX</v>
      </c>
      <c r="P22" s="643" t="s">
        <v>115</v>
      </c>
      <c r="Q22" s="637" t="s">
        <v>3</v>
      </c>
      <c r="R22" s="638" t="s">
        <v>3</v>
      </c>
      <c r="S22" s="810"/>
      <c r="T22" s="112" t="str">
        <f>IF('Enter (Vac BFs TrCl MB'!$D16=0,"",'Enter (Vac BFs TrCl MB'!$D16)</f>
        <v>Parm</v>
      </c>
      <c r="U22" s="153" t="s">
        <v>9</v>
      </c>
      <c r="V22" s="153" t="s">
        <v>9</v>
      </c>
      <c r="W22" s="652" t="s">
        <v>194</v>
      </c>
      <c r="X22" s="652" t="s">
        <v>194</v>
      </c>
      <c r="Y22" s="643" t="s">
        <v>115</v>
      </c>
      <c r="Z22" s="643" t="s">
        <v>115</v>
      </c>
      <c r="AA22" s="644" t="s">
        <v>116</v>
      </c>
    </row>
    <row r="23" spans="2:30" ht="15">
      <c r="B23" s="111" t="str">
        <f>IF('Enter (Vac BFs TrCl MB'!$D17=0,"",'Enter (Vac BFs TrCl MB'!$D17)</f>
        <v>Harmik</v>
      </c>
      <c r="C23" s="153" t="s">
        <v>104</v>
      </c>
      <c r="D23" s="153" t="s">
        <v>113</v>
      </c>
      <c r="E23" s="153" t="s">
        <v>111</v>
      </c>
      <c r="F23" s="153" t="s">
        <v>111</v>
      </c>
      <c r="G23" s="153" t="s">
        <v>103</v>
      </c>
      <c r="H23" s="637" t="s">
        <v>9</v>
      </c>
      <c r="I23" s="638" t="s">
        <v>9</v>
      </c>
      <c r="J23" s="810"/>
      <c r="K23" s="112" t="str">
        <f>IF('Enter (Vac BFs TrCl MB'!$D17=0,"",'Enter (Vac BFs TrCl MB'!$D17)</f>
        <v>Harmik</v>
      </c>
      <c r="L23" s="153" t="s">
        <v>9</v>
      </c>
      <c r="M23" s="153" t="s">
        <v>9</v>
      </c>
      <c r="N23" s="153" t="s">
        <v>105</v>
      </c>
      <c r="O23" s="153" t="s">
        <v>111</v>
      </c>
      <c r="P23" s="153" t="s">
        <v>103</v>
      </c>
      <c r="Q23" s="153" t="s">
        <v>101</v>
      </c>
      <c r="R23" s="154" t="s">
        <v>113</v>
      </c>
      <c r="S23" s="810"/>
      <c r="T23" s="112" t="str">
        <f>IF('Enter (Vac BFs TrCl MB'!$D17=0,"",'Enter (Vac BFs TrCl MB'!$D17)</f>
        <v>Harmik</v>
      </c>
      <c r="U23" s="153" t="s">
        <v>96</v>
      </c>
      <c r="V23" s="153" t="s">
        <v>9</v>
      </c>
      <c r="W23" s="153" t="s">
        <v>9</v>
      </c>
      <c r="X23" s="153" t="s">
        <v>111</v>
      </c>
      <c r="Y23" s="153" t="s">
        <v>112</v>
      </c>
      <c r="Z23" s="153" t="s">
        <v>111</v>
      </c>
      <c r="AA23" s="154" t="s">
        <v>101</v>
      </c>
    </row>
    <row r="24" spans="2:30" ht="18">
      <c r="B24" s="111" t="str">
        <f>IF('Enter (Vac BFs TrCl MB'!$D18=0,"",'Enter (Vac BFs TrCl MB'!$D18)</f>
        <v>Ruby</v>
      </c>
      <c r="C24" s="153" t="s">
        <v>105</v>
      </c>
      <c r="D24" s="153" t="s">
        <v>112</v>
      </c>
      <c r="E24" s="153" t="s">
        <v>9</v>
      </c>
      <c r="F24" s="153" t="s">
        <v>9</v>
      </c>
      <c r="G24" s="153" t="s">
        <v>111</v>
      </c>
      <c r="H24" s="153" t="s">
        <v>111</v>
      </c>
      <c r="I24" s="154" t="s">
        <v>111</v>
      </c>
      <c r="J24" s="810"/>
      <c r="K24" s="112" t="str">
        <f>IF('Enter (Vac BFs TrCl MB'!$D18=0,"",'Enter (Vac BFs TrCl MB'!$D18)</f>
        <v>Ruby</v>
      </c>
      <c r="L24" s="153" t="s">
        <v>9</v>
      </c>
      <c r="M24" s="642" t="s">
        <v>124</v>
      </c>
      <c r="N24" s="153" t="s">
        <v>111</v>
      </c>
      <c r="O24" s="153" t="s">
        <v>105</v>
      </c>
      <c r="P24" s="153" t="s">
        <v>9</v>
      </c>
      <c r="Q24" s="153" t="s">
        <v>111</v>
      </c>
      <c r="R24" s="154" t="s">
        <v>111</v>
      </c>
      <c r="S24" s="810"/>
      <c r="T24" s="112" t="str">
        <f>IF('Enter (Vac BFs TrCl MB'!$D18=0,"",'Enter (Vac BFs TrCl MB'!$D18)</f>
        <v>Ruby</v>
      </c>
      <c r="U24" s="153" t="s">
        <v>104</v>
      </c>
      <c r="V24" s="153" t="s">
        <v>104</v>
      </c>
      <c r="W24" s="153" t="s">
        <v>111</v>
      </c>
      <c r="X24" s="652" t="s">
        <v>114</v>
      </c>
      <c r="Y24" s="153" t="s">
        <v>105</v>
      </c>
      <c r="Z24" s="637" t="s">
        <v>9</v>
      </c>
      <c r="AA24" s="638" t="s">
        <v>9</v>
      </c>
      <c r="AD24" s="45"/>
    </row>
    <row r="25" spans="2:30" ht="15">
      <c r="B25" s="111" t="str">
        <f>IF('Enter (Vac BFs TrCl MB'!$D19=0,"",'Enter (Vac BFs TrCl MB'!$D19)</f>
        <v>Taran</v>
      </c>
      <c r="C25" s="153" t="s">
        <v>101</v>
      </c>
      <c r="D25" s="153" t="s">
        <v>9</v>
      </c>
      <c r="E25" s="153" t="s">
        <v>9</v>
      </c>
      <c r="F25" s="153" t="s">
        <v>9</v>
      </c>
      <c r="G25" s="153" t="s">
        <v>9</v>
      </c>
      <c r="H25" s="153" t="s">
        <v>113</v>
      </c>
      <c r="I25" s="154" t="s">
        <v>113</v>
      </c>
      <c r="J25" s="810"/>
      <c r="K25" s="112" t="str">
        <f>IF('Enter (Vac BFs TrCl MB'!$D19=0,"",'Enter (Vac BFs TrCl MB'!$D19)</f>
        <v>Taran</v>
      </c>
      <c r="L25" s="153" t="s">
        <v>9</v>
      </c>
      <c r="M25" s="153" t="s">
        <v>9</v>
      </c>
      <c r="N25" s="153" t="s">
        <v>9</v>
      </c>
      <c r="O25" s="153" t="s">
        <v>9</v>
      </c>
      <c r="P25" s="153" t="s">
        <v>111</v>
      </c>
      <c r="Q25" s="153" t="s">
        <v>9</v>
      </c>
      <c r="R25" s="648" t="s">
        <v>101</v>
      </c>
      <c r="S25" s="810"/>
      <c r="T25" s="112" t="str">
        <f>IF('Enter (Vac BFs TrCl MB'!$D19=0,"",'Enter (Vac BFs TrCl MB'!$D19)</f>
        <v>Taran</v>
      </c>
      <c r="U25" s="153" t="s">
        <v>9</v>
      </c>
      <c r="V25" s="153" t="s">
        <v>132</v>
      </c>
      <c r="W25" s="153" t="s">
        <v>9</v>
      </c>
      <c r="X25" s="153" t="s">
        <v>9</v>
      </c>
      <c r="Y25" s="153" t="s">
        <v>111</v>
      </c>
      <c r="Z25" s="153" t="s">
        <v>112</v>
      </c>
      <c r="AA25" s="154" t="s">
        <v>9</v>
      </c>
    </row>
    <row r="26" spans="2:30" ht="15">
      <c r="B26" s="111" t="str">
        <f>IF('Enter (Vac BFs TrCl MB'!$D20=0,"",'Enter (Vac BFs TrCl MB'!$D20)</f>
        <v>Jinse</v>
      </c>
      <c r="C26" s="153" t="s">
        <v>9</v>
      </c>
      <c r="D26" s="153" t="s">
        <v>110</v>
      </c>
      <c r="E26" s="153" t="s">
        <v>110</v>
      </c>
      <c r="F26" s="153" t="s">
        <v>110</v>
      </c>
      <c r="G26" s="153" t="s">
        <v>110</v>
      </c>
      <c r="H26" s="153" t="s">
        <v>110</v>
      </c>
      <c r="I26" s="154" t="s">
        <v>9</v>
      </c>
      <c r="J26" s="810"/>
      <c r="K26" s="112" t="str">
        <f>IF('Enter (Vac BFs TrCl MB'!$D20=0,"",'Enter (Vac BFs TrCl MB'!$D20)</f>
        <v>Jinse</v>
      </c>
      <c r="L26" s="153" t="s">
        <v>9</v>
      </c>
      <c r="M26" s="642" t="s">
        <v>122</v>
      </c>
      <c r="N26" s="153" t="s">
        <v>110</v>
      </c>
      <c r="O26" s="153" t="s">
        <v>9</v>
      </c>
      <c r="P26" s="153" t="s">
        <v>110</v>
      </c>
      <c r="Q26" s="153" t="s">
        <v>110</v>
      </c>
      <c r="R26" s="154" t="s">
        <v>110</v>
      </c>
      <c r="S26" s="810"/>
      <c r="T26" s="112" t="str">
        <f>IF('Enter (Vac BFs TrCl MB'!$D20=0,"",'Enter (Vac BFs TrCl MB'!$D20)</f>
        <v>Jinse</v>
      </c>
      <c r="U26" s="153" t="s">
        <v>110</v>
      </c>
      <c r="V26" s="153" t="s">
        <v>110</v>
      </c>
      <c r="W26" s="153" t="s">
        <v>110</v>
      </c>
      <c r="X26" s="153" t="s">
        <v>110</v>
      </c>
      <c r="Y26" s="153" t="s">
        <v>110</v>
      </c>
      <c r="Z26" s="637" t="s">
        <v>9</v>
      </c>
      <c r="AA26" s="638" t="s">
        <v>9</v>
      </c>
    </row>
    <row r="27" spans="2:30" ht="15">
      <c r="B27" s="111" t="str">
        <f>IF('Enter (Vac BFs TrCl MB'!$D21=0,"",'Enter (Vac BFs TrCl MB'!$D21)</f>
        <v>Marija</v>
      </c>
      <c r="C27" s="153" t="s">
        <v>117</v>
      </c>
      <c r="D27" s="153" t="s">
        <v>117</v>
      </c>
      <c r="E27" s="153" t="s">
        <v>9</v>
      </c>
      <c r="F27" s="153" t="s">
        <v>9</v>
      </c>
      <c r="G27" s="153" t="s">
        <v>9</v>
      </c>
      <c r="H27" s="153" t="s">
        <v>9</v>
      </c>
      <c r="I27" s="154" t="s">
        <v>117</v>
      </c>
      <c r="J27" s="810"/>
      <c r="K27" s="112" t="str">
        <f>IF('Enter (Vac BFs TrCl MB'!$D21=0,"",'Enter (Vac BFs TrCl MB'!$D21)</f>
        <v>Marija</v>
      </c>
      <c r="L27" s="153" t="s">
        <v>117</v>
      </c>
      <c r="M27" s="153" t="s">
        <v>117</v>
      </c>
      <c r="N27" s="153" t="s">
        <v>117</v>
      </c>
      <c r="O27" s="153" t="s">
        <v>3</v>
      </c>
      <c r="P27" s="153" t="s">
        <v>9</v>
      </c>
      <c r="Q27" s="153" t="s">
        <v>3</v>
      </c>
      <c r="R27" s="154" t="s">
        <v>3</v>
      </c>
      <c r="S27" s="810"/>
      <c r="T27" s="112" t="str">
        <f>IF('Enter (Vac BFs TrCl MB'!$D21=0,"",'Enter (Vac BFs TrCl MB'!$D21)</f>
        <v>Marija</v>
      </c>
      <c r="U27" s="153" t="s">
        <v>117</v>
      </c>
      <c r="V27" s="153" t="s">
        <v>117</v>
      </c>
      <c r="W27" s="153" t="s">
        <v>117</v>
      </c>
      <c r="X27" s="153" t="s">
        <v>117</v>
      </c>
      <c r="Y27" s="153" t="s">
        <v>9</v>
      </c>
      <c r="Z27" s="153" t="s">
        <v>9</v>
      </c>
      <c r="AA27" s="154" t="s">
        <v>3</v>
      </c>
    </row>
    <row r="28" spans="2:30" ht="15">
      <c r="B28" s="111" t="s">
        <v>118</v>
      </c>
      <c r="C28" s="153" t="s">
        <v>9</v>
      </c>
      <c r="D28" s="153" t="s">
        <v>9</v>
      </c>
      <c r="E28" s="153" t="s">
        <v>117</v>
      </c>
      <c r="F28" s="153" t="s">
        <v>117</v>
      </c>
      <c r="G28" s="153" t="s">
        <v>117</v>
      </c>
      <c r="H28" s="153" t="s">
        <v>117</v>
      </c>
      <c r="I28" s="154" t="s">
        <v>9</v>
      </c>
      <c r="J28" s="810"/>
      <c r="K28" s="112" t="s">
        <v>118</v>
      </c>
      <c r="L28" s="153" t="s">
        <v>3</v>
      </c>
      <c r="M28" s="642" t="s">
        <v>124</v>
      </c>
      <c r="N28" s="153" t="s">
        <v>9</v>
      </c>
      <c r="O28" s="153" t="s">
        <v>117</v>
      </c>
      <c r="P28" s="153" t="s">
        <v>117</v>
      </c>
      <c r="Q28" s="153" t="s">
        <v>117</v>
      </c>
      <c r="R28" s="154" t="s">
        <v>117</v>
      </c>
      <c r="S28" s="810"/>
      <c r="T28" s="112" t="s">
        <v>118</v>
      </c>
      <c r="U28" s="153" t="s">
        <v>9</v>
      </c>
      <c r="V28" s="153" t="s">
        <v>9</v>
      </c>
      <c r="W28" s="153" t="s">
        <v>9</v>
      </c>
      <c r="X28" s="153" t="s">
        <v>9</v>
      </c>
      <c r="Y28" s="153" t="s">
        <v>117</v>
      </c>
      <c r="Z28" s="153" t="s">
        <v>117</v>
      </c>
      <c r="AA28" s="154" t="s">
        <v>117</v>
      </c>
    </row>
    <row r="29" spans="2:30" ht="15">
      <c r="B29" s="111" t="str">
        <f>IF('Enter (Vac BFs TrCl MB'!$D23=0,"",'Enter (Vac BFs TrCl MB'!$D23)</f>
        <v/>
      </c>
      <c r="C29" s="153" t="str">
        <f>IF(ISERROR(INDEX('Enter (Vac BFs TrCl MB'!$F$7:$AU$37,MATCH(PROSPECT!$B29,'Enter (Vac BFs TrCl MB'!$D$7:$D$37,FALSE),MATCH(PROSPECT!C$11,'Enter (Vac BFs TrCl MB'!$F$6:$AU$6,FALSE))),"",(INDEX('Enter (Vac BFs TrCl MB'!$F$7:$AU$37,MATCH(PROSPECT!$B29,'Enter (Vac BFs TrCl MB'!$D$7:$D$37,FALSE),MATCH(PROSPECT!C$11,'Enter (Vac BFs TrCl MB'!$F$6:$AU$6,FALSE))))</f>
        <v/>
      </c>
      <c r="D29" s="153" t="str">
        <f>IF(ISERROR(INDEX('Enter (Vac BFs TrCl MB'!$F$7:$AU$37,MATCH(PROSPECT!$B29,'Enter (Vac BFs TrCl MB'!$D$7:$D$37,FALSE),MATCH(PROSPECT!D$11,'Enter (Vac BFs TrCl MB'!$F$6:$AU$6,FALSE))),"",(INDEX('Enter (Vac BFs TrCl MB'!$F$7:$AU$37,MATCH(PROSPECT!$B29,'Enter (Vac BFs TrCl MB'!$D$7:$D$37,FALSE),MATCH(PROSPECT!D$11,'Enter (Vac BFs TrCl MB'!$F$6:$AU$6,FALSE))))</f>
        <v/>
      </c>
      <c r="E29" s="153" t="str">
        <f>IF(ISERROR(INDEX('Enter (Vac BFs TrCl MB'!$F$7:$AU$37,MATCH(PROSPECT!$B29,'Enter (Vac BFs TrCl MB'!$D$7:$D$37,FALSE),MATCH(PROSPECT!E$11,'Enter (Vac BFs TrCl MB'!$F$6:$AU$6,FALSE))),"",(INDEX('Enter (Vac BFs TrCl MB'!$F$7:$AU$37,MATCH(PROSPECT!$B29,'Enter (Vac BFs TrCl MB'!$D$7:$D$37,FALSE),MATCH(PROSPECT!E$11,'Enter (Vac BFs TrCl MB'!$F$6:$AU$6,FALSE))))</f>
        <v/>
      </c>
      <c r="F29" s="153" t="str">
        <f>IF(ISERROR(INDEX('Enter (Vac BFs TrCl MB'!$F$7:$AU$37,MATCH(PROSPECT!$B29,'Enter (Vac BFs TrCl MB'!$D$7:$D$37,FALSE),MATCH(PROSPECT!F$11,'Enter (Vac BFs TrCl MB'!$F$6:$AU$6,FALSE))),"",(INDEX('Enter (Vac BFs TrCl MB'!$F$7:$AU$37,MATCH(PROSPECT!$B29,'Enter (Vac BFs TrCl MB'!$D$7:$D$37,FALSE),MATCH(PROSPECT!F$11,'Enter (Vac BFs TrCl MB'!$F$6:$AU$6,FALSE))))</f>
        <v/>
      </c>
      <c r="G29" s="153" t="str">
        <f>IF(ISERROR(INDEX('Enter (Vac BFs TrCl MB'!$F$7:$AU$37,MATCH(PROSPECT!$B29,'Enter (Vac BFs TrCl MB'!$D$7:$D$37,FALSE),MATCH(PROSPECT!G$11,'Enter (Vac BFs TrCl MB'!$F$6:$AU$6,FALSE))),"",(INDEX('Enter (Vac BFs TrCl MB'!$F$7:$AU$37,MATCH(PROSPECT!$B29,'Enter (Vac BFs TrCl MB'!$D$7:$D$37,FALSE),MATCH(PROSPECT!G$11,'Enter (Vac BFs TrCl MB'!$F$6:$AU$6,FALSE))))</f>
        <v/>
      </c>
      <c r="H29" s="153" t="str">
        <f>IF(ISERROR(INDEX('Enter (Vac BFs TrCl MB'!$F$7:$AU$37,MATCH(PROSPECT!$B29,'Enter (Vac BFs TrCl MB'!$D$7:$D$37,FALSE),MATCH(PROSPECT!H$11,'Enter (Vac BFs TrCl MB'!$F$6:$AU$6,FALSE))),"",(INDEX('Enter (Vac BFs TrCl MB'!$F$7:$AU$37,MATCH(PROSPECT!$B29,'Enter (Vac BFs TrCl MB'!$D$7:$D$37,FALSE),MATCH(PROSPECT!H$11,'Enter (Vac BFs TrCl MB'!$F$6:$AU$6,FALSE))))</f>
        <v/>
      </c>
      <c r="I29" s="154" t="str">
        <f>IF(ISERROR(INDEX('Enter (Vac BFs TrCl MB'!$F$7:$AU$37,MATCH(PROSPECT!$B29,'Enter (Vac BFs TrCl MB'!$D$7:$D$37,FALSE),MATCH(PROSPECT!I$11,'Enter (Vac BFs TrCl MB'!$F$6:$AU$6,FALSE))),"",(INDEX('Enter (Vac BFs TrCl MB'!$F$7:$AU$37,MATCH(PROSPECT!$B29,'Enter (Vac BFs TrCl MB'!$D$7:$D$37,FALSE),MATCH(PROSPECT!I$11,'Enter (Vac BFs TrCl MB'!$F$6:$AU$6,FALSE))))</f>
        <v/>
      </c>
      <c r="J29" s="810"/>
      <c r="K29" s="112" t="str">
        <f>IF('Enter (Vac BFs TrCl MB'!$D23=0,"",'Enter (Vac BFs TrCl MB'!$D23)</f>
        <v/>
      </c>
      <c r="L29" s="153" t="str">
        <f>IF(ISERROR(INDEX('Enter (Vac BFs TrCl MB'!$F$7:$AU$37,MATCH(PROSPECT!$B29,'Enter (Vac BFs TrCl MB'!$D$7:$D$37,FALSE),MATCH(PROSPECT!L$11,'Enter (Vac BFs TrCl MB'!$F$6:$AU$6,FALSE))),"",(INDEX('Enter (Vac BFs TrCl MB'!$F$7:$AU$37,MATCH(PROSPECT!$B29,'Enter (Vac BFs TrCl MB'!$D$7:$D$37,FALSE),MATCH(PROSPECT!L$11,'Enter (Vac BFs TrCl MB'!$F$6:$AU$6,FALSE))))</f>
        <v/>
      </c>
      <c r="M29" s="153" t="str">
        <f>IF(ISERROR(INDEX('Enter (Vac BFs TrCl MB'!$F$7:$AU$37,MATCH(PROSPECT!$B29,'Enter (Vac BFs TrCl MB'!$D$7:$D$37,FALSE),MATCH(PROSPECT!M$11,'Enter (Vac BFs TrCl MB'!$F$6:$AU$6,FALSE))),"",(INDEX('Enter (Vac BFs TrCl MB'!$F$7:$AU$37,MATCH(PROSPECT!$B29,'Enter (Vac BFs TrCl MB'!$D$7:$D$37,FALSE),MATCH(PROSPECT!M$11,'Enter (Vac BFs TrCl MB'!$F$6:$AU$6,FALSE))))</f>
        <v/>
      </c>
      <c r="N29" s="153" t="str">
        <f>IF(ISERROR(INDEX('Enter (Vac BFs TrCl MB'!$F$7:$AU$37,MATCH(PROSPECT!$B29,'Enter (Vac BFs TrCl MB'!$D$7:$D$37,FALSE),MATCH(PROSPECT!N$11,'Enter (Vac BFs TrCl MB'!$F$6:$AU$6,FALSE))),"",(INDEX('Enter (Vac BFs TrCl MB'!$F$7:$AU$37,MATCH(PROSPECT!$B29,'Enter (Vac BFs TrCl MB'!$D$7:$D$37,FALSE),MATCH(PROSPECT!N$11,'Enter (Vac BFs TrCl MB'!$F$6:$AU$6,FALSE))))</f>
        <v/>
      </c>
      <c r="O29" s="153" t="str">
        <f>IF(ISERROR(INDEX('Enter (Vac BFs TrCl MB'!$F$7:$AU$37,MATCH(PROSPECT!$B29,'Enter (Vac BFs TrCl MB'!$D$7:$D$37,FALSE),MATCH(PROSPECT!O$11,'Enter (Vac BFs TrCl MB'!$F$6:$AU$6,FALSE))),"",(INDEX('Enter (Vac BFs TrCl MB'!$F$7:$AU$37,MATCH(PROSPECT!$B29,'Enter (Vac BFs TrCl MB'!$D$7:$D$37,FALSE),MATCH(PROSPECT!O$11,'Enter (Vac BFs TrCl MB'!$F$6:$AU$6,FALSE))))</f>
        <v/>
      </c>
      <c r="P29" s="153" t="str">
        <f>IF(ISERROR(INDEX('Enter (Vac BFs TrCl MB'!$F$7:$AU$37,MATCH(PROSPECT!$B29,'Enter (Vac BFs TrCl MB'!$D$7:$D$37,FALSE),MATCH(PROSPECT!P$11,'Enter (Vac BFs TrCl MB'!$F$6:$AU$6,FALSE))),"",(INDEX('Enter (Vac BFs TrCl MB'!$F$7:$AU$37,MATCH(PROSPECT!$B29,'Enter (Vac BFs TrCl MB'!$D$7:$D$37,FALSE),MATCH(PROSPECT!P$11,'Enter (Vac BFs TrCl MB'!$F$6:$AU$6,FALSE))))</f>
        <v/>
      </c>
      <c r="Q29" s="153" t="str">
        <f>IF(ISERROR(INDEX('Enter (Vac BFs TrCl MB'!$F$7:$AU$37,MATCH(PROSPECT!$B29,'Enter (Vac BFs TrCl MB'!$D$7:$D$37,FALSE),MATCH(PROSPECT!Q$11,'Enter (Vac BFs TrCl MB'!$F$6:$AU$6,FALSE))),"",(INDEX('Enter (Vac BFs TrCl MB'!$F$7:$AU$37,MATCH(PROSPECT!$B29,'Enter (Vac BFs TrCl MB'!$D$7:$D$37,FALSE),MATCH(PROSPECT!Q$11,'Enter (Vac BFs TrCl MB'!$F$6:$AU$6,FALSE))))</f>
        <v/>
      </c>
      <c r="R29" s="154" t="str">
        <f>IF(ISERROR(INDEX('Enter (Vac BFs TrCl MB'!$F$7:$AU$37,MATCH(PROSPECT!$B29,'Enter (Vac BFs TrCl MB'!$D$7:$D$37,FALSE),MATCH(PROSPECT!R$11,'Enter (Vac BFs TrCl MB'!$F$6:$AU$6,FALSE))),"",(INDEX('Enter (Vac BFs TrCl MB'!$F$7:$AU$37,MATCH(PROSPECT!$B29,'Enter (Vac BFs TrCl MB'!$D$7:$D$37,FALSE),MATCH(PROSPECT!R$11,'Enter (Vac BFs TrCl MB'!$F$6:$AU$6,FALSE))))</f>
        <v/>
      </c>
      <c r="S29" s="810"/>
      <c r="T29" s="112" t="str">
        <f>IF('Enter (Vac BFs TrCl MB'!$D23=0,"",'Enter (Vac BFs TrCl MB'!$D23)</f>
        <v/>
      </c>
      <c r="U29" s="153" t="str">
        <f>IF(ISERROR(INDEX('Enter (Vac BFs TrCl MB'!$F$7:$AU$37,MATCH(PROSPECT!$B29,'Enter (Vac BFs TrCl MB'!$D$7:$D$37,FALSE),MATCH(PROSPECT!U$11,'Enter (Vac BFs TrCl MB'!$F$6:$AU$6,FALSE))),"",(INDEX('Enter (Vac BFs TrCl MB'!$F$7:$AU$37,MATCH(PROSPECT!$B29,'Enter (Vac BFs TrCl MB'!$D$7:$D$37,FALSE),MATCH(PROSPECT!U$11,'Enter (Vac BFs TrCl MB'!$F$6:$AU$6,FALSE))))</f>
        <v/>
      </c>
      <c r="V29" s="153" t="str">
        <f>IF(ISERROR(INDEX('Enter (Vac BFs TrCl MB'!$F$7:$AU$37,MATCH(PROSPECT!$B29,'Enter (Vac BFs TrCl MB'!$D$7:$D$37,FALSE),MATCH(PROSPECT!V$11,'Enter (Vac BFs TrCl MB'!$F$6:$AU$6,FALSE))),"",(INDEX('Enter (Vac BFs TrCl MB'!$F$7:$AU$37,MATCH(PROSPECT!$B29,'Enter (Vac BFs TrCl MB'!$D$7:$D$37,FALSE),MATCH(PROSPECT!V$11,'Enter (Vac BFs TrCl MB'!$F$6:$AU$6,FALSE))))</f>
        <v/>
      </c>
      <c r="W29" s="153" t="str">
        <f>IF(ISERROR(INDEX('Enter (Vac BFs TrCl MB'!$F$7:$AU$37,MATCH(PROSPECT!$B29,'Enter (Vac BFs TrCl MB'!$D$7:$D$37,FALSE),MATCH(PROSPECT!W$11,'Enter (Vac BFs TrCl MB'!$F$6:$AU$6,FALSE))),"",(INDEX('Enter (Vac BFs TrCl MB'!$F$7:$AU$37,MATCH(PROSPECT!$B29,'Enter (Vac BFs TrCl MB'!$D$7:$D$37,FALSE),MATCH(PROSPECT!W$11,'Enter (Vac BFs TrCl MB'!$F$6:$AU$6,FALSE))))</f>
        <v/>
      </c>
      <c r="X29" s="153" t="str">
        <f>IF(ISERROR(INDEX('Enter (Vac BFs TrCl MB'!$F$7:$AU$37,MATCH(PROSPECT!$B29,'Enter (Vac BFs TrCl MB'!$D$7:$D$37,FALSE),MATCH(PROSPECT!X$11,'Enter (Vac BFs TrCl MB'!$F$6:$AU$6,FALSE))),"",(INDEX('Enter (Vac BFs TrCl MB'!$F$7:$AU$37,MATCH(PROSPECT!$B29,'Enter (Vac BFs TrCl MB'!$D$7:$D$37,FALSE),MATCH(PROSPECT!X$11,'Enter (Vac BFs TrCl MB'!$F$6:$AU$6,FALSE))))</f>
        <v/>
      </c>
      <c r="Y29" s="153" t="str">
        <f>IF(ISERROR(INDEX('Enter (Vac BFs TrCl MB'!$F$7:$AU$37,MATCH(PROSPECT!$B29,'Enter (Vac BFs TrCl MB'!$D$7:$D$37,FALSE),MATCH(PROSPECT!Y$11,'Enter (Vac BFs TrCl MB'!$F$6:$AU$6,FALSE))),"",(INDEX('Enter (Vac BFs TrCl MB'!$F$7:$AU$37,MATCH(PROSPECT!$B29,'Enter (Vac BFs TrCl MB'!$D$7:$D$37,FALSE),MATCH(PROSPECT!Y$11,'Enter (Vac BFs TrCl MB'!$F$6:$AU$6,FALSE))))</f>
        <v/>
      </c>
      <c r="Z29" s="153" t="str">
        <f>IF(ISERROR(INDEX('Enter (Vac BFs TrCl MB'!$F$7:$AU$37,MATCH(PROSPECT!$B29,'Enter (Vac BFs TrCl MB'!$D$7:$D$37,FALSE),MATCH(PROSPECT!Z$11,'Enter (Vac BFs TrCl MB'!$F$6:$AU$6,FALSE))),"",(INDEX('Enter (Vac BFs TrCl MB'!$F$7:$AU$37,MATCH(PROSPECT!$B29,'Enter (Vac BFs TrCl MB'!$D$7:$D$37,FALSE),MATCH(PROSPECT!Z$11,'Enter (Vac BFs TrCl MB'!$F$6:$AU$6,FALSE))))</f>
        <v/>
      </c>
      <c r="AA29" s="154" t="str">
        <f>IF(ISERROR(INDEX('Enter (Vac BFs TrCl MB'!$F$7:$AU$37,MATCH(PROSPECT!$B29,'Enter (Vac BFs TrCl MB'!$D$7:$D$37,FALSE),MATCH(PROSPECT!AA$11,'Enter (Vac BFs TrCl MB'!$F$6:$AU$6,FALSE))),"",(INDEX('Enter (Vac BFs TrCl MB'!$F$7:$AU$37,MATCH(PROSPECT!$B29,'Enter (Vac BFs TrCl MB'!$D$7:$D$37,FALSE),MATCH(PROSPECT!AA$11,'Enter (Vac BFs TrCl MB'!$F$6:$AU$6,FALSE))))</f>
        <v/>
      </c>
    </row>
    <row r="30" spans="2:30" ht="15">
      <c r="B30" s="111" t="s">
        <v>87</v>
      </c>
      <c r="C30" s="153" t="s">
        <v>9</v>
      </c>
      <c r="D30" s="153" t="s">
        <v>9</v>
      </c>
      <c r="E30" s="153" t="s">
        <v>9</v>
      </c>
      <c r="F30" s="153" t="s">
        <v>9</v>
      </c>
      <c r="G30" s="153" t="s">
        <v>9</v>
      </c>
      <c r="H30" s="153" t="s">
        <v>9</v>
      </c>
      <c r="I30" s="154" t="s">
        <v>9</v>
      </c>
      <c r="J30" s="810"/>
      <c r="K30" s="112" t="s">
        <v>265</v>
      </c>
      <c r="L30" s="153" t="s">
        <v>9</v>
      </c>
      <c r="M30" s="153" t="s">
        <v>9</v>
      </c>
      <c r="N30" s="153" t="s">
        <v>9</v>
      </c>
      <c r="O30" s="153" t="s">
        <v>9</v>
      </c>
      <c r="P30" s="153" t="s">
        <v>9</v>
      </c>
      <c r="Q30" s="153" t="s">
        <v>9</v>
      </c>
      <c r="R30" s="154" t="s">
        <v>3</v>
      </c>
      <c r="S30" s="810"/>
      <c r="T30" s="112" t="s">
        <v>265</v>
      </c>
      <c r="U30" s="153" t="s">
        <v>9</v>
      </c>
      <c r="V30" s="153" t="s">
        <v>9</v>
      </c>
      <c r="W30" s="153" t="s">
        <v>9</v>
      </c>
      <c r="X30" s="153" t="s">
        <v>9</v>
      </c>
      <c r="Y30" s="153" t="s">
        <v>9</v>
      </c>
      <c r="Z30" s="153" t="s">
        <v>9</v>
      </c>
      <c r="AA30" s="154" t="s">
        <v>9</v>
      </c>
    </row>
    <row r="31" spans="2:30" ht="15">
      <c r="B31" s="111"/>
      <c r="C31" s="153"/>
      <c r="D31" s="153"/>
      <c r="E31" s="153"/>
      <c r="F31" s="153"/>
      <c r="G31" s="153"/>
      <c r="H31" s="153"/>
      <c r="I31" s="154"/>
      <c r="J31" s="810"/>
      <c r="K31" s="112"/>
      <c r="L31" s="153"/>
      <c r="M31" s="153"/>
      <c r="N31" s="153"/>
      <c r="O31" s="153"/>
      <c r="P31" s="153"/>
      <c r="Q31" s="153"/>
      <c r="R31" s="154"/>
      <c r="S31" s="810"/>
      <c r="T31" s="112"/>
      <c r="U31" s="153"/>
      <c r="V31" s="153"/>
      <c r="W31" s="153"/>
      <c r="X31" s="153"/>
      <c r="Y31" s="153"/>
      <c r="Z31" s="153"/>
      <c r="AA31" s="154"/>
    </row>
    <row r="32" spans="2:30" ht="15">
      <c r="B32" s="111" t="str">
        <f>IF('Enter (Vac BFs TrCl MB'!$D26=0,"",'Enter (Vac BFs TrCl MB'!$D26)</f>
        <v/>
      </c>
      <c r="C32" s="153" t="str">
        <f>IF(ISERROR(INDEX('Enter (Vac BFs TrCl MB'!$F$7:$AU$37,MATCH(PROSPECT!$B32,'Enter (Vac BFs TrCl MB'!$D$7:$D$37,FALSE),MATCH(PROSPECT!C$11,'Enter (Vac BFs TrCl MB'!$F$6:$AU$6,FALSE))),"",(INDEX('Enter (Vac BFs TrCl MB'!$F$7:$AU$37,MATCH(PROSPECT!$B32,'Enter (Vac BFs TrCl MB'!$D$7:$D$37,FALSE),MATCH(PROSPECT!C$11,'Enter (Vac BFs TrCl MB'!$F$6:$AU$6,FALSE))))</f>
        <v/>
      </c>
      <c r="D32" s="153" t="str">
        <f>IF(ISERROR(INDEX('Enter (Vac BFs TrCl MB'!$F$7:$AU$37,MATCH(PROSPECT!$B32,'Enter (Vac BFs TrCl MB'!$D$7:$D$37,FALSE),MATCH(PROSPECT!D$11,'Enter (Vac BFs TrCl MB'!$F$6:$AU$6,FALSE))),"",(INDEX('Enter (Vac BFs TrCl MB'!$F$7:$AU$37,MATCH(PROSPECT!$B32,'Enter (Vac BFs TrCl MB'!$D$7:$D$37,FALSE),MATCH(PROSPECT!D$11,'Enter (Vac BFs TrCl MB'!$F$6:$AU$6,FALSE))))</f>
        <v/>
      </c>
      <c r="E32" s="153" t="str">
        <f>IF(ISERROR(INDEX('Enter (Vac BFs TrCl MB'!$F$7:$AU$37,MATCH(PROSPECT!$B32,'Enter (Vac BFs TrCl MB'!$D$7:$D$37,FALSE),MATCH(PROSPECT!E$11,'Enter (Vac BFs TrCl MB'!$F$6:$AU$6,FALSE))),"",(INDEX('Enter (Vac BFs TrCl MB'!$F$7:$AU$37,MATCH(PROSPECT!$B32,'Enter (Vac BFs TrCl MB'!$D$7:$D$37,FALSE),MATCH(PROSPECT!E$11,'Enter (Vac BFs TrCl MB'!$F$6:$AU$6,FALSE))))</f>
        <v/>
      </c>
      <c r="F32" s="153" t="str">
        <f>IF(ISERROR(INDEX('Enter (Vac BFs TrCl MB'!$F$7:$AU$37,MATCH(PROSPECT!$B32,'Enter (Vac BFs TrCl MB'!$D$7:$D$37,FALSE),MATCH(PROSPECT!F$11,'Enter (Vac BFs TrCl MB'!$F$6:$AU$6,FALSE))),"",(INDEX('Enter (Vac BFs TrCl MB'!$F$7:$AU$37,MATCH(PROSPECT!$B32,'Enter (Vac BFs TrCl MB'!$D$7:$D$37,FALSE),MATCH(PROSPECT!F$11,'Enter (Vac BFs TrCl MB'!$F$6:$AU$6,FALSE))))</f>
        <v/>
      </c>
      <c r="G32" s="153" t="str">
        <f>IF(ISERROR(INDEX('Enter (Vac BFs TrCl MB'!$F$7:$AU$37,MATCH(PROSPECT!$B32,'Enter (Vac BFs TrCl MB'!$D$7:$D$37,FALSE),MATCH(PROSPECT!G$11,'Enter (Vac BFs TrCl MB'!$F$6:$AU$6,FALSE))),"",(INDEX('Enter (Vac BFs TrCl MB'!$F$7:$AU$37,MATCH(PROSPECT!$B32,'Enter (Vac BFs TrCl MB'!$D$7:$D$37,FALSE),MATCH(PROSPECT!G$11,'Enter (Vac BFs TrCl MB'!$F$6:$AU$6,FALSE))))</f>
        <v/>
      </c>
      <c r="H32" s="153" t="str">
        <f>IF(ISERROR(INDEX('Enter (Vac BFs TrCl MB'!$F$7:$AU$37,MATCH(PROSPECT!$B32,'Enter (Vac BFs TrCl MB'!$D$7:$D$37,FALSE),MATCH(PROSPECT!H$11,'Enter (Vac BFs TrCl MB'!$F$6:$AU$6,FALSE))),"",(INDEX('Enter (Vac BFs TrCl MB'!$F$7:$AU$37,MATCH(PROSPECT!$B32,'Enter (Vac BFs TrCl MB'!$D$7:$D$37,FALSE),MATCH(PROSPECT!H$11,'Enter (Vac BFs TrCl MB'!$F$6:$AU$6,FALSE))))</f>
        <v/>
      </c>
      <c r="I32" s="154" t="str">
        <f>IF(ISERROR(INDEX('Enter (Vac BFs TrCl MB'!$F$7:$AU$37,MATCH(PROSPECT!$B32,'Enter (Vac BFs TrCl MB'!$D$7:$D$37,FALSE),MATCH(PROSPECT!I$11,'Enter (Vac BFs TrCl MB'!$F$6:$AU$6,FALSE))),"",(INDEX('Enter (Vac BFs TrCl MB'!$F$7:$AU$37,MATCH(PROSPECT!$B32,'Enter (Vac BFs TrCl MB'!$D$7:$D$37,FALSE),MATCH(PROSPECT!I$11,'Enter (Vac BFs TrCl MB'!$F$6:$AU$6,FALSE))))</f>
        <v/>
      </c>
      <c r="J32" s="810"/>
      <c r="K32" s="112" t="str">
        <f>IF('Enter (Vac BFs TrCl MB'!$D26=0,"",'Enter (Vac BFs TrCl MB'!$D26)</f>
        <v/>
      </c>
      <c r="L32" s="153" t="str">
        <f>IF(ISERROR(INDEX('Enter (Vac BFs TrCl MB'!$F$7:$AU$37,MATCH(PROSPECT!$B32,'Enter (Vac BFs TrCl MB'!$D$7:$D$37,FALSE),MATCH(PROSPECT!L$11,'Enter (Vac BFs TrCl MB'!$F$6:$AU$6,FALSE))),"",(INDEX('Enter (Vac BFs TrCl MB'!$F$7:$AU$37,MATCH(PROSPECT!$B32,'Enter (Vac BFs TrCl MB'!$D$7:$D$37,FALSE),MATCH(PROSPECT!L$11,'Enter (Vac BFs TrCl MB'!$F$6:$AU$6,FALSE))))</f>
        <v/>
      </c>
      <c r="M32" s="153" t="str">
        <f>IF(ISERROR(INDEX('Enter (Vac BFs TrCl MB'!$F$7:$AU$37,MATCH(PROSPECT!$B32,'Enter (Vac BFs TrCl MB'!$D$7:$D$37,FALSE),MATCH(PROSPECT!M$11,'Enter (Vac BFs TrCl MB'!$F$6:$AU$6,FALSE))),"",(INDEX('Enter (Vac BFs TrCl MB'!$F$7:$AU$37,MATCH(PROSPECT!$B32,'Enter (Vac BFs TrCl MB'!$D$7:$D$37,FALSE),MATCH(PROSPECT!M$11,'Enter (Vac BFs TrCl MB'!$F$6:$AU$6,FALSE))))</f>
        <v/>
      </c>
      <c r="N32" s="153" t="str">
        <f>IF(ISERROR(INDEX('Enter (Vac BFs TrCl MB'!$F$7:$AU$37,MATCH(PROSPECT!$B32,'Enter (Vac BFs TrCl MB'!$D$7:$D$37,FALSE),MATCH(PROSPECT!N$11,'Enter (Vac BFs TrCl MB'!$F$6:$AU$6,FALSE))),"",(INDEX('Enter (Vac BFs TrCl MB'!$F$7:$AU$37,MATCH(PROSPECT!$B32,'Enter (Vac BFs TrCl MB'!$D$7:$D$37,FALSE),MATCH(PROSPECT!N$11,'Enter (Vac BFs TrCl MB'!$F$6:$AU$6,FALSE))))</f>
        <v/>
      </c>
      <c r="O32" s="153" t="str">
        <f>IF(ISERROR(INDEX('Enter (Vac BFs TrCl MB'!$F$7:$AU$37,MATCH(PROSPECT!$B32,'Enter (Vac BFs TrCl MB'!$D$7:$D$37,FALSE),MATCH(PROSPECT!O$11,'Enter (Vac BFs TrCl MB'!$F$6:$AU$6,FALSE))),"",(INDEX('Enter (Vac BFs TrCl MB'!$F$7:$AU$37,MATCH(PROSPECT!$B32,'Enter (Vac BFs TrCl MB'!$D$7:$D$37,FALSE),MATCH(PROSPECT!O$11,'Enter (Vac BFs TrCl MB'!$F$6:$AU$6,FALSE))))</f>
        <v/>
      </c>
      <c r="P32" s="153" t="str">
        <f>IF(ISERROR(INDEX('Enter (Vac BFs TrCl MB'!$F$7:$AU$37,MATCH(PROSPECT!$B32,'Enter (Vac BFs TrCl MB'!$D$7:$D$37,FALSE),MATCH(PROSPECT!P$11,'Enter (Vac BFs TrCl MB'!$F$6:$AU$6,FALSE))),"",(INDEX('Enter (Vac BFs TrCl MB'!$F$7:$AU$37,MATCH(PROSPECT!$B32,'Enter (Vac BFs TrCl MB'!$D$7:$D$37,FALSE),MATCH(PROSPECT!P$11,'Enter (Vac BFs TrCl MB'!$F$6:$AU$6,FALSE))))</f>
        <v/>
      </c>
      <c r="Q32" s="153" t="str">
        <f>IF(ISERROR(INDEX('Enter (Vac BFs TrCl MB'!$F$7:$AU$37,MATCH(PROSPECT!$B32,'Enter (Vac BFs TrCl MB'!$D$7:$D$37,FALSE),MATCH(PROSPECT!Q$11,'Enter (Vac BFs TrCl MB'!$F$6:$AU$6,FALSE))),"",(INDEX('Enter (Vac BFs TrCl MB'!$F$7:$AU$37,MATCH(PROSPECT!$B32,'Enter (Vac BFs TrCl MB'!$D$7:$D$37,FALSE),MATCH(PROSPECT!Q$11,'Enter (Vac BFs TrCl MB'!$F$6:$AU$6,FALSE))))</f>
        <v/>
      </c>
      <c r="R32" s="154" t="str">
        <f>IF(ISERROR(INDEX('Enter (Vac BFs TrCl MB'!$F$7:$AU$37,MATCH(PROSPECT!$B32,'Enter (Vac BFs TrCl MB'!$D$7:$D$37,FALSE),MATCH(PROSPECT!R$11,'Enter (Vac BFs TrCl MB'!$F$6:$AU$6,FALSE))),"",(INDEX('Enter (Vac BFs TrCl MB'!$F$7:$AU$37,MATCH(PROSPECT!$B32,'Enter (Vac BFs TrCl MB'!$D$7:$D$37,FALSE),MATCH(PROSPECT!R$11,'Enter (Vac BFs TrCl MB'!$F$6:$AU$6,FALSE))))</f>
        <v/>
      </c>
      <c r="S32" s="810"/>
      <c r="T32" s="112" t="str">
        <f>IF('Enter (Vac BFs TrCl MB'!$D26=0,"",'Enter (Vac BFs TrCl MB'!$D26)</f>
        <v/>
      </c>
      <c r="U32" s="153" t="str">
        <f>IF(ISERROR(INDEX('Enter (Vac BFs TrCl MB'!$F$7:$AU$37,MATCH(PROSPECT!$B32,'Enter (Vac BFs TrCl MB'!$D$7:$D$37,FALSE),MATCH(PROSPECT!U$11,'Enter (Vac BFs TrCl MB'!$F$6:$AU$6,FALSE))),"",(INDEX('Enter (Vac BFs TrCl MB'!$F$7:$AU$37,MATCH(PROSPECT!$B32,'Enter (Vac BFs TrCl MB'!$D$7:$D$37,FALSE),MATCH(PROSPECT!U$11,'Enter (Vac BFs TrCl MB'!$F$6:$AU$6,FALSE))))</f>
        <v/>
      </c>
      <c r="V32" s="153" t="str">
        <f>IF(ISERROR(INDEX('Enter (Vac BFs TrCl MB'!$F$7:$AU$37,MATCH(PROSPECT!$B32,'Enter (Vac BFs TrCl MB'!$D$7:$D$37,FALSE),MATCH(PROSPECT!V$11,'Enter (Vac BFs TrCl MB'!$F$6:$AU$6,FALSE))),"",(INDEX('Enter (Vac BFs TrCl MB'!$F$7:$AU$37,MATCH(PROSPECT!$B32,'Enter (Vac BFs TrCl MB'!$D$7:$D$37,FALSE),MATCH(PROSPECT!V$11,'Enter (Vac BFs TrCl MB'!$F$6:$AU$6,FALSE))))</f>
        <v/>
      </c>
      <c r="W32" s="153" t="str">
        <f>IF(ISERROR(INDEX('Enter (Vac BFs TrCl MB'!$F$7:$AU$37,MATCH(PROSPECT!$B32,'Enter (Vac BFs TrCl MB'!$D$7:$D$37,FALSE),MATCH(PROSPECT!W$11,'Enter (Vac BFs TrCl MB'!$F$6:$AU$6,FALSE))),"",(INDEX('Enter (Vac BFs TrCl MB'!$F$7:$AU$37,MATCH(PROSPECT!$B32,'Enter (Vac BFs TrCl MB'!$D$7:$D$37,FALSE),MATCH(PROSPECT!W$11,'Enter (Vac BFs TrCl MB'!$F$6:$AU$6,FALSE))))</f>
        <v/>
      </c>
      <c r="X32" s="153" t="str">
        <f>IF(ISERROR(INDEX('Enter (Vac BFs TrCl MB'!$F$7:$AU$37,MATCH(PROSPECT!$B32,'Enter (Vac BFs TrCl MB'!$D$7:$D$37,FALSE),MATCH(PROSPECT!X$11,'Enter (Vac BFs TrCl MB'!$F$6:$AU$6,FALSE))),"",(INDEX('Enter (Vac BFs TrCl MB'!$F$7:$AU$37,MATCH(PROSPECT!$B32,'Enter (Vac BFs TrCl MB'!$D$7:$D$37,FALSE),MATCH(PROSPECT!X$11,'Enter (Vac BFs TrCl MB'!$F$6:$AU$6,FALSE))))</f>
        <v/>
      </c>
      <c r="Y32" s="153" t="str">
        <f>IF(ISERROR(INDEX('Enter (Vac BFs TrCl MB'!$F$7:$AU$37,MATCH(PROSPECT!$B32,'Enter (Vac BFs TrCl MB'!$D$7:$D$37,FALSE),MATCH(PROSPECT!Y$11,'Enter (Vac BFs TrCl MB'!$F$6:$AU$6,FALSE))),"",(INDEX('Enter (Vac BFs TrCl MB'!$F$7:$AU$37,MATCH(PROSPECT!$B32,'Enter (Vac BFs TrCl MB'!$D$7:$D$37,FALSE),MATCH(PROSPECT!Y$11,'Enter (Vac BFs TrCl MB'!$F$6:$AU$6,FALSE))))</f>
        <v/>
      </c>
      <c r="Z32" s="153" t="str">
        <f>IF(ISERROR(INDEX('Enter (Vac BFs TrCl MB'!$F$7:$AU$37,MATCH(PROSPECT!$B32,'Enter (Vac BFs TrCl MB'!$D$7:$D$37,FALSE),MATCH(PROSPECT!Z$11,'Enter (Vac BFs TrCl MB'!$F$6:$AU$6,FALSE))),"",(INDEX('Enter (Vac BFs TrCl MB'!$F$7:$AU$37,MATCH(PROSPECT!$B32,'Enter (Vac BFs TrCl MB'!$D$7:$D$37,FALSE),MATCH(PROSPECT!Z$11,'Enter (Vac BFs TrCl MB'!$F$6:$AU$6,FALSE))))</f>
        <v/>
      </c>
      <c r="AA32" s="154" t="str">
        <f>IF(ISERROR(INDEX('Enter (Vac BFs TrCl MB'!$F$7:$AU$37,MATCH(PROSPECT!$B32,'Enter (Vac BFs TrCl MB'!$D$7:$D$37,FALSE),MATCH(PROSPECT!AA$11,'Enter (Vac BFs TrCl MB'!$F$6:$AU$6,FALSE))),"",(INDEX('Enter (Vac BFs TrCl MB'!$F$7:$AU$37,MATCH(PROSPECT!$B32,'Enter (Vac BFs TrCl MB'!$D$7:$D$37,FALSE),MATCH(PROSPECT!AA$11,'Enter (Vac BFs TrCl MB'!$F$6:$AU$6,FALSE))))</f>
        <v/>
      </c>
    </row>
    <row r="33" spans="2:27" ht="15">
      <c r="B33" s="111" t="str">
        <f>IF('Enter (Vac BFs TrCl MB'!$D27=0,"",'Enter (Vac BFs TrCl MB'!$D27)</f>
        <v xml:space="preserve">TL </v>
      </c>
      <c r="C33" s="153">
        <f>IF(ISERROR(INDEX('Enter (Vac BFs TrCl MB'!$F$7:$AU$37,MATCH(PROSPECT!$B33,'Enter (Vac BFs TrCl MB'!$D$7:$D$37,FALSE),MATCH(PROSPECT!C$11,'Enter (Vac BFs TrCl MB'!$F$6:$AU$6,FALSE))),"",(INDEX('Enter (Vac BFs TrCl MB'!$F$7:$AU$37,MATCH(PROSPECT!$B33,'Enter (Vac BFs TrCl MB'!$D$7:$D$37,FALSE),MATCH(PROSPECT!C$11,'Enter (Vac BFs TrCl MB'!$F$6:$AU$6,FALSE))))</f>
        <v>0</v>
      </c>
      <c r="D33" s="153">
        <f>IF(ISERROR(INDEX('Enter (Vac BFs TrCl MB'!$F$7:$AU$37,MATCH(PROSPECT!$B33,'Enter (Vac BFs TrCl MB'!$D$7:$D$37,FALSE),MATCH(PROSPECT!D$11,'Enter (Vac BFs TrCl MB'!$F$6:$AU$6,FALSE))),"",(INDEX('Enter (Vac BFs TrCl MB'!$F$7:$AU$37,MATCH(PROSPECT!$B33,'Enter (Vac BFs TrCl MB'!$D$7:$D$37,FALSE),MATCH(PROSPECT!D$11,'Enter (Vac BFs TrCl MB'!$F$6:$AU$6,FALSE))))</f>
        <v>0</v>
      </c>
      <c r="E33" s="153">
        <f>IF(ISERROR(INDEX('Enter (Vac BFs TrCl MB'!$F$7:$AU$37,MATCH(PROSPECT!$B33,'Enter (Vac BFs TrCl MB'!$D$7:$D$37,FALSE),MATCH(PROSPECT!E$11,'Enter (Vac BFs TrCl MB'!$F$6:$AU$6,FALSE))),"",(INDEX('Enter (Vac BFs TrCl MB'!$F$7:$AU$37,MATCH(PROSPECT!$B33,'Enter (Vac BFs TrCl MB'!$D$7:$D$37,FALSE),MATCH(PROSPECT!E$11,'Enter (Vac BFs TrCl MB'!$F$6:$AU$6,FALSE))))</f>
        <v>0</v>
      </c>
      <c r="F33" s="153">
        <f>IF(ISERROR(INDEX('Enter (Vac BFs TrCl MB'!$F$7:$AU$37,MATCH(PROSPECT!$B33,'Enter (Vac BFs TrCl MB'!$D$7:$D$37,FALSE),MATCH(PROSPECT!F$11,'Enter (Vac BFs TrCl MB'!$F$6:$AU$6,FALSE))),"",(INDEX('Enter (Vac BFs TrCl MB'!$F$7:$AU$37,MATCH(PROSPECT!$B33,'Enter (Vac BFs TrCl MB'!$D$7:$D$37,FALSE),MATCH(PROSPECT!F$11,'Enter (Vac BFs TrCl MB'!$F$6:$AU$6,FALSE))))</f>
        <v>0</v>
      </c>
      <c r="G33" s="153">
        <f>IF(ISERROR(INDEX('Enter (Vac BFs TrCl MB'!$F$7:$AU$37,MATCH(PROSPECT!$B33,'Enter (Vac BFs TrCl MB'!$D$7:$D$37,FALSE),MATCH(PROSPECT!G$11,'Enter (Vac BFs TrCl MB'!$F$6:$AU$6,FALSE))),"",(INDEX('Enter (Vac BFs TrCl MB'!$F$7:$AU$37,MATCH(PROSPECT!$B33,'Enter (Vac BFs TrCl MB'!$D$7:$D$37,FALSE),MATCH(PROSPECT!G$11,'Enter (Vac BFs TrCl MB'!$F$6:$AU$6,FALSE))))</f>
        <v>0</v>
      </c>
      <c r="H33" s="153">
        <f>IF(ISERROR(INDEX('Enter (Vac BFs TrCl MB'!$F$7:$AU$37,MATCH(PROSPECT!$B33,'Enter (Vac BFs TrCl MB'!$D$7:$D$37,FALSE),MATCH(PROSPECT!H$11,'Enter (Vac BFs TrCl MB'!$F$6:$AU$6,FALSE))),"",(INDEX('Enter (Vac BFs TrCl MB'!$F$7:$AU$37,MATCH(PROSPECT!$B33,'Enter (Vac BFs TrCl MB'!$D$7:$D$37,FALSE),MATCH(PROSPECT!H$11,'Enter (Vac BFs TrCl MB'!$F$6:$AU$6,FALSE))))</f>
        <v>0</v>
      </c>
      <c r="I33" s="154">
        <f>IF(ISERROR(INDEX('Enter (Vac BFs TrCl MB'!$F$7:$AU$37,MATCH(PROSPECT!$B33,'Enter (Vac BFs TrCl MB'!$D$7:$D$37,FALSE),MATCH(PROSPECT!I$11,'Enter (Vac BFs TrCl MB'!$F$6:$AU$6,FALSE))),"",(INDEX('Enter (Vac BFs TrCl MB'!$F$7:$AU$37,MATCH(PROSPECT!$B33,'Enter (Vac BFs TrCl MB'!$D$7:$D$37,FALSE),MATCH(PROSPECT!I$11,'Enter (Vac BFs TrCl MB'!$F$6:$AU$6,FALSE))))</f>
        <v>0</v>
      </c>
      <c r="J33" s="810"/>
      <c r="K33" s="112" t="str">
        <f>IF('Enter (Vac BFs TrCl MB'!$D27=0,"",'Enter (Vac BFs TrCl MB'!$D27)</f>
        <v xml:space="preserve">TL </v>
      </c>
      <c r="L33" s="153">
        <f>IF(ISERROR(INDEX('Enter (Vac BFs TrCl MB'!$F$7:$AU$37,MATCH(PROSPECT!$B33,'Enter (Vac BFs TrCl MB'!$D$7:$D$37,FALSE),MATCH(PROSPECT!L$11,'Enter (Vac BFs TrCl MB'!$F$6:$AU$6,FALSE))),"",(INDEX('Enter (Vac BFs TrCl MB'!$F$7:$AU$37,MATCH(PROSPECT!$B33,'Enter (Vac BFs TrCl MB'!$D$7:$D$37,FALSE),MATCH(PROSPECT!L$11,'Enter (Vac BFs TrCl MB'!$F$6:$AU$6,FALSE))))</f>
        <v>0</v>
      </c>
      <c r="M33" s="153">
        <f>IF(ISERROR(INDEX('Enter (Vac BFs TrCl MB'!$F$7:$AU$37,MATCH(PROSPECT!$B33,'Enter (Vac BFs TrCl MB'!$D$7:$D$37,FALSE),MATCH(PROSPECT!M$11,'Enter (Vac BFs TrCl MB'!$F$6:$AU$6,FALSE))),"",(INDEX('Enter (Vac BFs TrCl MB'!$F$7:$AU$37,MATCH(PROSPECT!$B33,'Enter (Vac BFs TrCl MB'!$D$7:$D$37,FALSE),MATCH(PROSPECT!M$11,'Enter (Vac BFs TrCl MB'!$F$6:$AU$6,FALSE))))</f>
        <v>0</v>
      </c>
      <c r="N33" s="153">
        <f>IF(ISERROR(INDEX('Enter (Vac BFs TrCl MB'!$F$7:$AU$37,MATCH(PROSPECT!$B33,'Enter (Vac BFs TrCl MB'!$D$7:$D$37,FALSE),MATCH(PROSPECT!N$11,'Enter (Vac BFs TrCl MB'!$F$6:$AU$6,FALSE))),"",(INDEX('Enter (Vac BFs TrCl MB'!$F$7:$AU$37,MATCH(PROSPECT!$B33,'Enter (Vac BFs TrCl MB'!$D$7:$D$37,FALSE),MATCH(PROSPECT!N$11,'Enter (Vac BFs TrCl MB'!$F$6:$AU$6,FALSE))))</f>
        <v>0</v>
      </c>
      <c r="O33" s="153">
        <f>IF(ISERROR(INDEX('Enter (Vac BFs TrCl MB'!$F$7:$AU$37,MATCH(PROSPECT!$B33,'Enter (Vac BFs TrCl MB'!$D$7:$D$37,FALSE),MATCH(PROSPECT!O$11,'Enter (Vac BFs TrCl MB'!$F$6:$AU$6,FALSE))),"",(INDEX('Enter (Vac BFs TrCl MB'!$F$7:$AU$37,MATCH(PROSPECT!$B33,'Enter (Vac BFs TrCl MB'!$D$7:$D$37,FALSE),MATCH(PROSPECT!O$11,'Enter (Vac BFs TrCl MB'!$F$6:$AU$6,FALSE))))</f>
        <v>0</v>
      </c>
      <c r="P33" s="153">
        <f>IF(ISERROR(INDEX('Enter (Vac BFs TrCl MB'!$F$7:$AU$37,MATCH(PROSPECT!$B33,'Enter (Vac BFs TrCl MB'!$D$7:$D$37,FALSE),MATCH(PROSPECT!P$11,'Enter (Vac BFs TrCl MB'!$F$6:$AU$6,FALSE))),"",(INDEX('Enter (Vac BFs TrCl MB'!$F$7:$AU$37,MATCH(PROSPECT!$B33,'Enter (Vac BFs TrCl MB'!$D$7:$D$37,FALSE),MATCH(PROSPECT!P$11,'Enter (Vac BFs TrCl MB'!$F$6:$AU$6,FALSE))))</f>
        <v>0</v>
      </c>
      <c r="Q33" s="153">
        <f>IF(ISERROR(INDEX('Enter (Vac BFs TrCl MB'!$F$7:$AU$37,MATCH(PROSPECT!$B33,'Enter (Vac BFs TrCl MB'!$D$7:$D$37,FALSE),MATCH(PROSPECT!Q$11,'Enter (Vac BFs TrCl MB'!$F$6:$AU$6,FALSE))),"",(INDEX('Enter (Vac BFs TrCl MB'!$F$7:$AU$37,MATCH(PROSPECT!$B33,'Enter (Vac BFs TrCl MB'!$D$7:$D$37,FALSE),MATCH(PROSPECT!Q$11,'Enter (Vac BFs TrCl MB'!$F$6:$AU$6,FALSE))))</f>
        <v>0</v>
      </c>
      <c r="R33" s="154">
        <f>IF(ISERROR(INDEX('Enter (Vac BFs TrCl MB'!$F$7:$AU$37,MATCH(PROSPECT!$B33,'Enter (Vac BFs TrCl MB'!$D$7:$D$37,FALSE),MATCH(PROSPECT!R$11,'Enter (Vac BFs TrCl MB'!$F$6:$AU$6,FALSE))),"",(INDEX('Enter (Vac BFs TrCl MB'!$F$7:$AU$37,MATCH(PROSPECT!$B33,'Enter (Vac BFs TrCl MB'!$D$7:$D$37,FALSE),MATCH(PROSPECT!R$11,'Enter (Vac BFs TrCl MB'!$F$6:$AU$6,FALSE))))</f>
        <v>0</v>
      </c>
      <c r="S33" s="810"/>
      <c r="T33" s="112" t="str">
        <f>IF('Enter (Vac BFs TrCl MB'!$D27=0,"",'Enter (Vac BFs TrCl MB'!$D27)</f>
        <v xml:space="preserve">TL </v>
      </c>
      <c r="U33" s="153">
        <f>IF(ISERROR(INDEX('Enter (Vac BFs TrCl MB'!$F$7:$AU$37,MATCH(PROSPECT!$B33,'Enter (Vac BFs TrCl MB'!$D$7:$D$37,FALSE),MATCH(PROSPECT!U$11,'Enter (Vac BFs TrCl MB'!$F$6:$AU$6,FALSE))),"",(INDEX('Enter (Vac BFs TrCl MB'!$F$7:$AU$37,MATCH(PROSPECT!$B33,'Enter (Vac BFs TrCl MB'!$D$7:$D$37,FALSE),MATCH(PROSPECT!U$11,'Enter (Vac BFs TrCl MB'!$F$6:$AU$6,FALSE))))</f>
        <v>0</v>
      </c>
      <c r="V33" s="153">
        <f>IF(ISERROR(INDEX('Enter (Vac BFs TrCl MB'!$F$7:$AU$37,MATCH(PROSPECT!$B33,'Enter (Vac BFs TrCl MB'!$D$7:$D$37,FALSE),MATCH(PROSPECT!V$11,'Enter (Vac BFs TrCl MB'!$F$6:$AU$6,FALSE))),"",(INDEX('Enter (Vac BFs TrCl MB'!$F$7:$AU$37,MATCH(PROSPECT!$B33,'Enter (Vac BFs TrCl MB'!$D$7:$D$37,FALSE),MATCH(PROSPECT!V$11,'Enter (Vac BFs TrCl MB'!$F$6:$AU$6,FALSE))))</f>
        <v>0</v>
      </c>
      <c r="W33" s="153">
        <f>IF(ISERROR(INDEX('Enter (Vac BFs TrCl MB'!$F$7:$AU$37,MATCH(PROSPECT!$B33,'Enter (Vac BFs TrCl MB'!$D$7:$D$37,FALSE),MATCH(PROSPECT!W$11,'Enter (Vac BFs TrCl MB'!$F$6:$AU$6,FALSE))),"",(INDEX('Enter (Vac BFs TrCl MB'!$F$7:$AU$37,MATCH(PROSPECT!$B33,'Enter (Vac BFs TrCl MB'!$D$7:$D$37,FALSE),MATCH(PROSPECT!W$11,'Enter (Vac BFs TrCl MB'!$F$6:$AU$6,FALSE))))</f>
        <v>0</v>
      </c>
      <c r="X33" s="153">
        <f>IF(ISERROR(INDEX('Enter (Vac BFs TrCl MB'!$F$7:$AU$37,MATCH(PROSPECT!$B33,'Enter (Vac BFs TrCl MB'!$D$7:$D$37,FALSE),MATCH(PROSPECT!X$11,'Enter (Vac BFs TrCl MB'!$F$6:$AU$6,FALSE))),"",(INDEX('Enter (Vac BFs TrCl MB'!$F$7:$AU$37,MATCH(PROSPECT!$B33,'Enter (Vac BFs TrCl MB'!$D$7:$D$37,FALSE),MATCH(PROSPECT!X$11,'Enter (Vac BFs TrCl MB'!$F$6:$AU$6,FALSE))))</f>
        <v>0</v>
      </c>
      <c r="Y33" s="153">
        <f>IF(ISERROR(INDEX('Enter (Vac BFs TrCl MB'!$F$7:$AU$37,MATCH(PROSPECT!$B33,'Enter (Vac BFs TrCl MB'!$D$7:$D$37,FALSE),MATCH(PROSPECT!Y$11,'Enter (Vac BFs TrCl MB'!$F$6:$AU$6,FALSE))),"",(INDEX('Enter (Vac BFs TrCl MB'!$F$7:$AU$37,MATCH(PROSPECT!$B33,'Enter (Vac BFs TrCl MB'!$D$7:$D$37,FALSE),MATCH(PROSPECT!Y$11,'Enter (Vac BFs TrCl MB'!$F$6:$AU$6,FALSE))))</f>
        <v>0</v>
      </c>
      <c r="Z33" s="153">
        <f>IF(ISERROR(INDEX('Enter (Vac BFs TrCl MB'!$F$7:$AU$37,MATCH(PROSPECT!$B33,'Enter (Vac BFs TrCl MB'!$D$7:$D$37,FALSE),MATCH(PROSPECT!Z$11,'Enter (Vac BFs TrCl MB'!$F$6:$AU$6,FALSE))),"",(INDEX('Enter (Vac BFs TrCl MB'!$F$7:$AU$37,MATCH(PROSPECT!$B33,'Enter (Vac BFs TrCl MB'!$D$7:$D$37,FALSE),MATCH(PROSPECT!Z$11,'Enter (Vac BFs TrCl MB'!$F$6:$AU$6,FALSE))))</f>
        <v>0</v>
      </c>
      <c r="AA33" s="154">
        <f>IF(ISERROR(INDEX('Enter (Vac BFs TrCl MB'!$F$7:$AU$37,MATCH(PROSPECT!$B33,'Enter (Vac BFs TrCl MB'!$D$7:$D$37,FALSE),MATCH(PROSPECT!AA$11,'Enter (Vac BFs TrCl MB'!$F$6:$AU$6,FALSE))),"",(INDEX('Enter (Vac BFs TrCl MB'!$F$7:$AU$37,MATCH(PROSPECT!$B33,'Enter (Vac BFs TrCl MB'!$D$7:$D$37,FALSE),MATCH(PROSPECT!AA$11,'Enter (Vac BFs TrCl MB'!$F$6:$AU$6,FALSE))))</f>
        <v>0</v>
      </c>
    </row>
    <row r="34" spans="2:27" ht="15.4" thickBot="1">
      <c r="B34" s="144" t="str">
        <f>IF('Enter (Vac BFs TrCl MB'!$D28=0,"",'Enter (Vac BFs TrCl MB'!$D28)</f>
        <v>Lakshay</v>
      </c>
      <c r="C34" s="155">
        <f>IF(ISERROR(INDEX('Enter (Vac BFs TrCl MB'!$F$7:$AU$37,MATCH(PROSPECT!$B34,'Enter (Vac BFs TrCl MB'!$D$7:$D$37,FALSE),MATCH(PROSPECT!C$11,'Enter (Vac BFs TrCl MB'!$F$6:$AU$6,FALSE))),"",(INDEX('Enter (Vac BFs TrCl MB'!$F$7:$AU$37,MATCH(PROSPECT!$B34,'Enter (Vac BFs TrCl MB'!$D$7:$D$37,FALSE),MATCH(PROSPECT!C$11,'Enter (Vac BFs TrCl MB'!$F$6:$AU$6,FALSE))))</f>
        <v>0</v>
      </c>
      <c r="D34" s="155">
        <f>IF(ISERROR(INDEX('Enter (Vac BFs TrCl MB'!$F$7:$AU$37,MATCH(PROSPECT!$B34,'Enter (Vac BFs TrCl MB'!$D$7:$D$37,FALSE),MATCH(PROSPECT!D$11,'Enter (Vac BFs TrCl MB'!$F$6:$AU$6,FALSE))),"",(INDEX('Enter (Vac BFs TrCl MB'!$F$7:$AU$37,MATCH(PROSPECT!$B34,'Enter (Vac BFs TrCl MB'!$D$7:$D$37,FALSE),MATCH(PROSPECT!D$11,'Enter (Vac BFs TrCl MB'!$F$6:$AU$6,FALSE))))</f>
        <v>0</v>
      </c>
      <c r="E34" s="155">
        <f>IF(ISERROR(INDEX('Enter (Vac BFs TrCl MB'!$F$7:$AU$37,MATCH(PROSPECT!$B34,'Enter (Vac BFs TrCl MB'!$D$7:$D$37,FALSE),MATCH(PROSPECT!E$11,'Enter (Vac BFs TrCl MB'!$F$6:$AU$6,FALSE))),"",(INDEX('Enter (Vac BFs TrCl MB'!$F$7:$AU$37,MATCH(PROSPECT!$B34,'Enter (Vac BFs TrCl MB'!$D$7:$D$37,FALSE),MATCH(PROSPECT!E$11,'Enter (Vac BFs TrCl MB'!$F$6:$AU$6,FALSE))))</f>
        <v>0</v>
      </c>
      <c r="F34" s="155">
        <f>IF(ISERROR(INDEX('Enter (Vac BFs TrCl MB'!$F$7:$AU$37,MATCH(PROSPECT!$B34,'Enter (Vac BFs TrCl MB'!$D$7:$D$37,FALSE),MATCH(PROSPECT!F$11,'Enter (Vac BFs TrCl MB'!$F$6:$AU$6,FALSE))),"",(INDEX('Enter (Vac BFs TrCl MB'!$F$7:$AU$37,MATCH(PROSPECT!$B34,'Enter (Vac BFs TrCl MB'!$D$7:$D$37,FALSE),MATCH(PROSPECT!F$11,'Enter (Vac BFs TrCl MB'!$F$6:$AU$6,FALSE))))</f>
        <v>0</v>
      </c>
      <c r="G34" s="155">
        <f>IF(ISERROR(INDEX('Enter (Vac BFs TrCl MB'!$F$7:$AU$37,MATCH(PROSPECT!$B34,'Enter (Vac BFs TrCl MB'!$D$7:$D$37,FALSE),MATCH(PROSPECT!G$11,'Enter (Vac BFs TrCl MB'!$F$6:$AU$6,FALSE))),"",(INDEX('Enter (Vac BFs TrCl MB'!$F$7:$AU$37,MATCH(PROSPECT!$B34,'Enter (Vac BFs TrCl MB'!$D$7:$D$37,FALSE),MATCH(PROSPECT!G$11,'Enter (Vac BFs TrCl MB'!$F$6:$AU$6,FALSE))))</f>
        <v>0</v>
      </c>
      <c r="H34" s="155">
        <f>IF(ISERROR(INDEX('Enter (Vac BFs TrCl MB'!$F$7:$AU$37,MATCH(PROSPECT!$B34,'Enter (Vac BFs TrCl MB'!$D$7:$D$37,FALSE),MATCH(PROSPECT!H$11,'Enter (Vac BFs TrCl MB'!$F$6:$AU$6,FALSE))),"",(INDEX('Enter (Vac BFs TrCl MB'!$F$7:$AU$37,MATCH(PROSPECT!$B34,'Enter (Vac BFs TrCl MB'!$D$7:$D$37,FALSE),MATCH(PROSPECT!H$11,'Enter (Vac BFs TrCl MB'!$F$6:$AU$6,FALSE))))</f>
        <v>0</v>
      </c>
      <c r="I34" s="156">
        <f>IF(ISERROR(INDEX('Enter (Vac BFs TrCl MB'!$F$7:$AU$37,MATCH(PROSPECT!$B34,'Enter (Vac BFs TrCl MB'!$D$7:$D$37,FALSE),MATCH(PROSPECT!I$11,'Enter (Vac BFs TrCl MB'!$F$6:$AU$6,FALSE))),"",(INDEX('Enter (Vac BFs TrCl MB'!$F$7:$AU$37,MATCH(PROSPECT!$B34,'Enter (Vac BFs TrCl MB'!$D$7:$D$37,FALSE),MATCH(PROSPECT!I$11,'Enter (Vac BFs TrCl MB'!$F$6:$AU$6,FALSE))))</f>
        <v>0</v>
      </c>
      <c r="J34" s="810"/>
      <c r="K34" s="113" t="str">
        <f>IF('Enter (Vac BFs TrCl MB'!$D28=0,"",'Enter (Vac BFs TrCl MB'!$D28)</f>
        <v>Lakshay</v>
      </c>
      <c r="L34" s="153" t="str">
        <f>IF(ISERROR(INDEX('Enter (Vac BFs TrCl MB'!$F$7:$AJ$37,MATCH(REGENT!$B34,'Enter (Vac BFs TrCl MB'!$D$7:$D$37,FALSE),MATCH(REGENT!L$11,'Enter (Vac BFs TrCl MB'!$F$6:$AJ$6,FALSE))),"",(INDEX('Enter (Vac BFs TrCl MB'!$F$7:$AJ$37,MATCH(REGENT!$B34,'Enter (Vac BFs TrCl MB'!$D$7:$D$37,FALSE),MATCH(REGENT!L$11,'Enter (Vac BFs TrCl MB'!$F$6:$AJ$6,FALSE))))</f>
        <v/>
      </c>
      <c r="M34" s="153" t="str">
        <f>IF(ISERROR(INDEX('Enter (Vac BFs TrCl MB'!$F$7:$AJ$37,MATCH(REGENT!$B34,'Enter (Vac BFs TrCl MB'!$D$7:$D$37,FALSE),MATCH(REGENT!M$11,'Enter (Vac BFs TrCl MB'!$F$6:$AJ$6,FALSE))),"",(INDEX('Enter (Vac BFs TrCl MB'!$F$7:$AJ$37,MATCH(REGENT!$B34,'Enter (Vac BFs TrCl MB'!$D$7:$D$37,FALSE),MATCH(REGENT!M$11,'Enter (Vac BFs TrCl MB'!$F$6:$AJ$6,FALSE))))</f>
        <v/>
      </c>
      <c r="N34" s="652" t="s">
        <v>114</v>
      </c>
      <c r="O34" s="652" t="s">
        <v>114</v>
      </c>
      <c r="P34" s="652" t="s">
        <v>114</v>
      </c>
      <c r="Q34" s="652" t="s">
        <v>114</v>
      </c>
      <c r="R34" s="658" t="s">
        <v>114</v>
      </c>
      <c r="S34" s="810"/>
      <c r="T34" s="113" t="str">
        <f>IF('Enter (Vac BFs TrCl MB'!$D28=0,"",'Enter (Vac BFs TrCl MB'!$D28)</f>
        <v>Lakshay</v>
      </c>
      <c r="U34" s="660" t="s">
        <v>194</v>
      </c>
      <c r="V34" s="155">
        <f>IF(ISERROR(INDEX('Enter (Vac BFs TrCl MB'!$F$7:$AU$37,MATCH(PROSPECT!$B34,'Enter (Vac BFs TrCl MB'!$D$7:$D$37,FALSE),MATCH(PROSPECT!V$11,'Enter (Vac BFs TrCl MB'!$F$6:$AU$6,FALSE))),"",(INDEX('Enter (Vac BFs TrCl MB'!$F$7:$AU$37,MATCH(PROSPECT!$B34,'Enter (Vac BFs TrCl MB'!$D$7:$D$37,FALSE),MATCH(PROSPECT!V$11,'Enter (Vac BFs TrCl MB'!$F$6:$AU$6,FALSE))))</f>
        <v>0</v>
      </c>
      <c r="W34" s="155" t="s">
        <v>96</v>
      </c>
      <c r="X34" s="155" t="s">
        <v>138</v>
      </c>
      <c r="Y34" s="660" t="s">
        <v>114</v>
      </c>
      <c r="Z34" s="155"/>
      <c r="AA34" s="156"/>
    </row>
    <row r="35" spans="2:27" ht="14.65" thickBot="1">
      <c r="B35" s="781"/>
      <c r="C35" s="781"/>
      <c r="D35" s="781"/>
      <c r="E35" s="781"/>
      <c r="F35" s="781"/>
      <c r="G35" s="781"/>
      <c r="H35" s="781"/>
      <c r="I35" s="781"/>
      <c r="J35" s="781"/>
      <c r="K35" s="781"/>
      <c r="L35" s="781"/>
      <c r="M35" s="781"/>
      <c r="N35" s="781"/>
      <c r="O35" s="781"/>
      <c r="P35" s="781"/>
      <c r="Q35" s="781"/>
      <c r="R35" s="781"/>
      <c r="S35" s="781"/>
      <c r="T35" s="781"/>
      <c r="U35" s="781"/>
      <c r="V35" s="781"/>
      <c r="W35" s="781"/>
      <c r="X35" s="781"/>
      <c r="Y35" s="781"/>
      <c r="Z35" s="781"/>
      <c r="AA35" s="781"/>
    </row>
    <row r="36" spans="2:27" ht="17.2" customHeight="1">
      <c r="B36" s="782" t="str">
        <f>IF('Enter Projections'!A1,"Événements
spéciaux","Special
Events")</f>
        <v>Special
Events</v>
      </c>
      <c r="C36" s="657" t="s">
        <v>202</v>
      </c>
      <c r="D36" s="108" t="s">
        <v>240</v>
      </c>
      <c r="E36" s="108" t="s">
        <v>139</v>
      </c>
      <c r="F36" s="108"/>
      <c r="G36" s="108"/>
      <c r="H36" s="108"/>
      <c r="I36" s="109"/>
      <c r="J36" s="784"/>
      <c r="K36" s="782" t="str">
        <f>IF('Enter Projections'!A1,"Événements
spéciaux","Special
Events")</f>
        <v>Special
Events</v>
      </c>
      <c r="L36" s="108"/>
      <c r="M36" s="108"/>
      <c r="N36" s="647" t="s">
        <v>227</v>
      </c>
      <c r="O36" s="108"/>
      <c r="P36" s="108"/>
      <c r="Q36" s="108"/>
      <c r="R36" s="109"/>
      <c r="S36" s="784"/>
      <c r="T36" s="785" t="s">
        <v>38</v>
      </c>
      <c r="U36" s="786"/>
      <c r="V36" s="786"/>
      <c r="W36" s="786"/>
      <c r="X36" s="786"/>
      <c r="Y36" s="786"/>
      <c r="Z36" s="786"/>
      <c r="AA36" s="787"/>
    </row>
    <row r="37" spans="2:27" ht="15">
      <c r="B37" s="783"/>
      <c r="C37" s="95"/>
      <c r="D37" s="95" t="s">
        <v>241</v>
      </c>
      <c r="E37" s="95" t="s">
        <v>7</v>
      </c>
      <c r="F37" s="95"/>
      <c r="G37" s="95"/>
      <c r="H37" s="95"/>
      <c r="I37" s="110"/>
      <c r="J37" s="784"/>
      <c r="K37" s="783"/>
      <c r="L37" s="95"/>
      <c r="M37" s="95" t="s">
        <v>242</v>
      </c>
      <c r="N37" s="646" t="s">
        <v>228</v>
      </c>
      <c r="O37" s="95"/>
      <c r="P37" s="95"/>
      <c r="Q37" s="95"/>
      <c r="R37" s="110"/>
      <c r="S37" s="784"/>
      <c r="T37" s="280" t="s">
        <v>39</v>
      </c>
      <c r="U37" s="278" t="s">
        <v>40</v>
      </c>
      <c r="V37" s="788" t="s">
        <v>41</v>
      </c>
      <c r="W37" s="788"/>
      <c r="X37" s="788"/>
      <c r="Y37" s="788"/>
      <c r="Z37" s="788"/>
      <c r="AA37" s="789"/>
    </row>
    <row r="38" spans="2:27" ht="15.4">
      <c r="B38" s="103" t="str">
        <f>IF('Enter (Vac BFs TrCl MB'!$D32=0,"",'Enter (Vac BFs TrCl MB'!$D32)</f>
        <v/>
      </c>
      <c r="C38" s="90"/>
      <c r="D38" s="90" t="str">
        <f>IF(ISERROR(INDEX('Enter (Vac BFs TrCl MB'!$F$7:$AU$37,MATCH(PROSPECT!$B7,'Enter (Vac BFs TrCl MB'!$D$7:$D$37,FALSE),MATCH(PROSPECT!D$42,'Enter (Vac BFs TrCl MB'!$F$6:$AU$6,FALSE))),"",(INDEX('Enter (Vac BFs TrCl MB'!$F$7:$AU$37,MATCH(PROSPECT!$B7,'Enter (Vac BFs TrCl MB'!$D$7:$D$37,FALSE),MATCH(PROSPECT!D$42,'Enter (Vac BFs TrCl MB'!$F$6:$AU$6,FALSE))))</f>
        <v/>
      </c>
      <c r="E38" s="90" t="s">
        <v>140</v>
      </c>
      <c r="F38" s="90" t="str">
        <f>IF(ISERROR(INDEX('Enter (Vac BFs TrCl MB'!$F$7:$AU$37,MATCH(PROSPECT!$B7,'Enter (Vac BFs TrCl MB'!$D$7:$D$37,FALSE),MATCH(PROSPECT!F$42,'Enter (Vac BFs TrCl MB'!$F$6:$AU$6,FALSE))),"",(INDEX('Enter (Vac BFs TrCl MB'!$F$7:$AU$37,MATCH(PROSPECT!$B7,'Enter (Vac BFs TrCl MB'!$D$7:$D$37,FALSE),MATCH(PROSPECT!F$42,'Enter (Vac BFs TrCl MB'!$F$6:$AU$6,FALSE))))</f>
        <v/>
      </c>
      <c r="G38" s="90" t="str">
        <f>IF(ISERROR(INDEX('Enter (Vac BFs TrCl MB'!$F$7:$AU$37,MATCH(PROSPECT!$B7,'Enter (Vac BFs TrCl MB'!$D$7:$D$37,FALSE),MATCH(PROSPECT!G$42,'Enter (Vac BFs TrCl MB'!$F$6:$AU$6,FALSE))),"",(INDEX('Enter (Vac BFs TrCl MB'!$F$7:$AU$37,MATCH(PROSPECT!$B7,'Enter (Vac BFs TrCl MB'!$D$7:$D$37,FALSE),MATCH(PROSPECT!G$42,'Enter (Vac BFs TrCl MB'!$F$6:$AU$6,FALSE))))</f>
        <v/>
      </c>
      <c r="H38" s="90" t="str">
        <f>IF(ISERROR(INDEX('Enter (Vac BFs TrCl MB'!$F$7:$AU$37,MATCH(PROSPECT!$B7,'Enter (Vac BFs TrCl MB'!$D$7:$D$37,FALSE),MATCH(PROSPECT!H$42,'Enter (Vac BFs TrCl MB'!$F$6:$AU$6,FALSE))),"",(INDEX('Enter (Vac BFs TrCl MB'!$F$7:$AU$37,MATCH(PROSPECT!$B7,'Enter (Vac BFs TrCl MB'!$D$7:$D$37,FALSE),MATCH(PROSPECT!H$42,'Enter (Vac BFs TrCl MB'!$F$6:$AU$6,FALSE))))</f>
        <v/>
      </c>
      <c r="I38" s="102" t="str">
        <f>IF(ISERROR(INDEX('Enter (Vac BFs TrCl MB'!$F$7:$AU$37,MATCH(PROSPECT!$B7,'Enter (Vac BFs TrCl MB'!$D$7:$D$37,FALSE),MATCH(PROSPECT!I$42,'Enter (Vac BFs TrCl MB'!$F$6:$AU$6,FALSE))),"",(INDEX('Enter (Vac BFs TrCl MB'!$F$7:$AU$37,MATCH(PROSPECT!$B7,'Enter (Vac BFs TrCl MB'!$D$7:$D$37,FALSE),MATCH(PROSPECT!I$42,'Enter (Vac BFs TrCl MB'!$F$6:$AU$6,FALSE))))</f>
        <v/>
      </c>
      <c r="J38" s="784"/>
      <c r="K38" s="103" t="str">
        <f>IF('Enter (Vac BFs TrCl MB'!$D32=0,"",'Enter (Vac BFs TrCl MB'!$D32)</f>
        <v/>
      </c>
      <c r="L38" s="90" t="str">
        <f>IF(ISERROR(INDEX('Enter (Vac BFs TrCl MB'!$F$7:$AP$37,MATCH(PROSPECT!$B7,'Enter (Vac BFs TrCl MB'!$D$7:$D$37,FALSE),MATCH(PROSPECT!L$42,'Enter (Vac BFs TrCl MB'!$F$6:$AP$6,FALSE))),"",(INDEX('Enter (Vac BFs TrCl MB'!$F$7:$AP$37,MATCH(PROSPECT!$B7,'Enter (Vac BFs TrCl MB'!$D$7:$D$37,FALSE),MATCH(PROSPECT!L$42,'Enter (Vac BFs TrCl MB'!$F$6:$AP$6,FALSE))))</f>
        <v/>
      </c>
      <c r="M38" s="90" t="s">
        <v>243</v>
      </c>
      <c r="N38" s="90" t="str">
        <f>IF(ISERROR(INDEX('Enter (Vac BFs TrCl MB'!$F$7:$AP$37,MATCH(PROSPECT!$B7,'Enter (Vac BFs TrCl MB'!$D$7:$D$37,FALSE),MATCH(PROSPECT!N$42,'Enter (Vac BFs TrCl MB'!$F$6:$AP$6,FALSE))),"",(INDEX('Enter (Vac BFs TrCl MB'!$F$7:$AP$37,MATCH(PROSPECT!$B7,'Enter (Vac BFs TrCl MB'!$D$7:$D$37,FALSE),MATCH(PROSPECT!N$42,'Enter (Vac BFs TrCl MB'!$F$6:$AP$6,FALSE))))</f>
        <v/>
      </c>
      <c r="O38" s="90" t="str">
        <f>IF(ISERROR(INDEX('Enter (Vac BFs TrCl MB'!$F$7:$AP$37,MATCH(PROSPECT!$B7,'Enter (Vac BFs TrCl MB'!$D$7:$D$37,FALSE),MATCH(PROSPECT!O$42,'Enter (Vac BFs TrCl MB'!$F$6:$AP$6,FALSE))),"",(INDEX('Enter (Vac BFs TrCl MB'!$F$7:$AP$37,MATCH(PROSPECT!$B7,'Enter (Vac BFs TrCl MB'!$D$7:$D$37,FALSE),MATCH(PROSPECT!O$42,'Enter (Vac BFs TrCl MB'!$F$6:$AP$6,FALSE))))</f>
        <v/>
      </c>
      <c r="P38" s="90" t="str">
        <f>IF(ISERROR(INDEX('Enter (Vac BFs TrCl MB'!$F$7:$AP$37,MATCH(PROSPECT!$B7,'Enter (Vac BFs TrCl MB'!$D$7:$D$37,FALSE),MATCH(PROSPECT!P$42,'Enter (Vac BFs TrCl MB'!$F$6:$AP$6,FALSE))),"",(INDEX('Enter (Vac BFs TrCl MB'!$F$7:$AP$37,MATCH(PROSPECT!$B7,'Enter (Vac BFs TrCl MB'!$D$7:$D$37,FALSE),MATCH(PROSPECT!P$42,'Enter (Vac BFs TrCl MB'!$F$6:$AP$6,FALSE))))</f>
        <v/>
      </c>
      <c r="Q38" s="90" t="str">
        <f>IF(ISERROR(INDEX('Enter (Vac BFs TrCl MB'!$F$7:$AP$37,MATCH(PROSPECT!$B7,'Enter (Vac BFs TrCl MB'!$D$7:$D$37,FALSE),MATCH(PROSPECT!Q$42,'Enter (Vac BFs TrCl MB'!$F$6:$AP$6,FALSE))),"",(INDEX('Enter (Vac BFs TrCl MB'!$F$7:$AP$37,MATCH(PROSPECT!$B7,'Enter (Vac BFs TrCl MB'!$D$7:$D$37,FALSE),MATCH(PROSPECT!Q$42,'Enter (Vac BFs TrCl MB'!$F$6:$AP$6,FALSE))))</f>
        <v/>
      </c>
      <c r="R38" s="102" t="str">
        <f>IF(ISERROR(INDEX('Enter (Vac BFs TrCl MB'!$F$7:$AP$37,MATCH(PROSPECT!$B7,'Enter (Vac BFs TrCl MB'!$D$7:$D$37,FALSE),MATCH(PROSPECT!R$42,'Enter (Vac BFs TrCl MB'!$F$6:$AP$6,FALSE))),"",(INDEX('Enter (Vac BFs TrCl MB'!$F$7:$AP$37,MATCH(PROSPECT!$B7,'Enter (Vac BFs TrCl MB'!$D$7:$D$37,FALSE),MATCH(PROSPECT!R$42,'Enter (Vac BFs TrCl MB'!$F$6:$AP$6,FALSE))))</f>
        <v/>
      </c>
      <c r="S38" s="784"/>
      <c r="T38" s="634">
        <v>45320</v>
      </c>
      <c r="U38" s="279"/>
      <c r="V38" s="790" t="s">
        <v>161</v>
      </c>
      <c r="W38" s="790"/>
      <c r="X38" s="790"/>
      <c r="Y38" s="790"/>
      <c r="Z38" s="790"/>
      <c r="AA38" s="791"/>
    </row>
    <row r="39" spans="2:27" ht="15.4">
      <c r="B39" s="103" t="str">
        <f>IF('Enter (Vac BFs TrCl MB'!$D33=0,"",'Enter (Vac BFs TrCl MB'!$D33)</f>
        <v>SHAKE</v>
      </c>
      <c r="C39" s="90">
        <f>IF(ISERROR(INDEX('Enter (Vac BFs TrCl MB'!$F$7:$AU$37,MATCH(PROSPECT!$B8,'Enter (Vac BFs TrCl MB'!$D$7:$D$37,FALSE),MATCH(PROSPECT!C$42,'Enter (Vac BFs TrCl MB'!$F$6:$AU$6,FALSE))),"",(INDEX('Enter (Vac BFs TrCl MB'!$F$7:$AU$37,MATCH(PROSPECT!$B8,'Enter (Vac BFs TrCl MB'!$D$7:$D$37,FALSE),MATCH(PROSPECT!C$42,'Enter (Vac BFs TrCl MB'!$F$6:$AU$6,FALSE))))</f>
        <v>0</v>
      </c>
      <c r="D39" s="90">
        <f>IF(ISERROR(INDEX('Enter (Vac BFs TrCl MB'!$F$7:$AU$37,MATCH(PROSPECT!$B8,'Enter (Vac BFs TrCl MB'!$D$7:$D$37,FALSE),MATCH(PROSPECT!D$42,'Enter (Vac BFs TrCl MB'!$F$6:$AU$6,FALSE))),"",(INDEX('Enter (Vac BFs TrCl MB'!$F$7:$AU$37,MATCH(PROSPECT!$B8,'Enter (Vac BFs TrCl MB'!$D$7:$D$37,FALSE),MATCH(PROSPECT!D$42,'Enter (Vac BFs TrCl MB'!$F$6:$AU$6,FALSE))))</f>
        <v>0</v>
      </c>
      <c r="E39" s="90">
        <f>IF(ISERROR(INDEX('Enter (Vac BFs TrCl MB'!$F$7:$AU$37,MATCH(PROSPECT!$B8,'Enter (Vac BFs TrCl MB'!$D$7:$D$37,FALSE),MATCH(PROSPECT!E$42,'Enter (Vac BFs TrCl MB'!$F$6:$AU$6,FALSE))),"",(INDEX('Enter (Vac BFs TrCl MB'!$F$7:$AU$37,MATCH(PROSPECT!$B8,'Enter (Vac BFs TrCl MB'!$D$7:$D$37,FALSE),MATCH(PROSPECT!E$42,'Enter (Vac BFs TrCl MB'!$F$6:$AU$6,FALSE))))</f>
        <v>0</v>
      </c>
      <c r="F39" s="90">
        <f>IF(ISERROR(INDEX('Enter (Vac BFs TrCl MB'!$F$7:$AU$37,MATCH(PROSPECT!$B8,'Enter (Vac BFs TrCl MB'!$D$7:$D$37,FALSE),MATCH(PROSPECT!F$42,'Enter (Vac BFs TrCl MB'!$F$6:$AU$6,FALSE))),"",(INDEX('Enter (Vac BFs TrCl MB'!$F$7:$AU$37,MATCH(PROSPECT!$B8,'Enter (Vac BFs TrCl MB'!$D$7:$D$37,FALSE),MATCH(PROSPECT!F$42,'Enter (Vac BFs TrCl MB'!$F$6:$AU$6,FALSE))))</f>
        <v>0</v>
      </c>
      <c r="G39" s="90">
        <f>IF(ISERROR(INDEX('Enter (Vac BFs TrCl MB'!$F$7:$AU$37,MATCH(PROSPECT!$B8,'Enter (Vac BFs TrCl MB'!$D$7:$D$37,FALSE),MATCH(PROSPECT!G$42,'Enter (Vac BFs TrCl MB'!$F$6:$AU$6,FALSE))),"",(INDEX('Enter (Vac BFs TrCl MB'!$F$7:$AU$37,MATCH(PROSPECT!$B8,'Enter (Vac BFs TrCl MB'!$D$7:$D$37,FALSE),MATCH(PROSPECT!G$42,'Enter (Vac BFs TrCl MB'!$F$6:$AU$6,FALSE))))</f>
        <v>0</v>
      </c>
      <c r="H39" s="90">
        <f>IF(ISERROR(INDEX('Enter (Vac BFs TrCl MB'!$F$7:$AU$37,MATCH(PROSPECT!$B8,'Enter (Vac BFs TrCl MB'!$D$7:$D$37,FALSE),MATCH(PROSPECT!H$42,'Enter (Vac BFs TrCl MB'!$F$6:$AU$6,FALSE))),"",(INDEX('Enter (Vac BFs TrCl MB'!$F$7:$AU$37,MATCH(PROSPECT!$B8,'Enter (Vac BFs TrCl MB'!$D$7:$D$37,FALSE),MATCH(PROSPECT!H$42,'Enter (Vac BFs TrCl MB'!$F$6:$AU$6,FALSE))))</f>
        <v>0</v>
      </c>
      <c r="I39" s="102">
        <f>IF(ISERROR(INDEX('Enter (Vac BFs TrCl MB'!$F$7:$AU$37,MATCH(PROSPECT!$B8,'Enter (Vac BFs TrCl MB'!$D$7:$D$37,FALSE),MATCH(PROSPECT!I$42,'Enter (Vac BFs TrCl MB'!$F$6:$AU$6,FALSE))),"",(INDEX('Enter (Vac BFs TrCl MB'!$F$7:$AU$37,MATCH(PROSPECT!$B8,'Enter (Vac BFs TrCl MB'!$D$7:$D$37,FALSE),MATCH(PROSPECT!I$42,'Enter (Vac BFs TrCl MB'!$F$6:$AU$6,FALSE))))</f>
        <v>0</v>
      </c>
      <c r="J39" s="784"/>
      <c r="K39" s="103" t="str">
        <f>IF('Enter (Vac BFs TrCl MB'!$D33=0,"",'Enter (Vac BFs TrCl MB'!$D33)</f>
        <v>SHAKE</v>
      </c>
      <c r="L39" s="90">
        <f>IF(ISERROR(INDEX('Enter (Vac BFs TrCl MB'!$F$7:$AP$37,MATCH(PROSPECT!$B8,'Enter (Vac BFs TrCl MB'!$D$7:$D$37,FALSE),MATCH(PROSPECT!L$42,'Enter (Vac BFs TrCl MB'!$F$6:$AP$6,FALSE))),"",(INDEX('Enter (Vac BFs TrCl MB'!$F$7:$AP$37,MATCH(PROSPECT!$B8,'Enter (Vac BFs TrCl MB'!$D$7:$D$37,FALSE),MATCH(PROSPECT!L$42,'Enter (Vac BFs TrCl MB'!$F$6:$AP$6,FALSE))))</f>
        <v>0</v>
      </c>
      <c r="M39" s="90">
        <f>IF(ISERROR(INDEX('Enter (Vac BFs TrCl MB'!$F$7:$AP$37,MATCH(PROSPECT!$B8,'Enter (Vac BFs TrCl MB'!$D$7:$D$37,FALSE),MATCH(PROSPECT!M$42,'Enter (Vac BFs TrCl MB'!$F$6:$AP$6,FALSE))),"",(INDEX('Enter (Vac BFs TrCl MB'!$F$7:$AP$37,MATCH(PROSPECT!$B8,'Enter (Vac BFs TrCl MB'!$D$7:$D$37,FALSE),MATCH(PROSPECT!M$42,'Enter (Vac BFs TrCl MB'!$F$6:$AP$6,FALSE))))</f>
        <v>0</v>
      </c>
      <c r="N39" s="90" t="str">
        <f>IF(ISERROR(INDEX('Enter (Vac BFs TrCl MB'!$F$7:$AP$37,MATCH(PROSPECT!$B8,'Enter (Vac BFs TrCl MB'!$D$7:$D$37,FALSE),MATCH(PROSPECT!N$42,'Enter (Vac BFs TrCl MB'!$F$6:$AP$6,FALSE))),"",(INDEX('Enter (Vac BFs TrCl MB'!$F$7:$AP$37,MATCH(PROSPECT!$B8,'Enter (Vac BFs TrCl MB'!$D$7:$D$37,FALSE),MATCH(PROSPECT!N$42,'Enter (Vac BFs TrCl MB'!$F$6:$AP$6,FALSE))))</f>
        <v>CYC</v>
      </c>
      <c r="O39" s="90">
        <f>IF(ISERROR(INDEX('Enter (Vac BFs TrCl MB'!$F$7:$AP$37,MATCH(PROSPECT!$B8,'Enter (Vac BFs TrCl MB'!$D$7:$D$37,FALSE),MATCH(PROSPECT!O$42,'Enter (Vac BFs TrCl MB'!$F$6:$AP$6,FALSE))),"",(INDEX('Enter (Vac BFs TrCl MB'!$F$7:$AP$37,MATCH(PROSPECT!$B8,'Enter (Vac BFs TrCl MB'!$D$7:$D$37,FALSE),MATCH(PROSPECT!O$42,'Enter (Vac BFs TrCl MB'!$F$6:$AP$6,FALSE))))</f>
        <v>0</v>
      </c>
      <c r="P39" s="90" t="str">
        <f>IF(ISERROR(INDEX('Enter (Vac BFs TrCl MB'!$F$7:$AP$37,MATCH(PROSPECT!$B8,'Enter (Vac BFs TrCl MB'!$D$7:$D$37,FALSE),MATCH(PROSPECT!P$42,'Enter (Vac BFs TrCl MB'!$F$6:$AP$6,FALSE))),"",(INDEX('Enter (Vac BFs TrCl MB'!$F$7:$AP$37,MATCH(PROSPECT!$B8,'Enter (Vac BFs TrCl MB'!$D$7:$D$37,FALSE),MATCH(PROSPECT!P$42,'Enter (Vac BFs TrCl MB'!$F$6:$AP$6,FALSE))))</f>
        <v>CYC</v>
      </c>
      <c r="Q39" s="90">
        <f>IF(ISERROR(INDEX('Enter (Vac BFs TrCl MB'!$F$7:$AP$37,MATCH(PROSPECT!$B8,'Enter (Vac BFs TrCl MB'!$D$7:$D$37,FALSE),MATCH(PROSPECT!Q$42,'Enter (Vac BFs TrCl MB'!$F$6:$AP$6,FALSE))),"",(INDEX('Enter (Vac BFs TrCl MB'!$F$7:$AP$37,MATCH(PROSPECT!$B8,'Enter (Vac BFs TrCl MB'!$D$7:$D$37,FALSE),MATCH(PROSPECT!Q$42,'Enter (Vac BFs TrCl MB'!$F$6:$AP$6,FALSE))))</f>
        <v>0</v>
      </c>
      <c r="R39" s="102" t="str">
        <f>IF(ISERROR(INDEX('Enter (Vac BFs TrCl MB'!$F$7:$AP$37,MATCH(PROSPECT!$B8,'Enter (Vac BFs TrCl MB'!$D$7:$D$37,FALSE),MATCH(PROSPECT!R$42,'Enter (Vac BFs TrCl MB'!$F$6:$AP$6,FALSE))),"",(INDEX('Enter (Vac BFs TrCl MB'!$F$7:$AP$37,MATCH(PROSPECT!$B8,'Enter (Vac BFs TrCl MB'!$D$7:$D$37,FALSE),MATCH(PROSPECT!R$42,'Enter (Vac BFs TrCl MB'!$F$6:$AP$6,FALSE))))</f>
        <v>WK</v>
      </c>
      <c r="S39" s="784"/>
      <c r="T39" s="634">
        <v>45320</v>
      </c>
      <c r="U39" s="279"/>
      <c r="V39" s="790" t="s">
        <v>162</v>
      </c>
      <c r="W39" s="790"/>
      <c r="X39" s="790"/>
      <c r="Y39" s="790"/>
      <c r="Z39" s="790"/>
      <c r="AA39" s="791"/>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91" t="str">
        <f>Planner!K$59</f>
        <v/>
      </c>
      <c r="J40" s="784"/>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91" t="str">
        <f>Planner!K$71</f>
        <v/>
      </c>
      <c r="S40" s="784"/>
      <c r="T40" s="635">
        <v>45321</v>
      </c>
      <c r="U40" s="275"/>
      <c r="V40" s="792" t="s">
        <v>163</v>
      </c>
      <c r="W40" s="792"/>
      <c r="X40" s="792"/>
      <c r="Y40" s="792"/>
      <c r="Z40" s="792"/>
      <c r="AA40" s="793"/>
    </row>
    <row r="41" spans="2:27" ht="15.4">
      <c r="B41" s="104" t="str">
        <f>IF('Enter Projections'!$A$1,"NC","G.C.")</f>
        <v>G.C.</v>
      </c>
      <c r="C41" s="91" t="str">
        <f>Planner!E$60</f>
        <v/>
      </c>
      <c r="D41" s="91" t="str">
        <f>Planner!F$60</f>
        <v/>
      </c>
      <c r="E41" s="91" t="str">
        <f>Planner!G$60</f>
        <v/>
      </c>
      <c r="F41" s="91" t="str">
        <f>Planner!H$60</f>
        <v/>
      </c>
      <c r="G41" s="91" t="str">
        <f>Planner!I$60</f>
        <v/>
      </c>
      <c r="H41" s="91" t="str">
        <f>Planner!J$60</f>
        <v/>
      </c>
      <c r="I41" s="91" t="str">
        <f>Planner!K$60</f>
        <v/>
      </c>
      <c r="J41" s="784"/>
      <c r="K41" s="104" t="str">
        <f>IF('Enter Projections'!$A$1,"NC","G.C.")</f>
        <v>G.C.</v>
      </c>
      <c r="L41" s="91" t="str">
        <f>Planner!E$72</f>
        <v/>
      </c>
      <c r="M41" s="91" t="str">
        <f>Planner!F$72</f>
        <v/>
      </c>
      <c r="N41" s="91" t="str">
        <f>Planner!G$72</f>
        <v/>
      </c>
      <c r="O41" s="91" t="str">
        <f>Planner!H$72</f>
        <v/>
      </c>
      <c r="P41" s="91" t="str">
        <f>Planner!I$72</f>
        <v/>
      </c>
      <c r="Q41" s="91" t="str">
        <f>Planner!J$72</f>
        <v/>
      </c>
      <c r="R41" s="91" t="str">
        <f>Planner!K$72</f>
        <v/>
      </c>
      <c r="S41" s="784"/>
      <c r="T41" s="635">
        <v>45322</v>
      </c>
      <c r="U41" s="275"/>
      <c r="V41" s="792" t="s">
        <v>164</v>
      </c>
      <c r="W41" s="792"/>
      <c r="X41" s="792"/>
      <c r="Y41" s="792"/>
      <c r="Z41" s="792"/>
      <c r="AA41" s="793"/>
    </row>
    <row r="42" spans="2:27" ht="15.4">
      <c r="B42" s="104" t="s">
        <v>32</v>
      </c>
      <c r="C42" s="93">
        <v>45341</v>
      </c>
      <c r="D42" s="93">
        <v>45342</v>
      </c>
      <c r="E42" s="93">
        <v>45343</v>
      </c>
      <c r="F42" s="93">
        <v>45344</v>
      </c>
      <c r="G42" s="93">
        <v>45345</v>
      </c>
      <c r="H42" s="93">
        <v>45346</v>
      </c>
      <c r="I42" s="93">
        <v>45347</v>
      </c>
      <c r="J42" s="784"/>
      <c r="K42" s="104" t="s">
        <v>32</v>
      </c>
      <c r="L42" s="93">
        <v>45348</v>
      </c>
      <c r="M42" s="93">
        <v>45349</v>
      </c>
      <c r="N42" s="93">
        <v>45350</v>
      </c>
      <c r="O42" s="93">
        <v>45351</v>
      </c>
      <c r="P42" s="93">
        <v>45352</v>
      </c>
      <c r="Q42" s="93">
        <v>45353</v>
      </c>
      <c r="R42" s="93">
        <v>45354</v>
      </c>
      <c r="S42" s="784"/>
      <c r="T42" s="635">
        <v>45322</v>
      </c>
      <c r="U42" s="276"/>
      <c r="V42" s="794" t="s">
        <v>165</v>
      </c>
      <c r="W42" s="794"/>
      <c r="X42" s="794"/>
      <c r="Y42" s="794"/>
      <c r="Z42" s="794"/>
      <c r="AA42" s="795"/>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784"/>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784"/>
      <c r="T43" s="635">
        <v>45323</v>
      </c>
      <c r="U43" s="277"/>
      <c r="V43" s="796" t="s">
        <v>166</v>
      </c>
      <c r="W43" s="796"/>
      <c r="X43" s="796"/>
      <c r="Y43" s="796"/>
      <c r="Z43" s="796"/>
      <c r="AA43" s="797"/>
    </row>
    <row r="44" spans="2:27" ht="15.4">
      <c r="B44" s="111" t="str">
        <f>IF('Enter (Vac BFs TrCl MB'!$D7=0,"",'Enter (Vac BFs TrCl MB'!$D7)</f>
        <v>Brittney</v>
      </c>
      <c r="C44" s="153" t="s">
        <v>3</v>
      </c>
      <c r="D44" s="153" t="s">
        <v>157</v>
      </c>
      <c r="E44" s="654" t="s">
        <v>154</v>
      </c>
      <c r="F44" s="153" t="s">
        <v>9</v>
      </c>
      <c r="G44" s="662" t="s">
        <v>129</v>
      </c>
      <c r="H44" s="153" t="s">
        <v>104</v>
      </c>
      <c r="I44" s="154" t="s">
        <v>104</v>
      </c>
      <c r="J44" s="784"/>
      <c r="K44" s="111" t="str">
        <f>IF('Enter (Vac BFs TrCl MB'!$D7=0,"",'Enter (Vac BFs TrCl MB'!$D7)</f>
        <v>Brittney</v>
      </c>
      <c r="L44" s="153" t="s">
        <v>134</v>
      </c>
      <c r="M44" s="153" t="s">
        <v>133</v>
      </c>
      <c r="N44" s="652" t="s">
        <v>251</v>
      </c>
      <c r="O44" s="153" t="s">
        <v>97</v>
      </c>
      <c r="P44" s="662" t="s">
        <v>160</v>
      </c>
      <c r="Q44" s="637" t="s">
        <v>3</v>
      </c>
      <c r="R44" s="639" t="s">
        <v>9</v>
      </c>
      <c r="S44" s="784"/>
      <c r="T44" s="636">
        <v>45327</v>
      </c>
      <c r="U44" s="274"/>
      <c r="V44" s="798" t="s">
        <v>167</v>
      </c>
      <c r="W44" s="798"/>
      <c r="X44" s="798"/>
      <c r="Y44" s="798"/>
      <c r="Z44" s="798"/>
      <c r="AA44" s="799"/>
    </row>
    <row r="45" spans="2:27" ht="15">
      <c r="B45" s="111" t="str">
        <f>IF('Enter (Vac BFs TrCl MB'!$D8=0,"",'Enter (Vac BFs TrCl MB'!$D8)</f>
        <v>Jayda</v>
      </c>
      <c r="C45" s="153" t="s">
        <v>110</v>
      </c>
      <c r="D45" s="153" t="s">
        <v>9</v>
      </c>
      <c r="E45" s="153" t="s">
        <v>9</v>
      </c>
      <c r="F45" s="153" t="s">
        <v>104</v>
      </c>
      <c r="G45" s="153" t="s">
        <v>101</v>
      </c>
      <c r="H45" s="153" t="s">
        <v>96</v>
      </c>
      <c r="I45" s="154" t="s">
        <v>105</v>
      </c>
      <c r="J45" s="784"/>
      <c r="K45" s="112" t="str">
        <f>IF('Enter (Vac BFs TrCl MB'!$D8=0,"",'Enter (Vac BFs TrCl MB'!$D8)</f>
        <v>Jayda</v>
      </c>
      <c r="L45" s="153" t="s">
        <v>9</v>
      </c>
      <c r="M45" s="153" t="s">
        <v>9</v>
      </c>
      <c r="N45" s="153" t="s">
        <v>101</v>
      </c>
      <c r="O45" s="153" t="s">
        <v>101</v>
      </c>
      <c r="P45" s="153" t="s">
        <v>96</v>
      </c>
      <c r="Q45" s="153" t="s">
        <v>96</v>
      </c>
      <c r="R45" s="154" t="s">
        <v>104</v>
      </c>
      <c r="S45" s="784"/>
      <c r="T45" s="636">
        <v>45327</v>
      </c>
      <c r="U45" s="274" t="s">
        <v>171</v>
      </c>
      <c r="V45" s="798" t="s">
        <v>168</v>
      </c>
      <c r="W45" s="798"/>
      <c r="X45" s="798"/>
      <c r="Y45" s="798"/>
      <c r="Z45" s="798"/>
      <c r="AA45" s="799"/>
    </row>
    <row r="46" spans="2:27" ht="15">
      <c r="B46" s="111" t="str">
        <f>IF('Enter (Vac BFs TrCl MB'!$D9=0,"",'Enter (Vac BFs TrCl MB'!$D9)</f>
        <v>Harkaml</v>
      </c>
      <c r="C46" s="153" t="s">
        <v>6</v>
      </c>
      <c r="D46" s="153" t="s">
        <v>96</v>
      </c>
      <c r="E46" s="153" t="s">
        <v>9</v>
      </c>
      <c r="F46" s="153" t="s">
        <v>9</v>
      </c>
      <c r="G46" s="153" t="s">
        <v>105</v>
      </c>
      <c r="H46" s="153" t="s">
        <v>111</v>
      </c>
      <c r="I46" s="154" t="s">
        <v>121</v>
      </c>
      <c r="J46" s="784"/>
      <c r="K46" s="112" t="str">
        <f>IF('Enter (Vac BFs TrCl MB'!$D9=0,"",'Enter (Vac BFs TrCl MB'!$D9)</f>
        <v>Harkaml</v>
      </c>
      <c r="L46" s="153" t="s">
        <v>6</v>
      </c>
      <c r="M46" s="153" t="s">
        <v>101</v>
      </c>
      <c r="N46" s="153" t="s">
        <v>9</v>
      </c>
      <c r="O46" s="153" t="s">
        <v>9</v>
      </c>
      <c r="P46" s="153" t="s">
        <v>104</v>
      </c>
      <c r="Q46" s="153" t="s">
        <v>104</v>
      </c>
      <c r="R46" s="266" t="s">
        <v>121</v>
      </c>
      <c r="S46" s="784"/>
      <c r="T46" s="283"/>
      <c r="U46" s="274"/>
      <c r="V46" s="800" t="s">
        <v>169</v>
      </c>
      <c r="W46" s="800"/>
      <c r="X46" s="800"/>
      <c r="Y46" s="800"/>
      <c r="Z46" s="800"/>
      <c r="AA46" s="801"/>
    </row>
    <row r="47" spans="2:27" ht="15">
      <c r="B47" s="111" t="str">
        <f>IF('Enter (Vac BFs TrCl MB'!$D10=0,"",'Enter (Vac BFs TrCl MB'!$D10)</f>
        <v>Chehal</v>
      </c>
      <c r="C47" s="153" t="s">
        <v>102</v>
      </c>
      <c r="D47" s="153" t="s">
        <v>101</v>
      </c>
      <c r="E47" s="153" t="s">
        <v>105</v>
      </c>
      <c r="F47" s="153" t="s">
        <v>101</v>
      </c>
      <c r="G47" s="637" t="s">
        <v>100</v>
      </c>
      <c r="H47" s="637" t="s">
        <v>9</v>
      </c>
      <c r="I47" s="638" t="s">
        <v>9</v>
      </c>
      <c r="J47" s="784"/>
      <c r="K47" s="112" t="str">
        <f>IF('Enter (Vac BFs TrCl MB'!$D10=0,"",'Enter (Vac BFs TrCl MB'!$D10)</f>
        <v>Chehal</v>
      </c>
      <c r="L47" s="153" t="s">
        <v>9</v>
      </c>
      <c r="M47" s="153" t="s">
        <v>104</v>
      </c>
      <c r="N47" s="153" t="s">
        <v>9</v>
      </c>
      <c r="O47" s="153" t="s">
        <v>104</v>
      </c>
      <c r="P47" s="153" t="s">
        <v>101</v>
      </c>
      <c r="Q47" s="153" t="s">
        <v>101</v>
      </c>
      <c r="R47" s="154" t="s">
        <v>101</v>
      </c>
      <c r="S47" s="784"/>
      <c r="T47" s="636">
        <v>45327</v>
      </c>
      <c r="U47" s="274" t="s">
        <v>176</v>
      </c>
      <c r="V47" s="798" t="s">
        <v>172</v>
      </c>
      <c r="W47" s="798"/>
      <c r="X47" s="798"/>
      <c r="Y47" s="798"/>
      <c r="Z47" s="798"/>
      <c r="AA47" s="799"/>
    </row>
    <row r="48" spans="2:27" ht="15">
      <c r="B48" s="111" t="str">
        <f>IF('Enter (Vac BFs TrCl MB'!$D11=0,"",'Enter (Vac BFs TrCl MB'!$D11)</f>
        <v>Alex</v>
      </c>
      <c r="C48" s="153" t="s">
        <v>96</v>
      </c>
      <c r="D48" s="153" t="s">
        <v>9</v>
      </c>
      <c r="E48" s="153" t="s">
        <v>104</v>
      </c>
      <c r="F48" s="153" t="s">
        <v>9</v>
      </c>
      <c r="G48" s="153" t="s">
        <v>104</v>
      </c>
      <c r="H48" s="153" t="s">
        <v>105</v>
      </c>
      <c r="I48" s="154" t="s">
        <v>113</v>
      </c>
      <c r="J48" s="784"/>
      <c r="K48" s="112" t="str">
        <f>IF('Enter (Vac BFs TrCl MB'!$D11=0,"",'Enter (Vac BFs TrCl MB'!$D11)</f>
        <v>Alex</v>
      </c>
      <c r="L48" s="153" t="s">
        <v>110</v>
      </c>
      <c r="M48" s="153" t="s">
        <v>113</v>
      </c>
      <c r="N48" s="153" t="s">
        <v>104</v>
      </c>
      <c r="O48" s="662" t="s">
        <v>120</v>
      </c>
      <c r="P48" s="637" t="s">
        <v>127</v>
      </c>
      <c r="Q48" s="637" t="s">
        <v>9</v>
      </c>
      <c r="R48" s="638" t="s">
        <v>9</v>
      </c>
      <c r="S48" s="784"/>
      <c r="T48" s="636">
        <v>45328</v>
      </c>
      <c r="U48" s="274" t="s">
        <v>140</v>
      </c>
      <c r="V48" s="798" t="s">
        <v>182</v>
      </c>
      <c r="W48" s="798"/>
      <c r="X48" s="798"/>
      <c r="Y48" s="798"/>
      <c r="Z48" s="798"/>
      <c r="AA48" s="799"/>
    </row>
    <row r="49" spans="2:27" ht="15">
      <c r="B49" s="111" t="str">
        <f>IF('Enter (Vac BFs TrCl MB'!$D12=0,"",'Enter (Vac BFs TrCl MB'!$D12)</f>
        <v>Akansha</v>
      </c>
      <c r="C49" s="662" t="s">
        <v>120</v>
      </c>
      <c r="D49" s="649" t="s">
        <v>156</v>
      </c>
      <c r="E49" s="649" t="s">
        <v>156</v>
      </c>
      <c r="F49" s="662" t="s">
        <v>120</v>
      </c>
      <c r="G49" s="153" t="s">
        <v>9</v>
      </c>
      <c r="H49" s="637" t="s">
        <v>9</v>
      </c>
      <c r="I49" s="638" t="s">
        <v>9</v>
      </c>
      <c r="J49" s="784"/>
      <c r="K49" s="112" t="str">
        <f>IF('Enter (Vac BFs TrCl MB'!$D12=0,"",'Enter (Vac BFs TrCl MB'!$D12)</f>
        <v>Akansha</v>
      </c>
      <c r="L49" s="662" t="s">
        <v>120</v>
      </c>
      <c r="M49" s="153" t="s">
        <v>9</v>
      </c>
      <c r="N49" s="153" t="s">
        <v>9</v>
      </c>
      <c r="O49" s="662" t="s">
        <v>109</v>
      </c>
      <c r="P49" s="662" t="s">
        <v>129</v>
      </c>
      <c r="Q49" s="153" t="s">
        <v>105</v>
      </c>
      <c r="R49" s="154" t="s">
        <v>103</v>
      </c>
      <c r="S49" s="784"/>
      <c r="T49" s="636">
        <v>45329</v>
      </c>
      <c r="U49" s="274" t="s">
        <v>176</v>
      </c>
      <c r="V49" s="816" t="s">
        <v>175</v>
      </c>
      <c r="W49" s="817"/>
      <c r="X49" s="817"/>
      <c r="Y49" s="817"/>
      <c r="Z49" s="817"/>
      <c r="AA49" s="818"/>
    </row>
    <row r="50" spans="2:27" ht="15">
      <c r="B50" s="111" t="str">
        <f>IF('Enter (Vac BFs TrCl MB'!$D13=0,"",'Enter (Vac BFs TrCl MB'!$D13)</f>
        <v>Kiran</v>
      </c>
      <c r="C50" s="153" t="s">
        <v>9</v>
      </c>
      <c r="D50" s="153" t="s">
        <v>9</v>
      </c>
      <c r="E50" s="153" t="s">
        <v>96</v>
      </c>
      <c r="F50" s="153" t="s">
        <v>105</v>
      </c>
      <c r="G50" s="153" t="s">
        <v>96</v>
      </c>
      <c r="H50" s="153" t="s">
        <v>9</v>
      </c>
      <c r="I50" s="154" t="s">
        <v>110</v>
      </c>
      <c r="J50" s="784"/>
      <c r="K50" s="112" t="str">
        <f>IF('Enter (Vac BFs TrCl MB'!$D13=0,"",'Enter (Vac BFs TrCl MB'!$D13)</f>
        <v>Kiran</v>
      </c>
      <c r="L50" s="153" t="s">
        <v>96</v>
      </c>
      <c r="M50" s="153" t="s">
        <v>110</v>
      </c>
      <c r="N50" s="153" t="s">
        <v>96</v>
      </c>
      <c r="O50" s="153" t="s">
        <v>96</v>
      </c>
      <c r="P50" s="153" t="s">
        <v>111</v>
      </c>
      <c r="Q50" s="637" t="s">
        <v>9</v>
      </c>
      <c r="R50" s="640" t="s">
        <v>9</v>
      </c>
      <c r="S50" s="784"/>
      <c r="T50" s="636">
        <v>45330</v>
      </c>
      <c r="U50" s="274"/>
      <c r="V50" s="819" t="s">
        <v>178</v>
      </c>
      <c r="W50" s="820"/>
      <c r="X50" s="820"/>
      <c r="Y50" s="820"/>
      <c r="Z50" s="820"/>
      <c r="AA50" s="821"/>
    </row>
    <row r="51" spans="2:27" ht="15">
      <c r="B51" s="111" t="str">
        <f>IF('Enter (Vac BFs TrCl MB'!$D14=0,"",'Enter (Vac BFs TrCl MB'!$D14)</f>
        <v>Mahshid</v>
      </c>
      <c r="C51" s="153" t="s">
        <v>158</v>
      </c>
      <c r="D51" s="153" t="s">
        <v>105</v>
      </c>
      <c r="E51" s="153" t="s">
        <v>9</v>
      </c>
      <c r="F51" s="153" t="s">
        <v>9</v>
      </c>
      <c r="G51" s="153" t="s">
        <v>9</v>
      </c>
      <c r="H51" s="153" t="s">
        <v>113</v>
      </c>
      <c r="I51" s="154" t="s">
        <v>111</v>
      </c>
      <c r="J51" s="784"/>
      <c r="K51" s="112" t="str">
        <f>IF('Enter (Vac BFs TrCl MB'!$D14=0,"",'Enter (Vac BFs TrCl MB'!$D14)</f>
        <v>Mahshid</v>
      </c>
      <c r="L51" s="153" t="s">
        <v>105</v>
      </c>
      <c r="M51" s="153" t="s">
        <v>9</v>
      </c>
      <c r="N51" s="652" t="s">
        <v>250</v>
      </c>
      <c r="O51" s="153" t="s">
        <v>9</v>
      </c>
      <c r="P51" s="153" t="s">
        <v>9</v>
      </c>
      <c r="Q51" s="153" t="s">
        <v>113</v>
      </c>
      <c r="R51" s="266" t="s">
        <v>113</v>
      </c>
      <c r="S51" s="784"/>
      <c r="T51" s="636">
        <v>45330</v>
      </c>
      <c r="U51" s="274" t="s">
        <v>158</v>
      </c>
      <c r="V51" s="816" t="s">
        <v>177</v>
      </c>
      <c r="W51" s="817"/>
      <c r="X51" s="817"/>
      <c r="Y51" s="817"/>
      <c r="Z51" s="817"/>
      <c r="AA51" s="818"/>
    </row>
    <row r="52" spans="2:27" ht="15">
      <c r="B52" s="111" t="str">
        <f>IF('Enter (Vac BFs TrCl MB'!$D15=0,"",'Enter (Vac BFs TrCl MB'!$D15)</f>
        <v>Harry</v>
      </c>
      <c r="C52" s="637" t="str">
        <f>IF(ISERROR(INDEX('Enter (Vac BFs TrCl MB'!$F$7:$AU$37,MATCH(PROSPECT!$B52,'Enter (Vac BFs TrCl MB'!$D$7:$D$37,FALSE),MATCH(PROSPECT!C$42,'Enter (Vac BFs TrCl MB'!$F$6:$AU$6,FALSE))),"",(INDEX('Enter (Vac BFs TrCl MB'!$F$7:$AU$37,MATCH(PROSPECT!$B52,'Enter (Vac BFs TrCl MB'!$D$7:$D$37,FALSE),MATCH(PROSPECT!C$42,'Enter (Vac BFs TrCl MB'!$F$6:$AU$6,FALSE))))</f>
        <v>H</v>
      </c>
      <c r="D52" s="637" t="str">
        <f>IF(ISERROR(INDEX('Enter (Vac BFs TrCl MB'!$F$7:$AU$37,MATCH(PROSPECT!$B52,'Enter (Vac BFs TrCl MB'!$D$7:$D$37,FALSE),MATCH(PROSPECT!D$42,'Enter (Vac BFs TrCl MB'!$F$6:$AU$6,FALSE))),"",(INDEX('Enter (Vac BFs TrCl MB'!$F$7:$AU$37,MATCH(PROSPECT!$B52,'Enter (Vac BFs TrCl MB'!$D$7:$D$37,FALSE),MATCH(PROSPECT!D$42,'Enter (Vac BFs TrCl MB'!$F$6:$AU$6,FALSE))))</f>
        <v>H</v>
      </c>
      <c r="E52" s="637" t="str">
        <f>IF(ISERROR(INDEX('Enter (Vac BFs TrCl MB'!$F$7:$AU$37,MATCH(PROSPECT!$B52,'Enter (Vac BFs TrCl MB'!$D$7:$D$37,FALSE),MATCH(PROSPECT!E$42,'Enter (Vac BFs TrCl MB'!$F$6:$AU$6,FALSE))),"",(INDEX('Enter (Vac BFs TrCl MB'!$F$7:$AU$37,MATCH(PROSPECT!$B52,'Enter (Vac BFs TrCl MB'!$D$7:$D$37,FALSE),MATCH(PROSPECT!E$42,'Enter (Vac BFs TrCl MB'!$F$6:$AU$6,FALSE))))</f>
        <v>H</v>
      </c>
      <c r="F52" s="637" t="str">
        <f>IF(ISERROR(INDEX('Enter (Vac BFs TrCl MB'!$F$7:$AU$37,MATCH(PROSPECT!$B52,'Enter (Vac BFs TrCl MB'!$D$7:$D$37,FALSE),MATCH(PROSPECT!F$42,'Enter (Vac BFs TrCl MB'!$F$6:$AU$6,FALSE))),"",(INDEX('Enter (Vac BFs TrCl MB'!$F$7:$AU$37,MATCH(PROSPECT!$B52,'Enter (Vac BFs TrCl MB'!$D$7:$D$37,FALSE),MATCH(PROSPECT!F$42,'Enter (Vac BFs TrCl MB'!$F$6:$AU$6,FALSE))))</f>
        <v>H</v>
      </c>
      <c r="G52" s="637" t="str">
        <f>IF(ISERROR(INDEX('Enter (Vac BFs TrCl MB'!$F$7:$AU$37,MATCH(PROSPECT!$B52,'Enter (Vac BFs TrCl MB'!$D$7:$D$37,FALSE),MATCH(PROSPECT!G$42,'Enter (Vac BFs TrCl MB'!$F$6:$AU$6,FALSE))),"",(INDEX('Enter (Vac BFs TrCl MB'!$F$7:$AU$37,MATCH(PROSPECT!$B52,'Enter (Vac BFs TrCl MB'!$D$7:$D$37,FALSE),MATCH(PROSPECT!G$42,'Enter (Vac BFs TrCl MB'!$F$6:$AU$6,FALSE))))</f>
        <v>H</v>
      </c>
      <c r="H52" s="637" t="str">
        <f>IF(ISERROR(INDEX('Enter (Vac BFs TrCl MB'!$F$7:$AU$37,MATCH(PROSPECT!$B52,'Enter (Vac BFs TrCl MB'!$D$7:$D$37,FALSE),MATCH(PROSPECT!H$42,'Enter (Vac BFs TrCl MB'!$F$6:$AU$6,FALSE))),"",(INDEX('Enter (Vac BFs TrCl MB'!$F$7:$AU$37,MATCH(PROSPECT!$B52,'Enter (Vac BFs TrCl MB'!$D$7:$D$37,FALSE),MATCH(PROSPECT!H$42,'Enter (Vac BFs TrCl MB'!$F$6:$AU$6,FALSE))))</f>
        <v>H</v>
      </c>
      <c r="I52" s="638" t="str">
        <f>IF(ISERROR(INDEX('Enter (Vac BFs TrCl MB'!$F$7:$AU$37,MATCH(PROSPECT!$B52,'Enter (Vac BFs TrCl MB'!$D$7:$D$37,FALSE),MATCH(PROSPECT!I$42,'Enter (Vac BFs TrCl MB'!$F$6:$AU$6,FALSE))),"",(INDEX('Enter (Vac BFs TrCl MB'!$F$7:$AU$37,MATCH(PROSPECT!$B52,'Enter (Vac BFs TrCl MB'!$D$7:$D$37,FALSE),MATCH(PROSPECT!I$42,'Enter (Vac BFs TrCl MB'!$F$6:$AU$6,FALSE))))</f>
        <v>H</v>
      </c>
      <c r="J52" s="784"/>
      <c r="K52" s="112" t="str">
        <f>IF('Enter (Vac BFs TrCl MB'!$D15=0,"",'Enter (Vac BFs TrCl MB'!$D15)</f>
        <v>Harry</v>
      </c>
      <c r="L52" s="153" t="s">
        <v>3</v>
      </c>
      <c r="M52" s="153" t="s">
        <v>3</v>
      </c>
      <c r="N52" s="153" t="s">
        <v>111</v>
      </c>
      <c r="O52" s="153" t="s">
        <v>111</v>
      </c>
      <c r="P52" s="153" t="s">
        <v>112</v>
      </c>
      <c r="Q52" s="153" t="s">
        <v>103</v>
      </c>
      <c r="R52" s="645" t="s">
        <v>116</v>
      </c>
      <c r="S52" s="784"/>
      <c r="T52" s="636">
        <v>45332</v>
      </c>
      <c r="U52" s="274" t="s">
        <v>171</v>
      </c>
      <c r="V52" s="816" t="s">
        <v>179</v>
      </c>
      <c r="W52" s="817"/>
      <c r="X52" s="817"/>
      <c r="Y52" s="817"/>
      <c r="Z52" s="817"/>
      <c r="AA52" s="818"/>
    </row>
    <row r="53" spans="2:27" ht="15">
      <c r="B53" s="111" t="str">
        <f>IF('Enter (Vac BFs TrCl MB'!$D16=0,"",'Enter (Vac BFs TrCl MB'!$D16)</f>
        <v>Parm</v>
      </c>
      <c r="C53" s="153" t="str">
        <f>IF(ISERROR(INDEX('Enter (Vac BFs TrCl MB'!$F$7:$AU$37,MATCH(PROSPECT!$B53,'Enter (Vac BFs TrCl MB'!$D$7:$D$37,FALSE),MATCH(PROSPECT!C$42,'Enter (Vac BFs TrCl MB'!$F$6:$AU$6,FALSE))),"",(INDEX('Enter (Vac BFs TrCl MB'!$F$7:$AU$37,MATCH(PROSPECT!$B53,'Enter (Vac BFs TrCl MB'!$D$7:$D$37,FALSE),MATCH(PROSPECT!C$42,'Enter (Vac BFs TrCl MB'!$F$6:$AU$6,FALSE))))</f>
        <v>XX</v>
      </c>
      <c r="D53" s="153" t="str">
        <f>IF(ISERROR(INDEX('Enter (Vac BFs TrCl MB'!$F$7:$AU$37,MATCH(PROSPECT!$B53,'Enter (Vac BFs TrCl MB'!$D$7:$D$37,FALSE),MATCH(PROSPECT!D$42,'Enter (Vac BFs TrCl MB'!$F$6:$AU$6,FALSE))),"",(INDEX('Enter (Vac BFs TrCl MB'!$F$7:$AU$37,MATCH(PROSPECT!$B53,'Enter (Vac BFs TrCl MB'!$D$7:$D$37,FALSE),MATCH(PROSPECT!D$42,'Enter (Vac BFs TrCl MB'!$F$6:$AU$6,FALSE))))</f>
        <v>XX</v>
      </c>
      <c r="E53" s="153" t="s">
        <v>9</v>
      </c>
      <c r="F53" s="153" t="s">
        <v>111</v>
      </c>
      <c r="G53" s="643" t="s">
        <v>115</v>
      </c>
      <c r="H53" s="643" t="s">
        <v>115</v>
      </c>
      <c r="I53" s="644" t="s">
        <v>116</v>
      </c>
      <c r="J53" s="784"/>
      <c r="K53" s="112" t="str">
        <f>IF('Enter (Vac BFs TrCl MB'!$D16=0,"",'Enter (Vac BFs TrCl MB'!$D16)</f>
        <v>Parm</v>
      </c>
      <c r="L53" s="153" t="s">
        <v>101</v>
      </c>
      <c r="M53" s="153" t="s">
        <v>105</v>
      </c>
      <c r="N53" s="153" t="s">
        <v>9</v>
      </c>
      <c r="O53" s="153" t="s">
        <v>9</v>
      </c>
      <c r="P53" s="643" t="s">
        <v>115</v>
      </c>
      <c r="Q53" s="643" t="s">
        <v>115</v>
      </c>
      <c r="R53" s="664" t="s">
        <v>194</v>
      </c>
      <c r="S53" s="784"/>
      <c r="T53" s="283" t="s">
        <v>180</v>
      </c>
      <c r="U53" s="274"/>
      <c r="V53" s="816" t="s">
        <v>181</v>
      </c>
      <c r="W53" s="817"/>
      <c r="X53" s="817"/>
      <c r="Y53" s="817"/>
      <c r="Z53" s="817"/>
      <c r="AA53" s="818"/>
    </row>
    <row r="54" spans="2:27" ht="15">
      <c r="B54" s="111" t="str">
        <f>IF('Enter (Vac BFs TrCl MB'!$D17=0,"",'Enter (Vac BFs TrCl MB'!$D17)</f>
        <v>Harmik</v>
      </c>
      <c r="C54" s="153" t="s">
        <v>104</v>
      </c>
      <c r="D54" s="153" t="s">
        <v>110</v>
      </c>
      <c r="E54" s="153" t="s">
        <v>101</v>
      </c>
      <c r="F54" s="153" t="s">
        <v>96</v>
      </c>
      <c r="G54" s="153" t="s">
        <v>9</v>
      </c>
      <c r="H54" s="637" t="s">
        <v>9</v>
      </c>
      <c r="I54" s="638" t="s">
        <v>9</v>
      </c>
      <c r="J54" s="784"/>
      <c r="K54" s="112" t="str">
        <f>IF('Enter (Vac BFs TrCl MB'!$D17=0,"",'Enter (Vac BFs TrCl MB'!$D17)</f>
        <v>Harmik</v>
      </c>
      <c r="L54" s="153" t="s">
        <v>9</v>
      </c>
      <c r="M54" s="153" t="s">
        <v>9</v>
      </c>
      <c r="N54" s="153" t="s">
        <v>113</v>
      </c>
      <c r="O54" s="153" t="s">
        <v>113</v>
      </c>
      <c r="P54" s="153" t="s">
        <v>105</v>
      </c>
      <c r="Q54" s="153" t="s">
        <v>112</v>
      </c>
      <c r="R54" s="266" t="s">
        <v>105</v>
      </c>
      <c r="S54" s="784"/>
      <c r="T54" s="636">
        <v>45334</v>
      </c>
      <c r="U54" s="274"/>
      <c r="V54" s="816" t="s">
        <v>183</v>
      </c>
      <c r="W54" s="817"/>
      <c r="X54" s="817"/>
      <c r="Y54" s="817"/>
      <c r="Z54" s="817"/>
      <c r="AA54" s="818"/>
    </row>
    <row r="55" spans="2:27" ht="15">
      <c r="B55" s="111" t="str">
        <f>IF('Enter (Vac BFs TrCl MB'!$D18=0,"",'Enter (Vac BFs TrCl MB'!$D18)</f>
        <v>Ruby</v>
      </c>
      <c r="C55" s="153" t="s">
        <v>9</v>
      </c>
      <c r="D55" s="153" t="s">
        <v>104</v>
      </c>
      <c r="E55" s="153" t="s">
        <v>9</v>
      </c>
      <c r="F55" s="153" t="s">
        <v>113</v>
      </c>
      <c r="G55" s="153" t="s">
        <v>111</v>
      </c>
      <c r="H55" s="153" t="s">
        <v>9</v>
      </c>
      <c r="I55" s="154" t="s">
        <v>101</v>
      </c>
      <c r="J55" s="784"/>
      <c r="K55" s="112" t="str">
        <f>IF('Enter (Vac BFs TrCl MB'!$D18=0,"",'Enter (Vac BFs TrCl MB'!$D18)</f>
        <v>Ruby</v>
      </c>
      <c r="L55" s="153" t="s">
        <v>104</v>
      </c>
      <c r="M55" s="153" t="s">
        <v>96</v>
      </c>
      <c r="N55" s="153" t="s">
        <v>105</v>
      </c>
      <c r="O55" s="153" t="s">
        <v>112</v>
      </c>
      <c r="P55" s="153" t="s">
        <v>103</v>
      </c>
      <c r="Q55" s="637" t="s">
        <v>9</v>
      </c>
      <c r="R55" s="640" t="s">
        <v>9</v>
      </c>
      <c r="S55" s="784"/>
      <c r="T55" s="636">
        <v>45334</v>
      </c>
      <c r="U55" s="274"/>
      <c r="V55" s="816" t="s">
        <v>184</v>
      </c>
      <c r="W55" s="817"/>
      <c r="X55" s="817"/>
      <c r="Y55" s="817"/>
      <c r="Z55" s="817"/>
      <c r="AA55" s="818"/>
    </row>
    <row r="56" spans="2:27" ht="15">
      <c r="B56" s="111" t="str">
        <f>IF('Enter (Vac BFs TrCl MB'!$D19=0,"",'Enter (Vac BFs TrCl MB'!$D19)</f>
        <v>Taran</v>
      </c>
      <c r="C56" s="153" t="s">
        <v>105</v>
      </c>
      <c r="D56" s="153" t="s">
        <v>9</v>
      </c>
      <c r="E56" s="153" t="s">
        <v>132</v>
      </c>
      <c r="F56" s="153" t="s">
        <v>9</v>
      </c>
      <c r="G56" s="153" t="s">
        <v>9</v>
      </c>
      <c r="H56" s="153" t="s">
        <v>101</v>
      </c>
      <c r="I56" s="154" t="s">
        <v>103</v>
      </c>
      <c r="J56" s="784"/>
      <c r="K56" s="112" t="str">
        <f>IF('Enter (Vac BFs TrCl MB'!$D19=0,"",'Enter (Vac BFs TrCl MB'!$D19)</f>
        <v>Taran</v>
      </c>
      <c r="L56" s="153" t="s">
        <v>9</v>
      </c>
      <c r="M56" s="153" t="s">
        <v>132</v>
      </c>
      <c r="N56" s="153" t="s">
        <v>9</v>
      </c>
      <c r="O56" s="153" t="s">
        <v>132</v>
      </c>
      <c r="P56" s="153" t="s">
        <v>9</v>
      </c>
      <c r="Q56" s="153" t="s">
        <v>111</v>
      </c>
      <c r="R56" s="266" t="s">
        <v>132</v>
      </c>
      <c r="S56" s="784"/>
      <c r="T56" s="636">
        <v>45335</v>
      </c>
      <c r="U56" s="274"/>
      <c r="V56" s="822" t="s">
        <v>188</v>
      </c>
      <c r="W56" s="823"/>
      <c r="X56" s="823"/>
      <c r="Y56" s="823"/>
      <c r="Z56" s="823"/>
      <c r="AA56" s="824"/>
    </row>
    <row r="57" spans="2:27" ht="15">
      <c r="B57" s="111" t="str">
        <f>IF('Enter (Vac BFs TrCl MB'!$D20=0,"",'Enter (Vac BFs TrCl MB'!$D20)</f>
        <v>Jinse</v>
      </c>
      <c r="C57" s="153" t="s">
        <v>9</v>
      </c>
      <c r="D57" s="153" t="s">
        <v>9</v>
      </c>
      <c r="E57" s="153" t="s">
        <v>110</v>
      </c>
      <c r="F57" s="153" t="s">
        <v>110</v>
      </c>
      <c r="G57" s="153" t="s">
        <v>110</v>
      </c>
      <c r="H57" s="153" t="s">
        <v>110</v>
      </c>
      <c r="I57" s="154" t="s">
        <v>9</v>
      </c>
      <c r="J57" s="784"/>
      <c r="K57" s="112" t="str">
        <f>IF('Enter (Vac BFs TrCl MB'!$D20=0,"",'Enter (Vac BFs TrCl MB'!$D20)</f>
        <v>Jinse</v>
      </c>
      <c r="L57" s="153" t="s">
        <v>9</v>
      </c>
      <c r="M57" s="153" t="s">
        <v>9</v>
      </c>
      <c r="N57" s="153" t="s">
        <v>110</v>
      </c>
      <c r="O57" s="153" t="s">
        <v>110</v>
      </c>
      <c r="P57" s="153" t="s">
        <v>110</v>
      </c>
      <c r="Q57" s="153" t="s">
        <v>110</v>
      </c>
      <c r="R57" s="154" t="s">
        <v>110</v>
      </c>
      <c r="S57" s="784"/>
      <c r="T57" s="636">
        <v>45337</v>
      </c>
      <c r="U57" s="274"/>
      <c r="V57" s="822" t="s">
        <v>187</v>
      </c>
      <c r="W57" s="823"/>
      <c r="X57" s="823"/>
      <c r="Y57" s="823"/>
      <c r="Z57" s="823"/>
      <c r="AA57" s="824"/>
    </row>
    <row r="58" spans="2:27" ht="15">
      <c r="B58" s="111" t="str">
        <f>IF('Enter (Vac BFs TrCl MB'!$D21=0,"",'Enter (Vac BFs TrCl MB'!$D21)</f>
        <v>Marija</v>
      </c>
      <c r="C58" s="153" t="s">
        <v>3</v>
      </c>
      <c r="D58" s="153" t="s">
        <v>117</v>
      </c>
      <c r="E58" s="153" t="s">
        <v>117</v>
      </c>
      <c r="F58" s="153" t="s">
        <v>117</v>
      </c>
      <c r="G58" s="153" t="s">
        <v>117</v>
      </c>
      <c r="H58" s="153" t="s">
        <v>9</v>
      </c>
      <c r="I58" s="154" t="s">
        <v>9</v>
      </c>
      <c r="J58" s="784"/>
      <c r="K58" s="112" t="str">
        <f>IF('Enter (Vac BFs TrCl MB'!$D21=0,"",'Enter (Vac BFs TrCl MB'!$D21)</f>
        <v>Marija</v>
      </c>
      <c r="L58" s="153" t="s">
        <v>9</v>
      </c>
      <c r="M58" s="153" t="s">
        <v>9</v>
      </c>
      <c r="N58" s="153" t="s">
        <v>117</v>
      </c>
      <c r="O58" s="153" t="s">
        <v>117</v>
      </c>
      <c r="P58" s="153" t="s">
        <v>117</v>
      </c>
      <c r="Q58" s="153" t="s">
        <v>117</v>
      </c>
      <c r="R58" s="154" t="s">
        <v>9</v>
      </c>
      <c r="S58" s="784"/>
      <c r="T58" s="636">
        <v>45338</v>
      </c>
      <c r="U58" s="274"/>
      <c r="V58" s="798" t="s">
        <v>189</v>
      </c>
      <c r="W58" s="798"/>
      <c r="X58" s="798"/>
      <c r="Y58" s="798"/>
      <c r="Z58" s="798"/>
      <c r="AA58" s="799"/>
    </row>
    <row r="59" spans="2:27" ht="15">
      <c r="B59" s="111" t="s">
        <v>118</v>
      </c>
      <c r="C59" s="153" t="s">
        <v>117</v>
      </c>
      <c r="D59" s="153" t="s">
        <v>3</v>
      </c>
      <c r="E59" s="153" t="s">
        <v>9</v>
      </c>
      <c r="F59" s="153" t="s">
        <v>9</v>
      </c>
      <c r="G59" s="153" t="s">
        <v>9</v>
      </c>
      <c r="H59" s="153" t="s">
        <v>117</v>
      </c>
      <c r="I59" s="154" t="s">
        <v>117</v>
      </c>
      <c r="J59" s="784"/>
      <c r="K59" s="112" t="s">
        <v>87</v>
      </c>
      <c r="L59" s="153" t="s">
        <v>117</v>
      </c>
      <c r="M59" s="153" t="s">
        <v>117</v>
      </c>
      <c r="N59" s="153" t="s">
        <v>9</v>
      </c>
      <c r="O59" s="153" t="s">
        <v>9</v>
      </c>
      <c r="P59" s="153" t="s">
        <v>9</v>
      </c>
      <c r="Q59" s="153" t="s">
        <v>9</v>
      </c>
      <c r="R59" s="154" t="s">
        <v>117</v>
      </c>
      <c r="S59" s="784"/>
      <c r="T59" s="636">
        <v>45343</v>
      </c>
      <c r="U59" s="274"/>
      <c r="V59" s="798" t="s">
        <v>190</v>
      </c>
      <c r="W59" s="798"/>
      <c r="X59" s="798"/>
      <c r="Y59" s="798"/>
      <c r="Z59" s="798"/>
      <c r="AA59" s="799"/>
    </row>
    <row r="60" spans="2:27" ht="15">
      <c r="B60" s="111" t="str">
        <f>IF('Enter (Vac BFs TrCl MB'!$D23=0,"",'Enter (Vac BFs TrCl MB'!$D23)</f>
        <v/>
      </c>
      <c r="C60" s="153" t="str">
        <f>IF(ISERROR(INDEX('Enter (Vac BFs TrCl MB'!$F$7:$AU$37,MATCH(PROSPECT!$B60,'Enter (Vac BFs TrCl MB'!$D$7:$D$37,FALSE),MATCH(PROSPECT!C$42,'Enter (Vac BFs TrCl MB'!$F$6:$AU$6,FALSE))),"",(INDEX('Enter (Vac BFs TrCl MB'!$F$7:$AU$37,MATCH(PROSPECT!$B60,'Enter (Vac BFs TrCl MB'!$D$7:$D$37,FALSE),MATCH(PROSPECT!C$42,'Enter (Vac BFs TrCl MB'!$F$6:$AU$6,FALSE))))</f>
        <v/>
      </c>
      <c r="D60" s="153" t="str">
        <f>IF(ISERROR(INDEX('Enter (Vac BFs TrCl MB'!$F$7:$AU$37,MATCH(PROSPECT!$B60,'Enter (Vac BFs TrCl MB'!$D$7:$D$37,FALSE),MATCH(PROSPECT!D$42,'Enter (Vac BFs TrCl MB'!$F$6:$AU$6,FALSE))),"",(INDEX('Enter (Vac BFs TrCl MB'!$F$7:$AU$37,MATCH(PROSPECT!$B60,'Enter (Vac BFs TrCl MB'!$D$7:$D$37,FALSE),MATCH(PROSPECT!D$42,'Enter (Vac BFs TrCl MB'!$F$6:$AU$6,FALSE))))</f>
        <v/>
      </c>
      <c r="E60" s="153" t="str">
        <f>IF(ISERROR(INDEX('Enter (Vac BFs TrCl MB'!$F$7:$AU$37,MATCH(PROSPECT!$B60,'Enter (Vac BFs TrCl MB'!$D$7:$D$37,FALSE),MATCH(PROSPECT!E$42,'Enter (Vac BFs TrCl MB'!$F$6:$AU$6,FALSE))),"",(INDEX('Enter (Vac BFs TrCl MB'!$F$7:$AU$37,MATCH(PROSPECT!$B60,'Enter (Vac BFs TrCl MB'!$D$7:$D$37,FALSE),MATCH(PROSPECT!E$42,'Enter (Vac BFs TrCl MB'!$F$6:$AU$6,FALSE))))</f>
        <v/>
      </c>
      <c r="F60" s="153" t="str">
        <f>IF(ISERROR(INDEX('Enter (Vac BFs TrCl MB'!$F$7:$AU$37,MATCH(PROSPECT!$B60,'Enter (Vac BFs TrCl MB'!$D$7:$D$37,FALSE),MATCH(PROSPECT!F$42,'Enter (Vac BFs TrCl MB'!$F$6:$AU$6,FALSE))),"",(INDEX('Enter (Vac BFs TrCl MB'!$F$7:$AU$37,MATCH(PROSPECT!$B60,'Enter (Vac BFs TrCl MB'!$D$7:$D$37,FALSE),MATCH(PROSPECT!F$42,'Enter (Vac BFs TrCl MB'!$F$6:$AU$6,FALSE))))</f>
        <v/>
      </c>
      <c r="G60" s="153" t="str">
        <f>IF(ISERROR(INDEX('Enter (Vac BFs TrCl MB'!$F$7:$AU$37,MATCH(PROSPECT!$B60,'Enter (Vac BFs TrCl MB'!$D$7:$D$37,FALSE),MATCH(PROSPECT!G$42,'Enter (Vac BFs TrCl MB'!$F$6:$AU$6,FALSE))),"",(INDEX('Enter (Vac BFs TrCl MB'!$F$7:$AU$37,MATCH(PROSPECT!$B60,'Enter (Vac BFs TrCl MB'!$D$7:$D$37,FALSE),MATCH(PROSPECT!G$42,'Enter (Vac BFs TrCl MB'!$F$6:$AU$6,FALSE))))</f>
        <v/>
      </c>
      <c r="H60" s="153" t="str">
        <f>IF(ISERROR(INDEX('Enter (Vac BFs TrCl MB'!$F$7:$AU$37,MATCH(PROSPECT!$B60,'Enter (Vac BFs TrCl MB'!$D$7:$D$37,FALSE),MATCH(PROSPECT!H$42,'Enter (Vac BFs TrCl MB'!$F$6:$AU$6,FALSE))),"",(INDEX('Enter (Vac BFs TrCl MB'!$F$7:$AU$37,MATCH(PROSPECT!$B60,'Enter (Vac BFs TrCl MB'!$D$7:$D$37,FALSE),MATCH(PROSPECT!H$42,'Enter (Vac BFs TrCl MB'!$F$6:$AU$6,FALSE))))</f>
        <v/>
      </c>
      <c r="I60" s="154" t="str">
        <f>IF(ISERROR(INDEX('Enter (Vac BFs TrCl MB'!$F$7:$AU$37,MATCH(PROSPECT!$B60,'Enter (Vac BFs TrCl MB'!$D$7:$D$37,FALSE),MATCH(PROSPECT!I$42,'Enter (Vac BFs TrCl MB'!$F$6:$AU$6,FALSE))),"",(INDEX('Enter (Vac BFs TrCl MB'!$F$7:$AU$37,MATCH(PROSPECT!$B60,'Enter (Vac BFs TrCl MB'!$D$7:$D$37,FALSE),MATCH(PROSPECT!I$42,'Enter (Vac BFs TrCl MB'!$F$6:$AU$6,FALSE))))</f>
        <v/>
      </c>
      <c r="J60" s="784"/>
      <c r="K60" s="112"/>
      <c r="L60" s="153" t="str">
        <f>IF(ISERROR(INDEX('Enter (Vac BFs TrCl MB'!$F$7:$AU$37,MATCH(PROSPECT!$B60,'Enter (Vac BFs TrCl MB'!$D$7:$D$37,FALSE),MATCH(PROSPECT!L$42,'Enter (Vac BFs TrCl MB'!$F$6:$AU$6,FALSE))),"",(INDEX('Enter (Vac BFs TrCl MB'!$F$7:$AU$37,MATCH(PROSPECT!$B60,'Enter (Vac BFs TrCl MB'!$D$7:$D$37,FALSE),MATCH(PROSPECT!L$42,'Enter (Vac BFs TrCl MB'!$F$6:$AU$6,FALSE))))</f>
        <v/>
      </c>
      <c r="M60" s="153"/>
      <c r="N60" s="153" t="str">
        <f>IF(ISERROR(INDEX('Enter (Vac BFs TrCl MB'!$F$7:$AU$37,MATCH(PROSPECT!$B60,'Enter (Vac BFs TrCl MB'!$D$7:$D$37,FALSE),MATCH(PROSPECT!N$42,'Enter (Vac BFs TrCl MB'!$F$6:$AU$6,FALSE))),"",(INDEX('Enter (Vac BFs TrCl MB'!$F$7:$AU$37,MATCH(PROSPECT!$B60,'Enter (Vac BFs TrCl MB'!$D$7:$D$37,FALSE),MATCH(PROSPECT!N$42,'Enter (Vac BFs TrCl MB'!$F$6:$AU$6,FALSE))))</f>
        <v/>
      </c>
      <c r="O60" s="153" t="str">
        <f>IF(ISERROR(INDEX('Enter (Vac BFs TrCl MB'!$F$7:$AU$37,MATCH(PROSPECT!$B60,'Enter (Vac BFs TrCl MB'!$D$7:$D$37,FALSE),MATCH(PROSPECT!O$42,'Enter (Vac BFs TrCl MB'!$F$6:$AU$6,FALSE))),"",(INDEX('Enter (Vac BFs TrCl MB'!$F$7:$AU$37,MATCH(PROSPECT!$B60,'Enter (Vac BFs TrCl MB'!$D$7:$D$37,FALSE),MATCH(PROSPECT!O$42,'Enter (Vac BFs TrCl MB'!$F$6:$AU$6,FALSE))))</f>
        <v/>
      </c>
      <c r="P60" s="153" t="str">
        <f>IF(ISERROR(INDEX('Enter (Vac BFs TrCl MB'!$F$7:$AU$37,MATCH(PROSPECT!$B60,'Enter (Vac BFs TrCl MB'!$D$7:$D$37,FALSE),MATCH(PROSPECT!P$42,'Enter (Vac BFs TrCl MB'!$F$6:$AU$6,FALSE))),"",(INDEX('Enter (Vac BFs TrCl MB'!$F$7:$AU$37,MATCH(PROSPECT!$B60,'Enter (Vac BFs TrCl MB'!$D$7:$D$37,FALSE),MATCH(PROSPECT!P$42,'Enter (Vac BFs TrCl MB'!$F$6:$AU$6,FALSE))))</f>
        <v/>
      </c>
      <c r="Q60" s="153" t="str">
        <f>IF(ISERROR(INDEX('Enter (Vac BFs TrCl MB'!$F$7:$AU$37,MATCH(PROSPECT!$B60,'Enter (Vac BFs TrCl MB'!$D$7:$D$37,FALSE),MATCH(PROSPECT!Q$42,'Enter (Vac BFs TrCl MB'!$F$6:$AU$6,FALSE))),"",(INDEX('Enter (Vac BFs TrCl MB'!$F$7:$AU$37,MATCH(PROSPECT!$B60,'Enter (Vac BFs TrCl MB'!$D$7:$D$37,FALSE),MATCH(PROSPECT!Q$42,'Enter (Vac BFs TrCl MB'!$F$6:$AU$6,FALSE))))</f>
        <v/>
      </c>
      <c r="R60" s="154"/>
      <c r="S60" s="784"/>
      <c r="T60" s="636">
        <v>45345</v>
      </c>
      <c r="U60" s="274"/>
      <c r="V60" s="798" t="s">
        <v>191</v>
      </c>
      <c r="W60" s="798"/>
      <c r="X60" s="798"/>
      <c r="Y60" s="798"/>
      <c r="Z60" s="798"/>
      <c r="AA60" s="799"/>
    </row>
    <row r="61" spans="2:27" ht="15">
      <c r="B61" s="111" t="s">
        <v>265</v>
      </c>
      <c r="C61" s="153" t="s">
        <v>9</v>
      </c>
      <c r="D61" s="153" t="s">
        <v>9</v>
      </c>
      <c r="E61" s="153" t="s">
        <v>9</v>
      </c>
      <c r="F61" s="153" t="s">
        <v>9</v>
      </c>
      <c r="G61" s="153" t="s">
        <v>9</v>
      </c>
      <c r="H61" s="153" t="s">
        <v>9</v>
      </c>
      <c r="I61" s="154" t="s">
        <v>9</v>
      </c>
      <c r="J61" s="784"/>
      <c r="K61" s="112" t="s">
        <v>118</v>
      </c>
      <c r="L61" s="153">
        <f>IF(ISERROR(INDEX('Enter (Vac BFs TrCl MB'!$F$7:$AU$37,MATCH(PROSPECT!$B61,'Enter (Vac BFs TrCl MB'!$D$7:$D$37,FALSE),MATCH(PROSPECT!L$42,'Enter (Vac BFs TrCl MB'!$F$6:$AU$6,FALSE))),"",(INDEX('Enter (Vac BFs TrCl MB'!$F$7:$AU$37,MATCH(PROSPECT!$B61,'Enter (Vac BFs TrCl MB'!$D$7:$D$37,FALSE),MATCH(PROSPECT!L$42,'Enter (Vac BFs TrCl MB'!$F$6:$AU$6,FALSE))))</f>
        <v>0</v>
      </c>
      <c r="M61" s="153"/>
      <c r="N61" s="153"/>
      <c r="O61" s="153" t="s">
        <v>104</v>
      </c>
      <c r="P61" s="153" t="s">
        <v>104</v>
      </c>
      <c r="Q61" s="153" t="s">
        <v>104</v>
      </c>
      <c r="R61" s="154" t="s">
        <v>104</v>
      </c>
      <c r="S61" s="784"/>
      <c r="T61" s="283" t="s">
        <v>229</v>
      </c>
      <c r="U61" s="274"/>
      <c r="V61" s="798" t="s">
        <v>230</v>
      </c>
      <c r="W61" s="798"/>
      <c r="X61" s="798"/>
      <c r="Y61" s="798"/>
      <c r="Z61" s="798"/>
      <c r="AA61" s="799"/>
    </row>
    <row r="62" spans="2:27" ht="15">
      <c r="B62" s="111"/>
      <c r="C62" s="153"/>
      <c r="D62" s="153"/>
      <c r="E62" s="153"/>
      <c r="F62" s="153"/>
      <c r="G62" s="153"/>
      <c r="H62" s="153"/>
      <c r="I62" s="154"/>
      <c r="J62" s="784"/>
      <c r="K62" s="112"/>
      <c r="L62" s="153"/>
      <c r="M62" s="153"/>
      <c r="N62" s="153"/>
      <c r="O62" s="153"/>
      <c r="P62" s="153"/>
      <c r="Q62" s="153"/>
      <c r="R62" s="154"/>
      <c r="S62" s="784"/>
      <c r="T62" s="283" t="s">
        <v>244</v>
      </c>
      <c r="U62" s="274"/>
      <c r="V62" s="798"/>
      <c r="W62" s="798"/>
      <c r="X62" s="798"/>
      <c r="Y62" s="798"/>
      <c r="Z62" s="798"/>
      <c r="AA62" s="799"/>
    </row>
    <row r="63" spans="2:27" ht="15">
      <c r="B63" s="111" t="str">
        <f>IF('Enter (Vac BFs TrCl MB'!$D26=0,"",'Enter (Vac BFs TrCl MB'!$D26)</f>
        <v/>
      </c>
      <c r="C63" s="153" t="str">
        <f>IF(ISERROR(INDEX('Enter (Vac BFs TrCl MB'!$F$7:$AU$37,MATCH(PROSPECT!$B63,'Enter (Vac BFs TrCl MB'!$D$7:$D$37,FALSE),MATCH(PROSPECT!C$42,'Enter (Vac BFs TrCl MB'!$F$6:$AU$6,FALSE))),"",(INDEX('Enter (Vac BFs TrCl MB'!$F$7:$AU$37,MATCH(PROSPECT!$B63,'Enter (Vac BFs TrCl MB'!$D$7:$D$37,FALSE),MATCH(PROSPECT!C$42,'Enter (Vac BFs TrCl MB'!$F$6:$AU$6,FALSE))))</f>
        <v/>
      </c>
      <c r="D63" s="153" t="str">
        <f>IF(ISERROR(INDEX('Enter (Vac BFs TrCl MB'!$F$7:$AU$37,MATCH(PROSPECT!$B63,'Enter (Vac BFs TrCl MB'!$D$7:$D$37,FALSE),MATCH(PROSPECT!D$42,'Enter (Vac BFs TrCl MB'!$F$6:$AU$6,FALSE))),"",(INDEX('Enter (Vac BFs TrCl MB'!$F$7:$AU$37,MATCH(PROSPECT!$B63,'Enter (Vac BFs TrCl MB'!$D$7:$D$37,FALSE),MATCH(PROSPECT!D$42,'Enter (Vac BFs TrCl MB'!$F$6:$AU$6,FALSE))))</f>
        <v/>
      </c>
      <c r="E63" s="153" t="str">
        <f>IF(ISERROR(INDEX('Enter (Vac BFs TrCl MB'!$F$7:$AU$37,MATCH(PROSPECT!$B63,'Enter (Vac BFs TrCl MB'!$D$7:$D$37,FALSE),MATCH(PROSPECT!E$42,'Enter (Vac BFs TrCl MB'!$F$6:$AU$6,FALSE))),"",(INDEX('Enter (Vac BFs TrCl MB'!$F$7:$AU$37,MATCH(PROSPECT!$B63,'Enter (Vac BFs TrCl MB'!$D$7:$D$37,FALSE),MATCH(PROSPECT!E$42,'Enter (Vac BFs TrCl MB'!$F$6:$AU$6,FALSE))))</f>
        <v/>
      </c>
      <c r="F63" s="153" t="str">
        <f>IF(ISERROR(INDEX('Enter (Vac BFs TrCl MB'!$F$7:$AU$37,MATCH(PROSPECT!$B63,'Enter (Vac BFs TrCl MB'!$D$7:$D$37,FALSE),MATCH(PROSPECT!F$42,'Enter (Vac BFs TrCl MB'!$F$6:$AU$6,FALSE))),"",(INDEX('Enter (Vac BFs TrCl MB'!$F$7:$AU$37,MATCH(PROSPECT!$B63,'Enter (Vac BFs TrCl MB'!$D$7:$D$37,FALSE),MATCH(PROSPECT!F$42,'Enter (Vac BFs TrCl MB'!$F$6:$AU$6,FALSE))))</f>
        <v/>
      </c>
      <c r="G63" s="153" t="str">
        <f>IF(ISERROR(INDEX('Enter (Vac BFs TrCl MB'!$F$7:$AU$37,MATCH(PROSPECT!$B63,'Enter (Vac BFs TrCl MB'!$D$7:$D$37,FALSE),MATCH(PROSPECT!G$42,'Enter (Vac BFs TrCl MB'!$F$6:$AU$6,FALSE))),"",(INDEX('Enter (Vac BFs TrCl MB'!$F$7:$AU$37,MATCH(PROSPECT!$B63,'Enter (Vac BFs TrCl MB'!$D$7:$D$37,FALSE),MATCH(PROSPECT!G$42,'Enter (Vac BFs TrCl MB'!$F$6:$AU$6,FALSE))))</f>
        <v/>
      </c>
      <c r="H63" s="153" t="str">
        <f>IF(ISERROR(INDEX('Enter (Vac BFs TrCl MB'!$F$7:$AU$37,MATCH(PROSPECT!$B63,'Enter (Vac BFs TrCl MB'!$D$7:$D$37,FALSE),MATCH(PROSPECT!H$42,'Enter (Vac BFs TrCl MB'!$F$6:$AU$6,FALSE))),"",(INDEX('Enter (Vac BFs TrCl MB'!$F$7:$AU$37,MATCH(PROSPECT!$B63,'Enter (Vac BFs TrCl MB'!$D$7:$D$37,FALSE),MATCH(PROSPECT!H$42,'Enter (Vac BFs TrCl MB'!$F$6:$AU$6,FALSE))))</f>
        <v/>
      </c>
      <c r="I63" s="154" t="str">
        <f>IF(ISERROR(INDEX('Enter (Vac BFs TrCl MB'!$F$7:$AU$37,MATCH(PROSPECT!$B63,'Enter (Vac BFs TrCl MB'!$D$7:$D$37,FALSE),MATCH(PROSPECT!I$42,'Enter (Vac BFs TrCl MB'!$F$6:$AU$6,FALSE))),"",(INDEX('Enter (Vac BFs TrCl MB'!$F$7:$AU$37,MATCH(PROSPECT!$B63,'Enter (Vac BFs TrCl MB'!$D$7:$D$37,FALSE),MATCH(PROSPECT!I$42,'Enter (Vac BFs TrCl MB'!$F$6:$AU$6,FALSE))))</f>
        <v/>
      </c>
      <c r="J63" s="784"/>
      <c r="K63" s="112" t="str">
        <f>IF('Enter (Vac BFs TrCl MB'!$D26=0,"",'Enter (Vac BFs TrCl MB'!$D26)</f>
        <v/>
      </c>
      <c r="L63" s="153" t="str">
        <f>IF(ISERROR(INDEX('Enter (Vac BFs TrCl MB'!$F$7:$AU$37,MATCH(PROSPECT!$B63,'Enter (Vac BFs TrCl MB'!$D$7:$D$37,FALSE),MATCH(PROSPECT!L$42,'Enter (Vac BFs TrCl MB'!$F$6:$AU$6,FALSE))),"",(INDEX('Enter (Vac BFs TrCl MB'!$F$7:$AU$37,MATCH(PROSPECT!$B63,'Enter (Vac BFs TrCl MB'!$D$7:$D$37,FALSE),MATCH(PROSPECT!L$42,'Enter (Vac BFs TrCl MB'!$F$6:$AU$6,FALSE))))</f>
        <v/>
      </c>
      <c r="M63" s="153" t="str">
        <f>IF(ISERROR(INDEX('Enter (Vac BFs TrCl MB'!$F$7:$AU$37,MATCH(PROSPECT!$B63,'Enter (Vac BFs TrCl MB'!$D$7:$D$37,FALSE),MATCH(PROSPECT!M$42,'Enter (Vac BFs TrCl MB'!$F$6:$AU$6,FALSE))),"",(INDEX('Enter (Vac BFs TrCl MB'!$F$7:$AU$37,MATCH(PROSPECT!$B63,'Enter (Vac BFs TrCl MB'!$D$7:$D$37,FALSE),MATCH(PROSPECT!M$42,'Enter (Vac BFs TrCl MB'!$F$6:$AU$6,FALSE))))</f>
        <v/>
      </c>
      <c r="N63" s="153" t="str">
        <f>IF(ISERROR(INDEX('Enter (Vac BFs TrCl MB'!$F$7:$AU$37,MATCH(PROSPECT!$B63,'Enter (Vac BFs TrCl MB'!$D$7:$D$37,FALSE),MATCH(PROSPECT!N$42,'Enter (Vac BFs TrCl MB'!$F$6:$AU$6,FALSE))),"",(INDEX('Enter (Vac BFs TrCl MB'!$F$7:$AU$37,MATCH(PROSPECT!$B63,'Enter (Vac BFs TrCl MB'!$D$7:$D$37,FALSE),MATCH(PROSPECT!N$42,'Enter (Vac BFs TrCl MB'!$F$6:$AU$6,FALSE))))</f>
        <v/>
      </c>
      <c r="O63" s="153" t="str">
        <f>IF(ISERROR(INDEX('Enter (Vac BFs TrCl MB'!$F$7:$AU$37,MATCH(PROSPECT!$B63,'Enter (Vac BFs TrCl MB'!$D$7:$D$37,FALSE),MATCH(PROSPECT!O$42,'Enter (Vac BFs TrCl MB'!$F$6:$AU$6,FALSE))),"",(INDEX('Enter (Vac BFs TrCl MB'!$F$7:$AU$37,MATCH(PROSPECT!$B63,'Enter (Vac BFs TrCl MB'!$D$7:$D$37,FALSE),MATCH(PROSPECT!O$42,'Enter (Vac BFs TrCl MB'!$F$6:$AU$6,FALSE))))</f>
        <v/>
      </c>
      <c r="P63" s="153" t="str">
        <f>IF(ISERROR(INDEX('Enter (Vac BFs TrCl MB'!$F$7:$AU$37,MATCH(PROSPECT!$B63,'Enter (Vac BFs TrCl MB'!$D$7:$D$37,FALSE),MATCH(PROSPECT!P$42,'Enter (Vac BFs TrCl MB'!$F$6:$AU$6,FALSE))),"",(INDEX('Enter (Vac BFs TrCl MB'!$F$7:$AU$37,MATCH(PROSPECT!$B63,'Enter (Vac BFs TrCl MB'!$D$7:$D$37,FALSE),MATCH(PROSPECT!P$42,'Enter (Vac BFs TrCl MB'!$F$6:$AU$6,FALSE))))</f>
        <v/>
      </c>
      <c r="Q63" s="153" t="str">
        <f>IF(ISERROR(INDEX('Enter (Vac BFs TrCl MB'!$F$7:$AU$37,MATCH(PROSPECT!$B63,'Enter (Vac BFs TrCl MB'!$D$7:$D$37,FALSE),MATCH(PROSPECT!Q$42,'Enter (Vac BFs TrCl MB'!$F$6:$AU$6,FALSE))),"",(INDEX('Enter (Vac BFs TrCl MB'!$F$7:$AU$37,MATCH(PROSPECT!$B63,'Enter (Vac BFs TrCl MB'!$D$7:$D$37,FALSE),MATCH(PROSPECT!Q$42,'Enter (Vac BFs TrCl MB'!$F$6:$AU$6,FALSE))))</f>
        <v/>
      </c>
      <c r="R63" s="154"/>
      <c r="S63" s="784"/>
      <c r="T63" s="283"/>
      <c r="U63" s="274"/>
      <c r="V63" s="798" t="s">
        <v>233</v>
      </c>
      <c r="W63" s="798"/>
      <c r="X63" s="798"/>
      <c r="Y63" s="798"/>
      <c r="Z63" s="798"/>
      <c r="AA63" s="799"/>
    </row>
    <row r="64" spans="2:27" ht="17.2" customHeight="1">
      <c r="B64" s="111" t="str">
        <f>IF('Enter (Vac BFs TrCl MB'!$D27=0,"",'Enter (Vac BFs TrCl MB'!$D27)</f>
        <v xml:space="preserve">TL </v>
      </c>
      <c r="C64" s="153">
        <f>IF(ISERROR(INDEX('Enter (Vac BFs TrCl MB'!$F$7:$AU$37,MATCH(PROSPECT!$B64,'Enter (Vac BFs TrCl MB'!$D$7:$D$37,FALSE),MATCH(PROSPECT!C$42,'Enter (Vac BFs TrCl MB'!$F$6:$AU$6,FALSE))),"",(INDEX('Enter (Vac BFs TrCl MB'!$F$7:$AU$37,MATCH(PROSPECT!$B64,'Enter (Vac BFs TrCl MB'!$D$7:$D$37,FALSE),MATCH(PROSPECT!C$42,'Enter (Vac BFs TrCl MB'!$F$6:$AU$6,FALSE))))</f>
        <v>0</v>
      </c>
      <c r="D64" s="153">
        <f>IF(ISERROR(INDEX('Enter (Vac BFs TrCl MB'!$F$7:$AU$37,MATCH(PROSPECT!$B64,'Enter (Vac BFs TrCl MB'!$D$7:$D$37,FALSE),MATCH(PROSPECT!D$42,'Enter (Vac BFs TrCl MB'!$F$6:$AU$6,FALSE))),"",(INDEX('Enter (Vac BFs TrCl MB'!$F$7:$AU$37,MATCH(PROSPECT!$B64,'Enter (Vac BFs TrCl MB'!$D$7:$D$37,FALSE),MATCH(PROSPECT!D$42,'Enter (Vac BFs TrCl MB'!$F$6:$AU$6,FALSE))))</f>
        <v>0</v>
      </c>
      <c r="E64" s="153">
        <f>IF(ISERROR(INDEX('Enter (Vac BFs TrCl MB'!$F$7:$AU$37,MATCH(PROSPECT!$B64,'Enter (Vac BFs TrCl MB'!$D$7:$D$37,FALSE),MATCH(PROSPECT!E$42,'Enter (Vac BFs TrCl MB'!$F$6:$AU$6,FALSE))),"",(INDEX('Enter (Vac BFs TrCl MB'!$F$7:$AU$37,MATCH(PROSPECT!$B64,'Enter (Vac BFs TrCl MB'!$D$7:$D$37,FALSE),MATCH(PROSPECT!E$42,'Enter (Vac BFs TrCl MB'!$F$6:$AU$6,FALSE))))</f>
        <v>0</v>
      </c>
      <c r="F64" s="153">
        <f>IF(ISERROR(INDEX('Enter (Vac BFs TrCl MB'!$F$7:$AU$37,MATCH(PROSPECT!$B64,'Enter (Vac BFs TrCl MB'!$D$7:$D$37,FALSE),MATCH(PROSPECT!F$42,'Enter (Vac BFs TrCl MB'!$F$6:$AU$6,FALSE))),"",(INDEX('Enter (Vac BFs TrCl MB'!$F$7:$AU$37,MATCH(PROSPECT!$B64,'Enter (Vac BFs TrCl MB'!$D$7:$D$37,FALSE),MATCH(PROSPECT!F$42,'Enter (Vac BFs TrCl MB'!$F$6:$AU$6,FALSE))))</f>
        <v>0</v>
      </c>
      <c r="G64" s="153">
        <f>IF(ISERROR(INDEX('Enter (Vac BFs TrCl MB'!$F$7:$AU$37,MATCH(PROSPECT!$B64,'Enter (Vac BFs TrCl MB'!$D$7:$D$37,FALSE),MATCH(PROSPECT!G$42,'Enter (Vac BFs TrCl MB'!$F$6:$AU$6,FALSE))),"",(INDEX('Enter (Vac BFs TrCl MB'!$F$7:$AU$37,MATCH(PROSPECT!$B64,'Enter (Vac BFs TrCl MB'!$D$7:$D$37,FALSE),MATCH(PROSPECT!G$42,'Enter (Vac BFs TrCl MB'!$F$6:$AU$6,FALSE))))</f>
        <v>0</v>
      </c>
      <c r="H64" s="153">
        <f>IF(ISERROR(INDEX('Enter (Vac BFs TrCl MB'!$F$7:$AU$37,MATCH(PROSPECT!$B64,'Enter (Vac BFs TrCl MB'!$D$7:$D$37,FALSE),MATCH(PROSPECT!H$42,'Enter (Vac BFs TrCl MB'!$F$6:$AU$6,FALSE))),"",(INDEX('Enter (Vac BFs TrCl MB'!$F$7:$AU$37,MATCH(PROSPECT!$B64,'Enter (Vac BFs TrCl MB'!$D$7:$D$37,FALSE),MATCH(PROSPECT!H$42,'Enter (Vac BFs TrCl MB'!$F$6:$AU$6,FALSE))))</f>
        <v>0</v>
      </c>
      <c r="I64" s="154">
        <f>IF(ISERROR(INDEX('Enter (Vac BFs TrCl MB'!$F$7:$AU$37,MATCH(PROSPECT!$B64,'Enter (Vac BFs TrCl MB'!$D$7:$D$37,FALSE),MATCH(PROSPECT!I$42,'Enter (Vac BFs TrCl MB'!$F$6:$AU$6,FALSE))),"",(INDEX('Enter (Vac BFs TrCl MB'!$F$7:$AU$37,MATCH(PROSPECT!$B64,'Enter (Vac BFs TrCl MB'!$D$7:$D$37,FALSE),MATCH(PROSPECT!I$42,'Enter (Vac BFs TrCl MB'!$F$6:$AU$6,FALSE))))</f>
        <v>0</v>
      </c>
      <c r="J64" s="784"/>
      <c r="K64" s="112" t="str">
        <f>IF('Enter (Vac BFs TrCl MB'!$D27=0,"",'Enter (Vac BFs TrCl MB'!$D27)</f>
        <v xml:space="preserve">TL </v>
      </c>
      <c r="L64" s="153">
        <f>IF(ISERROR(INDEX('Enter (Vac BFs TrCl MB'!$F$7:$AU$37,MATCH(PROSPECT!$B64,'Enter (Vac BFs TrCl MB'!$D$7:$D$37,FALSE),MATCH(PROSPECT!L$42,'Enter (Vac BFs TrCl MB'!$F$6:$AU$6,FALSE))),"",(INDEX('Enter (Vac BFs TrCl MB'!$F$7:$AU$37,MATCH(PROSPECT!$B64,'Enter (Vac BFs TrCl MB'!$D$7:$D$37,FALSE),MATCH(PROSPECT!L$42,'Enter (Vac BFs TrCl MB'!$F$6:$AU$6,FALSE))))</f>
        <v>0</v>
      </c>
      <c r="M64" s="153">
        <f>IF(ISERROR(INDEX('Enter (Vac BFs TrCl MB'!$F$7:$AU$37,MATCH(PROSPECT!$B64,'Enter (Vac BFs TrCl MB'!$D$7:$D$37,FALSE),MATCH(PROSPECT!M$42,'Enter (Vac BFs TrCl MB'!$F$6:$AU$6,FALSE))),"",(INDEX('Enter (Vac BFs TrCl MB'!$F$7:$AU$37,MATCH(PROSPECT!$B64,'Enter (Vac BFs TrCl MB'!$D$7:$D$37,FALSE),MATCH(PROSPECT!M$42,'Enter (Vac BFs TrCl MB'!$F$6:$AU$6,FALSE))))</f>
        <v>0</v>
      </c>
      <c r="N64" s="153">
        <f>IF(ISERROR(INDEX('Enter (Vac BFs TrCl MB'!$F$7:$AU$37,MATCH(PROSPECT!$B64,'Enter (Vac BFs TrCl MB'!$D$7:$D$37,FALSE),MATCH(PROSPECT!N$42,'Enter (Vac BFs TrCl MB'!$F$6:$AU$6,FALSE))),"",(INDEX('Enter (Vac BFs TrCl MB'!$F$7:$AU$37,MATCH(PROSPECT!$B64,'Enter (Vac BFs TrCl MB'!$D$7:$D$37,FALSE),MATCH(PROSPECT!N$42,'Enter (Vac BFs TrCl MB'!$F$6:$AU$6,FALSE))))</f>
        <v>0</v>
      </c>
      <c r="O64" s="153">
        <f>IF(ISERROR(INDEX('Enter (Vac BFs TrCl MB'!$F$7:$AU$37,MATCH(PROSPECT!$B64,'Enter (Vac BFs TrCl MB'!$D$7:$D$37,FALSE),MATCH(PROSPECT!O$42,'Enter (Vac BFs TrCl MB'!$F$6:$AU$6,FALSE))),"",(INDEX('Enter (Vac BFs TrCl MB'!$F$7:$AU$37,MATCH(PROSPECT!$B64,'Enter (Vac BFs TrCl MB'!$D$7:$D$37,FALSE),MATCH(PROSPECT!O$42,'Enter (Vac BFs TrCl MB'!$F$6:$AU$6,FALSE))))</f>
        <v>0</v>
      </c>
      <c r="P64" s="153">
        <f>IF(ISERROR(INDEX('Enter (Vac BFs TrCl MB'!$F$7:$AU$37,MATCH(PROSPECT!$B64,'Enter (Vac BFs TrCl MB'!$D$7:$D$37,FALSE),MATCH(PROSPECT!P$42,'Enter (Vac BFs TrCl MB'!$F$6:$AU$6,FALSE))),"",(INDEX('Enter (Vac BFs TrCl MB'!$F$7:$AU$37,MATCH(PROSPECT!$B64,'Enter (Vac BFs TrCl MB'!$D$7:$D$37,FALSE),MATCH(PROSPECT!P$42,'Enter (Vac BFs TrCl MB'!$F$6:$AU$6,FALSE))))</f>
        <v>0</v>
      </c>
      <c r="Q64" s="153">
        <f>IF(ISERROR(INDEX('Enter (Vac BFs TrCl MB'!$F$7:$AU$37,MATCH(PROSPECT!$B64,'Enter (Vac BFs TrCl MB'!$D$7:$D$37,FALSE),MATCH(PROSPECT!Q$42,'Enter (Vac BFs TrCl MB'!$F$6:$AU$6,FALSE))),"",(INDEX('Enter (Vac BFs TrCl MB'!$F$7:$AU$37,MATCH(PROSPECT!$B64,'Enter (Vac BFs TrCl MB'!$D$7:$D$37,FALSE),MATCH(PROSPECT!Q$42,'Enter (Vac BFs TrCl MB'!$F$6:$AU$6,FALSE))))</f>
        <v>0</v>
      </c>
      <c r="R64" s="154"/>
      <c r="S64" s="784"/>
      <c r="T64" s="283"/>
      <c r="U64" s="274"/>
      <c r="V64" s="798" t="s">
        <v>234</v>
      </c>
      <c r="W64" s="798"/>
      <c r="X64" s="798"/>
      <c r="Y64" s="798"/>
      <c r="Z64" s="798"/>
      <c r="AA64" s="799"/>
    </row>
    <row r="65" spans="2:27" ht="15.4" thickBot="1">
      <c r="B65" s="111" t="str">
        <f>IF('Enter (Vac BFs TrCl MB'!$D28=0,"",'Enter (Vac BFs TrCl MB'!$D28)</f>
        <v>Lakshay</v>
      </c>
      <c r="C65" s="155">
        <f>IF(ISERROR(INDEX('Enter (Vac BFs TrCl MB'!$F$7:$AU$37,MATCH(PROSPECT!$B65,'Enter (Vac BFs TrCl MB'!$D$7:$D$37,FALSE),MATCH(PROSPECT!C$42,'Enter (Vac BFs TrCl MB'!$F$6:$AU$6,FALSE))),"",(INDEX('Enter (Vac BFs TrCl MB'!$F$7:$AU$37,MATCH(PROSPECT!$B65,'Enter (Vac BFs TrCl MB'!$D$7:$D$37,FALSE),MATCH(PROSPECT!C$42,'Enter (Vac BFs TrCl MB'!$F$6:$AU$6,FALSE))))</f>
        <v>0</v>
      </c>
      <c r="D65" s="155">
        <f>IF(ISERROR(INDEX('Enter (Vac BFs TrCl MB'!$F$7:$AU$37,MATCH(PROSPECT!$B65,'Enter (Vac BFs TrCl MB'!$D$7:$D$37,FALSE),MATCH(PROSPECT!D$42,'Enter (Vac BFs TrCl MB'!$F$6:$AU$6,FALSE))),"",(INDEX('Enter (Vac BFs TrCl MB'!$F$7:$AU$37,MATCH(PROSPECT!$B65,'Enter (Vac BFs TrCl MB'!$D$7:$D$37,FALSE),MATCH(PROSPECT!D$42,'Enter (Vac BFs TrCl MB'!$F$6:$AU$6,FALSE))))</f>
        <v>0</v>
      </c>
      <c r="E65" s="155" t="s">
        <v>138</v>
      </c>
      <c r="F65" s="660" t="s">
        <v>114</v>
      </c>
      <c r="G65" s="155">
        <f>IF(ISERROR(INDEX('Enter (Vac BFs TrCl MB'!$F$7:$AU$37,MATCH(PROSPECT!$B65,'Enter (Vac BFs TrCl MB'!$D$7:$D$37,FALSE),MATCH(PROSPECT!G$42,'Enter (Vac BFs TrCl MB'!$F$6:$AU$6,FALSE))),"",(INDEX('Enter (Vac BFs TrCl MB'!$F$7:$AU$37,MATCH(PROSPECT!$B65,'Enter (Vac BFs TrCl MB'!$D$7:$D$37,FALSE),MATCH(PROSPECT!G$42,'Enter (Vac BFs TrCl MB'!$F$6:$AU$6,FALSE))))</f>
        <v>0</v>
      </c>
      <c r="H65" s="155"/>
      <c r="I65" s="156">
        <f>IF(ISERROR(INDEX('Enter (Vac BFs TrCl MB'!$F$7:$AU$37,MATCH(PROSPECT!$B65,'Enter (Vac BFs TrCl MB'!$D$7:$D$37,FALSE),MATCH(PROSPECT!I$42,'Enter (Vac BFs TrCl MB'!$F$6:$AU$6,FALSE))),"",(INDEX('Enter (Vac BFs TrCl MB'!$F$7:$AU$37,MATCH(PROSPECT!$B65,'Enter (Vac BFs TrCl MB'!$D$7:$D$37,FALSE),MATCH(PROSPECT!I$42,'Enter (Vac BFs TrCl MB'!$F$6:$AU$6,FALSE))))</f>
        <v>0</v>
      </c>
      <c r="J65" s="784"/>
      <c r="K65" s="113" t="str">
        <f>IF('Enter (Vac BFs TrCl MB'!$D28=0,"",'Enter (Vac BFs TrCl MB'!$D28)</f>
        <v>Lakshay</v>
      </c>
      <c r="L65" s="155">
        <f>IF(ISERROR(INDEX('Enter (Vac BFs TrCl MB'!$F$7:$AU$37,MATCH(PROSPECT!$B65,'Enter (Vac BFs TrCl MB'!$D$7:$D$37,FALSE),MATCH(PROSPECT!L$42,'Enter (Vac BFs TrCl MB'!$F$6:$AU$6,FALSE))),"",(INDEX('Enter (Vac BFs TrCl MB'!$F$7:$AU$37,MATCH(PROSPECT!$B65,'Enter (Vac BFs TrCl MB'!$D$7:$D$37,FALSE),MATCH(PROSPECT!L$42,'Enter (Vac BFs TrCl MB'!$F$6:$AU$6,FALSE))))</f>
        <v>0</v>
      </c>
      <c r="M65" s="155">
        <f>IF(ISERROR(INDEX('Enter (Vac BFs TrCl MB'!$F$7:$AU$37,MATCH(PROSPECT!$B65,'Enter (Vac BFs TrCl MB'!$D$7:$D$37,FALSE),MATCH(PROSPECT!M$42,'Enter (Vac BFs TrCl MB'!$F$6:$AU$6,FALSE))),"",(INDEX('Enter (Vac BFs TrCl MB'!$F$7:$AU$37,MATCH(PROSPECT!$B65,'Enter (Vac BFs TrCl MB'!$D$7:$D$37,FALSE),MATCH(PROSPECT!M$42,'Enter (Vac BFs TrCl MB'!$F$6:$AU$6,FALSE))))</f>
        <v>0</v>
      </c>
      <c r="N65" s="660" t="s">
        <v>252</v>
      </c>
      <c r="O65" s="661" t="s">
        <v>109</v>
      </c>
      <c r="P65" s="155">
        <f>IF(ISERROR(INDEX('Enter (Vac BFs TrCl MB'!$F$7:$AU$37,MATCH(PROSPECT!$B65,'Enter (Vac BFs TrCl MB'!$D$7:$D$37,FALSE),MATCH(PROSPECT!P$42,'Enter (Vac BFs TrCl MB'!$F$6:$AU$6,FALSE))),"",(INDEX('Enter (Vac BFs TrCl MB'!$F$7:$AU$37,MATCH(PROSPECT!$B65,'Enter (Vac BFs TrCl MB'!$D$7:$D$37,FALSE),MATCH(PROSPECT!P$42,'Enter (Vac BFs TrCl MB'!$F$6:$AU$6,FALSE))))</f>
        <v>0</v>
      </c>
      <c r="Q65" s="155">
        <f>IF(ISERROR(INDEX('Enter (Vac BFs TrCl MB'!$F$7:$AU$37,MATCH(PROSPECT!$B65,'Enter (Vac BFs TrCl MB'!$D$7:$D$37,FALSE),MATCH(PROSPECT!Q$42,'Enter (Vac BFs TrCl MB'!$F$6:$AU$6,FALSE))),"",(INDEX('Enter (Vac BFs TrCl MB'!$F$7:$AU$37,MATCH(PROSPECT!$B65,'Enter (Vac BFs TrCl MB'!$D$7:$D$37,FALSE),MATCH(PROSPECT!Q$42,'Enter (Vac BFs TrCl MB'!$F$6:$AU$6,FALSE))))</f>
        <v>0</v>
      </c>
      <c r="R65" s="156"/>
      <c r="S65" s="784"/>
      <c r="T65" s="284"/>
      <c r="U65" s="285"/>
      <c r="V65" s="825"/>
      <c r="W65" s="825"/>
      <c r="X65" s="825"/>
      <c r="Y65" s="825"/>
      <c r="Z65" s="825"/>
      <c r="AA65" s="826"/>
    </row>
  </sheetData>
  <mergeCells count="55">
    <mergeCell ref="V62:AA62"/>
    <mergeCell ref="V63:AA63"/>
    <mergeCell ref="V64:AA64"/>
    <mergeCell ref="V65:AA65"/>
    <mergeCell ref="V57:AA57"/>
    <mergeCell ref="V58:AA58"/>
    <mergeCell ref="V59:AA59"/>
    <mergeCell ref="V60:AA60"/>
    <mergeCell ref="V61:AA61"/>
    <mergeCell ref="V52:AA52"/>
    <mergeCell ref="V53:AA53"/>
    <mergeCell ref="V54:AA54"/>
    <mergeCell ref="V55:AA55"/>
    <mergeCell ref="V56:AA56"/>
    <mergeCell ref="V47:AA47"/>
    <mergeCell ref="V48:AA48"/>
    <mergeCell ref="V49:AA49"/>
    <mergeCell ref="V50:AA50"/>
    <mergeCell ref="V51:AA51"/>
    <mergeCell ref="E2:J2"/>
    <mergeCell ref="K2:N2"/>
    <mergeCell ref="O2:T2"/>
    <mergeCell ref="U2:V2"/>
    <mergeCell ref="W2:X2"/>
    <mergeCell ref="B5:B6"/>
    <mergeCell ref="J5:J34"/>
    <mergeCell ref="K5:K6"/>
    <mergeCell ref="S5:S34"/>
    <mergeCell ref="T5:T6"/>
    <mergeCell ref="N3:O3"/>
    <mergeCell ref="Q3:S3"/>
    <mergeCell ref="U3:V3"/>
    <mergeCell ref="X3:Y3"/>
    <mergeCell ref="B4:AA4"/>
    <mergeCell ref="C3:D3"/>
    <mergeCell ref="E3:F3"/>
    <mergeCell ref="G3:H3"/>
    <mergeCell ref="I3:K3"/>
    <mergeCell ref="L3:M3"/>
    <mergeCell ref="B35:AA35"/>
    <mergeCell ref="B36:B37"/>
    <mergeCell ref="J36:J65"/>
    <mergeCell ref="K36:K37"/>
    <mergeCell ref="S36:S65"/>
    <mergeCell ref="T36:AA36"/>
    <mergeCell ref="V37:AA37"/>
    <mergeCell ref="V38:AA38"/>
    <mergeCell ref="V39:AA39"/>
    <mergeCell ref="V40:AA40"/>
    <mergeCell ref="V41:AA41"/>
    <mergeCell ref="V42:AA42"/>
    <mergeCell ref="V43:AA43"/>
    <mergeCell ref="V44:AA44"/>
    <mergeCell ref="V45:AA45"/>
    <mergeCell ref="V46:AA46"/>
  </mergeCells>
  <conditionalFormatting sqref="C7:I8 O44:Q56 C44:I65 L44:N65 U44:V65 R45:R56">
    <cfRule type="cellIs" dxfId="39" priority="22" operator="equal">
      <formula>0</formula>
    </cfRule>
  </conditionalFormatting>
  <conditionalFormatting sqref="C13:I34">
    <cfRule type="cellIs" dxfId="38" priority="4" operator="equal">
      <formula>0</formula>
    </cfRule>
  </conditionalFormatting>
  <conditionalFormatting sqref="C38:I39">
    <cfRule type="cellIs" dxfId="37" priority="12" operator="equal">
      <formula>0</formula>
    </cfRule>
  </conditionalFormatting>
  <conditionalFormatting sqref="L7:R8">
    <cfRule type="cellIs" dxfId="36" priority="16" operator="equal">
      <formula>0</formula>
    </cfRule>
  </conditionalFormatting>
  <conditionalFormatting sqref="L14:R34">
    <cfRule type="cellIs" dxfId="35" priority="1" operator="equal">
      <formula>0</formula>
    </cfRule>
  </conditionalFormatting>
  <conditionalFormatting sqref="L38:R39">
    <cfRule type="cellIs" dxfId="34" priority="10" operator="equal">
      <formula>0</formula>
    </cfRule>
  </conditionalFormatting>
  <conditionalFormatting sqref="M13:R13">
    <cfRule type="cellIs" dxfId="33" priority="27" operator="equal">
      <formula>0</formula>
    </cfRule>
  </conditionalFormatting>
  <conditionalFormatting sqref="O57:R65">
    <cfRule type="cellIs" dxfId="32" priority="6" operator="equal">
      <formula>0</formula>
    </cfRule>
  </conditionalFormatting>
  <conditionalFormatting sqref="U38:V39 U66:AA67">
    <cfRule type="cellIs" dxfId="31" priority="8" operator="equal">
      <formula>0</formula>
    </cfRule>
  </conditionalFormatting>
  <conditionalFormatting sqref="U7:AA8">
    <cfRule type="cellIs" dxfId="30" priority="14" operator="equal">
      <formula>0</formula>
    </cfRule>
  </conditionalFormatting>
  <conditionalFormatting sqref="U13:AA34">
    <cfRule type="cellIs" dxfId="29" priority="26" operator="equal">
      <formula>0</formula>
    </cfRule>
  </conditionalFormatting>
  <pageMargins left="0.7" right="0.7" top="0.75" bottom="0.75" header="0.3" footer="0.3"/>
  <pageSetup scale="49" orientation="landscape" r:id="rId1"/>
  <ignoredErrors>
    <ignoredError sqref="B13:B17 K13:K18 B48:B58 K48:K58 K7:K8 T13:T27 T5 K5 B5 B7:I8 L8:M8 U8:X8 C60:I60 L63:R64 L61 L60 C29:I29 B19:B27 B32:I34 K32:K34 N32:R33 T32:AA33 L32:M33 Q20:R20 O22 L29:R29 U29:AA29 C52:I52 L17 Z21:AA21 K20:K27 C53:D53 L7 N7:O7 K44:K47 B44:B47 T34 C63:I64 N60:R60 K63:K65 V34 P8:R8 C65:D65 G65:I65 U7:X7 Z8:AA8 L65:M65 P65:R65 B63:B65 B29 K29 T29 B60"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AD65"/>
  <sheetViews>
    <sheetView showGridLines="0" showRowColHeaders="0" topLeftCell="B9" zoomScale="70" zoomScaleNormal="70" workbookViewId="0">
      <selection activeCell="N21" sqref="N21"/>
    </sheetView>
  </sheetViews>
  <sheetFormatPr defaultRowHeight="14.25"/>
  <cols>
    <col min="1" max="1" width="24.796875" hidden="1" customWidth="1"/>
    <col min="2" max="2" width="16.19921875" customWidth="1"/>
    <col min="10" max="10" width="3.53125" customWidth="1"/>
    <col min="11" max="11" width="16.19921875" customWidth="1"/>
    <col min="12" max="12" width="9.53125" bestFit="1" customWidth="1"/>
    <col min="14" max="15" width="10" bestFit="1" customWidth="1"/>
    <col min="16" max="16" width="11.265625" bestFit="1" customWidth="1"/>
    <col min="18" max="18" width="8.73046875" customWidth="1"/>
    <col min="19" max="19" width="3.53125" customWidth="1"/>
    <col min="20" max="20" width="16.19921875" bestFit="1" customWidth="1"/>
    <col min="23" max="23" width="10" bestFit="1" customWidth="1"/>
  </cols>
  <sheetData>
    <row r="1" spans="1:27" ht="14.65" thickBot="1"/>
    <row r="2" spans="1:27" ht="25.05" customHeight="1">
      <c r="A2" s="40"/>
      <c r="B2" s="96">
        <f>Planner!B18</f>
        <v>45323</v>
      </c>
      <c r="C2" s="114" t="str">
        <f>IF('Enter Projections'!$A$1,"Mois","Month:")</f>
        <v>Month:</v>
      </c>
      <c r="D2" s="114"/>
      <c r="E2" s="811" t="str">
        <f>'Enter Projections'!K2</f>
        <v>February</v>
      </c>
      <c r="F2" s="811"/>
      <c r="G2" s="811"/>
      <c r="H2" s="811"/>
      <c r="I2" s="811"/>
      <c r="J2" s="811"/>
      <c r="K2" s="812" t="str">
        <f>IF('Enter Projections'!$A$1,"Nom du restaurant :","Restaurant Name:")</f>
        <v>Restaurant Name:</v>
      </c>
      <c r="L2" s="812"/>
      <c r="M2" s="812"/>
      <c r="N2" s="812"/>
      <c r="O2" s="813" t="s">
        <v>260</v>
      </c>
      <c r="P2" s="813"/>
      <c r="Q2" s="813"/>
      <c r="R2" s="813"/>
      <c r="S2" s="813"/>
      <c r="T2" s="813"/>
      <c r="U2" s="814" t="str">
        <f>IF('Enter Projections'!$A$1,"% prévues","Planned LBR")</f>
        <v>Planned LBR</v>
      </c>
      <c r="V2" s="814"/>
      <c r="W2" s="815">
        <f>'Enter Projections'!O27/100</f>
        <v>0</v>
      </c>
      <c r="X2" s="815"/>
      <c r="Y2" s="97"/>
      <c r="Z2" s="331"/>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Projections'!$A$1,"Main-d’œuvre prévue","Proj $")</f>
        <v>Proj $</v>
      </c>
      <c r="J3" s="802"/>
      <c r="K3" s="802"/>
      <c r="L3" s="807">
        <f>'Enter Projections'!O17</f>
        <v>0</v>
      </c>
      <c r="M3" s="807"/>
      <c r="N3" s="802" t="str">
        <f>IF('Enter Projections'!$A$1,"Main-d’œuvre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808" t="str">
        <f>IF('Enter Projections'!A1,"Événements
spéciaux","Special
Events")</f>
        <v>Special
Events</v>
      </c>
      <c r="C5" s="108"/>
      <c r="D5" s="108"/>
      <c r="E5" s="108"/>
      <c r="F5" s="108"/>
      <c r="G5" s="108"/>
      <c r="H5" s="108"/>
      <c r="I5" s="109"/>
      <c r="J5" s="810"/>
      <c r="K5" s="808" t="str">
        <f>IF('Enter Projections'!A1,"Événements
spéciaux","Special
Events")</f>
        <v>Special
Events</v>
      </c>
      <c r="L5" s="145"/>
      <c r="M5" s="145"/>
      <c r="N5" s="145"/>
      <c r="O5" s="145"/>
      <c r="P5" s="145"/>
      <c r="Q5" s="145"/>
      <c r="R5" s="146" t="s">
        <v>131</v>
      </c>
      <c r="S5" s="810"/>
      <c r="T5" s="808" t="str">
        <f>IF('Enter Projections'!A1,"Événements
spéciaux","Special
Events")</f>
        <v>Special
Events</v>
      </c>
      <c r="U5" s="145"/>
      <c r="V5" s="145"/>
      <c r="W5" s="145"/>
      <c r="X5" s="145"/>
      <c r="Y5" s="145"/>
      <c r="Z5" s="145"/>
      <c r="AA5" s="146"/>
    </row>
    <row r="6" spans="1:27" ht="15">
      <c r="B6" s="809"/>
      <c r="C6" s="95"/>
      <c r="D6" s="95"/>
      <c r="E6" s="95"/>
      <c r="F6" s="95"/>
      <c r="G6" s="95"/>
      <c r="H6" s="95"/>
      <c r="I6" s="110"/>
      <c r="J6" s="810"/>
      <c r="K6" s="809"/>
      <c r="L6" s="147"/>
      <c r="M6" s="147"/>
      <c r="N6" s="147"/>
      <c r="O6" s="147"/>
      <c r="P6" s="147"/>
      <c r="Q6" s="147"/>
      <c r="R6" s="148"/>
      <c r="S6" s="810"/>
      <c r="T6" s="809"/>
      <c r="U6" s="147"/>
      <c r="V6" s="147"/>
      <c r="W6" s="147"/>
      <c r="X6" s="147"/>
      <c r="Y6" s="147"/>
      <c r="Z6" s="147"/>
      <c r="AA6" s="148"/>
    </row>
    <row r="7" spans="1:27" ht="15.4">
      <c r="B7" s="149" t="str">
        <f>IF('Enter (Vac BFs TrCl MB'!$D32=0,"",'Enter (Vac BFs TrCl MB'!$D32)</f>
        <v/>
      </c>
      <c r="C7" s="150" t="str">
        <f>IF(ISERROR(INDEX('Enter (Vac BFs TrCl MB'!$F$7:$AJ$37,MATCH(REGENT!$B7,'Enter (Vac BFs TrCl MB'!$D$7:$D$37,FALSE),MATCH(REGENT!C$11,'Enter (Vac BFs TrCl MB'!$F$6:$AJ$6,FALSE))),"",(INDEX('Enter (Vac BFs TrCl MB'!$F$7:$AJ$37,MATCH(REGENT!$B7,'Enter (Vac BFs TrCl MB'!$D$7:$D$37,FALSE),MATCH(REGENT!C$11,'Enter (Vac BFs TrCl MB'!$F$6:$AJ$6,FALSE))))</f>
        <v/>
      </c>
      <c r="D7" s="150" t="str">
        <f>IF(ISERROR(INDEX('Enter (Vac BFs TrCl MB'!$F$7:$AJ$37,MATCH(REGENT!$B7,'Enter (Vac BFs TrCl MB'!$D$7:$D$37,FALSE),MATCH(REGENT!D$11,'Enter (Vac BFs TrCl MB'!$F$6:$AJ$6,FALSE))),"",(INDEX('Enter (Vac BFs TrCl MB'!$F$7:$AJ$37,MATCH(REGENT!$B7,'Enter (Vac BFs TrCl MB'!$D$7:$D$37,FALSE),MATCH(REGENT!D$11,'Enter (Vac BFs TrCl MB'!$F$6:$AJ$6,FALSE))))</f>
        <v/>
      </c>
      <c r="E7" s="150" t="str">
        <f>IF(ISERROR(INDEX('Enter (Vac BFs TrCl MB'!$F$7:$AJ$37,MATCH(REGENT!$B7,'Enter (Vac BFs TrCl MB'!$D$7:$D$37,FALSE),MATCH(REGENT!E$11,'Enter (Vac BFs TrCl MB'!$F$6:$AJ$6,FALSE))),"",(INDEX('Enter (Vac BFs TrCl MB'!$F$7:$AJ$37,MATCH(REGENT!$B7,'Enter (Vac BFs TrCl MB'!$D$7:$D$37,FALSE),MATCH(REGENT!E$11,'Enter (Vac BFs TrCl MB'!$F$6:$AJ$6,FALSE))))</f>
        <v/>
      </c>
      <c r="F7" s="150" t="str">
        <f>IF(ISERROR(INDEX('Enter (Vac BFs TrCl MB'!$F$7:$AJ$37,MATCH(REGENT!$B7,'Enter (Vac BFs TrCl MB'!$D$7:$D$37,FALSE),MATCH(REGENT!F$11,'Enter (Vac BFs TrCl MB'!$F$6:$AJ$6,FALSE))),"",(INDEX('Enter (Vac BFs TrCl MB'!$F$7:$AJ$37,MATCH(REGENT!$B7,'Enter (Vac BFs TrCl MB'!$D$7:$D$37,FALSE),MATCH(REGENT!F$11,'Enter (Vac BFs TrCl MB'!$F$6:$AJ$6,FALSE))))</f>
        <v/>
      </c>
      <c r="G7" s="150" t="str">
        <f>IF(ISERROR(INDEX('Enter (Vac BFs TrCl MB'!$F$7:$AJ$37,MATCH(REGENT!$B7,'Enter (Vac BFs TrCl MB'!$D$7:$D$37,FALSE),MATCH(REGENT!G$11,'Enter (Vac BFs TrCl MB'!$F$6:$AJ$6,FALSE))),"",(INDEX('Enter (Vac BFs TrCl MB'!$F$7:$AJ$37,MATCH(REGENT!$B7,'Enter (Vac BFs TrCl MB'!$D$7:$D$37,FALSE),MATCH(REGENT!G$11,'Enter (Vac BFs TrCl MB'!$F$6:$AJ$6,FALSE))))</f>
        <v/>
      </c>
      <c r="H7" s="150" t="str">
        <f>IF(ISERROR(INDEX('Enter (Vac BFs TrCl MB'!$F$7:$AJ$37,MATCH(REGENT!$B7,'Enter (Vac BFs TrCl MB'!$D$7:$D$37,FALSE),MATCH(REGENT!H$11,'Enter (Vac BFs TrCl MB'!$F$6:$AJ$6,FALSE))),"",(INDEX('Enter (Vac BFs TrCl MB'!$F$7:$AJ$37,MATCH(REGENT!$B7,'Enter (Vac BFs TrCl MB'!$D$7:$D$37,FALSE),MATCH(REGENT!H$11,'Enter (Vac BFs TrCl MB'!$F$6:$AJ$6,FALSE))))</f>
        <v/>
      </c>
      <c r="I7" s="151" t="str">
        <f>IF(ISERROR(INDEX('Enter (Vac BFs TrCl MB'!$F$7:$AJ$37,MATCH(REGENT!$B7,'Enter (Vac BFs TrCl MB'!$D$7:$D$37,FALSE),MATCH(REGENT!I$11,'Enter (Vac BFs TrCl MB'!$F$6:$AJ$6,FALSE))),"",(INDEX('Enter (Vac BFs TrCl MB'!$F$7:$AJ$37,MATCH(REGENT!$B7,'Enter (Vac BFs TrCl MB'!$D$7:$D$37,FALSE),MATCH(REGENT!I$11,'Enter (Vac BFs TrCl MB'!$F$6:$AJ$6,FALSE))))</f>
        <v/>
      </c>
      <c r="J7" s="810"/>
      <c r="K7" s="149" t="str">
        <f>IF('Enter (Vac BFs TrCl MB'!$D32=0,"",'Enter (Vac BFs TrCl MB'!$D32)</f>
        <v/>
      </c>
      <c r="L7" s="150" t="str">
        <f>IF(ISERROR(INDEX('Enter (Vac BFs TrCl MB'!$F$7:$AJ$37,MATCH(REGENT!$B7,'Enter (Vac BFs TrCl MB'!$D$7:$D$37,FALSE),MATCH(REGENT!L$11,'Enter (Vac BFs TrCl MB'!$F$6:$AJ$6,FALSE))),"",(INDEX('Enter (Vac BFs TrCl MB'!$F$7:$AJ$37,MATCH(REGENT!$B7,'Enter (Vac BFs TrCl MB'!$D$7:$D$37,FALSE),MATCH(REGENT!L$11,'Enter (Vac BFs TrCl MB'!$F$6:$AJ$6,FALSE))))</f>
        <v/>
      </c>
      <c r="M7" s="150" t="str">
        <f>IF(ISERROR(INDEX('Enter (Vac BFs TrCl MB'!$F$7:$AJ$37,MATCH(REGENT!$B7,'Enter (Vac BFs TrCl MB'!$D$7:$D$37,FALSE),MATCH(REGENT!M$11,'Enter (Vac BFs TrCl MB'!$F$6:$AJ$6,FALSE))),"",(INDEX('Enter (Vac BFs TrCl MB'!$F$7:$AJ$37,MATCH(REGENT!$B7,'Enter (Vac BFs TrCl MB'!$D$7:$D$37,FALSE),MATCH(REGENT!M$11,'Enter (Vac BFs TrCl MB'!$F$6:$AJ$6,FALSE))))</f>
        <v/>
      </c>
      <c r="N7" s="150" t="str">
        <f>IF(ISERROR(INDEX('Enter (Vac BFs TrCl MB'!$F$7:$AJ$37,MATCH(REGENT!$B7,'Enter (Vac BFs TrCl MB'!$D$7:$D$37,FALSE),MATCH(REGENT!N$11,'Enter (Vac BFs TrCl MB'!$F$6:$AJ$6,FALSE))),"",(INDEX('Enter (Vac BFs TrCl MB'!$F$7:$AJ$37,MATCH(REGENT!$B7,'Enter (Vac BFs TrCl MB'!$D$7:$D$37,FALSE),MATCH(REGENT!N$11,'Enter (Vac BFs TrCl MB'!$F$6:$AJ$6,FALSE))))</f>
        <v/>
      </c>
      <c r="O7" s="150" t="str">
        <f>IF(ISERROR(INDEX('Enter (Vac BFs TrCl MB'!$F$7:$AJ$37,MATCH(REGENT!$B7,'Enter (Vac BFs TrCl MB'!$D$7:$D$37,FALSE),MATCH(REGENT!O$11,'Enter (Vac BFs TrCl MB'!$F$6:$AJ$6,FALSE))),"",(INDEX('Enter (Vac BFs TrCl MB'!$F$7:$AJ$37,MATCH(REGENT!$B7,'Enter (Vac BFs TrCl MB'!$D$7:$D$37,FALSE),MATCH(REGENT!O$11,'Enter (Vac BFs TrCl MB'!$F$6:$AJ$6,FALSE))))</f>
        <v/>
      </c>
      <c r="P7" s="150" t="str">
        <f>IF(ISERROR(INDEX('Enter (Vac BFs TrCl MB'!$F$7:$AJ$37,MATCH(REGENT!$B7,'Enter (Vac BFs TrCl MB'!$D$7:$D$37,FALSE),MATCH(REGENT!P$11,'Enter (Vac BFs TrCl MB'!$F$6:$AJ$6,FALSE))),"",(INDEX('Enter (Vac BFs TrCl MB'!$F$7:$AJ$37,MATCH(REGENT!$B7,'Enter (Vac BFs TrCl MB'!$D$7:$D$37,FALSE),MATCH(REGENT!P$11,'Enter (Vac BFs TrCl MB'!$F$6:$AJ$6,FALSE))))</f>
        <v/>
      </c>
      <c r="Q7" s="150" t="str">
        <f>IF(ISERROR(INDEX('Enter (Vac BFs TrCl MB'!$F$7:$AJ$37,MATCH(REGENT!$B7,'Enter (Vac BFs TrCl MB'!$D$7:$D$37,FALSE),MATCH(REGENT!Q$11,'Enter (Vac BFs TrCl MB'!$F$6:$AJ$6,FALSE))),"",(INDEX('Enter (Vac BFs TrCl MB'!$F$7:$AJ$37,MATCH(REGENT!$B7,'Enter (Vac BFs TrCl MB'!$D$7:$D$37,FALSE),MATCH(REGENT!Q$11,'Enter (Vac BFs TrCl MB'!$F$6:$AJ$6,FALSE))))</f>
        <v/>
      </c>
      <c r="R7" s="151" t="str">
        <f>IF(ISERROR(INDEX('Enter (Vac BFs TrCl MB'!$F$7:$AJ$37,MATCH(REGENT!$B7,'Enter (Vac BFs TrCl MB'!$D$7:$D$37,FALSE),MATCH(REGENT!R$11,'Enter (Vac BFs TrCl MB'!$F$6:$AJ$6,FALSE))),"",(INDEX('Enter (Vac BFs TrCl MB'!$F$7:$AJ$37,MATCH(REGENT!$B7,'Enter (Vac BFs TrCl MB'!$D$7:$D$37,FALSE),MATCH(REGENT!R$11,'Enter (Vac BFs TrCl MB'!$F$6:$AJ$6,FALSE))))</f>
        <v/>
      </c>
      <c r="S7" s="810"/>
      <c r="T7" s="149" t="str">
        <f>IF('Enter (Vac BFs TrCl MB'!$D32=0,"",'Enter (Vac BFs TrCl MB'!$D32)</f>
        <v/>
      </c>
      <c r="U7" s="150" t="str">
        <f>IF(ISERROR(INDEX('Enter (Vac BFs TrCl MB'!$F$7:$AJ$37,MATCH(REGENT!$B7,'Enter (Vac BFs TrCl MB'!$D$7:$D$37,FALSE),MATCH(REGENT!U$11,'Enter (Vac BFs TrCl MB'!$F$6:$AJ$6,FALSE))),"",(INDEX('Enter (Vac BFs TrCl MB'!$F$7:$AJ$37,MATCH(REGENT!$B7,'Enter (Vac BFs TrCl MB'!$D$7:$D$37,FALSE),MATCH(REGENT!U$11,'Enter (Vac BFs TrCl MB'!$F$6:$AJ$6,FALSE))))</f>
        <v/>
      </c>
      <c r="V7" s="150" t="str">
        <f>IF(ISERROR(INDEX('Enter (Vac BFs TrCl MB'!$F$7:$AJ$37,MATCH(REGENT!$B7,'Enter (Vac BFs TrCl MB'!$D$7:$D$37,FALSE),MATCH(REGENT!V$11,'Enter (Vac BFs TrCl MB'!$F$6:$AJ$6,FALSE))),"",(INDEX('Enter (Vac BFs TrCl MB'!$F$7:$AJ$37,MATCH(REGENT!$B7,'Enter (Vac BFs TrCl MB'!$D$7:$D$37,FALSE),MATCH(REGENT!V$11,'Enter (Vac BFs TrCl MB'!$F$6:$AJ$6,FALSE))))</f>
        <v/>
      </c>
      <c r="W7" s="150" t="str">
        <f>IF(ISERROR(INDEX('Enter (Vac BFs TrCl MB'!$F$7:$AJ$37,MATCH(REGENT!$B7,'Enter (Vac BFs TrCl MB'!$D$7:$D$37,FALSE),MATCH(REGENT!W$11,'Enter (Vac BFs TrCl MB'!$F$6:$AJ$6,FALSE))),"",(INDEX('Enter (Vac BFs TrCl MB'!$F$7:$AJ$37,MATCH(REGENT!$B7,'Enter (Vac BFs TrCl MB'!$D$7:$D$37,FALSE),MATCH(REGENT!W$11,'Enter (Vac BFs TrCl MB'!$F$6:$AJ$6,FALSE))))</f>
        <v/>
      </c>
      <c r="X7" s="150" t="str">
        <f>IF(ISERROR(INDEX('Enter (Vac BFs TrCl MB'!$F$7:$AJ$37,MATCH(REGENT!$B7,'Enter (Vac BFs TrCl MB'!$D$7:$D$37,FALSE),MATCH(REGENT!X$11,'Enter (Vac BFs TrCl MB'!$F$6:$AJ$6,FALSE))),"",(INDEX('Enter (Vac BFs TrCl MB'!$F$7:$AJ$37,MATCH(REGENT!$B7,'Enter (Vac BFs TrCl MB'!$D$7:$D$37,FALSE),MATCH(REGENT!X$11,'Enter (Vac BFs TrCl MB'!$F$6:$AJ$6,FALSE))))</f>
        <v/>
      </c>
      <c r="Y7" s="150" t="str">
        <f>IF(ISERROR(INDEX('Enter (Vac BFs TrCl MB'!$F$7:$AJ$37,MATCH(REGENT!$B7,'Enter (Vac BFs TrCl MB'!$D$7:$D$37,FALSE),MATCH(REGENT!Y$11,'Enter (Vac BFs TrCl MB'!$F$6:$AJ$6,FALSE))),"",(INDEX('Enter (Vac BFs TrCl MB'!$F$7:$AJ$37,MATCH(REGENT!$B7,'Enter (Vac BFs TrCl MB'!$D$7:$D$37,FALSE),MATCH(REGENT!Y$11,'Enter (Vac BFs TrCl MB'!$F$6:$AJ$6,FALSE))))</f>
        <v/>
      </c>
      <c r="Z7" s="150" t="str">
        <f>IF(ISERROR(INDEX('Enter (Vac BFs TrCl MB'!$F$7:$AJ$37,MATCH(REGENT!$B7,'Enter (Vac BFs TrCl MB'!$D$7:$D$37,FALSE),MATCH(REGENT!Z$11,'Enter (Vac BFs TrCl MB'!$F$6:$AJ$6,FALSE))),"",(INDEX('Enter (Vac BFs TrCl MB'!$F$7:$AJ$37,MATCH(REGENT!$B7,'Enter (Vac BFs TrCl MB'!$D$7:$D$37,FALSE),MATCH(REGENT!Z$11,'Enter (Vac BFs TrCl MB'!$F$6:$AJ$6,FALSE))))</f>
        <v/>
      </c>
      <c r="AA7" s="151" t="str">
        <f>IF(ISERROR(INDEX('Enter (Vac BFs TrCl MB'!$F$7:$AJ$37,MATCH(REGENT!$B7,'Enter (Vac BFs TrCl MB'!$D$7:$D$37,FALSE),MATCH(REGENT!AA$11,'Enter (Vac BFs TrCl MB'!$F$6:$AJ$6,FALSE))),"",(INDEX('Enter (Vac BFs TrCl MB'!$F$7:$AJ$37,MATCH(REGENT!$B7,'Enter (Vac BFs TrCl MB'!$D$7:$D$37,FALSE),MATCH(REGENT!AA$11,'Enter (Vac BFs TrCl MB'!$F$6:$AJ$6,FALSE))))</f>
        <v/>
      </c>
    </row>
    <row r="8" spans="1:27" ht="15.4">
      <c r="B8" s="152" t="str">
        <f>IF('Enter (Vac BFs TrCl MB'!$D33=0,"",'Enter (Vac BFs TrCl MB'!$D33)</f>
        <v>SHAKE</v>
      </c>
      <c r="C8" s="150" t="str">
        <f>IF(ISERROR(INDEX('Enter (Vac BFs TrCl MB'!$F$7:$AJ$37,MATCH(REGENT!$B8,'Enter (Vac BFs TrCl MB'!$D$7:$D$37,FALSE),MATCH(REGENT!C$11,'Enter (Vac BFs TrCl MB'!$F$6:$AJ$6,FALSE))),"",(INDEX('Enter (Vac BFs TrCl MB'!$F$7:$AJ$37,MATCH(REGENT!$B8,'Enter (Vac BFs TrCl MB'!$D$7:$D$37,FALSE),MATCH(REGENT!C$11,'Enter (Vac BFs TrCl MB'!$F$6:$AJ$6,FALSE))))</f>
        <v>WK</v>
      </c>
      <c r="D8" s="150">
        <f>IF(ISERROR(INDEX('Enter (Vac BFs TrCl MB'!$F$7:$AJ$37,MATCH(REGENT!$B8,'Enter (Vac BFs TrCl MB'!$D$7:$D$37,FALSE),MATCH(REGENT!D$11,'Enter (Vac BFs TrCl MB'!$F$6:$AJ$6,FALSE))),"",(INDEX('Enter (Vac BFs TrCl MB'!$F$7:$AJ$37,MATCH(REGENT!$B8,'Enter (Vac BFs TrCl MB'!$D$7:$D$37,FALSE),MATCH(REGENT!D$11,'Enter (Vac BFs TrCl MB'!$F$6:$AJ$6,FALSE))))</f>
        <v>0</v>
      </c>
      <c r="E8" s="150">
        <f>IF(ISERROR(INDEX('Enter (Vac BFs TrCl MB'!$F$7:$AJ$37,MATCH(REGENT!$B8,'Enter (Vac BFs TrCl MB'!$D$7:$D$37,FALSE),MATCH(REGENT!E$11,'Enter (Vac BFs TrCl MB'!$F$6:$AJ$6,FALSE))),"",(INDEX('Enter (Vac BFs TrCl MB'!$F$7:$AJ$37,MATCH(REGENT!$B8,'Enter (Vac BFs TrCl MB'!$D$7:$D$37,FALSE),MATCH(REGENT!E$11,'Enter (Vac BFs TrCl MB'!$F$6:$AJ$6,FALSE))))</f>
        <v>0</v>
      </c>
      <c r="F8" s="150">
        <f>IF(ISERROR(INDEX('Enter (Vac BFs TrCl MB'!$F$7:$AJ$37,MATCH(REGENT!$B8,'Enter (Vac BFs TrCl MB'!$D$7:$D$37,FALSE),MATCH(REGENT!F$11,'Enter (Vac BFs TrCl MB'!$F$6:$AJ$6,FALSE))),"",(INDEX('Enter (Vac BFs TrCl MB'!$F$7:$AJ$37,MATCH(REGENT!$B8,'Enter (Vac BFs TrCl MB'!$D$7:$D$37,FALSE),MATCH(REGENT!F$11,'Enter (Vac BFs TrCl MB'!$F$6:$AJ$6,FALSE))))</f>
        <v>0</v>
      </c>
      <c r="G8" s="150">
        <f>IF(ISERROR(INDEX('Enter (Vac BFs TrCl MB'!$F$7:$AJ$37,MATCH(REGENT!$B8,'Enter (Vac BFs TrCl MB'!$D$7:$D$37,FALSE),MATCH(REGENT!G$11,'Enter (Vac BFs TrCl MB'!$F$6:$AJ$6,FALSE))),"",(INDEX('Enter (Vac BFs TrCl MB'!$F$7:$AJ$37,MATCH(REGENT!$B8,'Enter (Vac BFs TrCl MB'!$D$7:$D$37,FALSE),MATCH(REGENT!G$11,'Enter (Vac BFs TrCl MB'!$F$6:$AJ$6,FALSE))))</f>
        <v>0</v>
      </c>
      <c r="H8" s="150">
        <f>IF(ISERROR(INDEX('Enter (Vac BFs TrCl MB'!$F$7:$AJ$37,MATCH(REGENT!$B8,'Enter (Vac BFs TrCl MB'!$D$7:$D$37,FALSE),MATCH(REGENT!H$11,'Enter (Vac BFs TrCl MB'!$F$6:$AJ$6,FALSE))),"",(INDEX('Enter (Vac BFs TrCl MB'!$F$7:$AJ$37,MATCH(REGENT!$B8,'Enter (Vac BFs TrCl MB'!$D$7:$D$37,FALSE),MATCH(REGENT!H$11,'Enter (Vac BFs TrCl MB'!$F$6:$AJ$6,FALSE))))</f>
        <v>0</v>
      </c>
      <c r="I8" s="151">
        <f>IF(ISERROR(INDEX('Enter (Vac BFs TrCl MB'!$F$7:$AJ$37,MATCH(REGENT!$B8,'Enter (Vac BFs TrCl MB'!$D$7:$D$37,FALSE),MATCH(REGENT!I$11,'Enter (Vac BFs TrCl MB'!$F$6:$AJ$6,FALSE))),"",(INDEX('Enter (Vac BFs TrCl MB'!$F$7:$AJ$37,MATCH(REGENT!$B8,'Enter (Vac BFs TrCl MB'!$D$7:$D$37,FALSE),MATCH(REGENT!I$11,'Enter (Vac BFs TrCl MB'!$F$6:$AJ$6,FALSE))))</f>
        <v>0</v>
      </c>
      <c r="J8" s="810"/>
      <c r="K8" s="152" t="str">
        <f>IF('Enter (Vac BFs TrCl MB'!$D33=0,"",'Enter (Vac BFs TrCl MB'!$D33)</f>
        <v>SHAKE</v>
      </c>
      <c r="L8" s="150">
        <f>IF(ISERROR(INDEX('Enter (Vac BFs TrCl MB'!$F$7:$AJ$37,MATCH(REGENT!$B8,'Enter (Vac BFs TrCl MB'!$D$7:$D$37,FALSE),MATCH(REGENT!L$11,'Enter (Vac BFs TrCl MB'!$F$6:$AJ$6,FALSE))),"",(INDEX('Enter (Vac BFs TrCl MB'!$F$7:$AJ$37,MATCH(REGENT!$B8,'Enter (Vac BFs TrCl MB'!$D$7:$D$37,FALSE),MATCH(REGENT!L$11,'Enter (Vac BFs TrCl MB'!$F$6:$AJ$6,FALSE))))</f>
        <v>0</v>
      </c>
      <c r="M8" s="150" t="str">
        <f>IF(ISERROR(INDEX('Enter (Vac BFs TrCl MB'!$F$7:$AJ$37,MATCH(REGENT!$B8,'Enter (Vac BFs TrCl MB'!$D$7:$D$37,FALSE),MATCH(REGENT!M$11,'Enter (Vac BFs TrCl MB'!$F$6:$AJ$6,FALSE))),"",(INDEX('Enter (Vac BFs TrCl MB'!$F$7:$AJ$37,MATCH(REGENT!$B8,'Enter (Vac BFs TrCl MB'!$D$7:$D$37,FALSE),MATCH(REGENT!M$11,'Enter (Vac BFs TrCl MB'!$F$6:$AJ$6,FALSE))))</f>
        <v>CYC</v>
      </c>
      <c r="N8" s="150">
        <f>IF(ISERROR(INDEX('Enter (Vac BFs TrCl MB'!$F$7:$AJ$37,MATCH(REGENT!$B8,'Enter (Vac BFs TrCl MB'!$D$7:$D$37,FALSE),MATCH(REGENT!N$11,'Enter (Vac BFs TrCl MB'!$F$6:$AJ$6,FALSE))),"",(INDEX('Enter (Vac BFs TrCl MB'!$F$7:$AJ$37,MATCH(REGENT!$B8,'Enter (Vac BFs TrCl MB'!$D$7:$D$37,FALSE),MATCH(REGENT!N$11,'Enter (Vac BFs TrCl MB'!$F$6:$AJ$6,FALSE))))</f>
        <v>0</v>
      </c>
      <c r="O8" s="150">
        <f>IF(ISERROR(INDEX('Enter (Vac BFs TrCl MB'!$F$7:$AJ$37,MATCH(REGENT!$B8,'Enter (Vac BFs TrCl MB'!$D$7:$D$37,FALSE),MATCH(REGENT!O$11,'Enter (Vac BFs TrCl MB'!$F$6:$AJ$6,FALSE))),"",(INDEX('Enter (Vac BFs TrCl MB'!$F$7:$AJ$37,MATCH(REGENT!$B8,'Enter (Vac BFs TrCl MB'!$D$7:$D$37,FALSE),MATCH(REGENT!O$11,'Enter (Vac BFs TrCl MB'!$F$6:$AJ$6,FALSE))))</f>
        <v>0</v>
      </c>
      <c r="P8" s="150" t="str">
        <f>IF(ISERROR(INDEX('Enter (Vac BFs TrCl MB'!$F$7:$AJ$37,MATCH(REGENT!$B8,'Enter (Vac BFs TrCl MB'!$D$7:$D$37,FALSE),MATCH(REGENT!P$11,'Enter (Vac BFs TrCl MB'!$F$6:$AJ$6,FALSE))),"",(INDEX('Enter (Vac BFs TrCl MB'!$F$7:$AJ$37,MATCH(REGENT!$B8,'Enter (Vac BFs TrCl MB'!$D$7:$D$37,FALSE),MATCH(REGENT!P$11,'Enter (Vac BFs TrCl MB'!$F$6:$AJ$6,FALSE))))</f>
        <v>QTR</v>
      </c>
      <c r="Q8" s="150" t="str">
        <f>IF(ISERROR(INDEX('Enter (Vac BFs TrCl MB'!$F$7:$AJ$37,MATCH(REGENT!$B8,'Enter (Vac BFs TrCl MB'!$D$7:$D$37,FALSE),MATCH(REGENT!Q$11,'Enter (Vac BFs TrCl MB'!$F$6:$AJ$6,FALSE))),"",(INDEX('Enter (Vac BFs TrCl MB'!$F$7:$AJ$37,MATCH(REGENT!$B8,'Enter (Vac BFs TrCl MB'!$D$7:$D$37,FALSE),MATCH(REGENT!Q$11,'Enter (Vac BFs TrCl MB'!$F$6:$AJ$6,FALSE))))</f>
        <v>CYC</v>
      </c>
      <c r="R8" s="151">
        <f>IF(ISERROR(INDEX('Enter (Vac BFs TrCl MB'!$F$7:$AJ$37,MATCH(REGENT!$B8,'Enter (Vac BFs TrCl MB'!$D$7:$D$37,FALSE),MATCH(REGENT!R$11,'Enter (Vac BFs TrCl MB'!$F$6:$AJ$6,FALSE))),"",(INDEX('Enter (Vac BFs TrCl MB'!$F$7:$AJ$37,MATCH(REGENT!$B8,'Enter (Vac BFs TrCl MB'!$D$7:$D$37,FALSE),MATCH(REGENT!R$11,'Enter (Vac BFs TrCl MB'!$F$6:$AJ$6,FALSE))))</f>
        <v>0</v>
      </c>
      <c r="S8" s="810"/>
      <c r="T8" s="152" t="str">
        <f>IF('Enter (Vac BFs TrCl MB'!$D33=0,"",'Enter (Vac BFs TrCl MB'!$D33)</f>
        <v>SHAKE</v>
      </c>
      <c r="U8" s="150">
        <f>IF(ISERROR(INDEX('Enter (Vac BFs TrCl MB'!$F$7:$AJ$37,MATCH(REGENT!$B8,'Enter (Vac BFs TrCl MB'!$D$7:$D$37,FALSE),MATCH(REGENT!U$11,'Enter (Vac BFs TrCl MB'!$F$6:$AJ$6,FALSE))),"",(INDEX('Enter (Vac BFs TrCl MB'!$F$7:$AJ$37,MATCH(REGENT!$B8,'Enter (Vac BFs TrCl MB'!$D$7:$D$37,FALSE),MATCH(REGENT!U$11,'Enter (Vac BFs TrCl MB'!$F$6:$AJ$6,FALSE))))</f>
        <v>0</v>
      </c>
      <c r="V8" s="150">
        <f>IF(ISERROR(INDEX('Enter (Vac BFs TrCl MB'!$F$7:$AJ$37,MATCH(REGENT!$B8,'Enter (Vac BFs TrCl MB'!$D$7:$D$37,FALSE),MATCH(REGENT!V$11,'Enter (Vac BFs TrCl MB'!$F$6:$AJ$6,FALSE))),"",(INDEX('Enter (Vac BFs TrCl MB'!$F$7:$AJ$37,MATCH(REGENT!$B8,'Enter (Vac BFs TrCl MB'!$D$7:$D$37,FALSE),MATCH(REGENT!V$11,'Enter (Vac BFs TrCl MB'!$F$6:$AJ$6,FALSE))))</f>
        <v>0</v>
      </c>
      <c r="W8" s="150">
        <f>IF(ISERROR(INDEX('Enter (Vac BFs TrCl MB'!$F$7:$AJ$37,MATCH(REGENT!$B8,'Enter (Vac BFs TrCl MB'!$D$7:$D$37,FALSE),MATCH(REGENT!W$11,'Enter (Vac BFs TrCl MB'!$F$6:$AJ$6,FALSE))),"",(INDEX('Enter (Vac BFs TrCl MB'!$F$7:$AJ$37,MATCH(REGENT!$B8,'Enter (Vac BFs TrCl MB'!$D$7:$D$37,FALSE),MATCH(REGENT!W$11,'Enter (Vac BFs TrCl MB'!$F$6:$AJ$6,FALSE))))</f>
        <v>0</v>
      </c>
      <c r="X8" s="150">
        <f>IF(ISERROR(INDEX('Enter (Vac BFs TrCl MB'!$F$7:$AJ$37,MATCH(REGENT!$B8,'Enter (Vac BFs TrCl MB'!$D$7:$D$37,FALSE),MATCH(REGENT!X$11,'Enter (Vac BFs TrCl MB'!$F$6:$AJ$6,FALSE))),"",(INDEX('Enter (Vac BFs TrCl MB'!$F$7:$AJ$37,MATCH(REGENT!$B8,'Enter (Vac BFs TrCl MB'!$D$7:$D$37,FALSE),MATCH(REGENT!X$11,'Enter (Vac BFs TrCl MB'!$F$6:$AJ$6,FALSE))))</f>
        <v>0</v>
      </c>
      <c r="Y8" s="150">
        <f>IF(ISERROR(INDEX('Enter (Vac BFs TrCl MB'!$F$7:$AJ$37,MATCH(REGENT!$B8,'Enter (Vac BFs TrCl MB'!$D$7:$D$37,FALSE),MATCH(REGENT!Y$11,'Enter (Vac BFs TrCl MB'!$F$6:$AJ$6,FALSE))),"",(INDEX('Enter (Vac BFs TrCl MB'!$F$7:$AJ$37,MATCH(REGENT!$B8,'Enter (Vac BFs TrCl MB'!$D$7:$D$37,FALSE),MATCH(REGENT!Y$11,'Enter (Vac BFs TrCl MB'!$F$6:$AJ$6,FALSE))))</f>
        <v>0</v>
      </c>
      <c r="Z8" s="150">
        <f>IF(ISERROR(INDEX('Enter (Vac BFs TrCl MB'!$F$7:$AJ$37,MATCH(REGENT!$B8,'Enter (Vac BFs TrCl MB'!$D$7:$D$37,FALSE),MATCH(REGENT!Z$11,'Enter (Vac BFs TrCl MB'!$F$6:$AJ$6,FALSE))),"",(INDEX('Enter (Vac BFs TrCl MB'!$F$7:$AJ$37,MATCH(REGENT!$B8,'Enter (Vac BFs TrCl MB'!$D$7:$D$37,FALSE),MATCH(REGENT!Z$11,'Enter (Vac BFs TrCl MB'!$F$6:$AJ$6,FALSE))))</f>
        <v>0</v>
      </c>
      <c r="AA8" s="151">
        <f>IF(ISERROR(INDEX('Enter (Vac BFs TrCl MB'!$F$7:$AJ$37,MATCH(REGENT!$B8,'Enter (Vac BFs TrCl MB'!$D$7:$D$37,FALSE),MATCH(REGENT!AA$11,'Enter (Vac BFs TrCl MB'!$F$6:$AJ$6,FALSE))),"",(INDEX('Enter (Vac BFs TrCl MB'!$F$7:$AJ$37,MATCH(REGENT!$B8,'Enter (Vac BFs TrCl MB'!$D$7:$D$37,FALSE),MATCH(REGENT!AA$11,'Enter (Vac BFs TrCl MB'!$F$6:$AJ$6,FALSE))))</f>
        <v>0</v>
      </c>
    </row>
    <row r="9" spans="1:27" ht="15.4">
      <c r="B9" s="157" t="str">
        <f>IF('Enter Projections'!$A$1,"$ prévus","Projected $" )</f>
        <v>Projected $</v>
      </c>
      <c r="C9" s="158" t="str">
        <f>Planner!E23</f>
        <v/>
      </c>
      <c r="D9" s="158" t="str">
        <f>Planner!F23</f>
        <v/>
      </c>
      <c r="E9" s="158" t="str">
        <f>Planner!G23</f>
        <v/>
      </c>
      <c r="F9" s="158" t="str">
        <f>Planner!H23</f>
        <v/>
      </c>
      <c r="G9" s="158" t="str">
        <f>Planner!I23</f>
        <v/>
      </c>
      <c r="H9" s="158" t="str">
        <f>Planner!J23</f>
        <v/>
      </c>
      <c r="I9" s="159" t="str">
        <f>Planner!K23</f>
        <v/>
      </c>
      <c r="J9" s="810"/>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9" t="str">
        <f>Planner!K35</f>
        <v/>
      </c>
      <c r="S9" s="810"/>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9" t="str">
        <f>Planner!K47</f>
        <v/>
      </c>
    </row>
    <row r="10" spans="1:27" ht="15.4">
      <c r="B10" s="157" t="str">
        <f>IF('Enter Projections'!$A$1,"NC","G.C.")</f>
        <v>G.C.</v>
      </c>
      <c r="C10" s="160" t="str">
        <f>Planner!E24</f>
        <v/>
      </c>
      <c r="D10" s="161" t="str">
        <f>Planner!F24</f>
        <v/>
      </c>
      <c r="E10" s="161" t="str">
        <f>Planner!G24</f>
        <v/>
      </c>
      <c r="F10" s="161" t="str">
        <f>Planner!H24</f>
        <v/>
      </c>
      <c r="G10" s="161" t="str">
        <f>Planner!I24</f>
        <v/>
      </c>
      <c r="H10" s="161" t="str">
        <f>Planner!J24</f>
        <v/>
      </c>
      <c r="I10" s="162" t="str">
        <f>Planner!K24</f>
        <v/>
      </c>
      <c r="J10" s="810"/>
      <c r="K10" s="157" t="str">
        <f>IF('Enter Projections'!$A$1,"NC","G.C.")</f>
        <v>G.C.</v>
      </c>
      <c r="L10" s="161" t="str">
        <f>Planner!E36</f>
        <v/>
      </c>
      <c r="M10" s="161" t="str">
        <f>Planner!F36</f>
        <v/>
      </c>
      <c r="N10" s="161" t="str">
        <f>Planner!G36</f>
        <v/>
      </c>
      <c r="O10" s="161" t="str">
        <f>Planner!H36</f>
        <v/>
      </c>
      <c r="P10" s="161" t="str">
        <f>Planner!I36</f>
        <v/>
      </c>
      <c r="Q10" s="161" t="str">
        <f>Planner!J36</f>
        <v/>
      </c>
      <c r="R10" s="162" t="str">
        <f>Planner!K36</f>
        <v/>
      </c>
      <c r="S10" s="810"/>
      <c r="T10" s="166" t="str">
        <f>IF($A$1,"NC","G.C.")</f>
        <v>G.C.</v>
      </c>
      <c r="U10" s="161" t="str">
        <f>Planner!E48</f>
        <v/>
      </c>
      <c r="V10" s="161" t="str">
        <f>Planner!F48</f>
        <v/>
      </c>
      <c r="W10" s="161" t="str">
        <f>Planner!G48</f>
        <v/>
      </c>
      <c r="X10" s="161" t="str">
        <f>Planner!H48</f>
        <v/>
      </c>
      <c r="Y10" s="161" t="str">
        <f>Planner!I48</f>
        <v/>
      </c>
      <c r="Z10" s="161" t="str">
        <f>Planner!J48</f>
        <v/>
      </c>
      <c r="AA10" s="162" t="str">
        <f>Planner!K48</f>
        <v/>
      </c>
    </row>
    <row r="11" spans="1:27" ht="15.4">
      <c r="B11" s="157" t="s">
        <v>32</v>
      </c>
      <c r="C11" s="163">
        <v>45320</v>
      </c>
      <c r="D11" s="163">
        <v>45321</v>
      </c>
      <c r="E11" s="163">
        <v>45322</v>
      </c>
      <c r="F11" s="163">
        <v>45323</v>
      </c>
      <c r="G11" s="163">
        <v>45324</v>
      </c>
      <c r="H11" s="163">
        <v>45325</v>
      </c>
      <c r="I11" s="163">
        <v>45326</v>
      </c>
      <c r="J11" s="810"/>
      <c r="K11" s="157" t="s">
        <v>32</v>
      </c>
      <c r="L11" s="163">
        <f>I11+DAY(1)</f>
        <v>45327</v>
      </c>
      <c r="M11" s="163">
        <f>L11+DAY(1)</f>
        <v>45328</v>
      </c>
      <c r="N11" s="163">
        <f t="shared" ref="N11:R11" si="0">M11+DAY(1)</f>
        <v>45329</v>
      </c>
      <c r="O11" s="163">
        <f t="shared" si="0"/>
        <v>45330</v>
      </c>
      <c r="P11" s="163">
        <f t="shared" si="0"/>
        <v>45331</v>
      </c>
      <c r="Q11" s="163">
        <f t="shared" si="0"/>
        <v>45332</v>
      </c>
      <c r="R11" s="163">
        <f t="shared" si="0"/>
        <v>45333</v>
      </c>
      <c r="S11" s="810"/>
      <c r="T11" s="167" t="s">
        <v>32</v>
      </c>
      <c r="U11" s="163">
        <v>45334</v>
      </c>
      <c r="V11" s="163">
        <v>45335</v>
      </c>
      <c r="W11" s="163">
        <v>45336</v>
      </c>
      <c r="X11" s="163">
        <v>45337</v>
      </c>
      <c r="Y11" s="163">
        <v>45338</v>
      </c>
      <c r="Z11" s="163">
        <v>45339</v>
      </c>
      <c r="AA11" s="163">
        <v>45340</v>
      </c>
    </row>
    <row r="12" spans="1:27" ht="15.4">
      <c r="B12" s="157" t="str">
        <f>IF('Enter Projections'!$A$1,"Nom","Name")</f>
        <v>Name</v>
      </c>
      <c r="C12" s="164" t="str">
        <f>IF('Enter Projections'!$A$1,"LUN","MON")</f>
        <v>MON</v>
      </c>
      <c r="D12" s="164" t="str">
        <f>IF('Enter Projections'!$A$1,"MAR","TUE")</f>
        <v>TUE</v>
      </c>
      <c r="E12" s="164" t="str">
        <f>IF('Enter Projections'!$A$1,"MER","WED")</f>
        <v>WED</v>
      </c>
      <c r="F12" s="164" t="str">
        <f>IF('Enter Projections'!$A$1,"JEU","THU")</f>
        <v>THU</v>
      </c>
      <c r="G12" s="164" t="str">
        <f>IF('Enter Projections'!$A$1,"VEN","FRI")</f>
        <v>FRI</v>
      </c>
      <c r="H12" s="164" t="str">
        <f>IF('Enter Projections'!$A$1,"SAM","SAT")</f>
        <v>SAT</v>
      </c>
      <c r="I12" s="165" t="str">
        <f>IF('Enter Projections'!$A$1,"DIM","SUN")</f>
        <v>SUN</v>
      </c>
      <c r="J12" s="810"/>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10"/>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
        <v>91</v>
      </c>
      <c r="C13" s="153" t="s">
        <v>9</v>
      </c>
      <c r="D13" s="153" t="s">
        <v>110</v>
      </c>
      <c r="E13" s="153" t="s">
        <v>109</v>
      </c>
      <c r="F13" s="153" t="s">
        <v>96</v>
      </c>
      <c r="G13" s="153" t="s">
        <v>9</v>
      </c>
      <c r="H13" s="153" t="s">
        <v>96</v>
      </c>
      <c r="I13" s="154" t="s">
        <v>96</v>
      </c>
      <c r="J13" s="810"/>
      <c r="K13" s="111" t="s">
        <v>91</v>
      </c>
      <c r="L13" s="637" t="s">
        <v>2</v>
      </c>
      <c r="M13" s="637" t="s">
        <v>2</v>
      </c>
      <c r="N13" s="637" t="s">
        <v>2</v>
      </c>
      <c r="O13" s="637" t="s">
        <v>2</v>
      </c>
      <c r="P13" s="637" t="s">
        <v>2</v>
      </c>
      <c r="Q13" s="637" t="s">
        <v>2</v>
      </c>
      <c r="R13" s="638" t="s">
        <v>2</v>
      </c>
      <c r="S13" s="810"/>
      <c r="T13" s="111" t="s">
        <v>91</v>
      </c>
      <c r="U13" s="662" t="s">
        <v>199</v>
      </c>
      <c r="V13" s="153" t="s">
        <v>197</v>
      </c>
      <c r="W13" s="153" t="s">
        <v>9</v>
      </c>
      <c r="X13" s="153" t="s">
        <v>9</v>
      </c>
      <c r="Y13" s="153" t="s">
        <v>112</v>
      </c>
      <c r="Z13" s="153" t="s">
        <v>112</v>
      </c>
      <c r="AA13" s="154" t="s">
        <v>112</v>
      </c>
    </row>
    <row r="14" spans="1:27" ht="15">
      <c r="B14" s="111" t="s">
        <v>92</v>
      </c>
      <c r="C14" s="153" t="s">
        <v>110</v>
      </c>
      <c r="D14" s="641" t="s">
        <v>263</v>
      </c>
      <c r="E14" s="153" t="s">
        <v>96</v>
      </c>
      <c r="F14" s="153" t="s">
        <v>112</v>
      </c>
      <c r="G14" s="153" t="s">
        <v>96</v>
      </c>
      <c r="H14" s="637" t="s">
        <v>9</v>
      </c>
      <c r="I14" s="638" t="s">
        <v>9</v>
      </c>
      <c r="J14" s="810"/>
      <c r="K14" s="112" t="s">
        <v>92</v>
      </c>
      <c r="L14" s="153" t="s">
        <v>197</v>
      </c>
      <c r="M14" s="153" t="s">
        <v>9</v>
      </c>
      <c r="N14" s="153" t="s">
        <v>9</v>
      </c>
      <c r="O14" s="641" t="s">
        <v>261</v>
      </c>
      <c r="P14" s="153" t="s">
        <v>110</v>
      </c>
      <c r="Q14" s="153" t="s">
        <v>110</v>
      </c>
      <c r="R14" s="154" t="s">
        <v>110</v>
      </c>
      <c r="S14" s="810"/>
      <c r="T14" s="112" t="s">
        <v>92</v>
      </c>
      <c r="U14" s="153" t="s">
        <v>110</v>
      </c>
      <c r="V14" s="153" t="s">
        <v>9</v>
      </c>
      <c r="W14" s="153" t="s">
        <v>110</v>
      </c>
      <c r="X14" s="153" t="s">
        <v>110</v>
      </c>
      <c r="Y14" s="153" t="s">
        <v>9</v>
      </c>
      <c r="Z14" s="153" t="s">
        <v>110</v>
      </c>
      <c r="AA14" s="154" t="s">
        <v>110</v>
      </c>
    </row>
    <row r="15" spans="1:27" ht="15">
      <c r="B15" s="111" t="s">
        <v>93</v>
      </c>
      <c r="C15" s="153" t="s">
        <v>112</v>
      </c>
      <c r="D15" s="153" t="s">
        <v>112</v>
      </c>
      <c r="E15" s="153" t="s">
        <v>9</v>
      </c>
      <c r="F15" s="153" t="s">
        <v>9</v>
      </c>
      <c r="G15" s="153" t="s">
        <v>110</v>
      </c>
      <c r="H15" s="153" t="s">
        <v>110</v>
      </c>
      <c r="I15" s="154" t="s">
        <v>110</v>
      </c>
      <c r="J15" s="810"/>
      <c r="K15" s="112" t="s">
        <v>93</v>
      </c>
      <c r="L15" s="153" t="s">
        <v>9</v>
      </c>
      <c r="M15" s="153" t="s">
        <v>197</v>
      </c>
      <c r="N15" s="153" t="s">
        <v>197</v>
      </c>
      <c r="O15" s="153" t="s">
        <v>197</v>
      </c>
      <c r="P15" s="153" t="s">
        <v>9</v>
      </c>
      <c r="Q15" s="153" t="s">
        <v>112</v>
      </c>
      <c r="R15" s="154" t="s">
        <v>112</v>
      </c>
      <c r="S15" s="810"/>
      <c r="T15" s="112" t="s">
        <v>93</v>
      </c>
      <c r="U15" s="637" t="s">
        <v>2</v>
      </c>
      <c r="V15" s="637" t="s">
        <v>2</v>
      </c>
      <c r="W15" s="637" t="s">
        <v>2</v>
      </c>
      <c r="X15" s="637" t="s">
        <v>2</v>
      </c>
      <c r="Y15" s="637" t="s">
        <v>2</v>
      </c>
      <c r="Z15" s="637" t="s">
        <v>2</v>
      </c>
      <c r="AA15" s="638" t="s">
        <v>2</v>
      </c>
    </row>
    <row r="16" spans="1:27" ht="15">
      <c r="B16" s="111" t="s">
        <v>94</v>
      </c>
      <c r="C16" s="153" t="s">
        <v>9</v>
      </c>
      <c r="D16" s="153" t="s">
        <v>9</v>
      </c>
      <c r="E16" s="153" t="s">
        <v>110</v>
      </c>
      <c r="F16" s="153" t="s">
        <v>110</v>
      </c>
      <c r="G16" s="153" t="s">
        <v>112</v>
      </c>
      <c r="H16" s="153" t="s">
        <v>112</v>
      </c>
      <c r="I16" s="154" t="s">
        <v>112</v>
      </c>
      <c r="J16" s="810"/>
      <c r="K16" s="112" t="s">
        <v>94</v>
      </c>
      <c r="L16" s="153" t="s">
        <v>112</v>
      </c>
      <c r="M16" s="153" t="s">
        <v>112</v>
      </c>
      <c r="N16" s="153" t="s">
        <v>112</v>
      </c>
      <c r="O16" s="153" t="s">
        <v>112</v>
      </c>
      <c r="P16" s="153" t="s">
        <v>112</v>
      </c>
      <c r="Q16" s="637" t="s">
        <v>3</v>
      </c>
      <c r="R16" s="638" t="s">
        <v>3</v>
      </c>
      <c r="S16" s="810"/>
      <c r="T16" s="112" t="s">
        <v>94</v>
      </c>
      <c r="U16" s="153" t="s">
        <v>9</v>
      </c>
      <c r="V16" s="153" t="s">
        <v>112</v>
      </c>
      <c r="W16" s="641" t="s">
        <v>96</v>
      </c>
      <c r="X16" s="153" t="s">
        <v>9</v>
      </c>
      <c r="Y16" s="153" t="s">
        <v>197</v>
      </c>
      <c r="Z16" s="153" t="s">
        <v>96</v>
      </c>
      <c r="AA16" s="154" t="s">
        <v>96</v>
      </c>
    </row>
    <row r="17" spans="2:30" ht="15">
      <c r="B17" s="111" t="s">
        <v>193</v>
      </c>
      <c r="C17" s="153">
        <f>IF(ISERROR(INDEX('Enter (Vac BFs TrCl MB'!$F$7:$AJ$37,MATCH(REGENT!$B17,'Enter (Vac BFs TrCl MB'!$D$7:$D$37,FALSE),MATCH(REGENT!C$11,'Enter (Vac BFs TrCl MB'!$F$6:$AJ$6,FALSE))),"",(INDEX('Enter (Vac BFs TrCl MB'!$F$7:$AJ$37,MATCH(REGENT!$B17,'Enter (Vac BFs TrCl MB'!$D$7:$D$37,FALSE),MATCH(REGENT!C$11,'Enter (Vac BFs TrCl MB'!$F$6:$AJ$6,FALSE))))</f>
        <v>0</v>
      </c>
      <c r="D17" s="153">
        <f>IF(ISERROR(INDEX('Enter (Vac BFs TrCl MB'!$F$7:$AJ$37,MATCH(REGENT!$B17,'Enter (Vac BFs TrCl MB'!$D$7:$D$37,FALSE),MATCH(REGENT!D$11,'Enter (Vac BFs TrCl MB'!$F$6:$AJ$6,FALSE))),"",(INDEX('Enter (Vac BFs TrCl MB'!$F$7:$AJ$37,MATCH(REGENT!$B17,'Enter (Vac BFs TrCl MB'!$D$7:$D$37,FALSE),MATCH(REGENT!D$11,'Enter (Vac BFs TrCl MB'!$F$6:$AJ$6,FALSE))))</f>
        <v>0</v>
      </c>
      <c r="E17" s="153" t="s">
        <v>112</v>
      </c>
      <c r="F17" s="153">
        <f>IF(ISERROR(INDEX('Enter (Vac BFs TrCl MB'!$F$7:$AJ$37,MATCH(REGENT!$B17,'Enter (Vac BFs TrCl MB'!$D$7:$D$37,FALSE),MATCH(REGENT!F$11,'Enter (Vac BFs TrCl MB'!$F$6:$AJ$6,FALSE))),"",(INDEX('Enter (Vac BFs TrCl MB'!$F$7:$AJ$37,MATCH(REGENT!$B17,'Enter (Vac BFs TrCl MB'!$D$7:$D$37,FALSE),MATCH(REGENT!F$11,'Enter (Vac BFs TrCl MB'!$F$6:$AJ$6,FALSE))))</f>
        <v>0</v>
      </c>
      <c r="G17" s="153">
        <f>IF(ISERROR(INDEX('Enter (Vac BFs TrCl MB'!$F$7:$AJ$37,MATCH(REGENT!$B17,'Enter (Vac BFs TrCl MB'!$D$7:$D$37,FALSE),MATCH(REGENT!G$11,'Enter (Vac BFs TrCl MB'!$F$6:$AJ$6,FALSE))),"",(INDEX('Enter (Vac BFs TrCl MB'!$F$7:$AJ$37,MATCH(REGENT!$B17,'Enter (Vac BFs TrCl MB'!$D$7:$D$37,FALSE),MATCH(REGENT!G$11,'Enter (Vac BFs TrCl MB'!$F$6:$AJ$6,FALSE))))</f>
        <v>0</v>
      </c>
      <c r="H17" s="153">
        <f>IF(ISERROR(INDEX('Enter (Vac BFs TrCl MB'!$F$7:$AJ$37,MATCH(REGENT!$B17,'Enter (Vac BFs TrCl MB'!$D$7:$D$37,FALSE),MATCH(REGENT!H$11,'Enter (Vac BFs TrCl MB'!$F$6:$AJ$6,FALSE))),"",(INDEX('Enter (Vac BFs TrCl MB'!$F$7:$AJ$37,MATCH(REGENT!$B17,'Enter (Vac BFs TrCl MB'!$D$7:$D$37,FALSE),MATCH(REGENT!H$11,'Enter (Vac BFs TrCl MB'!$F$6:$AJ$6,FALSE))))</f>
        <v>0</v>
      </c>
      <c r="I17" s="154">
        <f>IF(ISERROR(INDEX('Enter (Vac BFs TrCl MB'!$F$7:$AJ$37,MATCH(REGENT!$B17,'Enter (Vac BFs TrCl MB'!$D$7:$D$37,FALSE),MATCH(REGENT!I$11,'Enter (Vac BFs TrCl MB'!$F$6:$AJ$6,FALSE))),"",(INDEX('Enter (Vac BFs TrCl MB'!$F$7:$AJ$37,MATCH(REGENT!$B17,'Enter (Vac BFs TrCl MB'!$D$7:$D$37,FALSE),MATCH(REGENT!I$11,'Enter (Vac BFs TrCl MB'!$F$6:$AJ$6,FALSE))))</f>
        <v>0</v>
      </c>
      <c r="J17" s="810"/>
      <c r="K17" s="112" t="s">
        <v>196</v>
      </c>
      <c r="L17" s="153">
        <f>IF(ISERROR(INDEX('Enter (Vac BFs TrCl MB'!$F$7:$AJ$37,MATCH(REGENT!$B17,'Enter (Vac BFs TrCl MB'!$D$7:$D$37,FALSE),MATCH(REGENT!L$11,'Enter (Vac BFs TrCl MB'!$F$6:$AJ$6,FALSE))),"",(INDEX('Enter (Vac BFs TrCl MB'!$F$7:$AJ$37,MATCH(REGENT!$B17,'Enter (Vac BFs TrCl MB'!$D$7:$D$37,FALSE),MATCH(REGENT!L$11,'Enter (Vac BFs TrCl MB'!$F$6:$AJ$6,FALSE))))</f>
        <v>0</v>
      </c>
      <c r="M17" s="153">
        <f>IF(ISERROR(INDEX('Enter (Vac BFs TrCl MB'!$F$7:$AJ$37,MATCH(REGENT!$B17,'Enter (Vac BFs TrCl MB'!$D$7:$D$37,FALSE),MATCH(REGENT!M$11,'Enter (Vac BFs TrCl MB'!$F$6:$AJ$6,FALSE))),"",(INDEX('Enter (Vac BFs TrCl MB'!$F$7:$AJ$37,MATCH(REGENT!$B17,'Enter (Vac BFs TrCl MB'!$D$7:$D$37,FALSE),MATCH(REGENT!M$11,'Enter (Vac BFs TrCl MB'!$F$6:$AJ$6,FALSE))))</f>
        <v>0</v>
      </c>
      <c r="N17" s="153">
        <f>IF(ISERROR(INDEX('Enter (Vac BFs TrCl MB'!$F$7:$AJ$37,MATCH(REGENT!$B17,'Enter (Vac BFs TrCl MB'!$D$7:$D$37,FALSE),MATCH(REGENT!N$11,'Enter (Vac BFs TrCl MB'!$F$6:$AJ$6,FALSE))),"",(INDEX('Enter (Vac BFs TrCl MB'!$F$7:$AJ$37,MATCH(REGENT!$B17,'Enter (Vac BFs TrCl MB'!$D$7:$D$37,FALSE),MATCH(REGENT!N$11,'Enter (Vac BFs TrCl MB'!$F$6:$AJ$6,FALSE))))</f>
        <v>0</v>
      </c>
      <c r="O17" s="153"/>
      <c r="P17" s="153">
        <f>IF(ISERROR(INDEX('Enter (Vac BFs TrCl MB'!$F$7:$AJ$37,MATCH(REGENT!$B17,'Enter (Vac BFs TrCl MB'!$D$7:$D$37,FALSE),MATCH(REGENT!P$11,'Enter (Vac BFs TrCl MB'!$F$6:$AJ$6,FALSE))),"",(INDEX('Enter (Vac BFs TrCl MB'!$F$7:$AJ$37,MATCH(REGENT!$B17,'Enter (Vac BFs TrCl MB'!$D$7:$D$37,FALSE),MATCH(REGENT!P$11,'Enter (Vac BFs TrCl MB'!$F$6:$AJ$6,FALSE))))</f>
        <v>0</v>
      </c>
      <c r="Q17" s="153"/>
      <c r="R17" s="154"/>
      <c r="S17" s="810"/>
      <c r="T17" s="112" t="s">
        <v>193</v>
      </c>
      <c r="U17" s="153">
        <f>IF(ISERROR(INDEX('Enter (Vac BFs TrCl MB'!$F$7:$AJ$37,MATCH(REGENT!$B17,'Enter (Vac BFs TrCl MB'!$D$7:$D$37,FALSE),MATCH(REGENT!U$11,'Enter (Vac BFs TrCl MB'!$F$6:$AJ$6,FALSE))),"",(INDEX('Enter (Vac BFs TrCl MB'!$F$7:$AJ$37,MATCH(REGENT!$B17,'Enter (Vac BFs TrCl MB'!$D$7:$D$37,FALSE),MATCH(REGENT!U$11,'Enter (Vac BFs TrCl MB'!$F$6:$AJ$6,FALSE))))</f>
        <v>0</v>
      </c>
      <c r="V17" s="153">
        <f>IF(ISERROR(INDEX('Enter (Vac BFs TrCl MB'!$F$7:$AJ$37,MATCH(REGENT!$B17,'Enter (Vac BFs TrCl MB'!$D$7:$D$37,FALSE),MATCH(REGENT!V$11,'Enter (Vac BFs TrCl MB'!$F$6:$AJ$6,FALSE))),"",(INDEX('Enter (Vac BFs TrCl MB'!$F$7:$AJ$37,MATCH(REGENT!$B17,'Enter (Vac BFs TrCl MB'!$D$7:$D$37,FALSE),MATCH(REGENT!V$11,'Enter (Vac BFs TrCl MB'!$F$6:$AJ$6,FALSE))))</f>
        <v>0</v>
      </c>
      <c r="W17" s="153" t="s">
        <v>112</v>
      </c>
      <c r="X17" s="153" t="s">
        <v>112</v>
      </c>
      <c r="Y17" s="153">
        <f>IF(ISERROR(INDEX('Enter (Vac BFs TrCl MB'!$F$7:$AJ$37,MATCH(REGENT!$B17,'Enter (Vac BFs TrCl MB'!$D$7:$D$37,FALSE),MATCH(REGENT!Y$11,'Enter (Vac BFs TrCl MB'!$F$6:$AJ$6,FALSE))),"",(INDEX('Enter (Vac BFs TrCl MB'!$F$7:$AJ$37,MATCH(REGENT!$B17,'Enter (Vac BFs TrCl MB'!$D$7:$D$37,FALSE),MATCH(REGENT!Y$11,'Enter (Vac BFs TrCl MB'!$F$6:$AJ$6,FALSE))))</f>
        <v>0</v>
      </c>
      <c r="Z17" s="153">
        <f>IF(ISERROR(INDEX('Enter (Vac BFs TrCl MB'!$F$7:$AJ$37,MATCH(REGENT!$B17,'Enter (Vac BFs TrCl MB'!$D$7:$D$37,FALSE),MATCH(REGENT!Z$11,'Enter (Vac BFs TrCl MB'!$F$6:$AJ$6,FALSE))),"",(INDEX('Enter (Vac BFs TrCl MB'!$F$7:$AJ$37,MATCH(REGENT!$B17,'Enter (Vac BFs TrCl MB'!$D$7:$D$37,FALSE),MATCH(REGENT!Z$11,'Enter (Vac BFs TrCl MB'!$F$6:$AJ$6,FALSE))))</f>
        <v>0</v>
      </c>
      <c r="AA17" s="154">
        <f>IF(ISERROR(INDEX('Enter (Vac BFs TrCl MB'!$F$7:$AJ$37,MATCH(REGENT!$B17,'Enter (Vac BFs TrCl MB'!$D$7:$D$37,FALSE),MATCH(REGENT!AA$11,'Enter (Vac BFs TrCl MB'!$F$6:$AJ$6,FALSE))),"",(INDEX('Enter (Vac BFs TrCl MB'!$F$7:$AJ$37,MATCH(REGENT!$B17,'Enter (Vac BFs TrCl MB'!$D$7:$D$37,FALSE),MATCH(REGENT!AA$11,'Enter (Vac BFs TrCl MB'!$F$6:$AJ$6,FALSE))))</f>
        <v>0</v>
      </c>
    </row>
    <row r="18" spans="2:30" ht="15">
      <c r="B18" s="111"/>
      <c r="C18" s="153" t="str">
        <f>IF(ISERROR(INDEX('Enter (Vac BFs TrCl MB'!$F$7:$AJ$37,MATCH(REGENT!$B18,'Enter (Vac BFs TrCl MB'!$D$7:$D$37,FALSE),MATCH(REGENT!C$11,'Enter (Vac BFs TrCl MB'!$F$6:$AJ$6,FALSE))),"",(INDEX('Enter (Vac BFs TrCl MB'!$F$7:$AJ$37,MATCH(REGENT!$B18,'Enter (Vac BFs TrCl MB'!$D$7:$D$37,FALSE),MATCH(REGENT!C$11,'Enter (Vac BFs TrCl MB'!$F$6:$AJ$6,FALSE))))</f>
        <v/>
      </c>
      <c r="D18" s="153" t="str">
        <f>IF(ISERROR(INDEX('Enter (Vac BFs TrCl MB'!$F$7:$AJ$37,MATCH(REGENT!$B18,'Enter (Vac BFs TrCl MB'!$D$7:$D$37,FALSE),MATCH(REGENT!D$11,'Enter (Vac BFs TrCl MB'!$F$6:$AJ$6,FALSE))),"",(INDEX('Enter (Vac BFs TrCl MB'!$F$7:$AJ$37,MATCH(REGENT!$B18,'Enter (Vac BFs TrCl MB'!$D$7:$D$37,FALSE),MATCH(REGENT!D$11,'Enter (Vac BFs TrCl MB'!$F$6:$AJ$6,FALSE))))</f>
        <v/>
      </c>
      <c r="E18" s="153" t="str">
        <f>IF(ISERROR(INDEX('Enter (Vac BFs TrCl MB'!$F$7:$AJ$37,MATCH(REGENT!$B18,'Enter (Vac BFs TrCl MB'!$D$7:$D$37,FALSE),MATCH(REGENT!E$11,'Enter (Vac BFs TrCl MB'!$F$6:$AJ$6,FALSE))),"",(INDEX('Enter (Vac BFs TrCl MB'!$F$7:$AJ$37,MATCH(REGENT!$B18,'Enter (Vac BFs TrCl MB'!$D$7:$D$37,FALSE),MATCH(REGENT!E$11,'Enter (Vac BFs TrCl MB'!$F$6:$AJ$6,FALSE))))</f>
        <v/>
      </c>
      <c r="F18" s="153" t="str">
        <f>IF(ISERROR(INDEX('Enter (Vac BFs TrCl MB'!$F$7:$AJ$37,MATCH(REGENT!$B18,'Enter (Vac BFs TrCl MB'!$D$7:$D$37,FALSE),MATCH(REGENT!F$11,'Enter (Vac BFs TrCl MB'!$F$6:$AJ$6,FALSE))),"",(INDEX('Enter (Vac BFs TrCl MB'!$F$7:$AJ$37,MATCH(REGENT!$B18,'Enter (Vac BFs TrCl MB'!$D$7:$D$37,FALSE),MATCH(REGENT!F$11,'Enter (Vac BFs TrCl MB'!$F$6:$AJ$6,FALSE))))</f>
        <v/>
      </c>
      <c r="G18" s="153" t="str">
        <f>IF(ISERROR(INDEX('Enter (Vac BFs TrCl MB'!$F$7:$AJ$37,MATCH(REGENT!$B18,'Enter (Vac BFs TrCl MB'!$D$7:$D$37,FALSE),MATCH(REGENT!G$11,'Enter (Vac BFs TrCl MB'!$F$6:$AJ$6,FALSE))),"",(INDEX('Enter (Vac BFs TrCl MB'!$F$7:$AJ$37,MATCH(REGENT!$B18,'Enter (Vac BFs TrCl MB'!$D$7:$D$37,FALSE),MATCH(REGENT!G$11,'Enter (Vac BFs TrCl MB'!$F$6:$AJ$6,FALSE))))</f>
        <v/>
      </c>
      <c r="H18" s="153" t="str">
        <f>IF(ISERROR(INDEX('Enter (Vac BFs TrCl MB'!$F$7:$AJ$37,MATCH(REGENT!$B18,'Enter (Vac BFs TrCl MB'!$D$7:$D$37,FALSE),MATCH(REGENT!H$11,'Enter (Vac BFs TrCl MB'!$F$6:$AJ$6,FALSE))),"",(INDEX('Enter (Vac BFs TrCl MB'!$F$7:$AJ$37,MATCH(REGENT!$B18,'Enter (Vac BFs TrCl MB'!$D$7:$D$37,FALSE),MATCH(REGENT!H$11,'Enter (Vac BFs TrCl MB'!$F$6:$AJ$6,FALSE))))</f>
        <v/>
      </c>
      <c r="I18" s="154" t="str">
        <f>IF(ISERROR(INDEX('Enter (Vac BFs TrCl MB'!$F$7:$AJ$37,MATCH(REGENT!$B18,'Enter (Vac BFs TrCl MB'!$D$7:$D$37,FALSE),MATCH(REGENT!I$11,'Enter (Vac BFs TrCl MB'!$F$6:$AJ$6,FALSE))),"",(INDEX('Enter (Vac BFs TrCl MB'!$F$7:$AJ$37,MATCH(REGENT!$B18,'Enter (Vac BFs TrCl MB'!$D$7:$D$37,FALSE),MATCH(REGENT!I$11,'Enter (Vac BFs TrCl MB'!$F$6:$AJ$6,FALSE))))</f>
        <v/>
      </c>
      <c r="J18" s="810"/>
      <c r="K18" s="112" t="s">
        <v>195</v>
      </c>
      <c r="L18" s="153" t="str">
        <f>IF(ISERROR(INDEX('Enter (Vac BFs TrCl MB'!$F$7:$AJ$37,MATCH(REGENT!$B18,'Enter (Vac BFs TrCl MB'!$D$7:$D$37,FALSE),MATCH(REGENT!L$11,'Enter (Vac BFs TrCl MB'!$F$6:$AJ$6,FALSE))),"",(INDEX('Enter (Vac BFs TrCl MB'!$F$7:$AJ$37,MATCH(REGENT!$B18,'Enter (Vac BFs TrCl MB'!$D$7:$D$37,FALSE),MATCH(REGENT!L$11,'Enter (Vac BFs TrCl MB'!$F$6:$AJ$6,FALSE))))</f>
        <v/>
      </c>
      <c r="M18" s="153" t="str">
        <f>IF(ISERROR(INDEX('Enter (Vac BFs TrCl MB'!$F$7:$AJ$37,MATCH(REGENT!$B18,'Enter (Vac BFs TrCl MB'!$D$7:$D$37,FALSE),MATCH(REGENT!M$11,'Enter (Vac BFs TrCl MB'!$F$6:$AJ$6,FALSE))),"",(INDEX('Enter (Vac BFs TrCl MB'!$F$7:$AJ$37,MATCH(REGENT!$B18,'Enter (Vac BFs TrCl MB'!$D$7:$D$37,FALSE),MATCH(REGENT!M$11,'Enter (Vac BFs TrCl MB'!$F$6:$AJ$6,FALSE))))</f>
        <v/>
      </c>
      <c r="N18" s="153" t="s">
        <v>96</v>
      </c>
      <c r="O18" s="153" t="s">
        <v>96</v>
      </c>
      <c r="P18" s="153" t="s">
        <v>96</v>
      </c>
      <c r="Q18" s="153" t="s">
        <v>96</v>
      </c>
      <c r="R18" s="154" t="s">
        <v>96</v>
      </c>
      <c r="S18" s="810"/>
      <c r="T18" s="112" t="s">
        <v>195</v>
      </c>
      <c r="U18" s="153" t="s">
        <v>112</v>
      </c>
      <c r="V18" s="153" t="str">
        <f>IF(ISERROR(INDEX('Enter (Vac BFs TrCl MB'!$F$7:$AJ$37,MATCH(REGENT!$B18,'Enter (Vac BFs TrCl MB'!$D$7:$D$37,FALSE),MATCH(REGENT!V$11,'Enter (Vac BFs TrCl MB'!$F$6:$AJ$6,FALSE))),"",(INDEX('Enter (Vac BFs TrCl MB'!$F$7:$AJ$37,MATCH(REGENT!$B18,'Enter (Vac BFs TrCl MB'!$D$7:$D$37,FALSE),MATCH(REGENT!V$11,'Enter (Vac BFs TrCl MB'!$F$6:$AJ$6,FALSE))))</f>
        <v/>
      </c>
      <c r="W18" s="153" t="str">
        <f>IF(ISERROR(INDEX('Enter (Vac BFs TrCl MB'!$F$7:$AJ$37,MATCH(REGENT!$B18,'Enter (Vac BFs TrCl MB'!$D$7:$D$37,FALSE),MATCH(REGENT!W$11,'Enter (Vac BFs TrCl MB'!$F$6:$AJ$6,FALSE))),"",(INDEX('Enter (Vac BFs TrCl MB'!$F$7:$AJ$37,MATCH(REGENT!$B18,'Enter (Vac BFs TrCl MB'!$D$7:$D$37,FALSE),MATCH(REGENT!W$11,'Enter (Vac BFs TrCl MB'!$F$6:$AJ$6,FALSE))))</f>
        <v/>
      </c>
      <c r="X18" s="153"/>
      <c r="Y18" s="153" t="s">
        <v>96</v>
      </c>
      <c r="Z18" s="153"/>
      <c r="AA18" s="154"/>
    </row>
    <row r="19" spans="2:30" ht="15">
      <c r="B19" s="111"/>
      <c r="C19" s="153" t="str">
        <f>IF(ISERROR(INDEX('Enter (Vac BFs TrCl MB'!$F$7:$AJ$37,MATCH(REGENT!$B19,'Enter (Vac BFs TrCl MB'!$D$7:$D$37,FALSE),MATCH(REGENT!C$11,'Enter (Vac BFs TrCl MB'!$F$6:$AJ$6,FALSE))),"",(INDEX('Enter (Vac BFs TrCl MB'!$F$7:$AJ$37,MATCH(REGENT!$B19,'Enter (Vac BFs TrCl MB'!$D$7:$D$37,FALSE),MATCH(REGENT!C$11,'Enter (Vac BFs TrCl MB'!$F$6:$AJ$6,FALSE))))</f>
        <v/>
      </c>
      <c r="D19" s="153" t="str">
        <f>IF(ISERROR(INDEX('Enter (Vac BFs TrCl MB'!$F$7:$AJ$37,MATCH(REGENT!$B19,'Enter (Vac BFs TrCl MB'!$D$7:$D$37,FALSE),MATCH(REGENT!D$11,'Enter (Vac BFs TrCl MB'!$F$6:$AJ$6,FALSE))),"",(INDEX('Enter (Vac BFs TrCl MB'!$F$7:$AJ$37,MATCH(REGENT!$B19,'Enter (Vac BFs TrCl MB'!$D$7:$D$37,FALSE),MATCH(REGENT!D$11,'Enter (Vac BFs TrCl MB'!$F$6:$AJ$6,FALSE))))</f>
        <v/>
      </c>
      <c r="E19" s="153" t="str">
        <f>IF(ISERROR(INDEX('Enter (Vac BFs TrCl MB'!$F$7:$AJ$37,MATCH(REGENT!$B19,'Enter (Vac BFs TrCl MB'!$D$7:$D$37,FALSE),MATCH(REGENT!E$11,'Enter (Vac BFs TrCl MB'!$F$6:$AJ$6,FALSE))),"",(INDEX('Enter (Vac BFs TrCl MB'!$F$7:$AJ$37,MATCH(REGENT!$B19,'Enter (Vac BFs TrCl MB'!$D$7:$D$37,FALSE),MATCH(REGENT!E$11,'Enter (Vac BFs TrCl MB'!$F$6:$AJ$6,FALSE))))</f>
        <v/>
      </c>
      <c r="F19" s="153" t="str">
        <f>IF(ISERROR(INDEX('Enter (Vac BFs TrCl MB'!$F$7:$AJ$37,MATCH(REGENT!$B19,'Enter (Vac BFs TrCl MB'!$D$7:$D$37,FALSE),MATCH(REGENT!F$11,'Enter (Vac BFs TrCl MB'!$F$6:$AJ$6,FALSE))),"",(INDEX('Enter (Vac BFs TrCl MB'!$F$7:$AJ$37,MATCH(REGENT!$B19,'Enter (Vac BFs TrCl MB'!$D$7:$D$37,FALSE),MATCH(REGENT!F$11,'Enter (Vac BFs TrCl MB'!$F$6:$AJ$6,FALSE))))</f>
        <v/>
      </c>
      <c r="G19" s="153" t="str">
        <f>IF(ISERROR(INDEX('Enter (Vac BFs TrCl MB'!$F$7:$AJ$37,MATCH(REGENT!$B19,'Enter (Vac BFs TrCl MB'!$D$7:$D$37,FALSE),MATCH(REGENT!G$11,'Enter (Vac BFs TrCl MB'!$F$6:$AJ$6,FALSE))),"",(INDEX('Enter (Vac BFs TrCl MB'!$F$7:$AJ$37,MATCH(REGENT!$B19,'Enter (Vac BFs TrCl MB'!$D$7:$D$37,FALSE),MATCH(REGENT!G$11,'Enter (Vac BFs TrCl MB'!$F$6:$AJ$6,FALSE))))</f>
        <v/>
      </c>
      <c r="H19" s="153" t="str">
        <f>IF(ISERROR(INDEX('Enter (Vac BFs TrCl MB'!$F$7:$AJ$37,MATCH(REGENT!$B19,'Enter (Vac BFs TrCl MB'!$D$7:$D$37,FALSE),MATCH(REGENT!H$11,'Enter (Vac BFs TrCl MB'!$F$6:$AJ$6,FALSE))),"",(INDEX('Enter (Vac BFs TrCl MB'!$F$7:$AJ$37,MATCH(REGENT!$B19,'Enter (Vac BFs TrCl MB'!$D$7:$D$37,FALSE),MATCH(REGENT!H$11,'Enter (Vac BFs TrCl MB'!$F$6:$AJ$6,FALSE))))</f>
        <v/>
      </c>
      <c r="I19" s="154" t="str">
        <f>IF(ISERROR(INDEX('Enter (Vac BFs TrCl MB'!$F$7:$AJ$37,MATCH(REGENT!$B19,'Enter (Vac BFs TrCl MB'!$D$7:$D$37,FALSE),MATCH(REGENT!I$11,'Enter (Vac BFs TrCl MB'!$F$6:$AJ$6,FALSE))),"",(INDEX('Enter (Vac BFs TrCl MB'!$F$7:$AJ$37,MATCH(REGENT!$B19,'Enter (Vac BFs TrCl MB'!$D$7:$D$37,FALSE),MATCH(REGENT!I$11,'Enter (Vac BFs TrCl MB'!$F$6:$AJ$6,FALSE))))</f>
        <v/>
      </c>
      <c r="J19" s="810"/>
      <c r="K19" s="112"/>
      <c r="L19" s="153" t="str">
        <f>IF(ISERROR(INDEX('Enter (Vac BFs TrCl MB'!$F$7:$AJ$37,MATCH(REGENT!$B19,'Enter (Vac BFs TrCl MB'!$D$7:$D$37,FALSE),MATCH(REGENT!L$11,'Enter (Vac BFs TrCl MB'!$F$6:$AJ$6,FALSE))),"",(INDEX('Enter (Vac BFs TrCl MB'!$F$7:$AJ$37,MATCH(REGENT!$B19,'Enter (Vac BFs TrCl MB'!$D$7:$D$37,FALSE),MATCH(REGENT!L$11,'Enter (Vac BFs TrCl MB'!$F$6:$AJ$6,FALSE))))</f>
        <v/>
      </c>
      <c r="M19" s="153" t="str">
        <f>IF(ISERROR(INDEX('Enter (Vac BFs TrCl MB'!$F$7:$AJ$37,MATCH(REGENT!$B19,'Enter (Vac BFs TrCl MB'!$D$7:$D$37,FALSE),MATCH(REGENT!M$11,'Enter (Vac BFs TrCl MB'!$F$6:$AJ$6,FALSE))),"",(INDEX('Enter (Vac BFs TrCl MB'!$F$7:$AJ$37,MATCH(REGENT!$B19,'Enter (Vac BFs TrCl MB'!$D$7:$D$37,FALSE),MATCH(REGENT!M$11,'Enter (Vac BFs TrCl MB'!$F$6:$AJ$6,FALSE))))</f>
        <v/>
      </c>
      <c r="N19" s="153" t="str">
        <f>IF(ISERROR(INDEX('Enter (Vac BFs TrCl MB'!$F$7:$AJ$37,MATCH(REGENT!$B19,'Enter (Vac BFs TrCl MB'!$D$7:$D$37,FALSE),MATCH(REGENT!N$11,'Enter (Vac BFs TrCl MB'!$F$6:$AJ$6,FALSE))),"",(INDEX('Enter (Vac BFs TrCl MB'!$F$7:$AJ$37,MATCH(REGENT!$B19,'Enter (Vac BFs TrCl MB'!$D$7:$D$37,FALSE),MATCH(REGENT!N$11,'Enter (Vac BFs TrCl MB'!$F$6:$AJ$6,FALSE))))</f>
        <v/>
      </c>
      <c r="O19" s="153" t="str">
        <f>IF(ISERROR(INDEX('Enter (Vac BFs TrCl MB'!$F$7:$AJ$37,MATCH(REGENT!$B19,'Enter (Vac BFs TrCl MB'!$D$7:$D$37,FALSE),MATCH(REGENT!O$11,'Enter (Vac BFs TrCl MB'!$F$6:$AJ$6,FALSE))),"",(INDEX('Enter (Vac BFs TrCl MB'!$F$7:$AJ$37,MATCH(REGENT!$B19,'Enter (Vac BFs TrCl MB'!$D$7:$D$37,FALSE),MATCH(REGENT!O$11,'Enter (Vac BFs TrCl MB'!$F$6:$AJ$6,FALSE))))</f>
        <v/>
      </c>
      <c r="P19" s="153" t="str">
        <f>IF(ISERROR(INDEX('Enter (Vac BFs TrCl MB'!$F$7:$AJ$37,MATCH(REGENT!$B19,'Enter (Vac BFs TrCl MB'!$D$7:$D$37,FALSE),MATCH(REGENT!P$11,'Enter (Vac BFs TrCl MB'!$F$6:$AJ$6,FALSE))),"",(INDEX('Enter (Vac BFs TrCl MB'!$F$7:$AJ$37,MATCH(REGENT!$B19,'Enter (Vac BFs TrCl MB'!$D$7:$D$37,FALSE),MATCH(REGENT!P$11,'Enter (Vac BFs TrCl MB'!$F$6:$AJ$6,FALSE))))</f>
        <v/>
      </c>
      <c r="Q19" s="153" t="str">
        <f>IF(ISERROR(INDEX('Enter (Vac BFs TrCl MB'!$F$7:$AJ$37,MATCH(REGENT!$B19,'Enter (Vac BFs TrCl MB'!$D$7:$D$37,FALSE),MATCH(REGENT!Q$11,'Enter (Vac BFs TrCl MB'!$F$6:$AJ$6,FALSE))),"",(INDEX('Enter (Vac BFs TrCl MB'!$F$7:$AJ$37,MATCH(REGENT!$B19,'Enter (Vac BFs TrCl MB'!$D$7:$D$37,FALSE),MATCH(REGENT!Q$11,'Enter (Vac BFs TrCl MB'!$F$6:$AJ$6,FALSE))))</f>
        <v/>
      </c>
      <c r="R19" s="154" t="str">
        <f>IF(ISERROR(INDEX('Enter (Vac BFs TrCl MB'!$F$7:$AJ$37,MATCH(REGENT!$B19,'Enter (Vac BFs TrCl MB'!$D$7:$D$37,FALSE),MATCH(REGENT!R$11,'Enter (Vac BFs TrCl MB'!$F$6:$AJ$6,FALSE))),"",(INDEX('Enter (Vac BFs TrCl MB'!$F$7:$AJ$37,MATCH(REGENT!$B19,'Enter (Vac BFs TrCl MB'!$D$7:$D$37,FALSE),MATCH(REGENT!R$11,'Enter (Vac BFs TrCl MB'!$F$6:$AJ$6,FALSE))))</f>
        <v/>
      </c>
      <c r="S19" s="810"/>
      <c r="T19" s="112" t="s">
        <v>198</v>
      </c>
      <c r="U19" s="153" t="str">
        <f>IF(ISERROR(INDEX('Enter (Vac BFs TrCl MB'!$F$7:$AJ$37,MATCH(REGENT!$B19,'Enter (Vac BFs TrCl MB'!$D$7:$D$37,FALSE),MATCH(REGENT!U$11,'Enter (Vac BFs TrCl MB'!$F$6:$AJ$6,FALSE))),"",(INDEX('Enter (Vac BFs TrCl MB'!$F$7:$AJ$37,MATCH(REGENT!$B19,'Enter (Vac BFs TrCl MB'!$D$7:$D$37,FALSE),MATCH(REGENT!U$11,'Enter (Vac BFs TrCl MB'!$F$6:$AJ$6,FALSE))))</f>
        <v/>
      </c>
      <c r="V19" s="153" t="str">
        <f>IF(ISERROR(INDEX('Enter (Vac BFs TrCl MB'!$F$7:$AJ$37,MATCH(REGENT!$B19,'Enter (Vac BFs TrCl MB'!$D$7:$D$37,FALSE),MATCH(REGENT!V$11,'Enter (Vac BFs TrCl MB'!$F$6:$AJ$6,FALSE))),"",(INDEX('Enter (Vac BFs TrCl MB'!$F$7:$AJ$37,MATCH(REGENT!$B19,'Enter (Vac BFs TrCl MB'!$D$7:$D$37,FALSE),MATCH(REGENT!V$11,'Enter (Vac BFs TrCl MB'!$F$6:$AJ$6,FALSE))))</f>
        <v/>
      </c>
      <c r="W19" s="153"/>
      <c r="X19" s="153" t="s">
        <v>96</v>
      </c>
      <c r="Y19" s="153" t="str">
        <f>IF(ISERROR(INDEX('Enter (Vac BFs TrCl MB'!$F$7:$AJ$37,MATCH(REGENT!$B19,'Enter (Vac BFs TrCl MB'!$D$7:$D$37,FALSE),MATCH(REGENT!Y$11,'Enter (Vac BFs TrCl MB'!$F$6:$AJ$6,FALSE))),"",(INDEX('Enter (Vac BFs TrCl MB'!$F$7:$AJ$37,MATCH(REGENT!$B19,'Enter (Vac BFs TrCl MB'!$D$7:$D$37,FALSE),MATCH(REGENT!Y$11,'Enter (Vac BFs TrCl MB'!$F$6:$AJ$6,FALSE))))</f>
        <v/>
      </c>
      <c r="Z19" s="153" t="str">
        <f>IF(ISERROR(INDEX('Enter (Vac BFs TrCl MB'!$F$7:$AJ$37,MATCH(REGENT!$B19,'Enter (Vac BFs TrCl MB'!$D$7:$D$37,FALSE),MATCH(REGENT!Z$11,'Enter (Vac BFs TrCl MB'!$F$6:$AJ$6,FALSE))),"",(INDEX('Enter (Vac BFs TrCl MB'!$F$7:$AJ$37,MATCH(REGENT!$B19,'Enter (Vac BFs TrCl MB'!$D$7:$D$37,FALSE),MATCH(REGENT!Z$11,'Enter (Vac BFs TrCl MB'!$F$6:$AJ$6,FALSE))))</f>
        <v/>
      </c>
      <c r="AA19" s="154" t="str">
        <f>IF(ISERROR(INDEX('Enter (Vac BFs TrCl MB'!$F$7:$AJ$37,MATCH(REGENT!$B19,'Enter (Vac BFs TrCl MB'!$D$7:$D$37,FALSE),MATCH(REGENT!AA$11,'Enter (Vac BFs TrCl MB'!$F$6:$AJ$6,FALSE))),"",(INDEX('Enter (Vac BFs TrCl MB'!$F$7:$AJ$37,MATCH(REGENT!$B19,'Enter (Vac BFs TrCl MB'!$D$7:$D$37,FALSE),MATCH(REGENT!AA$11,'Enter (Vac BFs TrCl MB'!$F$6:$AJ$6,FALSE))))</f>
        <v/>
      </c>
    </row>
    <row r="20" spans="2:30" ht="15">
      <c r="B20" s="111"/>
      <c r="C20" s="153" t="str">
        <f>IF(ISERROR(INDEX('Enter (Vac BFs TrCl MB'!$F$7:$AJ$37,MATCH(REGENT!$B20,'Enter (Vac BFs TrCl MB'!$D$7:$D$37,FALSE),MATCH(REGENT!C$11,'Enter (Vac BFs TrCl MB'!$F$6:$AJ$6,FALSE))),"",(INDEX('Enter (Vac BFs TrCl MB'!$F$7:$AJ$37,MATCH(REGENT!$B20,'Enter (Vac BFs TrCl MB'!$D$7:$D$37,FALSE),MATCH(REGENT!C$11,'Enter (Vac BFs TrCl MB'!$F$6:$AJ$6,FALSE))))</f>
        <v/>
      </c>
      <c r="D20" s="153" t="str">
        <f>IF(ISERROR(INDEX('Enter (Vac BFs TrCl MB'!$F$7:$AJ$37,MATCH(REGENT!$B20,'Enter (Vac BFs TrCl MB'!$D$7:$D$37,FALSE),MATCH(REGENT!D$11,'Enter (Vac BFs TrCl MB'!$F$6:$AJ$6,FALSE))),"",(INDEX('Enter (Vac BFs TrCl MB'!$F$7:$AJ$37,MATCH(REGENT!$B20,'Enter (Vac BFs TrCl MB'!$D$7:$D$37,FALSE),MATCH(REGENT!D$11,'Enter (Vac BFs TrCl MB'!$F$6:$AJ$6,FALSE))))</f>
        <v/>
      </c>
      <c r="E20" s="153" t="str">
        <f>IF(ISERROR(INDEX('Enter (Vac BFs TrCl MB'!$F$7:$AJ$37,MATCH(REGENT!$B20,'Enter (Vac BFs TrCl MB'!$D$7:$D$37,FALSE),MATCH(REGENT!E$11,'Enter (Vac BFs TrCl MB'!$F$6:$AJ$6,FALSE))),"",(INDEX('Enter (Vac BFs TrCl MB'!$F$7:$AJ$37,MATCH(REGENT!$B20,'Enter (Vac BFs TrCl MB'!$D$7:$D$37,FALSE),MATCH(REGENT!E$11,'Enter (Vac BFs TrCl MB'!$F$6:$AJ$6,FALSE))))</f>
        <v/>
      </c>
      <c r="F20" s="153" t="str">
        <f>IF(ISERROR(INDEX('Enter (Vac BFs TrCl MB'!$F$7:$AJ$37,MATCH(REGENT!$B20,'Enter (Vac BFs TrCl MB'!$D$7:$D$37,FALSE),MATCH(REGENT!F$11,'Enter (Vac BFs TrCl MB'!$F$6:$AJ$6,FALSE))),"",(INDEX('Enter (Vac BFs TrCl MB'!$F$7:$AJ$37,MATCH(REGENT!$B20,'Enter (Vac BFs TrCl MB'!$D$7:$D$37,FALSE),MATCH(REGENT!F$11,'Enter (Vac BFs TrCl MB'!$F$6:$AJ$6,FALSE))))</f>
        <v/>
      </c>
      <c r="G20" s="153" t="str">
        <f>IF(ISERROR(INDEX('Enter (Vac BFs TrCl MB'!$F$7:$AJ$37,MATCH(REGENT!$B20,'Enter (Vac BFs TrCl MB'!$D$7:$D$37,FALSE),MATCH(REGENT!G$11,'Enter (Vac BFs TrCl MB'!$F$6:$AJ$6,FALSE))),"",(INDEX('Enter (Vac BFs TrCl MB'!$F$7:$AJ$37,MATCH(REGENT!$B20,'Enter (Vac BFs TrCl MB'!$D$7:$D$37,FALSE),MATCH(REGENT!G$11,'Enter (Vac BFs TrCl MB'!$F$6:$AJ$6,FALSE))))</f>
        <v/>
      </c>
      <c r="H20" s="153" t="str">
        <f>IF(ISERROR(INDEX('Enter (Vac BFs TrCl MB'!$F$7:$AJ$37,MATCH(REGENT!$B20,'Enter (Vac BFs TrCl MB'!$D$7:$D$37,FALSE),MATCH(REGENT!H$11,'Enter (Vac BFs TrCl MB'!$F$6:$AJ$6,FALSE))),"",(INDEX('Enter (Vac BFs TrCl MB'!$F$7:$AJ$37,MATCH(REGENT!$B20,'Enter (Vac BFs TrCl MB'!$D$7:$D$37,FALSE),MATCH(REGENT!H$11,'Enter (Vac BFs TrCl MB'!$F$6:$AJ$6,FALSE))))</f>
        <v/>
      </c>
      <c r="I20" s="154" t="str">
        <f>IF(ISERROR(INDEX('Enter (Vac BFs TrCl MB'!$F$7:$AJ$37,MATCH(REGENT!$B20,'Enter (Vac BFs TrCl MB'!$D$7:$D$37,FALSE),MATCH(REGENT!I$11,'Enter (Vac BFs TrCl MB'!$F$6:$AJ$6,FALSE))),"",(INDEX('Enter (Vac BFs TrCl MB'!$F$7:$AJ$37,MATCH(REGENT!$B20,'Enter (Vac BFs TrCl MB'!$D$7:$D$37,FALSE),MATCH(REGENT!I$11,'Enter (Vac BFs TrCl MB'!$F$6:$AJ$6,FALSE))))</f>
        <v/>
      </c>
      <c r="J20" s="810"/>
      <c r="K20" s="112"/>
      <c r="L20" s="153" t="str">
        <f>IF(ISERROR(INDEX('Enter (Vac BFs TrCl MB'!$F$7:$AJ$37,MATCH(REGENT!$B20,'Enter (Vac BFs TrCl MB'!$D$7:$D$37,FALSE),MATCH(REGENT!L$11,'Enter (Vac BFs TrCl MB'!$F$6:$AJ$6,FALSE))),"",(INDEX('Enter (Vac BFs TrCl MB'!$F$7:$AJ$37,MATCH(REGENT!$B20,'Enter (Vac BFs TrCl MB'!$D$7:$D$37,FALSE),MATCH(REGENT!L$11,'Enter (Vac BFs TrCl MB'!$F$6:$AJ$6,FALSE))))</f>
        <v/>
      </c>
      <c r="M20" s="153" t="str">
        <f>IF(ISERROR(INDEX('Enter (Vac BFs TrCl MB'!$F$7:$AJ$37,MATCH(REGENT!$B20,'Enter (Vac BFs TrCl MB'!$D$7:$D$37,FALSE),MATCH(REGENT!M$11,'Enter (Vac BFs TrCl MB'!$F$6:$AJ$6,FALSE))),"",(INDEX('Enter (Vac BFs TrCl MB'!$F$7:$AJ$37,MATCH(REGENT!$B20,'Enter (Vac BFs TrCl MB'!$D$7:$D$37,FALSE),MATCH(REGENT!M$11,'Enter (Vac BFs TrCl MB'!$F$6:$AJ$6,FALSE))))</f>
        <v/>
      </c>
      <c r="N20" s="153" t="str">
        <f>IF(ISERROR(INDEX('Enter (Vac BFs TrCl MB'!$F$7:$AJ$37,MATCH(REGENT!$B20,'Enter (Vac BFs TrCl MB'!$D$7:$D$37,FALSE),MATCH(REGENT!N$11,'Enter (Vac BFs TrCl MB'!$F$6:$AJ$6,FALSE))),"",(INDEX('Enter (Vac BFs TrCl MB'!$F$7:$AJ$37,MATCH(REGENT!$B20,'Enter (Vac BFs TrCl MB'!$D$7:$D$37,FALSE),MATCH(REGENT!N$11,'Enter (Vac BFs TrCl MB'!$F$6:$AJ$6,FALSE))))</f>
        <v/>
      </c>
      <c r="O20" s="153" t="str">
        <f>IF(ISERROR(INDEX('Enter (Vac BFs TrCl MB'!$F$7:$AJ$37,MATCH(REGENT!$B20,'Enter (Vac BFs TrCl MB'!$D$7:$D$37,FALSE),MATCH(REGENT!O$11,'Enter (Vac BFs TrCl MB'!$F$6:$AJ$6,FALSE))),"",(INDEX('Enter (Vac BFs TrCl MB'!$F$7:$AJ$37,MATCH(REGENT!$B20,'Enter (Vac BFs TrCl MB'!$D$7:$D$37,FALSE),MATCH(REGENT!O$11,'Enter (Vac BFs TrCl MB'!$F$6:$AJ$6,FALSE))))</f>
        <v/>
      </c>
      <c r="P20" s="153" t="str">
        <f>IF(ISERROR(INDEX('Enter (Vac BFs TrCl MB'!$F$7:$AJ$37,MATCH(REGENT!$B20,'Enter (Vac BFs TrCl MB'!$D$7:$D$37,FALSE),MATCH(REGENT!P$11,'Enter (Vac BFs TrCl MB'!$F$6:$AJ$6,FALSE))),"",(INDEX('Enter (Vac BFs TrCl MB'!$F$7:$AJ$37,MATCH(REGENT!$B20,'Enter (Vac BFs TrCl MB'!$D$7:$D$37,FALSE),MATCH(REGENT!P$11,'Enter (Vac BFs TrCl MB'!$F$6:$AJ$6,FALSE))))</f>
        <v/>
      </c>
      <c r="Q20" s="153" t="str">
        <f>IF(ISERROR(INDEX('Enter (Vac BFs TrCl MB'!$F$7:$AJ$37,MATCH(REGENT!$B20,'Enter (Vac BFs TrCl MB'!$D$7:$D$37,FALSE),MATCH(REGENT!Q$11,'Enter (Vac BFs TrCl MB'!$F$6:$AJ$6,FALSE))),"",(INDEX('Enter (Vac BFs TrCl MB'!$F$7:$AJ$37,MATCH(REGENT!$B20,'Enter (Vac BFs TrCl MB'!$D$7:$D$37,FALSE),MATCH(REGENT!Q$11,'Enter (Vac BFs TrCl MB'!$F$6:$AJ$6,FALSE))))</f>
        <v/>
      </c>
      <c r="R20" s="154" t="str">
        <f>IF(ISERROR(INDEX('Enter (Vac BFs TrCl MB'!$F$7:$AJ$37,MATCH(REGENT!$B20,'Enter (Vac BFs TrCl MB'!$D$7:$D$37,FALSE),MATCH(REGENT!R$11,'Enter (Vac BFs TrCl MB'!$F$6:$AJ$6,FALSE))),"",(INDEX('Enter (Vac BFs TrCl MB'!$F$7:$AJ$37,MATCH(REGENT!$B20,'Enter (Vac BFs TrCl MB'!$D$7:$D$37,FALSE),MATCH(REGENT!R$11,'Enter (Vac BFs TrCl MB'!$F$6:$AJ$6,FALSE))))</f>
        <v/>
      </c>
      <c r="S20" s="810"/>
      <c r="T20" s="112"/>
      <c r="U20" s="153" t="str">
        <f>IF(ISERROR(INDEX('Enter (Vac BFs TrCl MB'!$F$7:$AJ$37,MATCH(REGENT!$B20,'Enter (Vac BFs TrCl MB'!$D$7:$D$37,FALSE),MATCH(REGENT!U$11,'Enter (Vac BFs TrCl MB'!$F$6:$AJ$6,FALSE))),"",(INDEX('Enter (Vac BFs TrCl MB'!$F$7:$AJ$37,MATCH(REGENT!$B20,'Enter (Vac BFs TrCl MB'!$D$7:$D$37,FALSE),MATCH(REGENT!U$11,'Enter (Vac BFs TrCl MB'!$F$6:$AJ$6,FALSE))))</f>
        <v/>
      </c>
      <c r="V20" s="153" t="str">
        <f>IF(ISERROR(INDEX('Enter (Vac BFs TrCl MB'!$F$7:$AJ$37,MATCH(REGENT!$B20,'Enter (Vac BFs TrCl MB'!$D$7:$D$37,FALSE),MATCH(REGENT!V$11,'Enter (Vac BFs TrCl MB'!$F$6:$AJ$6,FALSE))),"",(INDEX('Enter (Vac BFs TrCl MB'!$F$7:$AJ$37,MATCH(REGENT!$B20,'Enter (Vac BFs TrCl MB'!$D$7:$D$37,FALSE),MATCH(REGENT!V$11,'Enter (Vac BFs TrCl MB'!$F$6:$AJ$6,FALSE))))</f>
        <v/>
      </c>
      <c r="W20" s="153" t="str">
        <f>IF(ISERROR(INDEX('Enter (Vac BFs TrCl MB'!$F$7:$AJ$37,MATCH(REGENT!$B20,'Enter (Vac BFs TrCl MB'!$D$7:$D$37,FALSE),MATCH(REGENT!W$11,'Enter (Vac BFs TrCl MB'!$F$6:$AJ$6,FALSE))),"",(INDEX('Enter (Vac BFs TrCl MB'!$F$7:$AJ$37,MATCH(REGENT!$B20,'Enter (Vac BFs TrCl MB'!$D$7:$D$37,FALSE),MATCH(REGENT!W$11,'Enter (Vac BFs TrCl MB'!$F$6:$AJ$6,FALSE))))</f>
        <v/>
      </c>
      <c r="X20" s="153" t="str">
        <f>IF(ISERROR(INDEX('Enter (Vac BFs TrCl MB'!$F$7:$AJ$37,MATCH(REGENT!$B20,'Enter (Vac BFs TrCl MB'!$D$7:$D$37,FALSE),MATCH(REGENT!X$11,'Enter (Vac BFs TrCl MB'!$F$6:$AJ$6,FALSE))),"",(INDEX('Enter (Vac BFs TrCl MB'!$F$7:$AJ$37,MATCH(REGENT!$B20,'Enter (Vac BFs TrCl MB'!$D$7:$D$37,FALSE),MATCH(REGENT!X$11,'Enter (Vac BFs TrCl MB'!$F$6:$AJ$6,FALSE))))</f>
        <v/>
      </c>
      <c r="Y20" s="153" t="str">
        <f>IF(ISERROR(INDEX('Enter (Vac BFs TrCl MB'!$F$7:$AJ$37,MATCH(REGENT!$B20,'Enter (Vac BFs TrCl MB'!$D$7:$D$37,FALSE),MATCH(REGENT!Y$11,'Enter (Vac BFs TrCl MB'!$F$6:$AJ$6,FALSE))),"",(INDEX('Enter (Vac BFs TrCl MB'!$F$7:$AJ$37,MATCH(REGENT!$B20,'Enter (Vac BFs TrCl MB'!$D$7:$D$37,FALSE),MATCH(REGENT!Y$11,'Enter (Vac BFs TrCl MB'!$F$6:$AJ$6,FALSE))))</f>
        <v/>
      </c>
      <c r="Z20" s="153" t="str">
        <f>IF(ISERROR(INDEX('Enter (Vac BFs TrCl MB'!$F$7:$AJ$37,MATCH(REGENT!$B20,'Enter (Vac BFs TrCl MB'!$D$7:$D$37,FALSE),MATCH(REGENT!Z$11,'Enter (Vac BFs TrCl MB'!$F$6:$AJ$6,FALSE))),"",(INDEX('Enter (Vac BFs TrCl MB'!$F$7:$AJ$37,MATCH(REGENT!$B20,'Enter (Vac BFs TrCl MB'!$D$7:$D$37,FALSE),MATCH(REGENT!Z$11,'Enter (Vac BFs TrCl MB'!$F$6:$AJ$6,FALSE))))</f>
        <v/>
      </c>
      <c r="AA20" s="154" t="str">
        <f>IF(ISERROR(INDEX('Enter (Vac BFs TrCl MB'!$F$7:$AJ$37,MATCH(REGENT!$B20,'Enter (Vac BFs TrCl MB'!$D$7:$D$37,FALSE),MATCH(REGENT!AA$11,'Enter (Vac BFs TrCl MB'!$F$6:$AJ$6,FALSE))),"",(INDEX('Enter (Vac BFs TrCl MB'!$F$7:$AJ$37,MATCH(REGENT!$B20,'Enter (Vac BFs TrCl MB'!$D$7:$D$37,FALSE),MATCH(REGENT!AA$11,'Enter (Vac BFs TrCl MB'!$F$6:$AJ$6,FALSE))))</f>
        <v/>
      </c>
    </row>
    <row r="21" spans="2:30" ht="15">
      <c r="B21" s="111"/>
      <c r="C21" s="153" t="str">
        <f>IF(ISERROR(INDEX('Enter (Vac BFs TrCl MB'!$F$7:$AJ$37,MATCH(REGENT!$B21,'Enter (Vac BFs TrCl MB'!$D$7:$D$37,FALSE),MATCH(REGENT!C$11,'Enter (Vac BFs TrCl MB'!$F$6:$AJ$6,FALSE))),"",(INDEX('Enter (Vac BFs TrCl MB'!$F$7:$AJ$37,MATCH(REGENT!$B21,'Enter (Vac BFs TrCl MB'!$D$7:$D$37,FALSE),MATCH(REGENT!C$11,'Enter (Vac BFs TrCl MB'!$F$6:$AJ$6,FALSE))))</f>
        <v/>
      </c>
      <c r="D21" s="153" t="str">
        <f>IF(ISERROR(INDEX('Enter (Vac BFs TrCl MB'!$F$7:$AJ$37,MATCH(REGENT!$B21,'Enter (Vac BFs TrCl MB'!$D$7:$D$37,FALSE),MATCH(REGENT!D$11,'Enter (Vac BFs TrCl MB'!$F$6:$AJ$6,FALSE))),"",(INDEX('Enter (Vac BFs TrCl MB'!$F$7:$AJ$37,MATCH(REGENT!$B21,'Enter (Vac BFs TrCl MB'!$D$7:$D$37,FALSE),MATCH(REGENT!D$11,'Enter (Vac BFs TrCl MB'!$F$6:$AJ$6,FALSE))))</f>
        <v/>
      </c>
      <c r="E21" s="153" t="str">
        <f>IF(ISERROR(INDEX('Enter (Vac BFs TrCl MB'!$F$7:$AJ$37,MATCH(REGENT!$B21,'Enter (Vac BFs TrCl MB'!$D$7:$D$37,FALSE),MATCH(REGENT!E$11,'Enter (Vac BFs TrCl MB'!$F$6:$AJ$6,FALSE))),"",(INDEX('Enter (Vac BFs TrCl MB'!$F$7:$AJ$37,MATCH(REGENT!$B21,'Enter (Vac BFs TrCl MB'!$D$7:$D$37,FALSE),MATCH(REGENT!E$11,'Enter (Vac BFs TrCl MB'!$F$6:$AJ$6,FALSE))))</f>
        <v/>
      </c>
      <c r="F21" s="153" t="str">
        <f>IF(ISERROR(INDEX('Enter (Vac BFs TrCl MB'!$F$7:$AJ$37,MATCH(REGENT!$B21,'Enter (Vac BFs TrCl MB'!$D$7:$D$37,FALSE),MATCH(REGENT!F$11,'Enter (Vac BFs TrCl MB'!$F$6:$AJ$6,FALSE))),"",(INDEX('Enter (Vac BFs TrCl MB'!$F$7:$AJ$37,MATCH(REGENT!$B21,'Enter (Vac BFs TrCl MB'!$D$7:$D$37,FALSE),MATCH(REGENT!F$11,'Enter (Vac BFs TrCl MB'!$F$6:$AJ$6,FALSE))))</f>
        <v/>
      </c>
      <c r="G21" s="153" t="str">
        <f>IF(ISERROR(INDEX('Enter (Vac BFs TrCl MB'!$F$7:$AJ$37,MATCH(REGENT!$B21,'Enter (Vac BFs TrCl MB'!$D$7:$D$37,FALSE),MATCH(REGENT!G$11,'Enter (Vac BFs TrCl MB'!$F$6:$AJ$6,FALSE))),"",(INDEX('Enter (Vac BFs TrCl MB'!$F$7:$AJ$37,MATCH(REGENT!$B21,'Enter (Vac BFs TrCl MB'!$D$7:$D$37,FALSE),MATCH(REGENT!G$11,'Enter (Vac BFs TrCl MB'!$F$6:$AJ$6,FALSE))))</f>
        <v/>
      </c>
      <c r="H21" s="153" t="str">
        <f>IF(ISERROR(INDEX('Enter (Vac BFs TrCl MB'!$F$7:$AJ$37,MATCH(REGENT!$B21,'Enter (Vac BFs TrCl MB'!$D$7:$D$37,FALSE),MATCH(REGENT!H$11,'Enter (Vac BFs TrCl MB'!$F$6:$AJ$6,FALSE))),"",(INDEX('Enter (Vac BFs TrCl MB'!$F$7:$AJ$37,MATCH(REGENT!$B21,'Enter (Vac BFs TrCl MB'!$D$7:$D$37,FALSE),MATCH(REGENT!H$11,'Enter (Vac BFs TrCl MB'!$F$6:$AJ$6,FALSE))))</f>
        <v/>
      </c>
      <c r="I21" s="154" t="str">
        <f>IF(ISERROR(INDEX('Enter (Vac BFs TrCl MB'!$F$7:$AJ$37,MATCH(REGENT!$B21,'Enter (Vac BFs TrCl MB'!$D$7:$D$37,FALSE),MATCH(REGENT!I$11,'Enter (Vac BFs TrCl MB'!$F$6:$AJ$6,FALSE))),"",(INDEX('Enter (Vac BFs TrCl MB'!$F$7:$AJ$37,MATCH(REGENT!$B21,'Enter (Vac BFs TrCl MB'!$D$7:$D$37,FALSE),MATCH(REGENT!I$11,'Enter (Vac BFs TrCl MB'!$F$6:$AJ$6,FALSE))))</f>
        <v/>
      </c>
      <c r="J21" s="810"/>
      <c r="K21" s="112"/>
      <c r="L21" s="153" t="str">
        <f>IF(ISERROR(INDEX('Enter (Vac BFs TrCl MB'!$F$7:$AJ$37,MATCH(REGENT!$B21,'Enter (Vac BFs TrCl MB'!$D$7:$D$37,FALSE),MATCH(REGENT!L$11,'Enter (Vac BFs TrCl MB'!$F$6:$AJ$6,FALSE))),"",(INDEX('Enter (Vac BFs TrCl MB'!$F$7:$AJ$37,MATCH(REGENT!$B21,'Enter (Vac BFs TrCl MB'!$D$7:$D$37,FALSE),MATCH(REGENT!L$11,'Enter (Vac BFs TrCl MB'!$F$6:$AJ$6,FALSE))))</f>
        <v/>
      </c>
      <c r="M21" s="153" t="str">
        <f>IF(ISERROR(INDEX('Enter (Vac BFs TrCl MB'!$F$7:$AJ$37,MATCH(REGENT!$B21,'Enter (Vac BFs TrCl MB'!$D$7:$D$37,FALSE),MATCH(REGENT!M$11,'Enter (Vac BFs TrCl MB'!$F$6:$AJ$6,FALSE))),"",(INDEX('Enter (Vac BFs TrCl MB'!$F$7:$AJ$37,MATCH(REGENT!$B21,'Enter (Vac BFs TrCl MB'!$D$7:$D$37,FALSE),MATCH(REGENT!M$11,'Enter (Vac BFs TrCl MB'!$F$6:$AJ$6,FALSE))))</f>
        <v/>
      </c>
      <c r="N21" s="153" t="str">
        <f>IF(ISERROR(INDEX('Enter (Vac BFs TrCl MB'!$F$7:$AJ$37,MATCH(REGENT!$B21,'Enter (Vac BFs TrCl MB'!$D$7:$D$37,FALSE),MATCH(REGENT!N$11,'Enter (Vac BFs TrCl MB'!$F$6:$AJ$6,FALSE))),"",(INDEX('Enter (Vac BFs TrCl MB'!$F$7:$AJ$37,MATCH(REGENT!$B21,'Enter (Vac BFs TrCl MB'!$D$7:$D$37,FALSE),MATCH(REGENT!N$11,'Enter (Vac BFs TrCl MB'!$F$6:$AJ$6,FALSE))))</f>
        <v/>
      </c>
      <c r="O21" s="153" t="str">
        <f>IF(ISERROR(INDEX('Enter (Vac BFs TrCl MB'!$F$7:$AJ$37,MATCH(REGENT!$B21,'Enter (Vac BFs TrCl MB'!$D$7:$D$37,FALSE),MATCH(REGENT!O$11,'Enter (Vac BFs TrCl MB'!$F$6:$AJ$6,FALSE))),"",(INDEX('Enter (Vac BFs TrCl MB'!$F$7:$AJ$37,MATCH(REGENT!$B21,'Enter (Vac BFs TrCl MB'!$D$7:$D$37,FALSE),MATCH(REGENT!O$11,'Enter (Vac BFs TrCl MB'!$F$6:$AJ$6,FALSE))))</f>
        <v/>
      </c>
      <c r="P21" s="153" t="str">
        <f>IF(ISERROR(INDEX('Enter (Vac BFs TrCl MB'!$F$7:$AJ$37,MATCH(REGENT!$B21,'Enter (Vac BFs TrCl MB'!$D$7:$D$37,FALSE),MATCH(REGENT!P$11,'Enter (Vac BFs TrCl MB'!$F$6:$AJ$6,FALSE))),"",(INDEX('Enter (Vac BFs TrCl MB'!$F$7:$AJ$37,MATCH(REGENT!$B21,'Enter (Vac BFs TrCl MB'!$D$7:$D$37,FALSE),MATCH(REGENT!P$11,'Enter (Vac BFs TrCl MB'!$F$6:$AJ$6,FALSE))))</f>
        <v/>
      </c>
      <c r="Q21" s="153" t="str">
        <f>IF(ISERROR(INDEX('Enter (Vac BFs TrCl MB'!$F$7:$AJ$37,MATCH(REGENT!$B21,'Enter (Vac BFs TrCl MB'!$D$7:$D$37,FALSE),MATCH(REGENT!Q$11,'Enter (Vac BFs TrCl MB'!$F$6:$AJ$6,FALSE))),"",(INDEX('Enter (Vac BFs TrCl MB'!$F$7:$AJ$37,MATCH(REGENT!$B21,'Enter (Vac BFs TrCl MB'!$D$7:$D$37,FALSE),MATCH(REGENT!Q$11,'Enter (Vac BFs TrCl MB'!$F$6:$AJ$6,FALSE))))</f>
        <v/>
      </c>
      <c r="R21" s="154" t="str">
        <f>IF(ISERROR(INDEX('Enter (Vac BFs TrCl MB'!$F$7:$AJ$37,MATCH(REGENT!$B21,'Enter (Vac BFs TrCl MB'!$D$7:$D$37,FALSE),MATCH(REGENT!R$11,'Enter (Vac BFs TrCl MB'!$F$6:$AJ$6,FALSE))),"",(INDEX('Enter (Vac BFs TrCl MB'!$F$7:$AJ$37,MATCH(REGENT!$B21,'Enter (Vac BFs TrCl MB'!$D$7:$D$37,FALSE),MATCH(REGENT!R$11,'Enter (Vac BFs TrCl MB'!$F$6:$AJ$6,FALSE))))</f>
        <v/>
      </c>
      <c r="S21" s="810"/>
      <c r="T21" s="112"/>
      <c r="U21" s="153" t="str">
        <f>IF(ISERROR(INDEX('Enter (Vac BFs TrCl MB'!$F$7:$AJ$37,MATCH(REGENT!$B21,'Enter (Vac BFs TrCl MB'!$D$7:$D$37,FALSE),MATCH(REGENT!U$11,'Enter (Vac BFs TrCl MB'!$F$6:$AJ$6,FALSE))),"",(INDEX('Enter (Vac BFs TrCl MB'!$F$7:$AJ$37,MATCH(REGENT!$B21,'Enter (Vac BFs TrCl MB'!$D$7:$D$37,FALSE),MATCH(REGENT!U$11,'Enter (Vac BFs TrCl MB'!$F$6:$AJ$6,FALSE))))</f>
        <v/>
      </c>
      <c r="V21" s="153" t="str">
        <f>IF(ISERROR(INDEX('Enter (Vac BFs TrCl MB'!$F$7:$AJ$37,MATCH(REGENT!$B21,'Enter (Vac BFs TrCl MB'!$D$7:$D$37,FALSE),MATCH(REGENT!V$11,'Enter (Vac BFs TrCl MB'!$F$6:$AJ$6,FALSE))),"",(INDEX('Enter (Vac BFs TrCl MB'!$F$7:$AJ$37,MATCH(REGENT!$B21,'Enter (Vac BFs TrCl MB'!$D$7:$D$37,FALSE),MATCH(REGENT!V$11,'Enter (Vac BFs TrCl MB'!$F$6:$AJ$6,FALSE))))</f>
        <v/>
      </c>
      <c r="W21" s="153" t="str">
        <f>IF(ISERROR(INDEX('Enter (Vac BFs TrCl MB'!$F$7:$AJ$37,MATCH(REGENT!$B21,'Enter (Vac BFs TrCl MB'!$D$7:$D$37,FALSE),MATCH(REGENT!W$11,'Enter (Vac BFs TrCl MB'!$F$6:$AJ$6,FALSE))),"",(INDEX('Enter (Vac BFs TrCl MB'!$F$7:$AJ$37,MATCH(REGENT!$B21,'Enter (Vac BFs TrCl MB'!$D$7:$D$37,FALSE),MATCH(REGENT!W$11,'Enter (Vac BFs TrCl MB'!$F$6:$AJ$6,FALSE))))</f>
        <v/>
      </c>
      <c r="X21" s="153" t="str">
        <f>IF(ISERROR(INDEX('Enter (Vac BFs TrCl MB'!$F$7:$AJ$37,MATCH(REGENT!$B21,'Enter (Vac BFs TrCl MB'!$D$7:$D$37,FALSE),MATCH(REGENT!X$11,'Enter (Vac BFs TrCl MB'!$F$6:$AJ$6,FALSE))),"",(INDEX('Enter (Vac BFs TrCl MB'!$F$7:$AJ$37,MATCH(REGENT!$B21,'Enter (Vac BFs TrCl MB'!$D$7:$D$37,FALSE),MATCH(REGENT!X$11,'Enter (Vac BFs TrCl MB'!$F$6:$AJ$6,FALSE))))</f>
        <v/>
      </c>
      <c r="Y21" s="153" t="str">
        <f>IF(ISERROR(INDEX('Enter (Vac BFs TrCl MB'!$F$7:$AJ$37,MATCH(REGENT!$B21,'Enter (Vac BFs TrCl MB'!$D$7:$D$37,FALSE),MATCH(REGENT!Y$11,'Enter (Vac BFs TrCl MB'!$F$6:$AJ$6,FALSE))),"",(INDEX('Enter (Vac BFs TrCl MB'!$F$7:$AJ$37,MATCH(REGENT!$B21,'Enter (Vac BFs TrCl MB'!$D$7:$D$37,FALSE),MATCH(REGENT!Y$11,'Enter (Vac BFs TrCl MB'!$F$6:$AJ$6,FALSE))))</f>
        <v/>
      </c>
      <c r="Z21" s="153" t="str">
        <f>IF(ISERROR(INDEX('Enter (Vac BFs TrCl MB'!$F$7:$AJ$37,MATCH(REGENT!$B21,'Enter (Vac BFs TrCl MB'!$D$7:$D$37,FALSE),MATCH(REGENT!Z$11,'Enter (Vac BFs TrCl MB'!$F$6:$AJ$6,FALSE))),"",(INDEX('Enter (Vac BFs TrCl MB'!$F$7:$AJ$37,MATCH(REGENT!$B21,'Enter (Vac BFs TrCl MB'!$D$7:$D$37,FALSE),MATCH(REGENT!Z$11,'Enter (Vac BFs TrCl MB'!$F$6:$AJ$6,FALSE))))</f>
        <v/>
      </c>
      <c r="AA21" s="154" t="str">
        <f>IF(ISERROR(INDEX('Enter (Vac BFs TrCl MB'!$F$7:$AJ$37,MATCH(REGENT!$B21,'Enter (Vac BFs TrCl MB'!$D$7:$D$37,FALSE),MATCH(REGENT!AA$11,'Enter (Vac BFs TrCl MB'!$F$6:$AJ$6,FALSE))),"",(INDEX('Enter (Vac BFs TrCl MB'!$F$7:$AJ$37,MATCH(REGENT!$B21,'Enter (Vac BFs TrCl MB'!$D$7:$D$37,FALSE),MATCH(REGENT!AA$11,'Enter (Vac BFs TrCl MB'!$F$6:$AJ$6,FALSE))))</f>
        <v/>
      </c>
    </row>
    <row r="22" spans="2:30" ht="15">
      <c r="B22" s="111"/>
      <c r="C22" s="153" t="str">
        <f>IF(ISERROR(INDEX('Enter (Vac BFs TrCl MB'!$F$7:$AJ$37,MATCH(REGENT!$B22,'Enter (Vac BFs TrCl MB'!$D$7:$D$37,FALSE),MATCH(REGENT!C$11,'Enter (Vac BFs TrCl MB'!$F$6:$AJ$6,FALSE))),"",(INDEX('Enter (Vac BFs TrCl MB'!$F$7:$AJ$37,MATCH(REGENT!$B22,'Enter (Vac BFs TrCl MB'!$D$7:$D$37,FALSE),MATCH(REGENT!C$11,'Enter (Vac BFs TrCl MB'!$F$6:$AJ$6,FALSE))))</f>
        <v/>
      </c>
      <c r="D22" s="153" t="str">
        <f>IF(ISERROR(INDEX('Enter (Vac BFs TrCl MB'!$F$7:$AJ$37,MATCH(REGENT!$B22,'Enter (Vac BFs TrCl MB'!$D$7:$D$37,FALSE),MATCH(REGENT!D$11,'Enter (Vac BFs TrCl MB'!$F$6:$AJ$6,FALSE))),"",(INDEX('Enter (Vac BFs TrCl MB'!$F$7:$AJ$37,MATCH(REGENT!$B22,'Enter (Vac BFs TrCl MB'!$D$7:$D$37,FALSE),MATCH(REGENT!D$11,'Enter (Vac BFs TrCl MB'!$F$6:$AJ$6,FALSE))))</f>
        <v/>
      </c>
      <c r="E22" s="153" t="str">
        <f>IF(ISERROR(INDEX('Enter (Vac BFs TrCl MB'!$F$7:$AJ$37,MATCH(REGENT!$B22,'Enter (Vac BFs TrCl MB'!$D$7:$D$37,FALSE),MATCH(REGENT!E$11,'Enter (Vac BFs TrCl MB'!$F$6:$AJ$6,FALSE))),"",(INDEX('Enter (Vac BFs TrCl MB'!$F$7:$AJ$37,MATCH(REGENT!$B22,'Enter (Vac BFs TrCl MB'!$D$7:$D$37,FALSE),MATCH(REGENT!E$11,'Enter (Vac BFs TrCl MB'!$F$6:$AJ$6,FALSE))))</f>
        <v/>
      </c>
      <c r="F22" s="153" t="str">
        <f>IF(ISERROR(INDEX('Enter (Vac BFs TrCl MB'!$F$7:$AJ$37,MATCH(REGENT!$B22,'Enter (Vac BFs TrCl MB'!$D$7:$D$37,FALSE),MATCH(REGENT!F$11,'Enter (Vac BFs TrCl MB'!$F$6:$AJ$6,FALSE))),"",(INDEX('Enter (Vac BFs TrCl MB'!$F$7:$AJ$37,MATCH(REGENT!$B22,'Enter (Vac BFs TrCl MB'!$D$7:$D$37,FALSE),MATCH(REGENT!F$11,'Enter (Vac BFs TrCl MB'!$F$6:$AJ$6,FALSE))))</f>
        <v/>
      </c>
      <c r="G22" s="153" t="str">
        <f>IF(ISERROR(INDEX('Enter (Vac BFs TrCl MB'!$F$7:$AJ$37,MATCH(REGENT!$B22,'Enter (Vac BFs TrCl MB'!$D$7:$D$37,FALSE),MATCH(REGENT!G$11,'Enter (Vac BFs TrCl MB'!$F$6:$AJ$6,FALSE))),"",(INDEX('Enter (Vac BFs TrCl MB'!$F$7:$AJ$37,MATCH(REGENT!$B22,'Enter (Vac BFs TrCl MB'!$D$7:$D$37,FALSE),MATCH(REGENT!G$11,'Enter (Vac BFs TrCl MB'!$F$6:$AJ$6,FALSE))))</f>
        <v/>
      </c>
      <c r="H22" s="153" t="str">
        <f>IF(ISERROR(INDEX('Enter (Vac BFs TrCl MB'!$F$7:$AJ$37,MATCH(REGENT!$B22,'Enter (Vac BFs TrCl MB'!$D$7:$D$37,FALSE),MATCH(REGENT!H$11,'Enter (Vac BFs TrCl MB'!$F$6:$AJ$6,FALSE))),"",(INDEX('Enter (Vac BFs TrCl MB'!$F$7:$AJ$37,MATCH(REGENT!$B22,'Enter (Vac BFs TrCl MB'!$D$7:$D$37,FALSE),MATCH(REGENT!H$11,'Enter (Vac BFs TrCl MB'!$F$6:$AJ$6,FALSE))))</f>
        <v/>
      </c>
      <c r="I22" s="154" t="str">
        <f>IF(ISERROR(INDEX('Enter (Vac BFs TrCl MB'!$F$7:$AJ$37,MATCH(REGENT!$B22,'Enter (Vac BFs TrCl MB'!$D$7:$D$37,FALSE),MATCH(REGENT!I$11,'Enter (Vac BFs TrCl MB'!$F$6:$AJ$6,FALSE))),"",(INDEX('Enter (Vac BFs TrCl MB'!$F$7:$AJ$37,MATCH(REGENT!$B22,'Enter (Vac BFs TrCl MB'!$D$7:$D$37,FALSE),MATCH(REGENT!I$11,'Enter (Vac BFs TrCl MB'!$F$6:$AJ$6,FALSE))))</f>
        <v/>
      </c>
      <c r="J22" s="810"/>
      <c r="K22" s="112"/>
      <c r="L22" s="153" t="str">
        <f>IF(ISERROR(INDEX('Enter (Vac BFs TrCl MB'!$F$7:$AJ$37,MATCH(REGENT!$B22,'Enter (Vac BFs TrCl MB'!$D$7:$D$37,FALSE),MATCH(REGENT!L$11,'Enter (Vac BFs TrCl MB'!$F$6:$AJ$6,FALSE))),"",(INDEX('Enter (Vac BFs TrCl MB'!$F$7:$AJ$37,MATCH(REGENT!$B22,'Enter (Vac BFs TrCl MB'!$D$7:$D$37,FALSE),MATCH(REGENT!L$11,'Enter (Vac BFs TrCl MB'!$F$6:$AJ$6,FALSE))))</f>
        <v/>
      </c>
      <c r="M22" s="153" t="str">
        <f>IF(ISERROR(INDEX('Enter (Vac BFs TrCl MB'!$F$7:$AJ$37,MATCH(REGENT!$B22,'Enter (Vac BFs TrCl MB'!$D$7:$D$37,FALSE),MATCH(REGENT!M$11,'Enter (Vac BFs TrCl MB'!$F$6:$AJ$6,FALSE))),"",(INDEX('Enter (Vac BFs TrCl MB'!$F$7:$AJ$37,MATCH(REGENT!$B22,'Enter (Vac BFs TrCl MB'!$D$7:$D$37,FALSE),MATCH(REGENT!M$11,'Enter (Vac BFs TrCl MB'!$F$6:$AJ$6,FALSE))))</f>
        <v/>
      </c>
      <c r="N22" s="153" t="str">
        <f>IF(ISERROR(INDEX('Enter (Vac BFs TrCl MB'!$F$7:$AJ$37,MATCH(REGENT!$B22,'Enter (Vac BFs TrCl MB'!$D$7:$D$37,FALSE),MATCH(REGENT!N$11,'Enter (Vac BFs TrCl MB'!$F$6:$AJ$6,FALSE))),"",(INDEX('Enter (Vac BFs TrCl MB'!$F$7:$AJ$37,MATCH(REGENT!$B22,'Enter (Vac BFs TrCl MB'!$D$7:$D$37,FALSE),MATCH(REGENT!N$11,'Enter (Vac BFs TrCl MB'!$F$6:$AJ$6,FALSE))))</f>
        <v/>
      </c>
      <c r="O22" s="153" t="str">
        <f>IF(ISERROR(INDEX('Enter (Vac BFs TrCl MB'!$F$7:$AJ$37,MATCH(REGENT!$B22,'Enter (Vac BFs TrCl MB'!$D$7:$D$37,FALSE),MATCH(REGENT!O$11,'Enter (Vac BFs TrCl MB'!$F$6:$AJ$6,FALSE))),"",(INDEX('Enter (Vac BFs TrCl MB'!$F$7:$AJ$37,MATCH(REGENT!$B22,'Enter (Vac BFs TrCl MB'!$D$7:$D$37,FALSE),MATCH(REGENT!O$11,'Enter (Vac BFs TrCl MB'!$F$6:$AJ$6,FALSE))))</f>
        <v/>
      </c>
      <c r="P22" s="153" t="str">
        <f>IF(ISERROR(INDEX('Enter (Vac BFs TrCl MB'!$F$7:$AJ$37,MATCH(REGENT!$B22,'Enter (Vac BFs TrCl MB'!$D$7:$D$37,FALSE),MATCH(REGENT!P$11,'Enter (Vac BFs TrCl MB'!$F$6:$AJ$6,FALSE))),"",(INDEX('Enter (Vac BFs TrCl MB'!$F$7:$AJ$37,MATCH(REGENT!$B22,'Enter (Vac BFs TrCl MB'!$D$7:$D$37,FALSE),MATCH(REGENT!P$11,'Enter (Vac BFs TrCl MB'!$F$6:$AJ$6,FALSE))))</f>
        <v/>
      </c>
      <c r="Q22" s="153" t="str">
        <f>IF(ISERROR(INDEX('Enter (Vac BFs TrCl MB'!$F$7:$AJ$37,MATCH(REGENT!$B22,'Enter (Vac BFs TrCl MB'!$D$7:$D$37,FALSE),MATCH(REGENT!Q$11,'Enter (Vac BFs TrCl MB'!$F$6:$AJ$6,FALSE))),"",(INDEX('Enter (Vac BFs TrCl MB'!$F$7:$AJ$37,MATCH(REGENT!$B22,'Enter (Vac BFs TrCl MB'!$D$7:$D$37,FALSE),MATCH(REGENT!Q$11,'Enter (Vac BFs TrCl MB'!$F$6:$AJ$6,FALSE))))</f>
        <v/>
      </c>
      <c r="R22" s="154" t="str">
        <f>IF(ISERROR(INDEX('Enter (Vac BFs TrCl MB'!$F$7:$AJ$37,MATCH(REGENT!$B22,'Enter (Vac BFs TrCl MB'!$D$7:$D$37,FALSE),MATCH(REGENT!R$11,'Enter (Vac BFs TrCl MB'!$F$6:$AJ$6,FALSE))),"",(INDEX('Enter (Vac BFs TrCl MB'!$F$7:$AJ$37,MATCH(REGENT!$B22,'Enter (Vac BFs TrCl MB'!$D$7:$D$37,FALSE),MATCH(REGENT!R$11,'Enter (Vac BFs TrCl MB'!$F$6:$AJ$6,FALSE))))</f>
        <v/>
      </c>
      <c r="S22" s="810"/>
      <c r="T22" s="112"/>
      <c r="U22" s="153" t="str">
        <f>IF(ISERROR(INDEX('Enter (Vac BFs TrCl MB'!$F$7:$AJ$37,MATCH(REGENT!$B22,'Enter (Vac BFs TrCl MB'!$D$7:$D$37,FALSE),MATCH(REGENT!U$11,'Enter (Vac BFs TrCl MB'!$F$6:$AJ$6,FALSE))),"",(INDEX('Enter (Vac BFs TrCl MB'!$F$7:$AJ$37,MATCH(REGENT!$B22,'Enter (Vac BFs TrCl MB'!$D$7:$D$37,FALSE),MATCH(REGENT!U$11,'Enter (Vac BFs TrCl MB'!$F$6:$AJ$6,FALSE))))</f>
        <v/>
      </c>
      <c r="V22" s="153" t="str">
        <f>IF(ISERROR(INDEX('Enter (Vac BFs TrCl MB'!$F$7:$AJ$37,MATCH(REGENT!$B22,'Enter (Vac BFs TrCl MB'!$D$7:$D$37,FALSE),MATCH(REGENT!V$11,'Enter (Vac BFs TrCl MB'!$F$6:$AJ$6,FALSE))),"",(INDEX('Enter (Vac BFs TrCl MB'!$F$7:$AJ$37,MATCH(REGENT!$B22,'Enter (Vac BFs TrCl MB'!$D$7:$D$37,FALSE),MATCH(REGENT!V$11,'Enter (Vac BFs TrCl MB'!$F$6:$AJ$6,FALSE))))</f>
        <v/>
      </c>
      <c r="W22" s="153" t="str">
        <f>IF(ISERROR(INDEX('Enter (Vac BFs TrCl MB'!$F$7:$AJ$37,MATCH(REGENT!$B22,'Enter (Vac BFs TrCl MB'!$D$7:$D$37,FALSE),MATCH(REGENT!W$11,'Enter (Vac BFs TrCl MB'!$F$6:$AJ$6,FALSE))),"",(INDEX('Enter (Vac BFs TrCl MB'!$F$7:$AJ$37,MATCH(REGENT!$B22,'Enter (Vac BFs TrCl MB'!$D$7:$D$37,FALSE),MATCH(REGENT!W$11,'Enter (Vac BFs TrCl MB'!$F$6:$AJ$6,FALSE))))</f>
        <v/>
      </c>
      <c r="X22" s="153" t="str">
        <f>IF(ISERROR(INDEX('Enter (Vac BFs TrCl MB'!$F$7:$AJ$37,MATCH(REGENT!$B22,'Enter (Vac BFs TrCl MB'!$D$7:$D$37,FALSE),MATCH(REGENT!X$11,'Enter (Vac BFs TrCl MB'!$F$6:$AJ$6,FALSE))),"",(INDEX('Enter (Vac BFs TrCl MB'!$F$7:$AJ$37,MATCH(REGENT!$B22,'Enter (Vac BFs TrCl MB'!$D$7:$D$37,FALSE),MATCH(REGENT!X$11,'Enter (Vac BFs TrCl MB'!$F$6:$AJ$6,FALSE))))</f>
        <v/>
      </c>
      <c r="Y22" s="153" t="str">
        <f>IF(ISERROR(INDEX('Enter (Vac BFs TrCl MB'!$F$7:$AJ$37,MATCH(REGENT!$B22,'Enter (Vac BFs TrCl MB'!$D$7:$D$37,FALSE),MATCH(REGENT!Y$11,'Enter (Vac BFs TrCl MB'!$F$6:$AJ$6,FALSE))),"",(INDEX('Enter (Vac BFs TrCl MB'!$F$7:$AJ$37,MATCH(REGENT!$B22,'Enter (Vac BFs TrCl MB'!$D$7:$D$37,FALSE),MATCH(REGENT!Y$11,'Enter (Vac BFs TrCl MB'!$F$6:$AJ$6,FALSE))))</f>
        <v/>
      </c>
      <c r="Z22" s="153" t="str">
        <f>IF(ISERROR(INDEX('Enter (Vac BFs TrCl MB'!$F$7:$AJ$37,MATCH(REGENT!$B22,'Enter (Vac BFs TrCl MB'!$D$7:$D$37,FALSE),MATCH(REGENT!Z$11,'Enter (Vac BFs TrCl MB'!$F$6:$AJ$6,FALSE))),"",(INDEX('Enter (Vac BFs TrCl MB'!$F$7:$AJ$37,MATCH(REGENT!$B22,'Enter (Vac BFs TrCl MB'!$D$7:$D$37,FALSE),MATCH(REGENT!Z$11,'Enter (Vac BFs TrCl MB'!$F$6:$AJ$6,FALSE))))</f>
        <v/>
      </c>
      <c r="AA22" s="154" t="str">
        <f>IF(ISERROR(INDEX('Enter (Vac BFs TrCl MB'!$F$7:$AJ$37,MATCH(REGENT!$B22,'Enter (Vac BFs TrCl MB'!$D$7:$D$37,FALSE),MATCH(REGENT!AA$11,'Enter (Vac BFs TrCl MB'!$F$6:$AJ$6,FALSE))),"",(INDEX('Enter (Vac BFs TrCl MB'!$F$7:$AJ$37,MATCH(REGENT!$B22,'Enter (Vac BFs TrCl MB'!$D$7:$D$37,FALSE),MATCH(REGENT!AA$11,'Enter (Vac BFs TrCl MB'!$F$6:$AJ$6,FALSE))))</f>
        <v/>
      </c>
    </row>
    <row r="23" spans="2:30" ht="15">
      <c r="B23" s="111"/>
      <c r="C23" s="153" t="str">
        <f>IF(ISERROR(INDEX('Enter (Vac BFs TrCl MB'!$F$7:$AJ$37,MATCH(REGENT!$B23,'Enter (Vac BFs TrCl MB'!$D$7:$D$37,FALSE),MATCH(REGENT!C$11,'Enter (Vac BFs TrCl MB'!$F$6:$AJ$6,FALSE))),"",(INDEX('Enter (Vac BFs TrCl MB'!$F$7:$AJ$37,MATCH(REGENT!$B23,'Enter (Vac BFs TrCl MB'!$D$7:$D$37,FALSE),MATCH(REGENT!C$11,'Enter (Vac BFs TrCl MB'!$F$6:$AJ$6,FALSE))))</f>
        <v/>
      </c>
      <c r="D23" s="153" t="str">
        <f>IF(ISERROR(INDEX('Enter (Vac BFs TrCl MB'!$F$7:$AJ$37,MATCH(REGENT!$B23,'Enter (Vac BFs TrCl MB'!$D$7:$D$37,FALSE),MATCH(REGENT!D$11,'Enter (Vac BFs TrCl MB'!$F$6:$AJ$6,FALSE))),"",(INDEX('Enter (Vac BFs TrCl MB'!$F$7:$AJ$37,MATCH(REGENT!$B23,'Enter (Vac BFs TrCl MB'!$D$7:$D$37,FALSE),MATCH(REGENT!D$11,'Enter (Vac BFs TrCl MB'!$F$6:$AJ$6,FALSE))))</f>
        <v/>
      </c>
      <c r="E23" s="153" t="str">
        <f>IF(ISERROR(INDEX('Enter (Vac BFs TrCl MB'!$F$7:$AJ$37,MATCH(REGENT!$B23,'Enter (Vac BFs TrCl MB'!$D$7:$D$37,FALSE),MATCH(REGENT!E$11,'Enter (Vac BFs TrCl MB'!$F$6:$AJ$6,FALSE))),"",(INDEX('Enter (Vac BFs TrCl MB'!$F$7:$AJ$37,MATCH(REGENT!$B23,'Enter (Vac BFs TrCl MB'!$D$7:$D$37,FALSE),MATCH(REGENT!E$11,'Enter (Vac BFs TrCl MB'!$F$6:$AJ$6,FALSE))))</f>
        <v/>
      </c>
      <c r="F23" s="153" t="str">
        <f>IF(ISERROR(INDEX('Enter (Vac BFs TrCl MB'!$F$7:$AJ$37,MATCH(REGENT!$B23,'Enter (Vac BFs TrCl MB'!$D$7:$D$37,FALSE),MATCH(REGENT!F$11,'Enter (Vac BFs TrCl MB'!$F$6:$AJ$6,FALSE))),"",(INDEX('Enter (Vac BFs TrCl MB'!$F$7:$AJ$37,MATCH(REGENT!$B23,'Enter (Vac BFs TrCl MB'!$D$7:$D$37,FALSE),MATCH(REGENT!F$11,'Enter (Vac BFs TrCl MB'!$F$6:$AJ$6,FALSE))))</f>
        <v/>
      </c>
      <c r="G23" s="153" t="str">
        <f>IF(ISERROR(INDEX('Enter (Vac BFs TrCl MB'!$F$7:$AJ$37,MATCH(REGENT!$B23,'Enter (Vac BFs TrCl MB'!$D$7:$D$37,FALSE),MATCH(REGENT!G$11,'Enter (Vac BFs TrCl MB'!$F$6:$AJ$6,FALSE))),"",(INDEX('Enter (Vac BFs TrCl MB'!$F$7:$AJ$37,MATCH(REGENT!$B23,'Enter (Vac BFs TrCl MB'!$D$7:$D$37,FALSE),MATCH(REGENT!G$11,'Enter (Vac BFs TrCl MB'!$F$6:$AJ$6,FALSE))))</f>
        <v/>
      </c>
      <c r="H23" s="153" t="str">
        <f>IF(ISERROR(INDEX('Enter (Vac BFs TrCl MB'!$F$7:$AJ$37,MATCH(REGENT!$B23,'Enter (Vac BFs TrCl MB'!$D$7:$D$37,FALSE),MATCH(REGENT!H$11,'Enter (Vac BFs TrCl MB'!$F$6:$AJ$6,FALSE))),"",(INDEX('Enter (Vac BFs TrCl MB'!$F$7:$AJ$37,MATCH(REGENT!$B23,'Enter (Vac BFs TrCl MB'!$D$7:$D$37,FALSE),MATCH(REGENT!H$11,'Enter (Vac BFs TrCl MB'!$F$6:$AJ$6,FALSE))))</f>
        <v/>
      </c>
      <c r="I23" s="154" t="str">
        <f>IF(ISERROR(INDEX('Enter (Vac BFs TrCl MB'!$F$7:$AJ$37,MATCH(REGENT!$B23,'Enter (Vac BFs TrCl MB'!$D$7:$D$37,FALSE),MATCH(REGENT!I$11,'Enter (Vac BFs TrCl MB'!$F$6:$AJ$6,FALSE))),"",(INDEX('Enter (Vac BFs TrCl MB'!$F$7:$AJ$37,MATCH(REGENT!$B23,'Enter (Vac BFs TrCl MB'!$D$7:$D$37,FALSE),MATCH(REGENT!I$11,'Enter (Vac BFs TrCl MB'!$F$6:$AJ$6,FALSE))))</f>
        <v/>
      </c>
      <c r="J23" s="810"/>
      <c r="K23" s="112"/>
      <c r="L23" s="153" t="str">
        <f>IF(ISERROR(INDEX('Enter (Vac BFs TrCl MB'!$F$7:$AJ$37,MATCH(REGENT!$B23,'Enter (Vac BFs TrCl MB'!$D$7:$D$37,FALSE),MATCH(REGENT!L$11,'Enter (Vac BFs TrCl MB'!$F$6:$AJ$6,FALSE))),"",(INDEX('Enter (Vac BFs TrCl MB'!$F$7:$AJ$37,MATCH(REGENT!$B23,'Enter (Vac BFs TrCl MB'!$D$7:$D$37,FALSE),MATCH(REGENT!L$11,'Enter (Vac BFs TrCl MB'!$F$6:$AJ$6,FALSE))))</f>
        <v/>
      </c>
      <c r="M23" s="153" t="str">
        <f>IF(ISERROR(INDEX('Enter (Vac BFs TrCl MB'!$F$7:$AJ$37,MATCH(REGENT!$B23,'Enter (Vac BFs TrCl MB'!$D$7:$D$37,FALSE),MATCH(REGENT!M$11,'Enter (Vac BFs TrCl MB'!$F$6:$AJ$6,FALSE))),"",(INDEX('Enter (Vac BFs TrCl MB'!$F$7:$AJ$37,MATCH(REGENT!$B23,'Enter (Vac BFs TrCl MB'!$D$7:$D$37,FALSE),MATCH(REGENT!M$11,'Enter (Vac BFs TrCl MB'!$F$6:$AJ$6,FALSE))))</f>
        <v/>
      </c>
      <c r="N23" s="153" t="str">
        <f>IF(ISERROR(INDEX('Enter (Vac BFs TrCl MB'!$F$7:$AJ$37,MATCH(REGENT!$B23,'Enter (Vac BFs TrCl MB'!$D$7:$D$37,FALSE),MATCH(REGENT!N$11,'Enter (Vac BFs TrCl MB'!$F$6:$AJ$6,FALSE))),"",(INDEX('Enter (Vac BFs TrCl MB'!$F$7:$AJ$37,MATCH(REGENT!$B23,'Enter (Vac BFs TrCl MB'!$D$7:$D$37,FALSE),MATCH(REGENT!N$11,'Enter (Vac BFs TrCl MB'!$F$6:$AJ$6,FALSE))))</f>
        <v/>
      </c>
      <c r="O23" s="153" t="str">
        <f>IF(ISERROR(INDEX('Enter (Vac BFs TrCl MB'!$F$7:$AJ$37,MATCH(REGENT!$B23,'Enter (Vac BFs TrCl MB'!$D$7:$D$37,FALSE),MATCH(REGENT!O$11,'Enter (Vac BFs TrCl MB'!$F$6:$AJ$6,FALSE))),"",(INDEX('Enter (Vac BFs TrCl MB'!$F$7:$AJ$37,MATCH(REGENT!$B23,'Enter (Vac BFs TrCl MB'!$D$7:$D$37,FALSE),MATCH(REGENT!O$11,'Enter (Vac BFs TrCl MB'!$F$6:$AJ$6,FALSE))))</f>
        <v/>
      </c>
      <c r="P23" s="153" t="str">
        <f>IF(ISERROR(INDEX('Enter (Vac BFs TrCl MB'!$F$7:$AJ$37,MATCH(REGENT!$B23,'Enter (Vac BFs TrCl MB'!$D$7:$D$37,FALSE),MATCH(REGENT!P$11,'Enter (Vac BFs TrCl MB'!$F$6:$AJ$6,FALSE))),"",(INDEX('Enter (Vac BFs TrCl MB'!$F$7:$AJ$37,MATCH(REGENT!$B23,'Enter (Vac BFs TrCl MB'!$D$7:$D$37,FALSE),MATCH(REGENT!P$11,'Enter (Vac BFs TrCl MB'!$F$6:$AJ$6,FALSE))))</f>
        <v/>
      </c>
      <c r="Q23" s="153" t="str">
        <f>IF(ISERROR(INDEX('Enter (Vac BFs TrCl MB'!$F$7:$AJ$37,MATCH(REGENT!$B23,'Enter (Vac BFs TrCl MB'!$D$7:$D$37,FALSE),MATCH(REGENT!Q$11,'Enter (Vac BFs TrCl MB'!$F$6:$AJ$6,FALSE))),"",(INDEX('Enter (Vac BFs TrCl MB'!$F$7:$AJ$37,MATCH(REGENT!$B23,'Enter (Vac BFs TrCl MB'!$D$7:$D$37,FALSE),MATCH(REGENT!Q$11,'Enter (Vac BFs TrCl MB'!$F$6:$AJ$6,FALSE))))</f>
        <v/>
      </c>
      <c r="R23" s="154" t="str">
        <f>IF(ISERROR(INDEX('Enter (Vac BFs TrCl MB'!$F$7:$AJ$37,MATCH(REGENT!$B23,'Enter (Vac BFs TrCl MB'!$D$7:$D$37,FALSE),MATCH(REGENT!R$11,'Enter (Vac BFs TrCl MB'!$F$6:$AJ$6,FALSE))),"",(INDEX('Enter (Vac BFs TrCl MB'!$F$7:$AJ$37,MATCH(REGENT!$B23,'Enter (Vac BFs TrCl MB'!$D$7:$D$37,FALSE),MATCH(REGENT!R$11,'Enter (Vac BFs TrCl MB'!$F$6:$AJ$6,FALSE))))</f>
        <v/>
      </c>
      <c r="S23" s="810"/>
      <c r="T23" s="112"/>
      <c r="U23" s="153" t="str">
        <f>IF(ISERROR(INDEX('Enter (Vac BFs TrCl MB'!$F$7:$AJ$37,MATCH(REGENT!$B23,'Enter (Vac BFs TrCl MB'!$D$7:$D$37,FALSE),MATCH(REGENT!U$11,'Enter (Vac BFs TrCl MB'!$F$6:$AJ$6,FALSE))),"",(INDEX('Enter (Vac BFs TrCl MB'!$F$7:$AJ$37,MATCH(REGENT!$B23,'Enter (Vac BFs TrCl MB'!$D$7:$D$37,FALSE),MATCH(REGENT!U$11,'Enter (Vac BFs TrCl MB'!$F$6:$AJ$6,FALSE))))</f>
        <v/>
      </c>
      <c r="V23" s="153" t="str">
        <f>IF(ISERROR(INDEX('Enter (Vac BFs TrCl MB'!$F$7:$AJ$37,MATCH(REGENT!$B23,'Enter (Vac BFs TrCl MB'!$D$7:$D$37,FALSE),MATCH(REGENT!V$11,'Enter (Vac BFs TrCl MB'!$F$6:$AJ$6,FALSE))),"",(INDEX('Enter (Vac BFs TrCl MB'!$F$7:$AJ$37,MATCH(REGENT!$B23,'Enter (Vac BFs TrCl MB'!$D$7:$D$37,FALSE),MATCH(REGENT!V$11,'Enter (Vac BFs TrCl MB'!$F$6:$AJ$6,FALSE))))</f>
        <v/>
      </c>
      <c r="W23" s="153" t="str">
        <f>IF(ISERROR(INDEX('Enter (Vac BFs TrCl MB'!$F$7:$AJ$37,MATCH(REGENT!$B23,'Enter (Vac BFs TrCl MB'!$D$7:$D$37,FALSE),MATCH(REGENT!W$11,'Enter (Vac BFs TrCl MB'!$F$6:$AJ$6,FALSE))),"",(INDEX('Enter (Vac BFs TrCl MB'!$F$7:$AJ$37,MATCH(REGENT!$B23,'Enter (Vac BFs TrCl MB'!$D$7:$D$37,FALSE),MATCH(REGENT!W$11,'Enter (Vac BFs TrCl MB'!$F$6:$AJ$6,FALSE))))</f>
        <v/>
      </c>
      <c r="X23" s="153" t="str">
        <f>IF(ISERROR(INDEX('Enter (Vac BFs TrCl MB'!$F$7:$AJ$37,MATCH(REGENT!$B23,'Enter (Vac BFs TrCl MB'!$D$7:$D$37,FALSE),MATCH(REGENT!X$11,'Enter (Vac BFs TrCl MB'!$F$6:$AJ$6,FALSE))),"",(INDEX('Enter (Vac BFs TrCl MB'!$F$7:$AJ$37,MATCH(REGENT!$B23,'Enter (Vac BFs TrCl MB'!$D$7:$D$37,FALSE),MATCH(REGENT!X$11,'Enter (Vac BFs TrCl MB'!$F$6:$AJ$6,FALSE))))</f>
        <v/>
      </c>
      <c r="Y23" s="153" t="str">
        <f>IF(ISERROR(INDEX('Enter (Vac BFs TrCl MB'!$F$7:$AJ$37,MATCH(REGENT!$B23,'Enter (Vac BFs TrCl MB'!$D$7:$D$37,FALSE),MATCH(REGENT!Y$11,'Enter (Vac BFs TrCl MB'!$F$6:$AJ$6,FALSE))),"",(INDEX('Enter (Vac BFs TrCl MB'!$F$7:$AJ$37,MATCH(REGENT!$B23,'Enter (Vac BFs TrCl MB'!$D$7:$D$37,FALSE),MATCH(REGENT!Y$11,'Enter (Vac BFs TrCl MB'!$F$6:$AJ$6,FALSE))))</f>
        <v/>
      </c>
      <c r="Z23" s="153" t="str">
        <f>IF(ISERROR(INDEX('Enter (Vac BFs TrCl MB'!$F$7:$AJ$37,MATCH(REGENT!$B23,'Enter (Vac BFs TrCl MB'!$D$7:$D$37,FALSE),MATCH(REGENT!Z$11,'Enter (Vac BFs TrCl MB'!$F$6:$AJ$6,FALSE))),"",(INDEX('Enter (Vac BFs TrCl MB'!$F$7:$AJ$37,MATCH(REGENT!$B23,'Enter (Vac BFs TrCl MB'!$D$7:$D$37,FALSE),MATCH(REGENT!Z$11,'Enter (Vac BFs TrCl MB'!$F$6:$AJ$6,FALSE))))</f>
        <v/>
      </c>
      <c r="AA23" s="154" t="str">
        <f>IF(ISERROR(INDEX('Enter (Vac BFs TrCl MB'!$F$7:$AJ$37,MATCH(REGENT!$B23,'Enter (Vac BFs TrCl MB'!$D$7:$D$37,FALSE),MATCH(REGENT!AA$11,'Enter (Vac BFs TrCl MB'!$F$6:$AJ$6,FALSE))),"",(INDEX('Enter (Vac BFs TrCl MB'!$F$7:$AJ$37,MATCH(REGENT!$B23,'Enter (Vac BFs TrCl MB'!$D$7:$D$37,FALSE),MATCH(REGENT!AA$11,'Enter (Vac BFs TrCl MB'!$F$6:$AJ$6,FALSE))))</f>
        <v/>
      </c>
    </row>
    <row r="24" spans="2:30" ht="18">
      <c r="B24" s="111"/>
      <c r="C24" s="153" t="str">
        <f>IF(ISERROR(INDEX('Enter (Vac BFs TrCl MB'!$F$7:$AJ$37,MATCH(REGENT!$B24,'Enter (Vac BFs TrCl MB'!$D$7:$D$37,FALSE),MATCH(REGENT!C$11,'Enter (Vac BFs TrCl MB'!$F$6:$AJ$6,FALSE))),"",(INDEX('Enter (Vac BFs TrCl MB'!$F$7:$AJ$37,MATCH(REGENT!$B24,'Enter (Vac BFs TrCl MB'!$D$7:$D$37,FALSE),MATCH(REGENT!C$11,'Enter (Vac BFs TrCl MB'!$F$6:$AJ$6,FALSE))))</f>
        <v/>
      </c>
      <c r="D24" s="153" t="str">
        <f>IF(ISERROR(INDEX('Enter (Vac BFs TrCl MB'!$F$7:$AJ$37,MATCH(REGENT!$B24,'Enter (Vac BFs TrCl MB'!$D$7:$D$37,FALSE),MATCH(REGENT!D$11,'Enter (Vac BFs TrCl MB'!$F$6:$AJ$6,FALSE))),"",(INDEX('Enter (Vac BFs TrCl MB'!$F$7:$AJ$37,MATCH(REGENT!$B24,'Enter (Vac BFs TrCl MB'!$D$7:$D$37,FALSE),MATCH(REGENT!D$11,'Enter (Vac BFs TrCl MB'!$F$6:$AJ$6,FALSE))))</f>
        <v/>
      </c>
      <c r="E24" s="153" t="str">
        <f>IF(ISERROR(INDEX('Enter (Vac BFs TrCl MB'!$F$7:$AJ$37,MATCH(REGENT!$B24,'Enter (Vac BFs TrCl MB'!$D$7:$D$37,FALSE),MATCH(REGENT!E$11,'Enter (Vac BFs TrCl MB'!$F$6:$AJ$6,FALSE))),"",(INDEX('Enter (Vac BFs TrCl MB'!$F$7:$AJ$37,MATCH(REGENT!$B24,'Enter (Vac BFs TrCl MB'!$D$7:$D$37,FALSE),MATCH(REGENT!E$11,'Enter (Vac BFs TrCl MB'!$F$6:$AJ$6,FALSE))))</f>
        <v/>
      </c>
      <c r="F24" s="153" t="str">
        <f>IF(ISERROR(INDEX('Enter (Vac BFs TrCl MB'!$F$7:$AJ$37,MATCH(REGENT!$B24,'Enter (Vac BFs TrCl MB'!$D$7:$D$37,FALSE),MATCH(REGENT!F$11,'Enter (Vac BFs TrCl MB'!$F$6:$AJ$6,FALSE))),"",(INDEX('Enter (Vac BFs TrCl MB'!$F$7:$AJ$37,MATCH(REGENT!$B24,'Enter (Vac BFs TrCl MB'!$D$7:$D$37,FALSE),MATCH(REGENT!F$11,'Enter (Vac BFs TrCl MB'!$F$6:$AJ$6,FALSE))))</f>
        <v/>
      </c>
      <c r="G24" s="153" t="str">
        <f>IF(ISERROR(INDEX('Enter (Vac BFs TrCl MB'!$F$7:$AJ$37,MATCH(REGENT!$B24,'Enter (Vac BFs TrCl MB'!$D$7:$D$37,FALSE),MATCH(REGENT!G$11,'Enter (Vac BFs TrCl MB'!$F$6:$AJ$6,FALSE))),"",(INDEX('Enter (Vac BFs TrCl MB'!$F$7:$AJ$37,MATCH(REGENT!$B24,'Enter (Vac BFs TrCl MB'!$D$7:$D$37,FALSE),MATCH(REGENT!G$11,'Enter (Vac BFs TrCl MB'!$F$6:$AJ$6,FALSE))))</f>
        <v/>
      </c>
      <c r="H24" s="153" t="str">
        <f>IF(ISERROR(INDEX('Enter (Vac BFs TrCl MB'!$F$7:$AJ$37,MATCH(REGENT!$B24,'Enter (Vac BFs TrCl MB'!$D$7:$D$37,FALSE),MATCH(REGENT!H$11,'Enter (Vac BFs TrCl MB'!$F$6:$AJ$6,FALSE))),"",(INDEX('Enter (Vac BFs TrCl MB'!$F$7:$AJ$37,MATCH(REGENT!$B24,'Enter (Vac BFs TrCl MB'!$D$7:$D$37,FALSE),MATCH(REGENT!H$11,'Enter (Vac BFs TrCl MB'!$F$6:$AJ$6,FALSE))))</f>
        <v/>
      </c>
      <c r="I24" s="154" t="str">
        <f>IF(ISERROR(INDEX('Enter (Vac BFs TrCl MB'!$F$7:$AJ$37,MATCH(REGENT!$B24,'Enter (Vac BFs TrCl MB'!$D$7:$D$37,FALSE),MATCH(REGENT!I$11,'Enter (Vac BFs TrCl MB'!$F$6:$AJ$6,FALSE))),"",(INDEX('Enter (Vac BFs TrCl MB'!$F$7:$AJ$37,MATCH(REGENT!$B24,'Enter (Vac BFs TrCl MB'!$D$7:$D$37,FALSE),MATCH(REGENT!I$11,'Enter (Vac BFs TrCl MB'!$F$6:$AJ$6,FALSE))))</f>
        <v/>
      </c>
      <c r="J24" s="810"/>
      <c r="K24" s="112"/>
      <c r="L24" s="153" t="str">
        <f>IF(ISERROR(INDEX('Enter (Vac BFs TrCl MB'!$F$7:$AJ$37,MATCH(REGENT!$B24,'Enter (Vac BFs TrCl MB'!$D$7:$D$37,FALSE),MATCH(REGENT!L$11,'Enter (Vac BFs TrCl MB'!$F$6:$AJ$6,FALSE))),"",(INDEX('Enter (Vac BFs TrCl MB'!$F$7:$AJ$37,MATCH(REGENT!$B24,'Enter (Vac BFs TrCl MB'!$D$7:$D$37,FALSE),MATCH(REGENT!L$11,'Enter (Vac BFs TrCl MB'!$F$6:$AJ$6,FALSE))))</f>
        <v/>
      </c>
      <c r="M24" s="153" t="str">
        <f>IF(ISERROR(INDEX('Enter (Vac BFs TrCl MB'!$F$7:$AJ$37,MATCH(REGENT!$B24,'Enter (Vac BFs TrCl MB'!$D$7:$D$37,FALSE),MATCH(REGENT!M$11,'Enter (Vac BFs TrCl MB'!$F$6:$AJ$6,FALSE))),"",(INDEX('Enter (Vac BFs TrCl MB'!$F$7:$AJ$37,MATCH(REGENT!$B24,'Enter (Vac BFs TrCl MB'!$D$7:$D$37,FALSE),MATCH(REGENT!M$11,'Enter (Vac BFs TrCl MB'!$F$6:$AJ$6,FALSE))))</f>
        <v/>
      </c>
      <c r="N24" s="153" t="str">
        <f>IF(ISERROR(INDEX('Enter (Vac BFs TrCl MB'!$F$7:$AJ$37,MATCH(REGENT!$B24,'Enter (Vac BFs TrCl MB'!$D$7:$D$37,FALSE),MATCH(REGENT!N$11,'Enter (Vac BFs TrCl MB'!$F$6:$AJ$6,FALSE))),"",(INDEX('Enter (Vac BFs TrCl MB'!$F$7:$AJ$37,MATCH(REGENT!$B24,'Enter (Vac BFs TrCl MB'!$D$7:$D$37,FALSE),MATCH(REGENT!N$11,'Enter (Vac BFs TrCl MB'!$F$6:$AJ$6,FALSE))))</f>
        <v/>
      </c>
      <c r="O24" s="153" t="str">
        <f>IF(ISERROR(INDEX('Enter (Vac BFs TrCl MB'!$F$7:$AJ$37,MATCH(REGENT!$B24,'Enter (Vac BFs TrCl MB'!$D$7:$D$37,FALSE),MATCH(REGENT!O$11,'Enter (Vac BFs TrCl MB'!$F$6:$AJ$6,FALSE))),"",(INDEX('Enter (Vac BFs TrCl MB'!$F$7:$AJ$37,MATCH(REGENT!$B24,'Enter (Vac BFs TrCl MB'!$D$7:$D$37,FALSE),MATCH(REGENT!O$11,'Enter (Vac BFs TrCl MB'!$F$6:$AJ$6,FALSE))))</f>
        <v/>
      </c>
      <c r="P24" s="153" t="str">
        <f>IF(ISERROR(INDEX('Enter (Vac BFs TrCl MB'!$F$7:$AJ$37,MATCH(REGENT!$B24,'Enter (Vac BFs TrCl MB'!$D$7:$D$37,FALSE),MATCH(REGENT!P$11,'Enter (Vac BFs TrCl MB'!$F$6:$AJ$6,FALSE))),"",(INDEX('Enter (Vac BFs TrCl MB'!$F$7:$AJ$37,MATCH(REGENT!$B24,'Enter (Vac BFs TrCl MB'!$D$7:$D$37,FALSE),MATCH(REGENT!P$11,'Enter (Vac BFs TrCl MB'!$F$6:$AJ$6,FALSE))))</f>
        <v/>
      </c>
      <c r="Q24" s="153" t="str">
        <f>IF(ISERROR(INDEX('Enter (Vac BFs TrCl MB'!$F$7:$AJ$37,MATCH(REGENT!$B24,'Enter (Vac BFs TrCl MB'!$D$7:$D$37,FALSE),MATCH(REGENT!Q$11,'Enter (Vac BFs TrCl MB'!$F$6:$AJ$6,FALSE))),"",(INDEX('Enter (Vac BFs TrCl MB'!$F$7:$AJ$37,MATCH(REGENT!$B24,'Enter (Vac BFs TrCl MB'!$D$7:$D$37,FALSE),MATCH(REGENT!Q$11,'Enter (Vac BFs TrCl MB'!$F$6:$AJ$6,FALSE))))</f>
        <v/>
      </c>
      <c r="R24" s="154" t="str">
        <f>IF(ISERROR(INDEX('Enter (Vac BFs TrCl MB'!$F$7:$AJ$37,MATCH(REGENT!$B24,'Enter (Vac BFs TrCl MB'!$D$7:$D$37,FALSE),MATCH(REGENT!R$11,'Enter (Vac BFs TrCl MB'!$F$6:$AJ$6,FALSE))),"",(INDEX('Enter (Vac BFs TrCl MB'!$F$7:$AJ$37,MATCH(REGENT!$B24,'Enter (Vac BFs TrCl MB'!$D$7:$D$37,FALSE),MATCH(REGENT!R$11,'Enter (Vac BFs TrCl MB'!$F$6:$AJ$6,FALSE))))</f>
        <v/>
      </c>
      <c r="S24" s="810"/>
      <c r="T24" s="112"/>
      <c r="U24" s="153" t="str">
        <f>IF(ISERROR(INDEX('Enter (Vac BFs TrCl MB'!$F$7:$AJ$37,MATCH(REGENT!$B24,'Enter (Vac BFs TrCl MB'!$D$7:$D$37,FALSE),MATCH(REGENT!U$11,'Enter (Vac BFs TrCl MB'!$F$6:$AJ$6,FALSE))),"",(INDEX('Enter (Vac BFs TrCl MB'!$F$7:$AJ$37,MATCH(REGENT!$B24,'Enter (Vac BFs TrCl MB'!$D$7:$D$37,FALSE),MATCH(REGENT!U$11,'Enter (Vac BFs TrCl MB'!$F$6:$AJ$6,FALSE))))</f>
        <v/>
      </c>
      <c r="V24" s="153" t="str">
        <f>IF(ISERROR(INDEX('Enter (Vac BFs TrCl MB'!$F$7:$AJ$37,MATCH(REGENT!$B24,'Enter (Vac BFs TrCl MB'!$D$7:$D$37,FALSE),MATCH(REGENT!V$11,'Enter (Vac BFs TrCl MB'!$F$6:$AJ$6,FALSE))),"",(INDEX('Enter (Vac BFs TrCl MB'!$F$7:$AJ$37,MATCH(REGENT!$B24,'Enter (Vac BFs TrCl MB'!$D$7:$D$37,FALSE),MATCH(REGENT!V$11,'Enter (Vac BFs TrCl MB'!$F$6:$AJ$6,FALSE))))</f>
        <v/>
      </c>
      <c r="W24" s="153" t="str">
        <f>IF(ISERROR(INDEX('Enter (Vac BFs TrCl MB'!$F$7:$AJ$37,MATCH(REGENT!$B24,'Enter (Vac BFs TrCl MB'!$D$7:$D$37,FALSE),MATCH(REGENT!W$11,'Enter (Vac BFs TrCl MB'!$F$6:$AJ$6,FALSE))),"",(INDEX('Enter (Vac BFs TrCl MB'!$F$7:$AJ$37,MATCH(REGENT!$B24,'Enter (Vac BFs TrCl MB'!$D$7:$D$37,FALSE),MATCH(REGENT!W$11,'Enter (Vac BFs TrCl MB'!$F$6:$AJ$6,FALSE))))</f>
        <v/>
      </c>
      <c r="X24" s="153" t="str">
        <f>IF(ISERROR(INDEX('Enter (Vac BFs TrCl MB'!$F$7:$AJ$37,MATCH(REGENT!$B24,'Enter (Vac BFs TrCl MB'!$D$7:$D$37,FALSE),MATCH(REGENT!X$11,'Enter (Vac BFs TrCl MB'!$F$6:$AJ$6,FALSE))),"",(INDEX('Enter (Vac BFs TrCl MB'!$F$7:$AJ$37,MATCH(REGENT!$B24,'Enter (Vac BFs TrCl MB'!$D$7:$D$37,FALSE),MATCH(REGENT!X$11,'Enter (Vac BFs TrCl MB'!$F$6:$AJ$6,FALSE))))</f>
        <v/>
      </c>
      <c r="Y24" s="153" t="str">
        <f>IF(ISERROR(INDEX('Enter (Vac BFs TrCl MB'!$F$7:$AJ$37,MATCH(REGENT!$B24,'Enter (Vac BFs TrCl MB'!$D$7:$D$37,FALSE),MATCH(REGENT!Y$11,'Enter (Vac BFs TrCl MB'!$F$6:$AJ$6,FALSE))),"",(INDEX('Enter (Vac BFs TrCl MB'!$F$7:$AJ$37,MATCH(REGENT!$B24,'Enter (Vac BFs TrCl MB'!$D$7:$D$37,FALSE),MATCH(REGENT!Y$11,'Enter (Vac BFs TrCl MB'!$F$6:$AJ$6,FALSE))))</f>
        <v/>
      </c>
      <c r="Z24" s="153" t="str">
        <f>IF(ISERROR(INDEX('Enter (Vac BFs TrCl MB'!$F$7:$AJ$37,MATCH(REGENT!$B24,'Enter (Vac BFs TrCl MB'!$D$7:$D$37,FALSE),MATCH(REGENT!Z$11,'Enter (Vac BFs TrCl MB'!$F$6:$AJ$6,FALSE))),"",(INDEX('Enter (Vac BFs TrCl MB'!$F$7:$AJ$37,MATCH(REGENT!$B24,'Enter (Vac BFs TrCl MB'!$D$7:$D$37,FALSE),MATCH(REGENT!Z$11,'Enter (Vac BFs TrCl MB'!$F$6:$AJ$6,FALSE))))</f>
        <v/>
      </c>
      <c r="AA24" s="154" t="str">
        <f>IF(ISERROR(INDEX('Enter (Vac BFs TrCl MB'!$F$7:$AJ$37,MATCH(REGENT!$B24,'Enter (Vac BFs TrCl MB'!$D$7:$D$37,FALSE),MATCH(REGENT!AA$11,'Enter (Vac BFs TrCl MB'!$F$6:$AJ$6,FALSE))),"",(INDEX('Enter (Vac BFs TrCl MB'!$F$7:$AJ$37,MATCH(REGENT!$B24,'Enter (Vac BFs TrCl MB'!$D$7:$D$37,FALSE),MATCH(REGENT!AA$11,'Enter (Vac BFs TrCl MB'!$F$6:$AJ$6,FALSE))))</f>
        <v/>
      </c>
      <c r="AD24" s="45"/>
    </row>
    <row r="25" spans="2:30" ht="15">
      <c r="B25" s="111"/>
      <c r="C25" s="153" t="str">
        <f>IF(ISERROR(INDEX('Enter (Vac BFs TrCl MB'!$F$7:$AJ$37,MATCH(REGENT!$B25,'Enter (Vac BFs TrCl MB'!$D$7:$D$37,FALSE),MATCH(REGENT!C$11,'Enter (Vac BFs TrCl MB'!$F$6:$AJ$6,FALSE))),"",(INDEX('Enter (Vac BFs TrCl MB'!$F$7:$AJ$37,MATCH(REGENT!$B25,'Enter (Vac BFs TrCl MB'!$D$7:$D$37,FALSE),MATCH(REGENT!C$11,'Enter (Vac BFs TrCl MB'!$F$6:$AJ$6,FALSE))))</f>
        <v/>
      </c>
      <c r="D25" s="153" t="str">
        <f>IF(ISERROR(INDEX('Enter (Vac BFs TrCl MB'!$F$7:$AJ$37,MATCH(REGENT!$B25,'Enter (Vac BFs TrCl MB'!$D$7:$D$37,FALSE),MATCH(REGENT!D$11,'Enter (Vac BFs TrCl MB'!$F$6:$AJ$6,FALSE))),"",(INDEX('Enter (Vac BFs TrCl MB'!$F$7:$AJ$37,MATCH(REGENT!$B25,'Enter (Vac BFs TrCl MB'!$D$7:$D$37,FALSE),MATCH(REGENT!D$11,'Enter (Vac BFs TrCl MB'!$F$6:$AJ$6,FALSE))))</f>
        <v/>
      </c>
      <c r="E25" s="153" t="str">
        <f>IF(ISERROR(INDEX('Enter (Vac BFs TrCl MB'!$F$7:$AJ$37,MATCH(REGENT!$B25,'Enter (Vac BFs TrCl MB'!$D$7:$D$37,FALSE),MATCH(REGENT!E$11,'Enter (Vac BFs TrCl MB'!$F$6:$AJ$6,FALSE))),"",(INDEX('Enter (Vac BFs TrCl MB'!$F$7:$AJ$37,MATCH(REGENT!$B25,'Enter (Vac BFs TrCl MB'!$D$7:$D$37,FALSE),MATCH(REGENT!E$11,'Enter (Vac BFs TrCl MB'!$F$6:$AJ$6,FALSE))))</f>
        <v/>
      </c>
      <c r="F25" s="153" t="str">
        <f>IF(ISERROR(INDEX('Enter (Vac BFs TrCl MB'!$F$7:$AJ$37,MATCH(REGENT!$B25,'Enter (Vac BFs TrCl MB'!$D$7:$D$37,FALSE),MATCH(REGENT!F$11,'Enter (Vac BFs TrCl MB'!$F$6:$AJ$6,FALSE))),"",(INDEX('Enter (Vac BFs TrCl MB'!$F$7:$AJ$37,MATCH(REGENT!$B25,'Enter (Vac BFs TrCl MB'!$D$7:$D$37,FALSE),MATCH(REGENT!F$11,'Enter (Vac BFs TrCl MB'!$F$6:$AJ$6,FALSE))))</f>
        <v/>
      </c>
      <c r="G25" s="153" t="str">
        <f>IF(ISERROR(INDEX('Enter (Vac BFs TrCl MB'!$F$7:$AJ$37,MATCH(REGENT!$B25,'Enter (Vac BFs TrCl MB'!$D$7:$D$37,FALSE),MATCH(REGENT!G$11,'Enter (Vac BFs TrCl MB'!$F$6:$AJ$6,FALSE))),"",(INDEX('Enter (Vac BFs TrCl MB'!$F$7:$AJ$37,MATCH(REGENT!$B25,'Enter (Vac BFs TrCl MB'!$D$7:$D$37,FALSE),MATCH(REGENT!G$11,'Enter (Vac BFs TrCl MB'!$F$6:$AJ$6,FALSE))))</f>
        <v/>
      </c>
      <c r="H25" s="153" t="str">
        <f>IF(ISERROR(INDEX('Enter (Vac BFs TrCl MB'!$F$7:$AJ$37,MATCH(REGENT!$B25,'Enter (Vac BFs TrCl MB'!$D$7:$D$37,FALSE),MATCH(REGENT!H$11,'Enter (Vac BFs TrCl MB'!$F$6:$AJ$6,FALSE))),"",(INDEX('Enter (Vac BFs TrCl MB'!$F$7:$AJ$37,MATCH(REGENT!$B25,'Enter (Vac BFs TrCl MB'!$D$7:$D$37,FALSE),MATCH(REGENT!H$11,'Enter (Vac BFs TrCl MB'!$F$6:$AJ$6,FALSE))))</f>
        <v/>
      </c>
      <c r="I25" s="154" t="str">
        <f>IF(ISERROR(INDEX('Enter (Vac BFs TrCl MB'!$F$7:$AJ$37,MATCH(REGENT!$B25,'Enter (Vac BFs TrCl MB'!$D$7:$D$37,FALSE),MATCH(REGENT!I$11,'Enter (Vac BFs TrCl MB'!$F$6:$AJ$6,FALSE))),"",(INDEX('Enter (Vac BFs TrCl MB'!$F$7:$AJ$37,MATCH(REGENT!$B25,'Enter (Vac BFs TrCl MB'!$D$7:$D$37,FALSE),MATCH(REGENT!I$11,'Enter (Vac BFs TrCl MB'!$F$6:$AJ$6,FALSE))))</f>
        <v/>
      </c>
      <c r="J25" s="810"/>
      <c r="K25" s="112"/>
      <c r="L25" s="153" t="str">
        <f>IF(ISERROR(INDEX('Enter (Vac BFs TrCl MB'!$F$7:$AJ$37,MATCH(REGENT!$B25,'Enter (Vac BFs TrCl MB'!$D$7:$D$37,FALSE),MATCH(REGENT!L$11,'Enter (Vac BFs TrCl MB'!$F$6:$AJ$6,FALSE))),"",(INDEX('Enter (Vac BFs TrCl MB'!$F$7:$AJ$37,MATCH(REGENT!$B25,'Enter (Vac BFs TrCl MB'!$D$7:$D$37,FALSE),MATCH(REGENT!L$11,'Enter (Vac BFs TrCl MB'!$F$6:$AJ$6,FALSE))))</f>
        <v/>
      </c>
      <c r="M25" s="153" t="str">
        <f>IF(ISERROR(INDEX('Enter (Vac BFs TrCl MB'!$F$7:$AJ$37,MATCH(REGENT!$B25,'Enter (Vac BFs TrCl MB'!$D$7:$D$37,FALSE),MATCH(REGENT!M$11,'Enter (Vac BFs TrCl MB'!$F$6:$AJ$6,FALSE))),"",(INDEX('Enter (Vac BFs TrCl MB'!$F$7:$AJ$37,MATCH(REGENT!$B25,'Enter (Vac BFs TrCl MB'!$D$7:$D$37,FALSE),MATCH(REGENT!M$11,'Enter (Vac BFs TrCl MB'!$F$6:$AJ$6,FALSE))))</f>
        <v/>
      </c>
      <c r="N25" s="153" t="str">
        <f>IF(ISERROR(INDEX('Enter (Vac BFs TrCl MB'!$F$7:$AJ$37,MATCH(REGENT!$B25,'Enter (Vac BFs TrCl MB'!$D$7:$D$37,FALSE),MATCH(REGENT!N$11,'Enter (Vac BFs TrCl MB'!$F$6:$AJ$6,FALSE))),"",(INDEX('Enter (Vac BFs TrCl MB'!$F$7:$AJ$37,MATCH(REGENT!$B25,'Enter (Vac BFs TrCl MB'!$D$7:$D$37,FALSE),MATCH(REGENT!N$11,'Enter (Vac BFs TrCl MB'!$F$6:$AJ$6,FALSE))))</f>
        <v/>
      </c>
      <c r="O25" s="153" t="str">
        <f>IF(ISERROR(INDEX('Enter (Vac BFs TrCl MB'!$F$7:$AJ$37,MATCH(REGENT!$B25,'Enter (Vac BFs TrCl MB'!$D$7:$D$37,FALSE),MATCH(REGENT!O$11,'Enter (Vac BFs TrCl MB'!$F$6:$AJ$6,FALSE))),"",(INDEX('Enter (Vac BFs TrCl MB'!$F$7:$AJ$37,MATCH(REGENT!$B25,'Enter (Vac BFs TrCl MB'!$D$7:$D$37,FALSE),MATCH(REGENT!O$11,'Enter (Vac BFs TrCl MB'!$F$6:$AJ$6,FALSE))))</f>
        <v/>
      </c>
      <c r="P25" s="153" t="str">
        <f>IF(ISERROR(INDEX('Enter (Vac BFs TrCl MB'!$F$7:$AJ$37,MATCH(REGENT!$B25,'Enter (Vac BFs TrCl MB'!$D$7:$D$37,FALSE),MATCH(REGENT!P$11,'Enter (Vac BFs TrCl MB'!$F$6:$AJ$6,FALSE))),"",(INDEX('Enter (Vac BFs TrCl MB'!$F$7:$AJ$37,MATCH(REGENT!$B25,'Enter (Vac BFs TrCl MB'!$D$7:$D$37,FALSE),MATCH(REGENT!P$11,'Enter (Vac BFs TrCl MB'!$F$6:$AJ$6,FALSE))))</f>
        <v/>
      </c>
      <c r="Q25" s="153" t="str">
        <f>IF(ISERROR(INDEX('Enter (Vac BFs TrCl MB'!$F$7:$AJ$37,MATCH(REGENT!$B25,'Enter (Vac BFs TrCl MB'!$D$7:$D$37,FALSE),MATCH(REGENT!Q$11,'Enter (Vac BFs TrCl MB'!$F$6:$AJ$6,FALSE))),"",(INDEX('Enter (Vac BFs TrCl MB'!$F$7:$AJ$37,MATCH(REGENT!$B25,'Enter (Vac BFs TrCl MB'!$D$7:$D$37,FALSE),MATCH(REGENT!Q$11,'Enter (Vac BFs TrCl MB'!$F$6:$AJ$6,FALSE))))</f>
        <v/>
      </c>
      <c r="R25" s="154" t="str">
        <f>IF(ISERROR(INDEX('Enter (Vac BFs TrCl MB'!$F$7:$AJ$37,MATCH(REGENT!$B25,'Enter (Vac BFs TrCl MB'!$D$7:$D$37,FALSE),MATCH(REGENT!R$11,'Enter (Vac BFs TrCl MB'!$F$6:$AJ$6,FALSE))),"",(INDEX('Enter (Vac BFs TrCl MB'!$F$7:$AJ$37,MATCH(REGENT!$B25,'Enter (Vac BFs TrCl MB'!$D$7:$D$37,FALSE),MATCH(REGENT!R$11,'Enter (Vac BFs TrCl MB'!$F$6:$AJ$6,FALSE))))</f>
        <v/>
      </c>
      <c r="S25" s="810"/>
      <c r="T25" s="112"/>
      <c r="U25" s="153" t="str">
        <f>IF(ISERROR(INDEX('Enter (Vac BFs TrCl MB'!$F$7:$AJ$37,MATCH(REGENT!$B25,'Enter (Vac BFs TrCl MB'!$D$7:$D$37,FALSE),MATCH(REGENT!U$11,'Enter (Vac BFs TrCl MB'!$F$6:$AJ$6,FALSE))),"",(INDEX('Enter (Vac BFs TrCl MB'!$F$7:$AJ$37,MATCH(REGENT!$B25,'Enter (Vac BFs TrCl MB'!$D$7:$D$37,FALSE),MATCH(REGENT!U$11,'Enter (Vac BFs TrCl MB'!$F$6:$AJ$6,FALSE))))</f>
        <v/>
      </c>
      <c r="V25" s="153" t="str">
        <f>IF(ISERROR(INDEX('Enter (Vac BFs TrCl MB'!$F$7:$AJ$37,MATCH(REGENT!$B25,'Enter (Vac BFs TrCl MB'!$D$7:$D$37,FALSE),MATCH(REGENT!V$11,'Enter (Vac BFs TrCl MB'!$F$6:$AJ$6,FALSE))),"",(INDEX('Enter (Vac BFs TrCl MB'!$F$7:$AJ$37,MATCH(REGENT!$B25,'Enter (Vac BFs TrCl MB'!$D$7:$D$37,FALSE),MATCH(REGENT!V$11,'Enter (Vac BFs TrCl MB'!$F$6:$AJ$6,FALSE))))</f>
        <v/>
      </c>
      <c r="W25" s="153" t="str">
        <f>IF(ISERROR(INDEX('Enter (Vac BFs TrCl MB'!$F$7:$AJ$37,MATCH(REGENT!$B25,'Enter (Vac BFs TrCl MB'!$D$7:$D$37,FALSE),MATCH(REGENT!W$11,'Enter (Vac BFs TrCl MB'!$F$6:$AJ$6,FALSE))),"",(INDEX('Enter (Vac BFs TrCl MB'!$F$7:$AJ$37,MATCH(REGENT!$B25,'Enter (Vac BFs TrCl MB'!$D$7:$D$37,FALSE),MATCH(REGENT!W$11,'Enter (Vac BFs TrCl MB'!$F$6:$AJ$6,FALSE))))</f>
        <v/>
      </c>
      <c r="X25" s="153" t="str">
        <f>IF(ISERROR(INDEX('Enter (Vac BFs TrCl MB'!$F$7:$AJ$37,MATCH(REGENT!$B25,'Enter (Vac BFs TrCl MB'!$D$7:$D$37,FALSE),MATCH(REGENT!X$11,'Enter (Vac BFs TrCl MB'!$F$6:$AJ$6,FALSE))),"",(INDEX('Enter (Vac BFs TrCl MB'!$F$7:$AJ$37,MATCH(REGENT!$B25,'Enter (Vac BFs TrCl MB'!$D$7:$D$37,FALSE),MATCH(REGENT!X$11,'Enter (Vac BFs TrCl MB'!$F$6:$AJ$6,FALSE))))</f>
        <v/>
      </c>
      <c r="Y25" s="153" t="str">
        <f>IF(ISERROR(INDEX('Enter (Vac BFs TrCl MB'!$F$7:$AJ$37,MATCH(REGENT!$B25,'Enter (Vac BFs TrCl MB'!$D$7:$D$37,FALSE),MATCH(REGENT!Y$11,'Enter (Vac BFs TrCl MB'!$F$6:$AJ$6,FALSE))),"",(INDEX('Enter (Vac BFs TrCl MB'!$F$7:$AJ$37,MATCH(REGENT!$B25,'Enter (Vac BFs TrCl MB'!$D$7:$D$37,FALSE),MATCH(REGENT!Y$11,'Enter (Vac BFs TrCl MB'!$F$6:$AJ$6,FALSE))))</f>
        <v/>
      </c>
      <c r="Z25" s="153" t="str">
        <f>IF(ISERROR(INDEX('Enter (Vac BFs TrCl MB'!$F$7:$AJ$37,MATCH(REGENT!$B25,'Enter (Vac BFs TrCl MB'!$D$7:$D$37,FALSE),MATCH(REGENT!Z$11,'Enter (Vac BFs TrCl MB'!$F$6:$AJ$6,FALSE))),"",(INDEX('Enter (Vac BFs TrCl MB'!$F$7:$AJ$37,MATCH(REGENT!$B25,'Enter (Vac BFs TrCl MB'!$D$7:$D$37,FALSE),MATCH(REGENT!Z$11,'Enter (Vac BFs TrCl MB'!$F$6:$AJ$6,FALSE))))</f>
        <v/>
      </c>
      <c r="AA25" s="154" t="str">
        <f>IF(ISERROR(INDEX('Enter (Vac BFs TrCl MB'!$F$7:$AJ$37,MATCH(REGENT!$B25,'Enter (Vac BFs TrCl MB'!$D$7:$D$37,FALSE),MATCH(REGENT!AA$11,'Enter (Vac BFs TrCl MB'!$F$6:$AJ$6,FALSE))),"",(INDEX('Enter (Vac BFs TrCl MB'!$F$7:$AJ$37,MATCH(REGENT!$B25,'Enter (Vac BFs TrCl MB'!$D$7:$D$37,FALSE),MATCH(REGENT!AA$11,'Enter (Vac BFs TrCl MB'!$F$6:$AJ$6,FALSE))))</f>
        <v/>
      </c>
    </row>
    <row r="26" spans="2:30" ht="15">
      <c r="B26" s="111"/>
      <c r="C26" s="153" t="str">
        <f>IF(ISERROR(INDEX('Enter (Vac BFs TrCl MB'!$F$7:$AJ$37,MATCH(REGENT!$B26,'Enter (Vac BFs TrCl MB'!$D$7:$D$37,FALSE),MATCH(REGENT!C$11,'Enter (Vac BFs TrCl MB'!$F$6:$AJ$6,FALSE))),"",(INDEX('Enter (Vac BFs TrCl MB'!$F$7:$AJ$37,MATCH(REGENT!$B26,'Enter (Vac BFs TrCl MB'!$D$7:$D$37,FALSE),MATCH(REGENT!C$11,'Enter (Vac BFs TrCl MB'!$F$6:$AJ$6,FALSE))))</f>
        <v/>
      </c>
      <c r="D26" s="153" t="str">
        <f>IF(ISERROR(INDEX('Enter (Vac BFs TrCl MB'!$F$7:$AJ$37,MATCH(REGENT!$B26,'Enter (Vac BFs TrCl MB'!$D$7:$D$37,FALSE),MATCH(REGENT!D$11,'Enter (Vac BFs TrCl MB'!$F$6:$AJ$6,FALSE))),"",(INDEX('Enter (Vac BFs TrCl MB'!$F$7:$AJ$37,MATCH(REGENT!$B26,'Enter (Vac BFs TrCl MB'!$D$7:$D$37,FALSE),MATCH(REGENT!D$11,'Enter (Vac BFs TrCl MB'!$F$6:$AJ$6,FALSE))))</f>
        <v/>
      </c>
      <c r="E26" s="153" t="str">
        <f>IF(ISERROR(INDEX('Enter (Vac BFs TrCl MB'!$F$7:$AJ$37,MATCH(REGENT!$B26,'Enter (Vac BFs TrCl MB'!$D$7:$D$37,FALSE),MATCH(REGENT!E$11,'Enter (Vac BFs TrCl MB'!$F$6:$AJ$6,FALSE))),"",(INDEX('Enter (Vac BFs TrCl MB'!$F$7:$AJ$37,MATCH(REGENT!$B26,'Enter (Vac BFs TrCl MB'!$D$7:$D$37,FALSE),MATCH(REGENT!E$11,'Enter (Vac BFs TrCl MB'!$F$6:$AJ$6,FALSE))))</f>
        <v/>
      </c>
      <c r="F26" s="153" t="str">
        <f>IF(ISERROR(INDEX('Enter (Vac BFs TrCl MB'!$F$7:$AJ$37,MATCH(REGENT!$B26,'Enter (Vac BFs TrCl MB'!$D$7:$D$37,FALSE),MATCH(REGENT!F$11,'Enter (Vac BFs TrCl MB'!$F$6:$AJ$6,FALSE))),"",(INDEX('Enter (Vac BFs TrCl MB'!$F$7:$AJ$37,MATCH(REGENT!$B26,'Enter (Vac BFs TrCl MB'!$D$7:$D$37,FALSE),MATCH(REGENT!F$11,'Enter (Vac BFs TrCl MB'!$F$6:$AJ$6,FALSE))))</f>
        <v/>
      </c>
      <c r="G26" s="153" t="str">
        <f>IF(ISERROR(INDEX('Enter (Vac BFs TrCl MB'!$F$7:$AJ$37,MATCH(REGENT!$B26,'Enter (Vac BFs TrCl MB'!$D$7:$D$37,FALSE),MATCH(REGENT!G$11,'Enter (Vac BFs TrCl MB'!$F$6:$AJ$6,FALSE))),"",(INDEX('Enter (Vac BFs TrCl MB'!$F$7:$AJ$37,MATCH(REGENT!$B26,'Enter (Vac BFs TrCl MB'!$D$7:$D$37,FALSE),MATCH(REGENT!G$11,'Enter (Vac BFs TrCl MB'!$F$6:$AJ$6,FALSE))))</f>
        <v/>
      </c>
      <c r="H26" s="153" t="str">
        <f>IF(ISERROR(INDEX('Enter (Vac BFs TrCl MB'!$F$7:$AJ$37,MATCH(REGENT!$B26,'Enter (Vac BFs TrCl MB'!$D$7:$D$37,FALSE),MATCH(REGENT!H$11,'Enter (Vac BFs TrCl MB'!$F$6:$AJ$6,FALSE))),"",(INDEX('Enter (Vac BFs TrCl MB'!$F$7:$AJ$37,MATCH(REGENT!$B26,'Enter (Vac BFs TrCl MB'!$D$7:$D$37,FALSE),MATCH(REGENT!H$11,'Enter (Vac BFs TrCl MB'!$F$6:$AJ$6,FALSE))))</f>
        <v/>
      </c>
      <c r="I26" s="154" t="str">
        <f>IF(ISERROR(INDEX('Enter (Vac BFs TrCl MB'!$F$7:$AJ$37,MATCH(REGENT!$B26,'Enter (Vac BFs TrCl MB'!$D$7:$D$37,FALSE),MATCH(REGENT!I$11,'Enter (Vac BFs TrCl MB'!$F$6:$AJ$6,FALSE))),"",(INDEX('Enter (Vac BFs TrCl MB'!$F$7:$AJ$37,MATCH(REGENT!$B26,'Enter (Vac BFs TrCl MB'!$D$7:$D$37,FALSE),MATCH(REGENT!I$11,'Enter (Vac BFs TrCl MB'!$F$6:$AJ$6,FALSE))))</f>
        <v/>
      </c>
      <c r="J26" s="810"/>
      <c r="K26" s="112"/>
      <c r="L26" s="153" t="str">
        <f>IF(ISERROR(INDEX('Enter (Vac BFs TrCl MB'!$F$7:$AJ$37,MATCH(REGENT!$B26,'Enter (Vac BFs TrCl MB'!$D$7:$D$37,FALSE),MATCH(REGENT!L$11,'Enter (Vac BFs TrCl MB'!$F$6:$AJ$6,FALSE))),"",(INDEX('Enter (Vac BFs TrCl MB'!$F$7:$AJ$37,MATCH(REGENT!$B26,'Enter (Vac BFs TrCl MB'!$D$7:$D$37,FALSE),MATCH(REGENT!L$11,'Enter (Vac BFs TrCl MB'!$F$6:$AJ$6,FALSE))))</f>
        <v/>
      </c>
      <c r="M26" s="153" t="str">
        <f>IF(ISERROR(INDEX('Enter (Vac BFs TrCl MB'!$F$7:$AJ$37,MATCH(REGENT!$B26,'Enter (Vac BFs TrCl MB'!$D$7:$D$37,FALSE),MATCH(REGENT!M$11,'Enter (Vac BFs TrCl MB'!$F$6:$AJ$6,FALSE))),"",(INDEX('Enter (Vac BFs TrCl MB'!$F$7:$AJ$37,MATCH(REGENT!$B26,'Enter (Vac BFs TrCl MB'!$D$7:$D$37,FALSE),MATCH(REGENT!M$11,'Enter (Vac BFs TrCl MB'!$F$6:$AJ$6,FALSE))))</f>
        <v/>
      </c>
      <c r="N26" s="153" t="str">
        <f>IF(ISERROR(INDEX('Enter (Vac BFs TrCl MB'!$F$7:$AJ$37,MATCH(REGENT!$B26,'Enter (Vac BFs TrCl MB'!$D$7:$D$37,FALSE),MATCH(REGENT!N$11,'Enter (Vac BFs TrCl MB'!$F$6:$AJ$6,FALSE))),"",(INDEX('Enter (Vac BFs TrCl MB'!$F$7:$AJ$37,MATCH(REGENT!$B26,'Enter (Vac BFs TrCl MB'!$D$7:$D$37,FALSE),MATCH(REGENT!N$11,'Enter (Vac BFs TrCl MB'!$F$6:$AJ$6,FALSE))))</f>
        <v/>
      </c>
      <c r="O26" s="153" t="str">
        <f>IF(ISERROR(INDEX('Enter (Vac BFs TrCl MB'!$F$7:$AJ$37,MATCH(REGENT!$B26,'Enter (Vac BFs TrCl MB'!$D$7:$D$37,FALSE),MATCH(REGENT!O$11,'Enter (Vac BFs TrCl MB'!$F$6:$AJ$6,FALSE))),"",(INDEX('Enter (Vac BFs TrCl MB'!$F$7:$AJ$37,MATCH(REGENT!$B26,'Enter (Vac BFs TrCl MB'!$D$7:$D$37,FALSE),MATCH(REGENT!O$11,'Enter (Vac BFs TrCl MB'!$F$6:$AJ$6,FALSE))))</f>
        <v/>
      </c>
      <c r="P26" s="153" t="str">
        <f>IF(ISERROR(INDEX('Enter (Vac BFs TrCl MB'!$F$7:$AJ$37,MATCH(REGENT!$B26,'Enter (Vac BFs TrCl MB'!$D$7:$D$37,FALSE),MATCH(REGENT!P$11,'Enter (Vac BFs TrCl MB'!$F$6:$AJ$6,FALSE))),"",(INDEX('Enter (Vac BFs TrCl MB'!$F$7:$AJ$37,MATCH(REGENT!$B26,'Enter (Vac BFs TrCl MB'!$D$7:$D$37,FALSE),MATCH(REGENT!P$11,'Enter (Vac BFs TrCl MB'!$F$6:$AJ$6,FALSE))))</f>
        <v/>
      </c>
      <c r="Q26" s="153" t="str">
        <f>IF(ISERROR(INDEX('Enter (Vac BFs TrCl MB'!$F$7:$AJ$37,MATCH(REGENT!$B26,'Enter (Vac BFs TrCl MB'!$D$7:$D$37,FALSE),MATCH(REGENT!Q$11,'Enter (Vac BFs TrCl MB'!$F$6:$AJ$6,FALSE))),"",(INDEX('Enter (Vac BFs TrCl MB'!$F$7:$AJ$37,MATCH(REGENT!$B26,'Enter (Vac BFs TrCl MB'!$D$7:$D$37,FALSE),MATCH(REGENT!Q$11,'Enter (Vac BFs TrCl MB'!$F$6:$AJ$6,FALSE))))</f>
        <v/>
      </c>
      <c r="R26" s="154" t="str">
        <f>IF(ISERROR(INDEX('Enter (Vac BFs TrCl MB'!$F$7:$AJ$37,MATCH(REGENT!$B26,'Enter (Vac BFs TrCl MB'!$D$7:$D$37,FALSE),MATCH(REGENT!R$11,'Enter (Vac BFs TrCl MB'!$F$6:$AJ$6,FALSE))),"",(INDEX('Enter (Vac BFs TrCl MB'!$F$7:$AJ$37,MATCH(REGENT!$B26,'Enter (Vac BFs TrCl MB'!$D$7:$D$37,FALSE),MATCH(REGENT!R$11,'Enter (Vac BFs TrCl MB'!$F$6:$AJ$6,FALSE))))</f>
        <v/>
      </c>
      <c r="S26" s="810"/>
      <c r="T26" s="112"/>
      <c r="U26" s="153" t="str">
        <f>IF(ISERROR(INDEX('Enter (Vac BFs TrCl MB'!$F$7:$AJ$37,MATCH(REGENT!$B26,'Enter (Vac BFs TrCl MB'!$D$7:$D$37,FALSE),MATCH(REGENT!U$11,'Enter (Vac BFs TrCl MB'!$F$6:$AJ$6,FALSE))),"",(INDEX('Enter (Vac BFs TrCl MB'!$F$7:$AJ$37,MATCH(REGENT!$B26,'Enter (Vac BFs TrCl MB'!$D$7:$D$37,FALSE),MATCH(REGENT!U$11,'Enter (Vac BFs TrCl MB'!$F$6:$AJ$6,FALSE))))</f>
        <v/>
      </c>
      <c r="V26" s="153" t="str">
        <f>IF(ISERROR(INDEX('Enter (Vac BFs TrCl MB'!$F$7:$AJ$37,MATCH(REGENT!$B26,'Enter (Vac BFs TrCl MB'!$D$7:$D$37,FALSE),MATCH(REGENT!V$11,'Enter (Vac BFs TrCl MB'!$F$6:$AJ$6,FALSE))),"",(INDEX('Enter (Vac BFs TrCl MB'!$F$7:$AJ$37,MATCH(REGENT!$B26,'Enter (Vac BFs TrCl MB'!$D$7:$D$37,FALSE),MATCH(REGENT!V$11,'Enter (Vac BFs TrCl MB'!$F$6:$AJ$6,FALSE))))</f>
        <v/>
      </c>
      <c r="W26" s="153" t="str">
        <f>IF(ISERROR(INDEX('Enter (Vac BFs TrCl MB'!$F$7:$AJ$37,MATCH(REGENT!$B26,'Enter (Vac BFs TrCl MB'!$D$7:$D$37,FALSE),MATCH(REGENT!W$11,'Enter (Vac BFs TrCl MB'!$F$6:$AJ$6,FALSE))),"",(INDEX('Enter (Vac BFs TrCl MB'!$F$7:$AJ$37,MATCH(REGENT!$B26,'Enter (Vac BFs TrCl MB'!$D$7:$D$37,FALSE),MATCH(REGENT!W$11,'Enter (Vac BFs TrCl MB'!$F$6:$AJ$6,FALSE))))</f>
        <v/>
      </c>
      <c r="X26" s="153" t="str">
        <f>IF(ISERROR(INDEX('Enter (Vac BFs TrCl MB'!$F$7:$AJ$37,MATCH(REGENT!$B26,'Enter (Vac BFs TrCl MB'!$D$7:$D$37,FALSE),MATCH(REGENT!X$11,'Enter (Vac BFs TrCl MB'!$F$6:$AJ$6,FALSE))),"",(INDEX('Enter (Vac BFs TrCl MB'!$F$7:$AJ$37,MATCH(REGENT!$B26,'Enter (Vac BFs TrCl MB'!$D$7:$D$37,FALSE),MATCH(REGENT!X$11,'Enter (Vac BFs TrCl MB'!$F$6:$AJ$6,FALSE))))</f>
        <v/>
      </c>
      <c r="Y26" s="153" t="str">
        <f>IF(ISERROR(INDEX('Enter (Vac BFs TrCl MB'!$F$7:$AJ$37,MATCH(REGENT!$B26,'Enter (Vac BFs TrCl MB'!$D$7:$D$37,FALSE),MATCH(REGENT!Y$11,'Enter (Vac BFs TrCl MB'!$F$6:$AJ$6,FALSE))),"",(INDEX('Enter (Vac BFs TrCl MB'!$F$7:$AJ$37,MATCH(REGENT!$B26,'Enter (Vac BFs TrCl MB'!$D$7:$D$37,FALSE),MATCH(REGENT!Y$11,'Enter (Vac BFs TrCl MB'!$F$6:$AJ$6,FALSE))))</f>
        <v/>
      </c>
      <c r="Z26" s="153" t="str">
        <f>IF(ISERROR(INDEX('Enter (Vac BFs TrCl MB'!$F$7:$AJ$37,MATCH(REGENT!$B26,'Enter (Vac BFs TrCl MB'!$D$7:$D$37,FALSE),MATCH(REGENT!Z$11,'Enter (Vac BFs TrCl MB'!$F$6:$AJ$6,FALSE))),"",(INDEX('Enter (Vac BFs TrCl MB'!$F$7:$AJ$37,MATCH(REGENT!$B26,'Enter (Vac BFs TrCl MB'!$D$7:$D$37,FALSE),MATCH(REGENT!Z$11,'Enter (Vac BFs TrCl MB'!$F$6:$AJ$6,FALSE))))</f>
        <v/>
      </c>
      <c r="AA26" s="154" t="str">
        <f>IF(ISERROR(INDEX('Enter (Vac BFs TrCl MB'!$F$7:$AJ$37,MATCH(REGENT!$B26,'Enter (Vac BFs TrCl MB'!$D$7:$D$37,FALSE),MATCH(REGENT!AA$11,'Enter (Vac BFs TrCl MB'!$F$6:$AJ$6,FALSE))),"",(INDEX('Enter (Vac BFs TrCl MB'!$F$7:$AJ$37,MATCH(REGENT!$B26,'Enter (Vac BFs TrCl MB'!$D$7:$D$37,FALSE),MATCH(REGENT!AA$11,'Enter (Vac BFs TrCl MB'!$F$6:$AJ$6,FALSE))))</f>
        <v/>
      </c>
    </row>
    <row r="27" spans="2:30" ht="15">
      <c r="B27" s="111"/>
      <c r="C27" s="153"/>
      <c r="D27" s="153" t="str">
        <f>IF(ISERROR(INDEX('Enter (Vac BFs TrCl MB'!$F$7:$AJ$37,MATCH(REGENT!$B27,'Enter (Vac BFs TrCl MB'!$D$7:$D$37,FALSE),MATCH(REGENT!D$11,'Enter (Vac BFs TrCl MB'!$F$6:$AJ$6,FALSE))),"",(INDEX('Enter (Vac BFs TrCl MB'!$F$7:$AJ$37,MATCH(REGENT!$B27,'Enter (Vac BFs TrCl MB'!$D$7:$D$37,FALSE),MATCH(REGENT!D$11,'Enter (Vac BFs TrCl MB'!$F$6:$AJ$6,FALSE))))</f>
        <v/>
      </c>
      <c r="E27" s="153" t="str">
        <f>IF(ISERROR(INDEX('Enter (Vac BFs TrCl MB'!$F$7:$AJ$37,MATCH(REGENT!$B27,'Enter (Vac BFs TrCl MB'!$D$7:$D$37,FALSE),MATCH(REGENT!E$11,'Enter (Vac BFs TrCl MB'!$F$6:$AJ$6,FALSE))),"",(INDEX('Enter (Vac BFs TrCl MB'!$F$7:$AJ$37,MATCH(REGENT!$B27,'Enter (Vac BFs TrCl MB'!$D$7:$D$37,FALSE),MATCH(REGENT!E$11,'Enter (Vac BFs TrCl MB'!$F$6:$AJ$6,FALSE))))</f>
        <v/>
      </c>
      <c r="F27" s="153" t="str">
        <f>IF(ISERROR(INDEX('Enter (Vac BFs TrCl MB'!$F$7:$AJ$37,MATCH(REGENT!$B27,'Enter (Vac BFs TrCl MB'!$D$7:$D$37,FALSE),MATCH(REGENT!F$11,'Enter (Vac BFs TrCl MB'!$F$6:$AJ$6,FALSE))),"",(INDEX('Enter (Vac BFs TrCl MB'!$F$7:$AJ$37,MATCH(REGENT!$B27,'Enter (Vac BFs TrCl MB'!$D$7:$D$37,FALSE),MATCH(REGENT!F$11,'Enter (Vac BFs TrCl MB'!$F$6:$AJ$6,FALSE))))</f>
        <v/>
      </c>
      <c r="G27" s="153" t="str">
        <f>IF(ISERROR(INDEX('Enter (Vac BFs TrCl MB'!$F$7:$AJ$37,MATCH(REGENT!$B27,'Enter (Vac BFs TrCl MB'!$D$7:$D$37,FALSE),MATCH(REGENT!G$11,'Enter (Vac BFs TrCl MB'!$F$6:$AJ$6,FALSE))),"",(INDEX('Enter (Vac BFs TrCl MB'!$F$7:$AJ$37,MATCH(REGENT!$B27,'Enter (Vac BFs TrCl MB'!$D$7:$D$37,FALSE),MATCH(REGENT!G$11,'Enter (Vac BFs TrCl MB'!$F$6:$AJ$6,FALSE))))</f>
        <v/>
      </c>
      <c r="H27" s="153" t="str">
        <f>IF(ISERROR(INDEX('Enter (Vac BFs TrCl MB'!$F$7:$AJ$37,MATCH(REGENT!$B27,'Enter (Vac BFs TrCl MB'!$D$7:$D$37,FALSE),MATCH(REGENT!H$11,'Enter (Vac BFs TrCl MB'!$F$6:$AJ$6,FALSE))),"",(INDEX('Enter (Vac BFs TrCl MB'!$F$7:$AJ$37,MATCH(REGENT!$B27,'Enter (Vac BFs TrCl MB'!$D$7:$D$37,FALSE),MATCH(REGENT!H$11,'Enter (Vac BFs TrCl MB'!$F$6:$AJ$6,FALSE))))</f>
        <v/>
      </c>
      <c r="I27" s="154" t="str">
        <f>IF(ISERROR(INDEX('Enter (Vac BFs TrCl MB'!$F$7:$AJ$37,MATCH(REGENT!$B27,'Enter (Vac BFs TrCl MB'!$D$7:$D$37,FALSE),MATCH(REGENT!I$11,'Enter (Vac BFs TrCl MB'!$F$6:$AJ$6,FALSE))),"",(INDEX('Enter (Vac BFs TrCl MB'!$F$7:$AJ$37,MATCH(REGENT!$B27,'Enter (Vac BFs TrCl MB'!$D$7:$D$37,FALSE),MATCH(REGENT!I$11,'Enter (Vac BFs TrCl MB'!$F$6:$AJ$6,FALSE))))</f>
        <v/>
      </c>
      <c r="J27" s="810"/>
      <c r="K27" s="112"/>
      <c r="L27" s="153" t="str">
        <f>IF(ISERROR(INDEX('Enter (Vac BFs TrCl MB'!$F$7:$AJ$37,MATCH(REGENT!$B27,'Enter (Vac BFs TrCl MB'!$D$7:$D$37,FALSE),MATCH(REGENT!L$11,'Enter (Vac BFs TrCl MB'!$F$6:$AJ$6,FALSE))),"",(INDEX('Enter (Vac BFs TrCl MB'!$F$7:$AJ$37,MATCH(REGENT!$B27,'Enter (Vac BFs TrCl MB'!$D$7:$D$37,FALSE),MATCH(REGENT!L$11,'Enter (Vac BFs TrCl MB'!$F$6:$AJ$6,FALSE))))</f>
        <v/>
      </c>
      <c r="M27" s="153" t="str">
        <f>IF(ISERROR(INDEX('Enter (Vac BFs TrCl MB'!$F$7:$AJ$37,MATCH(REGENT!$B27,'Enter (Vac BFs TrCl MB'!$D$7:$D$37,FALSE),MATCH(REGENT!M$11,'Enter (Vac BFs TrCl MB'!$F$6:$AJ$6,FALSE))),"",(INDEX('Enter (Vac BFs TrCl MB'!$F$7:$AJ$37,MATCH(REGENT!$B27,'Enter (Vac BFs TrCl MB'!$D$7:$D$37,FALSE),MATCH(REGENT!M$11,'Enter (Vac BFs TrCl MB'!$F$6:$AJ$6,FALSE))))</f>
        <v/>
      </c>
      <c r="N27" s="153" t="str">
        <f>IF(ISERROR(INDEX('Enter (Vac BFs TrCl MB'!$F$7:$AJ$37,MATCH(REGENT!$B27,'Enter (Vac BFs TrCl MB'!$D$7:$D$37,FALSE),MATCH(REGENT!N$11,'Enter (Vac BFs TrCl MB'!$F$6:$AJ$6,FALSE))),"",(INDEX('Enter (Vac BFs TrCl MB'!$F$7:$AJ$37,MATCH(REGENT!$B27,'Enter (Vac BFs TrCl MB'!$D$7:$D$37,FALSE),MATCH(REGENT!N$11,'Enter (Vac BFs TrCl MB'!$F$6:$AJ$6,FALSE))))</f>
        <v/>
      </c>
      <c r="O27" s="153" t="str">
        <f>IF(ISERROR(INDEX('Enter (Vac BFs TrCl MB'!$F$7:$AJ$37,MATCH(REGENT!$B27,'Enter (Vac BFs TrCl MB'!$D$7:$D$37,FALSE),MATCH(REGENT!O$11,'Enter (Vac BFs TrCl MB'!$F$6:$AJ$6,FALSE))),"",(INDEX('Enter (Vac BFs TrCl MB'!$F$7:$AJ$37,MATCH(REGENT!$B27,'Enter (Vac BFs TrCl MB'!$D$7:$D$37,FALSE),MATCH(REGENT!O$11,'Enter (Vac BFs TrCl MB'!$F$6:$AJ$6,FALSE))))</f>
        <v/>
      </c>
      <c r="P27" s="153" t="str">
        <f>IF(ISERROR(INDEX('Enter (Vac BFs TrCl MB'!$F$7:$AJ$37,MATCH(REGENT!$B27,'Enter (Vac BFs TrCl MB'!$D$7:$D$37,FALSE),MATCH(REGENT!P$11,'Enter (Vac BFs TrCl MB'!$F$6:$AJ$6,FALSE))),"",(INDEX('Enter (Vac BFs TrCl MB'!$F$7:$AJ$37,MATCH(REGENT!$B27,'Enter (Vac BFs TrCl MB'!$D$7:$D$37,FALSE),MATCH(REGENT!P$11,'Enter (Vac BFs TrCl MB'!$F$6:$AJ$6,FALSE))))</f>
        <v/>
      </c>
      <c r="Q27" s="153" t="str">
        <f>IF(ISERROR(INDEX('Enter (Vac BFs TrCl MB'!$F$7:$AJ$37,MATCH(REGENT!$B27,'Enter (Vac BFs TrCl MB'!$D$7:$D$37,FALSE),MATCH(REGENT!Q$11,'Enter (Vac BFs TrCl MB'!$F$6:$AJ$6,FALSE))),"",(INDEX('Enter (Vac BFs TrCl MB'!$F$7:$AJ$37,MATCH(REGENT!$B27,'Enter (Vac BFs TrCl MB'!$D$7:$D$37,FALSE),MATCH(REGENT!Q$11,'Enter (Vac BFs TrCl MB'!$F$6:$AJ$6,FALSE))))</f>
        <v/>
      </c>
      <c r="R27" s="154" t="str">
        <f>IF(ISERROR(INDEX('Enter (Vac BFs TrCl MB'!$F$7:$AJ$37,MATCH(REGENT!$B27,'Enter (Vac BFs TrCl MB'!$D$7:$D$37,FALSE),MATCH(REGENT!R$11,'Enter (Vac BFs TrCl MB'!$F$6:$AJ$6,FALSE))),"",(INDEX('Enter (Vac BFs TrCl MB'!$F$7:$AJ$37,MATCH(REGENT!$B27,'Enter (Vac BFs TrCl MB'!$D$7:$D$37,FALSE),MATCH(REGENT!R$11,'Enter (Vac BFs TrCl MB'!$F$6:$AJ$6,FALSE))))</f>
        <v/>
      </c>
      <c r="S27" s="810"/>
      <c r="T27" s="112"/>
      <c r="U27" s="153" t="str">
        <f>IF(ISERROR(INDEX('Enter (Vac BFs TrCl MB'!$F$7:$AJ$37,MATCH(REGENT!$B27,'Enter (Vac BFs TrCl MB'!$D$7:$D$37,FALSE),MATCH(REGENT!U$11,'Enter (Vac BFs TrCl MB'!$F$6:$AJ$6,FALSE))),"",(INDEX('Enter (Vac BFs TrCl MB'!$F$7:$AJ$37,MATCH(REGENT!$B27,'Enter (Vac BFs TrCl MB'!$D$7:$D$37,FALSE),MATCH(REGENT!U$11,'Enter (Vac BFs TrCl MB'!$F$6:$AJ$6,FALSE))))</f>
        <v/>
      </c>
      <c r="V27" s="153" t="str">
        <f>IF(ISERROR(INDEX('Enter (Vac BFs TrCl MB'!$F$7:$AJ$37,MATCH(REGENT!$B27,'Enter (Vac BFs TrCl MB'!$D$7:$D$37,FALSE),MATCH(REGENT!V$11,'Enter (Vac BFs TrCl MB'!$F$6:$AJ$6,FALSE))),"",(INDEX('Enter (Vac BFs TrCl MB'!$F$7:$AJ$37,MATCH(REGENT!$B27,'Enter (Vac BFs TrCl MB'!$D$7:$D$37,FALSE),MATCH(REGENT!V$11,'Enter (Vac BFs TrCl MB'!$F$6:$AJ$6,FALSE))))</f>
        <v/>
      </c>
      <c r="W27" s="153" t="str">
        <f>IF(ISERROR(INDEX('Enter (Vac BFs TrCl MB'!$F$7:$AJ$37,MATCH(REGENT!$B27,'Enter (Vac BFs TrCl MB'!$D$7:$D$37,FALSE),MATCH(REGENT!W$11,'Enter (Vac BFs TrCl MB'!$F$6:$AJ$6,FALSE))),"",(INDEX('Enter (Vac BFs TrCl MB'!$F$7:$AJ$37,MATCH(REGENT!$B27,'Enter (Vac BFs TrCl MB'!$D$7:$D$37,FALSE),MATCH(REGENT!W$11,'Enter (Vac BFs TrCl MB'!$F$6:$AJ$6,FALSE))))</f>
        <v/>
      </c>
      <c r="X27" s="153" t="str">
        <f>IF(ISERROR(INDEX('Enter (Vac BFs TrCl MB'!$F$7:$AJ$37,MATCH(REGENT!$B27,'Enter (Vac BFs TrCl MB'!$D$7:$D$37,FALSE),MATCH(REGENT!X$11,'Enter (Vac BFs TrCl MB'!$F$6:$AJ$6,FALSE))),"",(INDEX('Enter (Vac BFs TrCl MB'!$F$7:$AJ$37,MATCH(REGENT!$B27,'Enter (Vac BFs TrCl MB'!$D$7:$D$37,FALSE),MATCH(REGENT!X$11,'Enter (Vac BFs TrCl MB'!$F$6:$AJ$6,FALSE))))</f>
        <v/>
      </c>
      <c r="Y27" s="153" t="str">
        <f>IF(ISERROR(INDEX('Enter (Vac BFs TrCl MB'!$F$7:$AJ$37,MATCH(REGENT!$B27,'Enter (Vac BFs TrCl MB'!$D$7:$D$37,FALSE),MATCH(REGENT!Y$11,'Enter (Vac BFs TrCl MB'!$F$6:$AJ$6,FALSE))),"",(INDEX('Enter (Vac BFs TrCl MB'!$F$7:$AJ$37,MATCH(REGENT!$B27,'Enter (Vac BFs TrCl MB'!$D$7:$D$37,FALSE),MATCH(REGENT!Y$11,'Enter (Vac BFs TrCl MB'!$F$6:$AJ$6,FALSE))))</f>
        <v/>
      </c>
      <c r="Z27" s="153" t="str">
        <f>IF(ISERROR(INDEX('Enter (Vac BFs TrCl MB'!$F$7:$AJ$37,MATCH(REGENT!$B27,'Enter (Vac BFs TrCl MB'!$D$7:$D$37,FALSE),MATCH(REGENT!Z$11,'Enter (Vac BFs TrCl MB'!$F$6:$AJ$6,FALSE))),"",(INDEX('Enter (Vac BFs TrCl MB'!$F$7:$AJ$37,MATCH(REGENT!$B27,'Enter (Vac BFs TrCl MB'!$D$7:$D$37,FALSE),MATCH(REGENT!Z$11,'Enter (Vac BFs TrCl MB'!$F$6:$AJ$6,FALSE))))</f>
        <v/>
      </c>
      <c r="AA27" s="154" t="str">
        <f>IF(ISERROR(INDEX('Enter (Vac BFs TrCl MB'!$F$7:$AJ$37,MATCH(REGENT!$B27,'Enter (Vac BFs TrCl MB'!$D$7:$D$37,FALSE),MATCH(REGENT!AA$11,'Enter (Vac BFs TrCl MB'!$F$6:$AJ$6,FALSE))),"",(INDEX('Enter (Vac BFs TrCl MB'!$F$7:$AJ$37,MATCH(REGENT!$B27,'Enter (Vac BFs TrCl MB'!$D$7:$D$37,FALSE),MATCH(REGENT!AA$11,'Enter (Vac BFs TrCl MB'!$F$6:$AJ$6,FALSE))))</f>
        <v/>
      </c>
    </row>
    <row r="28" spans="2:30" ht="15">
      <c r="B28" s="111"/>
      <c r="C28" s="153" t="str">
        <f>IF(ISERROR(INDEX('Enter (Vac BFs TrCl MB'!$F$7:$AJ$37,MATCH(REGENT!$B28,'Enter (Vac BFs TrCl MB'!$D$7:$D$37,FALSE),MATCH(REGENT!C$11,'Enter (Vac BFs TrCl MB'!$F$6:$AJ$6,FALSE))),"",(INDEX('Enter (Vac BFs TrCl MB'!$F$7:$AJ$37,MATCH(REGENT!$B28,'Enter (Vac BFs TrCl MB'!$D$7:$D$37,FALSE),MATCH(REGENT!C$11,'Enter (Vac BFs TrCl MB'!$F$6:$AJ$6,FALSE))))</f>
        <v/>
      </c>
      <c r="D28" s="153" t="str">
        <f>IF(ISERROR(INDEX('Enter (Vac BFs TrCl MB'!$F$7:$AJ$37,MATCH(REGENT!$B28,'Enter (Vac BFs TrCl MB'!$D$7:$D$37,FALSE),MATCH(REGENT!D$11,'Enter (Vac BFs TrCl MB'!$F$6:$AJ$6,FALSE))),"",(INDEX('Enter (Vac BFs TrCl MB'!$F$7:$AJ$37,MATCH(REGENT!$B28,'Enter (Vac BFs TrCl MB'!$D$7:$D$37,FALSE),MATCH(REGENT!D$11,'Enter (Vac BFs TrCl MB'!$F$6:$AJ$6,FALSE))))</f>
        <v/>
      </c>
      <c r="E28" s="153" t="str">
        <f>IF(ISERROR(INDEX('Enter (Vac BFs TrCl MB'!$F$7:$AJ$37,MATCH(REGENT!$B28,'Enter (Vac BFs TrCl MB'!$D$7:$D$37,FALSE),MATCH(REGENT!E$11,'Enter (Vac BFs TrCl MB'!$F$6:$AJ$6,FALSE))),"",(INDEX('Enter (Vac BFs TrCl MB'!$F$7:$AJ$37,MATCH(REGENT!$B28,'Enter (Vac BFs TrCl MB'!$D$7:$D$37,FALSE),MATCH(REGENT!E$11,'Enter (Vac BFs TrCl MB'!$F$6:$AJ$6,FALSE))))</f>
        <v/>
      </c>
      <c r="F28" s="153" t="str">
        <f>IF(ISERROR(INDEX('Enter (Vac BFs TrCl MB'!$F$7:$AJ$37,MATCH(REGENT!$B28,'Enter (Vac BFs TrCl MB'!$D$7:$D$37,FALSE),MATCH(REGENT!F$11,'Enter (Vac BFs TrCl MB'!$F$6:$AJ$6,FALSE))),"",(INDEX('Enter (Vac BFs TrCl MB'!$F$7:$AJ$37,MATCH(REGENT!$B28,'Enter (Vac BFs TrCl MB'!$D$7:$D$37,FALSE),MATCH(REGENT!F$11,'Enter (Vac BFs TrCl MB'!$F$6:$AJ$6,FALSE))))</f>
        <v/>
      </c>
      <c r="G28" s="153" t="str">
        <f>IF(ISERROR(INDEX('Enter (Vac BFs TrCl MB'!$F$7:$AJ$37,MATCH(REGENT!$B28,'Enter (Vac BFs TrCl MB'!$D$7:$D$37,FALSE),MATCH(REGENT!G$11,'Enter (Vac BFs TrCl MB'!$F$6:$AJ$6,FALSE))),"",(INDEX('Enter (Vac BFs TrCl MB'!$F$7:$AJ$37,MATCH(REGENT!$B28,'Enter (Vac BFs TrCl MB'!$D$7:$D$37,FALSE),MATCH(REGENT!G$11,'Enter (Vac BFs TrCl MB'!$F$6:$AJ$6,FALSE))))</f>
        <v/>
      </c>
      <c r="H28" s="153" t="str">
        <f>IF(ISERROR(INDEX('Enter (Vac BFs TrCl MB'!$F$7:$AJ$37,MATCH(REGENT!$B28,'Enter (Vac BFs TrCl MB'!$D$7:$D$37,FALSE),MATCH(REGENT!H$11,'Enter (Vac BFs TrCl MB'!$F$6:$AJ$6,FALSE))),"",(INDEX('Enter (Vac BFs TrCl MB'!$F$7:$AJ$37,MATCH(REGENT!$B28,'Enter (Vac BFs TrCl MB'!$D$7:$D$37,FALSE),MATCH(REGENT!H$11,'Enter (Vac BFs TrCl MB'!$F$6:$AJ$6,FALSE))))</f>
        <v/>
      </c>
      <c r="I28" s="154" t="str">
        <f>IF(ISERROR(INDEX('Enter (Vac BFs TrCl MB'!$F$7:$AJ$37,MATCH(REGENT!$B28,'Enter (Vac BFs TrCl MB'!$D$7:$D$37,FALSE),MATCH(REGENT!I$11,'Enter (Vac BFs TrCl MB'!$F$6:$AJ$6,FALSE))),"",(INDEX('Enter (Vac BFs TrCl MB'!$F$7:$AJ$37,MATCH(REGENT!$B28,'Enter (Vac BFs TrCl MB'!$D$7:$D$37,FALSE),MATCH(REGENT!I$11,'Enter (Vac BFs TrCl MB'!$F$6:$AJ$6,FALSE))))</f>
        <v/>
      </c>
      <c r="J28" s="810"/>
      <c r="K28" s="112"/>
      <c r="L28" s="153" t="str">
        <f>IF(ISERROR(INDEX('Enter (Vac BFs TrCl MB'!$F$7:$AJ$37,MATCH(REGENT!$B28,'Enter (Vac BFs TrCl MB'!$D$7:$D$37,FALSE),MATCH(REGENT!L$11,'Enter (Vac BFs TrCl MB'!$F$6:$AJ$6,FALSE))),"",(INDEX('Enter (Vac BFs TrCl MB'!$F$7:$AJ$37,MATCH(REGENT!$B28,'Enter (Vac BFs TrCl MB'!$D$7:$D$37,FALSE),MATCH(REGENT!L$11,'Enter (Vac BFs TrCl MB'!$F$6:$AJ$6,FALSE))))</f>
        <v/>
      </c>
      <c r="M28" s="153" t="str">
        <f>IF(ISERROR(INDEX('Enter (Vac BFs TrCl MB'!$F$7:$AJ$37,MATCH(REGENT!$B28,'Enter (Vac BFs TrCl MB'!$D$7:$D$37,FALSE),MATCH(REGENT!M$11,'Enter (Vac BFs TrCl MB'!$F$6:$AJ$6,FALSE))),"",(INDEX('Enter (Vac BFs TrCl MB'!$F$7:$AJ$37,MATCH(REGENT!$B28,'Enter (Vac BFs TrCl MB'!$D$7:$D$37,FALSE),MATCH(REGENT!M$11,'Enter (Vac BFs TrCl MB'!$F$6:$AJ$6,FALSE))))</f>
        <v/>
      </c>
      <c r="N28" s="153" t="str">
        <f>IF(ISERROR(INDEX('Enter (Vac BFs TrCl MB'!$F$7:$AJ$37,MATCH(REGENT!$B28,'Enter (Vac BFs TrCl MB'!$D$7:$D$37,FALSE),MATCH(REGENT!N$11,'Enter (Vac BFs TrCl MB'!$F$6:$AJ$6,FALSE))),"",(INDEX('Enter (Vac BFs TrCl MB'!$F$7:$AJ$37,MATCH(REGENT!$B28,'Enter (Vac BFs TrCl MB'!$D$7:$D$37,FALSE),MATCH(REGENT!N$11,'Enter (Vac BFs TrCl MB'!$F$6:$AJ$6,FALSE))))</f>
        <v/>
      </c>
      <c r="O28" s="153" t="str">
        <f>IF(ISERROR(INDEX('Enter (Vac BFs TrCl MB'!$F$7:$AJ$37,MATCH(REGENT!$B28,'Enter (Vac BFs TrCl MB'!$D$7:$D$37,FALSE),MATCH(REGENT!O$11,'Enter (Vac BFs TrCl MB'!$F$6:$AJ$6,FALSE))),"",(INDEX('Enter (Vac BFs TrCl MB'!$F$7:$AJ$37,MATCH(REGENT!$B28,'Enter (Vac BFs TrCl MB'!$D$7:$D$37,FALSE),MATCH(REGENT!O$11,'Enter (Vac BFs TrCl MB'!$F$6:$AJ$6,FALSE))))</f>
        <v/>
      </c>
      <c r="P28" s="153" t="str">
        <f>IF(ISERROR(INDEX('Enter (Vac BFs TrCl MB'!$F$7:$AJ$37,MATCH(REGENT!$B28,'Enter (Vac BFs TrCl MB'!$D$7:$D$37,FALSE),MATCH(REGENT!P$11,'Enter (Vac BFs TrCl MB'!$F$6:$AJ$6,FALSE))),"",(INDEX('Enter (Vac BFs TrCl MB'!$F$7:$AJ$37,MATCH(REGENT!$B28,'Enter (Vac BFs TrCl MB'!$D$7:$D$37,FALSE),MATCH(REGENT!P$11,'Enter (Vac BFs TrCl MB'!$F$6:$AJ$6,FALSE))))</f>
        <v/>
      </c>
      <c r="Q28" s="153" t="str">
        <f>IF(ISERROR(INDEX('Enter (Vac BFs TrCl MB'!$F$7:$AJ$37,MATCH(REGENT!$B28,'Enter (Vac BFs TrCl MB'!$D$7:$D$37,FALSE),MATCH(REGENT!Q$11,'Enter (Vac BFs TrCl MB'!$F$6:$AJ$6,FALSE))),"",(INDEX('Enter (Vac BFs TrCl MB'!$F$7:$AJ$37,MATCH(REGENT!$B28,'Enter (Vac BFs TrCl MB'!$D$7:$D$37,FALSE),MATCH(REGENT!Q$11,'Enter (Vac BFs TrCl MB'!$F$6:$AJ$6,FALSE))))</f>
        <v/>
      </c>
      <c r="R28" s="154" t="str">
        <f>IF(ISERROR(INDEX('Enter (Vac BFs TrCl MB'!$F$7:$AJ$37,MATCH(REGENT!$B28,'Enter (Vac BFs TrCl MB'!$D$7:$D$37,FALSE),MATCH(REGENT!R$11,'Enter (Vac BFs TrCl MB'!$F$6:$AJ$6,FALSE))),"",(INDEX('Enter (Vac BFs TrCl MB'!$F$7:$AJ$37,MATCH(REGENT!$B28,'Enter (Vac BFs TrCl MB'!$D$7:$D$37,FALSE),MATCH(REGENT!R$11,'Enter (Vac BFs TrCl MB'!$F$6:$AJ$6,FALSE))))</f>
        <v/>
      </c>
      <c r="S28" s="810"/>
      <c r="T28" s="112"/>
      <c r="U28" s="153" t="str">
        <f>IF(ISERROR(INDEX('Enter (Vac BFs TrCl MB'!$F$7:$AJ$37,MATCH(REGENT!$B28,'Enter (Vac BFs TrCl MB'!$D$7:$D$37,FALSE),MATCH(REGENT!U$11,'Enter (Vac BFs TrCl MB'!$F$6:$AJ$6,FALSE))),"",(INDEX('Enter (Vac BFs TrCl MB'!$F$7:$AJ$37,MATCH(REGENT!$B28,'Enter (Vac BFs TrCl MB'!$D$7:$D$37,FALSE),MATCH(REGENT!U$11,'Enter (Vac BFs TrCl MB'!$F$6:$AJ$6,FALSE))))</f>
        <v/>
      </c>
      <c r="V28" s="153" t="str">
        <f>IF(ISERROR(INDEX('Enter (Vac BFs TrCl MB'!$F$7:$AJ$37,MATCH(REGENT!$B28,'Enter (Vac BFs TrCl MB'!$D$7:$D$37,FALSE),MATCH(REGENT!V$11,'Enter (Vac BFs TrCl MB'!$F$6:$AJ$6,FALSE))),"",(INDEX('Enter (Vac BFs TrCl MB'!$F$7:$AJ$37,MATCH(REGENT!$B28,'Enter (Vac BFs TrCl MB'!$D$7:$D$37,FALSE),MATCH(REGENT!V$11,'Enter (Vac BFs TrCl MB'!$F$6:$AJ$6,FALSE))))</f>
        <v/>
      </c>
      <c r="W28" s="153" t="str">
        <f>IF(ISERROR(INDEX('Enter (Vac BFs TrCl MB'!$F$7:$AJ$37,MATCH(REGENT!$B28,'Enter (Vac BFs TrCl MB'!$D$7:$D$37,FALSE),MATCH(REGENT!W$11,'Enter (Vac BFs TrCl MB'!$F$6:$AJ$6,FALSE))),"",(INDEX('Enter (Vac BFs TrCl MB'!$F$7:$AJ$37,MATCH(REGENT!$B28,'Enter (Vac BFs TrCl MB'!$D$7:$D$37,FALSE),MATCH(REGENT!W$11,'Enter (Vac BFs TrCl MB'!$F$6:$AJ$6,FALSE))))</f>
        <v/>
      </c>
      <c r="X28" s="153" t="str">
        <f>IF(ISERROR(INDEX('Enter (Vac BFs TrCl MB'!$F$7:$AJ$37,MATCH(REGENT!$B28,'Enter (Vac BFs TrCl MB'!$D$7:$D$37,FALSE),MATCH(REGENT!X$11,'Enter (Vac BFs TrCl MB'!$F$6:$AJ$6,FALSE))),"",(INDEX('Enter (Vac BFs TrCl MB'!$F$7:$AJ$37,MATCH(REGENT!$B28,'Enter (Vac BFs TrCl MB'!$D$7:$D$37,FALSE),MATCH(REGENT!X$11,'Enter (Vac BFs TrCl MB'!$F$6:$AJ$6,FALSE))))</f>
        <v/>
      </c>
      <c r="Y28" s="153" t="str">
        <f>IF(ISERROR(INDEX('Enter (Vac BFs TrCl MB'!$F$7:$AJ$37,MATCH(REGENT!$B28,'Enter (Vac BFs TrCl MB'!$D$7:$D$37,FALSE),MATCH(REGENT!Y$11,'Enter (Vac BFs TrCl MB'!$F$6:$AJ$6,FALSE))),"",(INDEX('Enter (Vac BFs TrCl MB'!$F$7:$AJ$37,MATCH(REGENT!$B28,'Enter (Vac BFs TrCl MB'!$D$7:$D$37,FALSE),MATCH(REGENT!Y$11,'Enter (Vac BFs TrCl MB'!$F$6:$AJ$6,FALSE))))</f>
        <v/>
      </c>
      <c r="Z28" s="153" t="str">
        <f>IF(ISERROR(INDEX('Enter (Vac BFs TrCl MB'!$F$7:$AJ$37,MATCH(REGENT!$B28,'Enter (Vac BFs TrCl MB'!$D$7:$D$37,FALSE),MATCH(REGENT!Z$11,'Enter (Vac BFs TrCl MB'!$F$6:$AJ$6,FALSE))),"",(INDEX('Enter (Vac BFs TrCl MB'!$F$7:$AJ$37,MATCH(REGENT!$B28,'Enter (Vac BFs TrCl MB'!$D$7:$D$37,FALSE),MATCH(REGENT!Z$11,'Enter (Vac BFs TrCl MB'!$F$6:$AJ$6,FALSE))))</f>
        <v/>
      </c>
      <c r="AA28" s="154" t="str">
        <f>IF(ISERROR(INDEX('Enter (Vac BFs TrCl MB'!$F$7:$AJ$37,MATCH(REGENT!$B28,'Enter (Vac BFs TrCl MB'!$D$7:$D$37,FALSE),MATCH(REGENT!AA$11,'Enter (Vac BFs TrCl MB'!$F$6:$AJ$6,FALSE))),"",(INDEX('Enter (Vac BFs TrCl MB'!$F$7:$AJ$37,MATCH(REGENT!$B28,'Enter (Vac BFs TrCl MB'!$D$7:$D$37,FALSE),MATCH(REGENT!AA$11,'Enter (Vac BFs TrCl MB'!$F$6:$AJ$6,FALSE))))</f>
        <v/>
      </c>
    </row>
    <row r="29" spans="2:30" ht="15">
      <c r="B29" s="111" t="str">
        <f>IF('Enter (Vac BFs TrCl MB'!$D23=0,"",'Enter (Vac BFs TrCl MB'!$D23)</f>
        <v/>
      </c>
      <c r="C29" s="153" t="str">
        <f>IF(ISERROR(INDEX('Enter (Vac BFs TrCl MB'!$F$7:$AJ$37,MATCH(REGENT!$B29,'Enter (Vac BFs TrCl MB'!$D$7:$D$37,FALSE),MATCH(REGENT!C$11,'Enter (Vac BFs TrCl MB'!$F$6:$AJ$6,FALSE))),"",(INDEX('Enter (Vac BFs TrCl MB'!$F$7:$AJ$37,MATCH(REGENT!$B29,'Enter (Vac BFs TrCl MB'!$D$7:$D$37,FALSE),MATCH(REGENT!C$11,'Enter (Vac BFs TrCl MB'!$F$6:$AJ$6,FALSE))))</f>
        <v/>
      </c>
      <c r="D29" s="153" t="str">
        <f>IF(ISERROR(INDEX('Enter (Vac BFs TrCl MB'!$F$7:$AJ$37,MATCH(REGENT!$B29,'Enter (Vac BFs TrCl MB'!$D$7:$D$37,FALSE),MATCH(REGENT!D$11,'Enter (Vac BFs TrCl MB'!$F$6:$AJ$6,FALSE))),"",(INDEX('Enter (Vac BFs TrCl MB'!$F$7:$AJ$37,MATCH(REGENT!$B29,'Enter (Vac BFs TrCl MB'!$D$7:$D$37,FALSE),MATCH(REGENT!D$11,'Enter (Vac BFs TrCl MB'!$F$6:$AJ$6,FALSE))))</f>
        <v/>
      </c>
      <c r="E29" s="153" t="str">
        <f>IF(ISERROR(INDEX('Enter (Vac BFs TrCl MB'!$F$7:$AJ$37,MATCH(REGENT!$B29,'Enter (Vac BFs TrCl MB'!$D$7:$D$37,FALSE),MATCH(REGENT!E$11,'Enter (Vac BFs TrCl MB'!$F$6:$AJ$6,FALSE))),"",(INDEX('Enter (Vac BFs TrCl MB'!$F$7:$AJ$37,MATCH(REGENT!$B29,'Enter (Vac BFs TrCl MB'!$D$7:$D$37,FALSE),MATCH(REGENT!E$11,'Enter (Vac BFs TrCl MB'!$F$6:$AJ$6,FALSE))))</f>
        <v/>
      </c>
      <c r="F29" s="153" t="str">
        <f>IF(ISERROR(INDEX('Enter (Vac BFs TrCl MB'!$F$7:$AJ$37,MATCH(REGENT!$B29,'Enter (Vac BFs TrCl MB'!$D$7:$D$37,FALSE),MATCH(REGENT!F$11,'Enter (Vac BFs TrCl MB'!$F$6:$AJ$6,FALSE))),"",(INDEX('Enter (Vac BFs TrCl MB'!$F$7:$AJ$37,MATCH(REGENT!$B29,'Enter (Vac BFs TrCl MB'!$D$7:$D$37,FALSE),MATCH(REGENT!F$11,'Enter (Vac BFs TrCl MB'!$F$6:$AJ$6,FALSE))))</f>
        <v/>
      </c>
      <c r="G29" s="153" t="str">
        <f>IF(ISERROR(INDEX('Enter (Vac BFs TrCl MB'!$F$7:$AJ$37,MATCH(REGENT!$B29,'Enter (Vac BFs TrCl MB'!$D$7:$D$37,FALSE),MATCH(REGENT!G$11,'Enter (Vac BFs TrCl MB'!$F$6:$AJ$6,FALSE))),"",(INDEX('Enter (Vac BFs TrCl MB'!$F$7:$AJ$37,MATCH(REGENT!$B29,'Enter (Vac BFs TrCl MB'!$D$7:$D$37,FALSE),MATCH(REGENT!G$11,'Enter (Vac BFs TrCl MB'!$F$6:$AJ$6,FALSE))))</f>
        <v/>
      </c>
      <c r="H29" s="153" t="str">
        <f>IF(ISERROR(INDEX('Enter (Vac BFs TrCl MB'!$F$7:$AJ$37,MATCH(REGENT!$B29,'Enter (Vac BFs TrCl MB'!$D$7:$D$37,FALSE),MATCH(REGENT!H$11,'Enter (Vac BFs TrCl MB'!$F$6:$AJ$6,FALSE))),"",(INDEX('Enter (Vac BFs TrCl MB'!$F$7:$AJ$37,MATCH(REGENT!$B29,'Enter (Vac BFs TrCl MB'!$D$7:$D$37,FALSE),MATCH(REGENT!H$11,'Enter (Vac BFs TrCl MB'!$F$6:$AJ$6,FALSE))))</f>
        <v/>
      </c>
      <c r="I29" s="154" t="str">
        <f>IF(ISERROR(INDEX('Enter (Vac BFs TrCl MB'!$F$7:$AJ$37,MATCH(REGENT!$B29,'Enter (Vac BFs TrCl MB'!$D$7:$D$37,FALSE),MATCH(REGENT!I$11,'Enter (Vac BFs TrCl MB'!$F$6:$AJ$6,FALSE))),"",(INDEX('Enter (Vac BFs TrCl MB'!$F$7:$AJ$37,MATCH(REGENT!$B29,'Enter (Vac BFs TrCl MB'!$D$7:$D$37,FALSE),MATCH(REGENT!I$11,'Enter (Vac BFs TrCl MB'!$F$6:$AJ$6,FALSE))))</f>
        <v/>
      </c>
      <c r="J29" s="810"/>
      <c r="K29" s="112"/>
      <c r="L29" s="153" t="str">
        <f>IF(ISERROR(INDEX('Enter (Vac BFs TrCl MB'!$F$7:$AJ$37,MATCH(REGENT!$B29,'Enter (Vac BFs TrCl MB'!$D$7:$D$37,FALSE),MATCH(REGENT!L$11,'Enter (Vac BFs TrCl MB'!$F$6:$AJ$6,FALSE))),"",(INDEX('Enter (Vac BFs TrCl MB'!$F$7:$AJ$37,MATCH(REGENT!$B29,'Enter (Vac BFs TrCl MB'!$D$7:$D$37,FALSE),MATCH(REGENT!L$11,'Enter (Vac BFs TrCl MB'!$F$6:$AJ$6,FALSE))))</f>
        <v/>
      </c>
      <c r="M29" s="153" t="str">
        <f>IF(ISERROR(INDEX('Enter (Vac BFs TrCl MB'!$F$7:$AJ$37,MATCH(REGENT!$B29,'Enter (Vac BFs TrCl MB'!$D$7:$D$37,FALSE),MATCH(REGENT!M$11,'Enter (Vac BFs TrCl MB'!$F$6:$AJ$6,FALSE))),"",(INDEX('Enter (Vac BFs TrCl MB'!$F$7:$AJ$37,MATCH(REGENT!$B29,'Enter (Vac BFs TrCl MB'!$D$7:$D$37,FALSE),MATCH(REGENT!M$11,'Enter (Vac BFs TrCl MB'!$F$6:$AJ$6,FALSE))))</f>
        <v/>
      </c>
      <c r="N29" s="153" t="str">
        <f>IF(ISERROR(INDEX('Enter (Vac BFs TrCl MB'!$F$7:$AJ$37,MATCH(REGENT!$B29,'Enter (Vac BFs TrCl MB'!$D$7:$D$37,FALSE),MATCH(REGENT!N$11,'Enter (Vac BFs TrCl MB'!$F$6:$AJ$6,FALSE))),"",(INDEX('Enter (Vac BFs TrCl MB'!$F$7:$AJ$37,MATCH(REGENT!$B29,'Enter (Vac BFs TrCl MB'!$D$7:$D$37,FALSE),MATCH(REGENT!N$11,'Enter (Vac BFs TrCl MB'!$F$6:$AJ$6,FALSE))))</f>
        <v/>
      </c>
      <c r="O29" s="153" t="str">
        <f>IF(ISERROR(INDEX('Enter (Vac BFs TrCl MB'!$F$7:$AJ$37,MATCH(REGENT!$B29,'Enter (Vac BFs TrCl MB'!$D$7:$D$37,FALSE),MATCH(REGENT!O$11,'Enter (Vac BFs TrCl MB'!$F$6:$AJ$6,FALSE))),"",(INDEX('Enter (Vac BFs TrCl MB'!$F$7:$AJ$37,MATCH(REGENT!$B29,'Enter (Vac BFs TrCl MB'!$D$7:$D$37,FALSE),MATCH(REGENT!O$11,'Enter (Vac BFs TrCl MB'!$F$6:$AJ$6,FALSE))))</f>
        <v/>
      </c>
      <c r="P29" s="153" t="str">
        <f>IF(ISERROR(INDEX('Enter (Vac BFs TrCl MB'!$F$7:$AJ$37,MATCH(REGENT!$B29,'Enter (Vac BFs TrCl MB'!$D$7:$D$37,FALSE),MATCH(REGENT!P$11,'Enter (Vac BFs TrCl MB'!$F$6:$AJ$6,FALSE))),"",(INDEX('Enter (Vac BFs TrCl MB'!$F$7:$AJ$37,MATCH(REGENT!$B29,'Enter (Vac BFs TrCl MB'!$D$7:$D$37,FALSE),MATCH(REGENT!P$11,'Enter (Vac BFs TrCl MB'!$F$6:$AJ$6,FALSE))))</f>
        <v/>
      </c>
      <c r="Q29" s="153" t="str">
        <f>IF(ISERROR(INDEX('Enter (Vac BFs TrCl MB'!$F$7:$AJ$37,MATCH(REGENT!$B29,'Enter (Vac BFs TrCl MB'!$D$7:$D$37,FALSE),MATCH(REGENT!Q$11,'Enter (Vac BFs TrCl MB'!$F$6:$AJ$6,FALSE))),"",(INDEX('Enter (Vac BFs TrCl MB'!$F$7:$AJ$37,MATCH(REGENT!$B29,'Enter (Vac BFs TrCl MB'!$D$7:$D$37,FALSE),MATCH(REGENT!Q$11,'Enter (Vac BFs TrCl MB'!$F$6:$AJ$6,FALSE))))</f>
        <v/>
      </c>
      <c r="R29" s="154" t="str">
        <f>IF(ISERROR(INDEX('Enter (Vac BFs TrCl MB'!$F$7:$AJ$37,MATCH(REGENT!$B29,'Enter (Vac BFs TrCl MB'!$D$7:$D$37,FALSE),MATCH(REGENT!R$11,'Enter (Vac BFs TrCl MB'!$F$6:$AJ$6,FALSE))),"",(INDEX('Enter (Vac BFs TrCl MB'!$F$7:$AJ$37,MATCH(REGENT!$B29,'Enter (Vac BFs TrCl MB'!$D$7:$D$37,FALSE),MATCH(REGENT!R$11,'Enter (Vac BFs TrCl MB'!$F$6:$AJ$6,FALSE))))</f>
        <v/>
      </c>
      <c r="S29" s="810"/>
      <c r="T29" s="112"/>
      <c r="U29" s="153" t="str">
        <f>IF(ISERROR(INDEX('Enter (Vac BFs TrCl MB'!$F$7:$AJ$37,MATCH(REGENT!$B29,'Enter (Vac BFs TrCl MB'!$D$7:$D$37,FALSE),MATCH(REGENT!U$11,'Enter (Vac BFs TrCl MB'!$F$6:$AJ$6,FALSE))),"",(INDEX('Enter (Vac BFs TrCl MB'!$F$7:$AJ$37,MATCH(REGENT!$B29,'Enter (Vac BFs TrCl MB'!$D$7:$D$37,FALSE),MATCH(REGENT!U$11,'Enter (Vac BFs TrCl MB'!$F$6:$AJ$6,FALSE))))</f>
        <v/>
      </c>
      <c r="V29" s="153" t="str">
        <f>IF(ISERROR(INDEX('Enter (Vac BFs TrCl MB'!$F$7:$AJ$37,MATCH(REGENT!$B29,'Enter (Vac BFs TrCl MB'!$D$7:$D$37,FALSE),MATCH(REGENT!V$11,'Enter (Vac BFs TrCl MB'!$F$6:$AJ$6,FALSE))),"",(INDEX('Enter (Vac BFs TrCl MB'!$F$7:$AJ$37,MATCH(REGENT!$B29,'Enter (Vac BFs TrCl MB'!$D$7:$D$37,FALSE),MATCH(REGENT!V$11,'Enter (Vac BFs TrCl MB'!$F$6:$AJ$6,FALSE))))</f>
        <v/>
      </c>
      <c r="W29" s="153" t="str">
        <f>IF(ISERROR(INDEX('Enter (Vac BFs TrCl MB'!$F$7:$AJ$37,MATCH(REGENT!$B29,'Enter (Vac BFs TrCl MB'!$D$7:$D$37,FALSE),MATCH(REGENT!W$11,'Enter (Vac BFs TrCl MB'!$F$6:$AJ$6,FALSE))),"",(INDEX('Enter (Vac BFs TrCl MB'!$F$7:$AJ$37,MATCH(REGENT!$B29,'Enter (Vac BFs TrCl MB'!$D$7:$D$37,FALSE),MATCH(REGENT!W$11,'Enter (Vac BFs TrCl MB'!$F$6:$AJ$6,FALSE))))</f>
        <v/>
      </c>
      <c r="X29" s="153" t="str">
        <f>IF(ISERROR(INDEX('Enter (Vac BFs TrCl MB'!$F$7:$AJ$37,MATCH(REGENT!$B29,'Enter (Vac BFs TrCl MB'!$D$7:$D$37,FALSE),MATCH(REGENT!X$11,'Enter (Vac BFs TrCl MB'!$F$6:$AJ$6,FALSE))),"",(INDEX('Enter (Vac BFs TrCl MB'!$F$7:$AJ$37,MATCH(REGENT!$B29,'Enter (Vac BFs TrCl MB'!$D$7:$D$37,FALSE),MATCH(REGENT!X$11,'Enter (Vac BFs TrCl MB'!$F$6:$AJ$6,FALSE))))</f>
        <v/>
      </c>
      <c r="Y29" s="153" t="str">
        <f>IF(ISERROR(INDEX('Enter (Vac BFs TrCl MB'!$F$7:$AJ$37,MATCH(REGENT!$B29,'Enter (Vac BFs TrCl MB'!$D$7:$D$37,FALSE),MATCH(REGENT!Y$11,'Enter (Vac BFs TrCl MB'!$F$6:$AJ$6,FALSE))),"",(INDEX('Enter (Vac BFs TrCl MB'!$F$7:$AJ$37,MATCH(REGENT!$B29,'Enter (Vac BFs TrCl MB'!$D$7:$D$37,FALSE),MATCH(REGENT!Y$11,'Enter (Vac BFs TrCl MB'!$F$6:$AJ$6,FALSE))))</f>
        <v/>
      </c>
      <c r="Z29" s="153" t="str">
        <f>IF(ISERROR(INDEX('Enter (Vac BFs TrCl MB'!$F$7:$AJ$37,MATCH(REGENT!$B29,'Enter (Vac BFs TrCl MB'!$D$7:$D$37,FALSE),MATCH(REGENT!Z$11,'Enter (Vac BFs TrCl MB'!$F$6:$AJ$6,FALSE))),"",(INDEX('Enter (Vac BFs TrCl MB'!$F$7:$AJ$37,MATCH(REGENT!$B29,'Enter (Vac BFs TrCl MB'!$D$7:$D$37,FALSE),MATCH(REGENT!Z$11,'Enter (Vac BFs TrCl MB'!$F$6:$AJ$6,FALSE))))</f>
        <v/>
      </c>
      <c r="AA29" s="154" t="str">
        <f>IF(ISERROR(INDEX('Enter (Vac BFs TrCl MB'!$F$7:$AJ$37,MATCH(REGENT!$B29,'Enter (Vac BFs TrCl MB'!$D$7:$D$37,FALSE),MATCH(REGENT!AA$11,'Enter (Vac BFs TrCl MB'!$F$6:$AJ$6,FALSE))),"",(INDEX('Enter (Vac BFs TrCl MB'!$F$7:$AJ$37,MATCH(REGENT!$B29,'Enter (Vac BFs TrCl MB'!$D$7:$D$37,FALSE),MATCH(REGENT!AA$11,'Enter (Vac BFs TrCl MB'!$F$6:$AJ$6,FALSE))))</f>
        <v/>
      </c>
    </row>
    <row r="30" spans="2:30" ht="15">
      <c r="B30" s="111"/>
      <c r="C30" s="153" t="str">
        <f>IF(ISERROR(INDEX('Enter (Vac BFs TrCl MB'!$F$7:$AJ$37,MATCH(REGENT!$B30,'Enter (Vac BFs TrCl MB'!$D$7:$D$37,FALSE),MATCH(REGENT!C$11,'Enter (Vac BFs TrCl MB'!$F$6:$AJ$6,FALSE))),"",(INDEX('Enter (Vac BFs TrCl MB'!$F$7:$AJ$37,MATCH(REGENT!$B30,'Enter (Vac BFs TrCl MB'!$D$7:$D$37,FALSE),MATCH(REGENT!C$11,'Enter (Vac BFs TrCl MB'!$F$6:$AJ$6,FALSE))))</f>
        <v/>
      </c>
      <c r="D30" s="153" t="str">
        <f>IF(ISERROR(INDEX('Enter (Vac BFs TrCl MB'!$F$7:$AJ$37,MATCH(REGENT!$B30,'Enter (Vac BFs TrCl MB'!$D$7:$D$37,FALSE),MATCH(REGENT!D$11,'Enter (Vac BFs TrCl MB'!$F$6:$AJ$6,FALSE))),"",(INDEX('Enter (Vac BFs TrCl MB'!$F$7:$AJ$37,MATCH(REGENT!$B30,'Enter (Vac BFs TrCl MB'!$D$7:$D$37,FALSE),MATCH(REGENT!D$11,'Enter (Vac BFs TrCl MB'!$F$6:$AJ$6,FALSE))))</f>
        <v/>
      </c>
      <c r="E30" s="153" t="str">
        <f>IF(ISERROR(INDEX('Enter (Vac BFs TrCl MB'!$F$7:$AJ$37,MATCH(REGENT!$B30,'Enter (Vac BFs TrCl MB'!$D$7:$D$37,FALSE),MATCH(REGENT!E$11,'Enter (Vac BFs TrCl MB'!$F$6:$AJ$6,FALSE))),"",(INDEX('Enter (Vac BFs TrCl MB'!$F$7:$AJ$37,MATCH(REGENT!$B30,'Enter (Vac BFs TrCl MB'!$D$7:$D$37,FALSE),MATCH(REGENT!E$11,'Enter (Vac BFs TrCl MB'!$F$6:$AJ$6,FALSE))))</f>
        <v/>
      </c>
      <c r="F30" s="153" t="str">
        <f>IF(ISERROR(INDEX('Enter (Vac BFs TrCl MB'!$F$7:$AJ$37,MATCH(REGENT!$B30,'Enter (Vac BFs TrCl MB'!$D$7:$D$37,FALSE),MATCH(REGENT!F$11,'Enter (Vac BFs TrCl MB'!$F$6:$AJ$6,FALSE))),"",(INDEX('Enter (Vac BFs TrCl MB'!$F$7:$AJ$37,MATCH(REGENT!$B30,'Enter (Vac BFs TrCl MB'!$D$7:$D$37,FALSE),MATCH(REGENT!F$11,'Enter (Vac BFs TrCl MB'!$F$6:$AJ$6,FALSE))))</f>
        <v/>
      </c>
      <c r="G30" s="153" t="str">
        <f>IF(ISERROR(INDEX('Enter (Vac BFs TrCl MB'!$F$7:$AJ$37,MATCH(REGENT!$B30,'Enter (Vac BFs TrCl MB'!$D$7:$D$37,FALSE),MATCH(REGENT!G$11,'Enter (Vac BFs TrCl MB'!$F$6:$AJ$6,FALSE))),"",(INDEX('Enter (Vac BFs TrCl MB'!$F$7:$AJ$37,MATCH(REGENT!$B30,'Enter (Vac BFs TrCl MB'!$D$7:$D$37,FALSE),MATCH(REGENT!G$11,'Enter (Vac BFs TrCl MB'!$F$6:$AJ$6,FALSE))))</f>
        <v/>
      </c>
      <c r="H30" s="153" t="str">
        <f>IF(ISERROR(INDEX('Enter (Vac BFs TrCl MB'!$F$7:$AJ$37,MATCH(REGENT!$B30,'Enter (Vac BFs TrCl MB'!$D$7:$D$37,FALSE),MATCH(REGENT!H$11,'Enter (Vac BFs TrCl MB'!$F$6:$AJ$6,FALSE))),"",(INDEX('Enter (Vac BFs TrCl MB'!$F$7:$AJ$37,MATCH(REGENT!$B30,'Enter (Vac BFs TrCl MB'!$D$7:$D$37,FALSE),MATCH(REGENT!H$11,'Enter (Vac BFs TrCl MB'!$F$6:$AJ$6,FALSE))))</f>
        <v/>
      </c>
      <c r="I30" s="154" t="str">
        <f>IF(ISERROR(INDEX('Enter (Vac BFs TrCl MB'!$F$7:$AJ$37,MATCH(REGENT!$B30,'Enter (Vac BFs TrCl MB'!$D$7:$D$37,FALSE),MATCH(REGENT!I$11,'Enter (Vac BFs TrCl MB'!$F$6:$AJ$6,FALSE))),"",(INDEX('Enter (Vac BFs TrCl MB'!$F$7:$AJ$37,MATCH(REGENT!$B30,'Enter (Vac BFs TrCl MB'!$D$7:$D$37,FALSE),MATCH(REGENT!I$11,'Enter (Vac BFs TrCl MB'!$F$6:$AJ$6,FALSE))))</f>
        <v/>
      </c>
      <c r="J30" s="810"/>
      <c r="K30" s="112"/>
      <c r="L30" s="153" t="str">
        <f>IF(ISERROR(INDEX('Enter (Vac BFs TrCl MB'!$F$7:$AJ$37,MATCH(REGENT!$B30,'Enter (Vac BFs TrCl MB'!$D$7:$D$37,FALSE),MATCH(REGENT!L$11,'Enter (Vac BFs TrCl MB'!$F$6:$AJ$6,FALSE))),"",(INDEX('Enter (Vac BFs TrCl MB'!$F$7:$AJ$37,MATCH(REGENT!$B30,'Enter (Vac BFs TrCl MB'!$D$7:$D$37,FALSE),MATCH(REGENT!L$11,'Enter (Vac BFs TrCl MB'!$F$6:$AJ$6,FALSE))))</f>
        <v/>
      </c>
      <c r="M30" s="153" t="str">
        <f>IF(ISERROR(INDEX('Enter (Vac BFs TrCl MB'!$F$7:$AJ$37,MATCH(REGENT!$B30,'Enter (Vac BFs TrCl MB'!$D$7:$D$37,FALSE),MATCH(REGENT!M$11,'Enter (Vac BFs TrCl MB'!$F$6:$AJ$6,FALSE))),"",(INDEX('Enter (Vac BFs TrCl MB'!$F$7:$AJ$37,MATCH(REGENT!$B30,'Enter (Vac BFs TrCl MB'!$D$7:$D$37,FALSE),MATCH(REGENT!M$11,'Enter (Vac BFs TrCl MB'!$F$6:$AJ$6,FALSE))))</f>
        <v/>
      </c>
      <c r="N30" s="153" t="str">
        <f>IF(ISERROR(INDEX('Enter (Vac BFs TrCl MB'!$F$7:$AJ$37,MATCH(REGENT!$B30,'Enter (Vac BFs TrCl MB'!$D$7:$D$37,FALSE),MATCH(REGENT!N$11,'Enter (Vac BFs TrCl MB'!$F$6:$AJ$6,FALSE))),"",(INDEX('Enter (Vac BFs TrCl MB'!$F$7:$AJ$37,MATCH(REGENT!$B30,'Enter (Vac BFs TrCl MB'!$D$7:$D$37,FALSE),MATCH(REGENT!N$11,'Enter (Vac BFs TrCl MB'!$F$6:$AJ$6,FALSE))))</f>
        <v/>
      </c>
      <c r="O30" s="153" t="str">
        <f>IF(ISERROR(INDEX('Enter (Vac BFs TrCl MB'!$F$7:$AJ$37,MATCH(REGENT!$B30,'Enter (Vac BFs TrCl MB'!$D$7:$D$37,FALSE),MATCH(REGENT!O$11,'Enter (Vac BFs TrCl MB'!$F$6:$AJ$6,FALSE))),"",(INDEX('Enter (Vac BFs TrCl MB'!$F$7:$AJ$37,MATCH(REGENT!$B30,'Enter (Vac BFs TrCl MB'!$D$7:$D$37,FALSE),MATCH(REGENT!O$11,'Enter (Vac BFs TrCl MB'!$F$6:$AJ$6,FALSE))))</f>
        <v/>
      </c>
      <c r="P30" s="153" t="str">
        <f>IF(ISERROR(INDEX('Enter (Vac BFs TrCl MB'!$F$7:$AJ$37,MATCH(REGENT!$B30,'Enter (Vac BFs TrCl MB'!$D$7:$D$37,FALSE),MATCH(REGENT!P$11,'Enter (Vac BFs TrCl MB'!$F$6:$AJ$6,FALSE))),"",(INDEX('Enter (Vac BFs TrCl MB'!$F$7:$AJ$37,MATCH(REGENT!$B30,'Enter (Vac BFs TrCl MB'!$D$7:$D$37,FALSE),MATCH(REGENT!P$11,'Enter (Vac BFs TrCl MB'!$F$6:$AJ$6,FALSE))))</f>
        <v/>
      </c>
      <c r="Q30" s="153" t="str">
        <f>IF(ISERROR(INDEX('Enter (Vac BFs TrCl MB'!$F$7:$AJ$37,MATCH(REGENT!$B30,'Enter (Vac BFs TrCl MB'!$D$7:$D$37,FALSE),MATCH(REGENT!Q$11,'Enter (Vac BFs TrCl MB'!$F$6:$AJ$6,FALSE))),"",(INDEX('Enter (Vac BFs TrCl MB'!$F$7:$AJ$37,MATCH(REGENT!$B30,'Enter (Vac BFs TrCl MB'!$D$7:$D$37,FALSE),MATCH(REGENT!Q$11,'Enter (Vac BFs TrCl MB'!$F$6:$AJ$6,FALSE))))</f>
        <v/>
      </c>
      <c r="R30" s="154" t="str">
        <f>IF(ISERROR(INDEX('Enter (Vac BFs TrCl MB'!$F$7:$AJ$37,MATCH(REGENT!$B30,'Enter (Vac BFs TrCl MB'!$D$7:$D$37,FALSE),MATCH(REGENT!R$11,'Enter (Vac BFs TrCl MB'!$F$6:$AJ$6,FALSE))),"",(INDEX('Enter (Vac BFs TrCl MB'!$F$7:$AJ$37,MATCH(REGENT!$B30,'Enter (Vac BFs TrCl MB'!$D$7:$D$37,FALSE),MATCH(REGENT!R$11,'Enter (Vac BFs TrCl MB'!$F$6:$AJ$6,FALSE))))</f>
        <v/>
      </c>
      <c r="S30" s="810"/>
      <c r="T30" s="112"/>
      <c r="U30" s="153" t="str">
        <f>IF(ISERROR(INDEX('Enter (Vac BFs TrCl MB'!$F$7:$AJ$37,MATCH(REGENT!$B30,'Enter (Vac BFs TrCl MB'!$D$7:$D$37,FALSE),MATCH(REGENT!U$11,'Enter (Vac BFs TrCl MB'!$F$6:$AJ$6,FALSE))),"",(INDEX('Enter (Vac BFs TrCl MB'!$F$7:$AJ$37,MATCH(REGENT!$B30,'Enter (Vac BFs TrCl MB'!$D$7:$D$37,FALSE),MATCH(REGENT!U$11,'Enter (Vac BFs TrCl MB'!$F$6:$AJ$6,FALSE))))</f>
        <v/>
      </c>
      <c r="V30" s="153" t="str">
        <f>IF(ISERROR(INDEX('Enter (Vac BFs TrCl MB'!$F$7:$AJ$37,MATCH(REGENT!$B30,'Enter (Vac BFs TrCl MB'!$D$7:$D$37,FALSE),MATCH(REGENT!V$11,'Enter (Vac BFs TrCl MB'!$F$6:$AJ$6,FALSE))),"",(INDEX('Enter (Vac BFs TrCl MB'!$F$7:$AJ$37,MATCH(REGENT!$B30,'Enter (Vac BFs TrCl MB'!$D$7:$D$37,FALSE),MATCH(REGENT!V$11,'Enter (Vac BFs TrCl MB'!$F$6:$AJ$6,FALSE))))</f>
        <v/>
      </c>
      <c r="W30" s="153" t="str">
        <f>IF(ISERROR(INDEX('Enter (Vac BFs TrCl MB'!$F$7:$AJ$37,MATCH(REGENT!$B30,'Enter (Vac BFs TrCl MB'!$D$7:$D$37,FALSE),MATCH(REGENT!W$11,'Enter (Vac BFs TrCl MB'!$F$6:$AJ$6,FALSE))),"",(INDEX('Enter (Vac BFs TrCl MB'!$F$7:$AJ$37,MATCH(REGENT!$B30,'Enter (Vac BFs TrCl MB'!$D$7:$D$37,FALSE),MATCH(REGENT!W$11,'Enter (Vac BFs TrCl MB'!$F$6:$AJ$6,FALSE))))</f>
        <v/>
      </c>
      <c r="X30" s="153" t="str">
        <f>IF(ISERROR(INDEX('Enter (Vac BFs TrCl MB'!$F$7:$AJ$37,MATCH(REGENT!$B30,'Enter (Vac BFs TrCl MB'!$D$7:$D$37,FALSE),MATCH(REGENT!X$11,'Enter (Vac BFs TrCl MB'!$F$6:$AJ$6,FALSE))),"",(INDEX('Enter (Vac BFs TrCl MB'!$F$7:$AJ$37,MATCH(REGENT!$B30,'Enter (Vac BFs TrCl MB'!$D$7:$D$37,FALSE),MATCH(REGENT!X$11,'Enter (Vac BFs TrCl MB'!$F$6:$AJ$6,FALSE))))</f>
        <v/>
      </c>
      <c r="Y30" s="153" t="str">
        <f>IF(ISERROR(INDEX('Enter (Vac BFs TrCl MB'!$F$7:$AJ$37,MATCH(REGENT!$B30,'Enter (Vac BFs TrCl MB'!$D$7:$D$37,FALSE),MATCH(REGENT!Y$11,'Enter (Vac BFs TrCl MB'!$F$6:$AJ$6,FALSE))),"",(INDEX('Enter (Vac BFs TrCl MB'!$F$7:$AJ$37,MATCH(REGENT!$B30,'Enter (Vac BFs TrCl MB'!$D$7:$D$37,FALSE),MATCH(REGENT!Y$11,'Enter (Vac BFs TrCl MB'!$F$6:$AJ$6,FALSE))))</f>
        <v/>
      </c>
      <c r="Z30" s="153" t="str">
        <f>IF(ISERROR(INDEX('Enter (Vac BFs TrCl MB'!$F$7:$AJ$37,MATCH(REGENT!$B30,'Enter (Vac BFs TrCl MB'!$D$7:$D$37,FALSE),MATCH(REGENT!Z$11,'Enter (Vac BFs TrCl MB'!$F$6:$AJ$6,FALSE))),"",(INDEX('Enter (Vac BFs TrCl MB'!$F$7:$AJ$37,MATCH(REGENT!$B30,'Enter (Vac BFs TrCl MB'!$D$7:$D$37,FALSE),MATCH(REGENT!Z$11,'Enter (Vac BFs TrCl MB'!$F$6:$AJ$6,FALSE))))</f>
        <v/>
      </c>
      <c r="AA30" s="154" t="str">
        <f>IF(ISERROR(INDEX('Enter (Vac BFs TrCl MB'!$F$7:$AJ$37,MATCH(REGENT!$B30,'Enter (Vac BFs TrCl MB'!$D$7:$D$37,FALSE),MATCH(REGENT!AA$11,'Enter (Vac BFs TrCl MB'!$F$6:$AJ$6,FALSE))),"",(INDEX('Enter (Vac BFs TrCl MB'!$F$7:$AJ$37,MATCH(REGENT!$B30,'Enter (Vac BFs TrCl MB'!$D$7:$D$37,FALSE),MATCH(REGENT!AA$11,'Enter (Vac BFs TrCl MB'!$F$6:$AJ$6,FALSE))))</f>
        <v/>
      </c>
    </row>
    <row r="31" spans="2:30" ht="15">
      <c r="B31" s="111"/>
      <c r="C31" s="153" t="str">
        <f>IF(ISERROR(INDEX('Enter (Vac BFs TrCl MB'!$F$7:$AJ$37,MATCH(REGENT!$B31,'Enter (Vac BFs TrCl MB'!$D$7:$D$37,FALSE),MATCH(REGENT!C$11,'Enter (Vac BFs TrCl MB'!$F$6:$AJ$6,FALSE))),"",(INDEX('Enter (Vac BFs TrCl MB'!$F$7:$AJ$37,MATCH(REGENT!$B31,'Enter (Vac BFs TrCl MB'!$D$7:$D$37,FALSE),MATCH(REGENT!C$11,'Enter (Vac BFs TrCl MB'!$F$6:$AJ$6,FALSE))))</f>
        <v/>
      </c>
      <c r="D31" s="153" t="str">
        <f>IF(ISERROR(INDEX('Enter (Vac BFs TrCl MB'!$F$7:$AJ$37,MATCH(REGENT!$B31,'Enter (Vac BFs TrCl MB'!$D$7:$D$37,FALSE),MATCH(REGENT!D$11,'Enter (Vac BFs TrCl MB'!$F$6:$AJ$6,FALSE))),"",(INDEX('Enter (Vac BFs TrCl MB'!$F$7:$AJ$37,MATCH(REGENT!$B31,'Enter (Vac BFs TrCl MB'!$D$7:$D$37,FALSE),MATCH(REGENT!D$11,'Enter (Vac BFs TrCl MB'!$F$6:$AJ$6,FALSE))))</f>
        <v/>
      </c>
      <c r="E31" s="153" t="str">
        <f>IF(ISERROR(INDEX('Enter (Vac BFs TrCl MB'!$F$7:$AJ$37,MATCH(REGENT!$B31,'Enter (Vac BFs TrCl MB'!$D$7:$D$37,FALSE),MATCH(REGENT!E$11,'Enter (Vac BFs TrCl MB'!$F$6:$AJ$6,FALSE))),"",(INDEX('Enter (Vac BFs TrCl MB'!$F$7:$AJ$37,MATCH(REGENT!$B31,'Enter (Vac BFs TrCl MB'!$D$7:$D$37,FALSE),MATCH(REGENT!E$11,'Enter (Vac BFs TrCl MB'!$F$6:$AJ$6,FALSE))))</f>
        <v/>
      </c>
      <c r="F31" s="153" t="str">
        <f>IF(ISERROR(INDEX('Enter (Vac BFs TrCl MB'!$F$7:$AJ$37,MATCH(REGENT!$B31,'Enter (Vac BFs TrCl MB'!$D$7:$D$37,FALSE),MATCH(REGENT!F$11,'Enter (Vac BFs TrCl MB'!$F$6:$AJ$6,FALSE))),"",(INDEX('Enter (Vac BFs TrCl MB'!$F$7:$AJ$37,MATCH(REGENT!$B31,'Enter (Vac BFs TrCl MB'!$D$7:$D$37,FALSE),MATCH(REGENT!F$11,'Enter (Vac BFs TrCl MB'!$F$6:$AJ$6,FALSE))))</f>
        <v/>
      </c>
      <c r="G31" s="153" t="str">
        <f>IF(ISERROR(INDEX('Enter (Vac BFs TrCl MB'!$F$7:$AJ$37,MATCH(REGENT!$B31,'Enter (Vac BFs TrCl MB'!$D$7:$D$37,FALSE),MATCH(REGENT!G$11,'Enter (Vac BFs TrCl MB'!$F$6:$AJ$6,FALSE))),"",(INDEX('Enter (Vac BFs TrCl MB'!$F$7:$AJ$37,MATCH(REGENT!$B31,'Enter (Vac BFs TrCl MB'!$D$7:$D$37,FALSE),MATCH(REGENT!G$11,'Enter (Vac BFs TrCl MB'!$F$6:$AJ$6,FALSE))))</f>
        <v/>
      </c>
      <c r="H31" s="153" t="str">
        <f>IF(ISERROR(INDEX('Enter (Vac BFs TrCl MB'!$F$7:$AJ$37,MATCH(REGENT!$B31,'Enter (Vac BFs TrCl MB'!$D$7:$D$37,FALSE),MATCH(REGENT!H$11,'Enter (Vac BFs TrCl MB'!$F$6:$AJ$6,FALSE))),"",(INDEX('Enter (Vac BFs TrCl MB'!$F$7:$AJ$37,MATCH(REGENT!$B31,'Enter (Vac BFs TrCl MB'!$D$7:$D$37,FALSE),MATCH(REGENT!H$11,'Enter (Vac BFs TrCl MB'!$F$6:$AJ$6,FALSE))))</f>
        <v/>
      </c>
      <c r="I31" s="154" t="str">
        <f>IF(ISERROR(INDEX('Enter (Vac BFs TrCl MB'!$F$7:$AJ$37,MATCH(REGENT!$B31,'Enter (Vac BFs TrCl MB'!$D$7:$D$37,FALSE),MATCH(REGENT!I$11,'Enter (Vac BFs TrCl MB'!$F$6:$AJ$6,FALSE))),"",(INDEX('Enter (Vac BFs TrCl MB'!$F$7:$AJ$37,MATCH(REGENT!$B31,'Enter (Vac BFs TrCl MB'!$D$7:$D$37,FALSE),MATCH(REGENT!I$11,'Enter (Vac BFs TrCl MB'!$F$6:$AJ$6,FALSE))))</f>
        <v/>
      </c>
      <c r="J31" s="810"/>
      <c r="K31" s="112"/>
      <c r="L31" s="153" t="str">
        <f>IF(ISERROR(INDEX('Enter (Vac BFs TrCl MB'!$F$7:$AJ$37,MATCH(REGENT!$B31,'Enter (Vac BFs TrCl MB'!$D$7:$D$37,FALSE),MATCH(REGENT!L$11,'Enter (Vac BFs TrCl MB'!$F$6:$AJ$6,FALSE))),"",(INDEX('Enter (Vac BFs TrCl MB'!$F$7:$AJ$37,MATCH(REGENT!$B31,'Enter (Vac BFs TrCl MB'!$D$7:$D$37,FALSE),MATCH(REGENT!L$11,'Enter (Vac BFs TrCl MB'!$F$6:$AJ$6,FALSE))))</f>
        <v/>
      </c>
      <c r="M31" s="153" t="str">
        <f>IF(ISERROR(INDEX('Enter (Vac BFs TrCl MB'!$F$7:$AJ$37,MATCH(REGENT!$B31,'Enter (Vac BFs TrCl MB'!$D$7:$D$37,FALSE),MATCH(REGENT!M$11,'Enter (Vac BFs TrCl MB'!$F$6:$AJ$6,FALSE))),"",(INDEX('Enter (Vac BFs TrCl MB'!$F$7:$AJ$37,MATCH(REGENT!$B31,'Enter (Vac BFs TrCl MB'!$D$7:$D$37,FALSE),MATCH(REGENT!M$11,'Enter (Vac BFs TrCl MB'!$F$6:$AJ$6,FALSE))))</f>
        <v/>
      </c>
      <c r="N31" s="153" t="str">
        <f>IF(ISERROR(INDEX('Enter (Vac BFs TrCl MB'!$F$7:$AJ$37,MATCH(REGENT!$B31,'Enter (Vac BFs TrCl MB'!$D$7:$D$37,FALSE),MATCH(REGENT!N$11,'Enter (Vac BFs TrCl MB'!$F$6:$AJ$6,FALSE))),"",(INDEX('Enter (Vac BFs TrCl MB'!$F$7:$AJ$37,MATCH(REGENT!$B31,'Enter (Vac BFs TrCl MB'!$D$7:$D$37,FALSE),MATCH(REGENT!N$11,'Enter (Vac BFs TrCl MB'!$F$6:$AJ$6,FALSE))))</f>
        <v/>
      </c>
      <c r="O31" s="153" t="str">
        <f>IF(ISERROR(INDEX('Enter (Vac BFs TrCl MB'!$F$7:$AJ$37,MATCH(REGENT!$B31,'Enter (Vac BFs TrCl MB'!$D$7:$D$37,FALSE),MATCH(REGENT!O$11,'Enter (Vac BFs TrCl MB'!$F$6:$AJ$6,FALSE))),"",(INDEX('Enter (Vac BFs TrCl MB'!$F$7:$AJ$37,MATCH(REGENT!$B31,'Enter (Vac BFs TrCl MB'!$D$7:$D$37,FALSE),MATCH(REGENT!O$11,'Enter (Vac BFs TrCl MB'!$F$6:$AJ$6,FALSE))))</f>
        <v/>
      </c>
      <c r="P31" s="153" t="str">
        <f>IF(ISERROR(INDEX('Enter (Vac BFs TrCl MB'!$F$7:$AJ$37,MATCH(REGENT!$B31,'Enter (Vac BFs TrCl MB'!$D$7:$D$37,FALSE),MATCH(REGENT!P$11,'Enter (Vac BFs TrCl MB'!$F$6:$AJ$6,FALSE))),"",(INDEX('Enter (Vac BFs TrCl MB'!$F$7:$AJ$37,MATCH(REGENT!$B31,'Enter (Vac BFs TrCl MB'!$D$7:$D$37,FALSE),MATCH(REGENT!P$11,'Enter (Vac BFs TrCl MB'!$F$6:$AJ$6,FALSE))))</f>
        <v/>
      </c>
      <c r="Q31" s="153" t="str">
        <f>IF(ISERROR(INDEX('Enter (Vac BFs TrCl MB'!$F$7:$AJ$37,MATCH(REGENT!$B31,'Enter (Vac BFs TrCl MB'!$D$7:$D$37,FALSE),MATCH(REGENT!Q$11,'Enter (Vac BFs TrCl MB'!$F$6:$AJ$6,FALSE))),"",(INDEX('Enter (Vac BFs TrCl MB'!$F$7:$AJ$37,MATCH(REGENT!$B31,'Enter (Vac BFs TrCl MB'!$D$7:$D$37,FALSE),MATCH(REGENT!Q$11,'Enter (Vac BFs TrCl MB'!$F$6:$AJ$6,FALSE))))</f>
        <v/>
      </c>
      <c r="R31" s="154" t="str">
        <f>IF(ISERROR(INDEX('Enter (Vac BFs TrCl MB'!$F$7:$AJ$37,MATCH(REGENT!$B31,'Enter (Vac BFs TrCl MB'!$D$7:$D$37,FALSE),MATCH(REGENT!R$11,'Enter (Vac BFs TrCl MB'!$F$6:$AJ$6,FALSE))),"",(INDEX('Enter (Vac BFs TrCl MB'!$F$7:$AJ$37,MATCH(REGENT!$B31,'Enter (Vac BFs TrCl MB'!$D$7:$D$37,FALSE),MATCH(REGENT!R$11,'Enter (Vac BFs TrCl MB'!$F$6:$AJ$6,FALSE))))</f>
        <v/>
      </c>
      <c r="S31" s="810"/>
      <c r="T31" s="112"/>
      <c r="U31" s="153" t="str">
        <f>IF(ISERROR(INDEX('Enter (Vac BFs TrCl MB'!$F$7:$AJ$37,MATCH(REGENT!$B31,'Enter (Vac BFs TrCl MB'!$D$7:$D$37,FALSE),MATCH(REGENT!U$11,'Enter (Vac BFs TrCl MB'!$F$6:$AJ$6,FALSE))),"",(INDEX('Enter (Vac BFs TrCl MB'!$F$7:$AJ$37,MATCH(REGENT!$B31,'Enter (Vac BFs TrCl MB'!$D$7:$D$37,FALSE),MATCH(REGENT!U$11,'Enter (Vac BFs TrCl MB'!$F$6:$AJ$6,FALSE))))</f>
        <v/>
      </c>
      <c r="V31" s="153" t="str">
        <f>IF(ISERROR(INDEX('Enter (Vac BFs TrCl MB'!$F$7:$AJ$37,MATCH(REGENT!$B31,'Enter (Vac BFs TrCl MB'!$D$7:$D$37,FALSE),MATCH(REGENT!V$11,'Enter (Vac BFs TrCl MB'!$F$6:$AJ$6,FALSE))),"",(INDEX('Enter (Vac BFs TrCl MB'!$F$7:$AJ$37,MATCH(REGENT!$B31,'Enter (Vac BFs TrCl MB'!$D$7:$D$37,FALSE),MATCH(REGENT!V$11,'Enter (Vac BFs TrCl MB'!$F$6:$AJ$6,FALSE))))</f>
        <v/>
      </c>
      <c r="W31" s="153" t="str">
        <f>IF(ISERROR(INDEX('Enter (Vac BFs TrCl MB'!$F$7:$AJ$37,MATCH(REGENT!$B31,'Enter (Vac BFs TrCl MB'!$D$7:$D$37,FALSE),MATCH(REGENT!W$11,'Enter (Vac BFs TrCl MB'!$F$6:$AJ$6,FALSE))),"",(INDEX('Enter (Vac BFs TrCl MB'!$F$7:$AJ$37,MATCH(REGENT!$B31,'Enter (Vac BFs TrCl MB'!$D$7:$D$37,FALSE),MATCH(REGENT!W$11,'Enter (Vac BFs TrCl MB'!$F$6:$AJ$6,FALSE))))</f>
        <v/>
      </c>
      <c r="X31" s="153" t="str">
        <f>IF(ISERROR(INDEX('Enter (Vac BFs TrCl MB'!$F$7:$AJ$37,MATCH(REGENT!$B31,'Enter (Vac BFs TrCl MB'!$D$7:$D$37,FALSE),MATCH(REGENT!X$11,'Enter (Vac BFs TrCl MB'!$F$6:$AJ$6,FALSE))),"",(INDEX('Enter (Vac BFs TrCl MB'!$F$7:$AJ$37,MATCH(REGENT!$B31,'Enter (Vac BFs TrCl MB'!$D$7:$D$37,FALSE),MATCH(REGENT!X$11,'Enter (Vac BFs TrCl MB'!$F$6:$AJ$6,FALSE))))</f>
        <v/>
      </c>
      <c r="Y31" s="153" t="str">
        <f>IF(ISERROR(INDEX('Enter (Vac BFs TrCl MB'!$F$7:$AJ$37,MATCH(REGENT!$B31,'Enter (Vac BFs TrCl MB'!$D$7:$D$37,FALSE),MATCH(REGENT!Y$11,'Enter (Vac BFs TrCl MB'!$F$6:$AJ$6,FALSE))),"",(INDEX('Enter (Vac BFs TrCl MB'!$F$7:$AJ$37,MATCH(REGENT!$B31,'Enter (Vac BFs TrCl MB'!$D$7:$D$37,FALSE),MATCH(REGENT!Y$11,'Enter (Vac BFs TrCl MB'!$F$6:$AJ$6,FALSE))))</f>
        <v/>
      </c>
      <c r="Z31" s="153" t="str">
        <f>IF(ISERROR(INDEX('Enter (Vac BFs TrCl MB'!$F$7:$AJ$37,MATCH(REGENT!$B31,'Enter (Vac BFs TrCl MB'!$D$7:$D$37,FALSE),MATCH(REGENT!Z$11,'Enter (Vac BFs TrCl MB'!$F$6:$AJ$6,FALSE))),"",(INDEX('Enter (Vac BFs TrCl MB'!$F$7:$AJ$37,MATCH(REGENT!$B31,'Enter (Vac BFs TrCl MB'!$D$7:$D$37,FALSE),MATCH(REGENT!Z$11,'Enter (Vac BFs TrCl MB'!$F$6:$AJ$6,FALSE))))</f>
        <v/>
      </c>
      <c r="AA31" s="154" t="str">
        <f>IF(ISERROR(INDEX('Enter (Vac BFs TrCl MB'!$F$7:$AJ$37,MATCH(REGENT!$B31,'Enter (Vac BFs TrCl MB'!$D$7:$D$37,FALSE),MATCH(REGENT!AA$11,'Enter (Vac BFs TrCl MB'!$F$6:$AJ$6,FALSE))),"",(INDEX('Enter (Vac BFs TrCl MB'!$F$7:$AJ$37,MATCH(REGENT!$B31,'Enter (Vac BFs TrCl MB'!$D$7:$D$37,FALSE),MATCH(REGENT!AA$11,'Enter (Vac BFs TrCl MB'!$F$6:$AJ$6,FALSE))))</f>
        <v/>
      </c>
    </row>
    <row r="32" spans="2:30" ht="15">
      <c r="B32" s="111"/>
      <c r="C32" s="153" t="str">
        <f>IF(ISERROR(INDEX('Enter (Vac BFs TrCl MB'!$F$7:$AJ$37,MATCH(REGENT!$B32,'Enter (Vac BFs TrCl MB'!$D$7:$D$37,FALSE),MATCH(REGENT!C$11,'Enter (Vac BFs TrCl MB'!$F$6:$AJ$6,FALSE))),"",(INDEX('Enter (Vac BFs TrCl MB'!$F$7:$AJ$37,MATCH(REGENT!$B32,'Enter (Vac BFs TrCl MB'!$D$7:$D$37,FALSE),MATCH(REGENT!C$11,'Enter (Vac BFs TrCl MB'!$F$6:$AJ$6,FALSE))))</f>
        <v/>
      </c>
      <c r="D32" s="153" t="str">
        <f>IF(ISERROR(INDEX('Enter (Vac BFs TrCl MB'!$F$7:$AJ$37,MATCH(REGENT!$B32,'Enter (Vac BFs TrCl MB'!$D$7:$D$37,FALSE),MATCH(REGENT!D$11,'Enter (Vac BFs TrCl MB'!$F$6:$AJ$6,FALSE))),"",(INDEX('Enter (Vac BFs TrCl MB'!$F$7:$AJ$37,MATCH(REGENT!$B32,'Enter (Vac BFs TrCl MB'!$D$7:$D$37,FALSE),MATCH(REGENT!D$11,'Enter (Vac BFs TrCl MB'!$F$6:$AJ$6,FALSE))))</f>
        <v/>
      </c>
      <c r="E32" s="153" t="str">
        <f>IF(ISERROR(INDEX('Enter (Vac BFs TrCl MB'!$F$7:$AJ$37,MATCH(REGENT!$B32,'Enter (Vac BFs TrCl MB'!$D$7:$D$37,FALSE),MATCH(REGENT!E$11,'Enter (Vac BFs TrCl MB'!$F$6:$AJ$6,FALSE))),"",(INDEX('Enter (Vac BFs TrCl MB'!$F$7:$AJ$37,MATCH(REGENT!$B32,'Enter (Vac BFs TrCl MB'!$D$7:$D$37,FALSE),MATCH(REGENT!E$11,'Enter (Vac BFs TrCl MB'!$F$6:$AJ$6,FALSE))))</f>
        <v/>
      </c>
      <c r="F32" s="153" t="str">
        <f>IF(ISERROR(INDEX('Enter (Vac BFs TrCl MB'!$F$7:$AJ$37,MATCH(REGENT!$B32,'Enter (Vac BFs TrCl MB'!$D$7:$D$37,FALSE),MATCH(REGENT!F$11,'Enter (Vac BFs TrCl MB'!$F$6:$AJ$6,FALSE))),"",(INDEX('Enter (Vac BFs TrCl MB'!$F$7:$AJ$37,MATCH(REGENT!$B32,'Enter (Vac BFs TrCl MB'!$D$7:$D$37,FALSE),MATCH(REGENT!F$11,'Enter (Vac BFs TrCl MB'!$F$6:$AJ$6,FALSE))))</f>
        <v/>
      </c>
      <c r="G32" s="153" t="str">
        <f>IF(ISERROR(INDEX('Enter (Vac BFs TrCl MB'!$F$7:$AJ$37,MATCH(REGENT!$B32,'Enter (Vac BFs TrCl MB'!$D$7:$D$37,FALSE),MATCH(REGENT!G$11,'Enter (Vac BFs TrCl MB'!$F$6:$AJ$6,FALSE))),"",(INDEX('Enter (Vac BFs TrCl MB'!$F$7:$AJ$37,MATCH(REGENT!$B32,'Enter (Vac BFs TrCl MB'!$D$7:$D$37,FALSE),MATCH(REGENT!G$11,'Enter (Vac BFs TrCl MB'!$F$6:$AJ$6,FALSE))))</f>
        <v/>
      </c>
      <c r="H32" s="153" t="str">
        <f>IF(ISERROR(INDEX('Enter (Vac BFs TrCl MB'!$F$7:$AJ$37,MATCH(REGENT!$B32,'Enter (Vac BFs TrCl MB'!$D$7:$D$37,FALSE),MATCH(REGENT!H$11,'Enter (Vac BFs TrCl MB'!$F$6:$AJ$6,FALSE))),"",(INDEX('Enter (Vac BFs TrCl MB'!$F$7:$AJ$37,MATCH(REGENT!$B32,'Enter (Vac BFs TrCl MB'!$D$7:$D$37,FALSE),MATCH(REGENT!H$11,'Enter (Vac BFs TrCl MB'!$F$6:$AJ$6,FALSE))))</f>
        <v/>
      </c>
      <c r="I32" s="154" t="str">
        <f>IF(ISERROR(INDEX('Enter (Vac BFs TrCl MB'!$F$7:$AJ$37,MATCH(REGENT!$B32,'Enter (Vac BFs TrCl MB'!$D$7:$D$37,FALSE),MATCH(REGENT!I$11,'Enter (Vac BFs TrCl MB'!$F$6:$AJ$6,FALSE))),"",(INDEX('Enter (Vac BFs TrCl MB'!$F$7:$AJ$37,MATCH(REGENT!$B32,'Enter (Vac BFs TrCl MB'!$D$7:$D$37,FALSE),MATCH(REGENT!I$11,'Enter (Vac BFs TrCl MB'!$F$6:$AJ$6,FALSE))))</f>
        <v/>
      </c>
      <c r="J32" s="810"/>
      <c r="K32" s="112"/>
      <c r="L32" s="153" t="str">
        <f>IF(ISERROR(INDEX('Enter (Vac BFs TrCl MB'!$F$7:$AJ$37,MATCH(REGENT!$B32,'Enter (Vac BFs TrCl MB'!$D$7:$D$37,FALSE),MATCH(REGENT!L$11,'Enter (Vac BFs TrCl MB'!$F$6:$AJ$6,FALSE))),"",(INDEX('Enter (Vac BFs TrCl MB'!$F$7:$AJ$37,MATCH(REGENT!$B32,'Enter (Vac BFs TrCl MB'!$D$7:$D$37,FALSE),MATCH(REGENT!L$11,'Enter (Vac BFs TrCl MB'!$F$6:$AJ$6,FALSE))))</f>
        <v/>
      </c>
      <c r="M32" s="153" t="str">
        <f>IF(ISERROR(INDEX('Enter (Vac BFs TrCl MB'!$F$7:$AJ$37,MATCH(REGENT!$B32,'Enter (Vac BFs TrCl MB'!$D$7:$D$37,FALSE),MATCH(REGENT!M$11,'Enter (Vac BFs TrCl MB'!$F$6:$AJ$6,FALSE))),"",(INDEX('Enter (Vac BFs TrCl MB'!$F$7:$AJ$37,MATCH(REGENT!$B32,'Enter (Vac BFs TrCl MB'!$D$7:$D$37,FALSE),MATCH(REGENT!M$11,'Enter (Vac BFs TrCl MB'!$F$6:$AJ$6,FALSE))))</f>
        <v/>
      </c>
      <c r="N32" s="153" t="str">
        <f>IF(ISERROR(INDEX('Enter (Vac BFs TrCl MB'!$F$7:$AJ$37,MATCH(REGENT!$B32,'Enter (Vac BFs TrCl MB'!$D$7:$D$37,FALSE),MATCH(REGENT!N$11,'Enter (Vac BFs TrCl MB'!$F$6:$AJ$6,FALSE))),"",(INDEX('Enter (Vac BFs TrCl MB'!$F$7:$AJ$37,MATCH(REGENT!$B32,'Enter (Vac BFs TrCl MB'!$D$7:$D$37,FALSE),MATCH(REGENT!N$11,'Enter (Vac BFs TrCl MB'!$F$6:$AJ$6,FALSE))))</f>
        <v/>
      </c>
      <c r="O32" s="153" t="str">
        <f>IF(ISERROR(INDEX('Enter (Vac BFs TrCl MB'!$F$7:$AJ$37,MATCH(REGENT!$B32,'Enter (Vac BFs TrCl MB'!$D$7:$D$37,FALSE),MATCH(REGENT!O$11,'Enter (Vac BFs TrCl MB'!$F$6:$AJ$6,FALSE))),"",(INDEX('Enter (Vac BFs TrCl MB'!$F$7:$AJ$37,MATCH(REGENT!$B32,'Enter (Vac BFs TrCl MB'!$D$7:$D$37,FALSE),MATCH(REGENT!O$11,'Enter (Vac BFs TrCl MB'!$F$6:$AJ$6,FALSE))))</f>
        <v/>
      </c>
      <c r="P32" s="153" t="str">
        <f>IF(ISERROR(INDEX('Enter (Vac BFs TrCl MB'!$F$7:$AJ$37,MATCH(REGENT!$B32,'Enter (Vac BFs TrCl MB'!$D$7:$D$37,FALSE),MATCH(REGENT!P$11,'Enter (Vac BFs TrCl MB'!$F$6:$AJ$6,FALSE))),"",(INDEX('Enter (Vac BFs TrCl MB'!$F$7:$AJ$37,MATCH(REGENT!$B32,'Enter (Vac BFs TrCl MB'!$D$7:$D$37,FALSE),MATCH(REGENT!P$11,'Enter (Vac BFs TrCl MB'!$F$6:$AJ$6,FALSE))))</f>
        <v/>
      </c>
      <c r="Q32" s="153" t="str">
        <f>IF(ISERROR(INDEX('Enter (Vac BFs TrCl MB'!$F$7:$AJ$37,MATCH(REGENT!$B32,'Enter (Vac BFs TrCl MB'!$D$7:$D$37,FALSE),MATCH(REGENT!Q$11,'Enter (Vac BFs TrCl MB'!$F$6:$AJ$6,FALSE))),"",(INDEX('Enter (Vac BFs TrCl MB'!$F$7:$AJ$37,MATCH(REGENT!$B32,'Enter (Vac BFs TrCl MB'!$D$7:$D$37,FALSE),MATCH(REGENT!Q$11,'Enter (Vac BFs TrCl MB'!$F$6:$AJ$6,FALSE))))</f>
        <v/>
      </c>
      <c r="R32" s="154" t="str">
        <f>IF(ISERROR(INDEX('Enter (Vac BFs TrCl MB'!$F$7:$AJ$37,MATCH(REGENT!$B32,'Enter (Vac BFs TrCl MB'!$D$7:$D$37,FALSE),MATCH(REGENT!R$11,'Enter (Vac BFs TrCl MB'!$F$6:$AJ$6,FALSE))),"",(INDEX('Enter (Vac BFs TrCl MB'!$F$7:$AJ$37,MATCH(REGENT!$B32,'Enter (Vac BFs TrCl MB'!$D$7:$D$37,FALSE),MATCH(REGENT!R$11,'Enter (Vac BFs TrCl MB'!$F$6:$AJ$6,FALSE))))</f>
        <v/>
      </c>
      <c r="S32" s="810"/>
      <c r="T32" s="112"/>
      <c r="U32" s="153" t="str">
        <f>IF(ISERROR(INDEX('Enter (Vac BFs TrCl MB'!$F$7:$AJ$37,MATCH(REGENT!$B32,'Enter (Vac BFs TrCl MB'!$D$7:$D$37,FALSE),MATCH(REGENT!U$11,'Enter (Vac BFs TrCl MB'!$F$6:$AJ$6,FALSE))),"",(INDEX('Enter (Vac BFs TrCl MB'!$F$7:$AJ$37,MATCH(REGENT!$B32,'Enter (Vac BFs TrCl MB'!$D$7:$D$37,FALSE),MATCH(REGENT!U$11,'Enter (Vac BFs TrCl MB'!$F$6:$AJ$6,FALSE))))</f>
        <v/>
      </c>
      <c r="V32" s="153" t="str">
        <f>IF(ISERROR(INDEX('Enter (Vac BFs TrCl MB'!$F$7:$AJ$37,MATCH(REGENT!$B32,'Enter (Vac BFs TrCl MB'!$D$7:$D$37,FALSE),MATCH(REGENT!V$11,'Enter (Vac BFs TrCl MB'!$F$6:$AJ$6,FALSE))),"",(INDEX('Enter (Vac BFs TrCl MB'!$F$7:$AJ$37,MATCH(REGENT!$B32,'Enter (Vac BFs TrCl MB'!$D$7:$D$37,FALSE),MATCH(REGENT!V$11,'Enter (Vac BFs TrCl MB'!$F$6:$AJ$6,FALSE))))</f>
        <v/>
      </c>
      <c r="W32" s="153" t="str">
        <f>IF(ISERROR(INDEX('Enter (Vac BFs TrCl MB'!$F$7:$AJ$37,MATCH(REGENT!$B32,'Enter (Vac BFs TrCl MB'!$D$7:$D$37,FALSE),MATCH(REGENT!W$11,'Enter (Vac BFs TrCl MB'!$F$6:$AJ$6,FALSE))),"",(INDEX('Enter (Vac BFs TrCl MB'!$F$7:$AJ$37,MATCH(REGENT!$B32,'Enter (Vac BFs TrCl MB'!$D$7:$D$37,FALSE),MATCH(REGENT!W$11,'Enter (Vac BFs TrCl MB'!$F$6:$AJ$6,FALSE))))</f>
        <v/>
      </c>
      <c r="X32" s="153" t="str">
        <f>IF(ISERROR(INDEX('Enter (Vac BFs TrCl MB'!$F$7:$AJ$37,MATCH(REGENT!$B32,'Enter (Vac BFs TrCl MB'!$D$7:$D$37,FALSE),MATCH(REGENT!X$11,'Enter (Vac BFs TrCl MB'!$F$6:$AJ$6,FALSE))),"",(INDEX('Enter (Vac BFs TrCl MB'!$F$7:$AJ$37,MATCH(REGENT!$B32,'Enter (Vac BFs TrCl MB'!$D$7:$D$37,FALSE),MATCH(REGENT!X$11,'Enter (Vac BFs TrCl MB'!$F$6:$AJ$6,FALSE))))</f>
        <v/>
      </c>
      <c r="Y32" s="153" t="str">
        <f>IF(ISERROR(INDEX('Enter (Vac BFs TrCl MB'!$F$7:$AJ$37,MATCH(REGENT!$B32,'Enter (Vac BFs TrCl MB'!$D$7:$D$37,FALSE),MATCH(REGENT!Y$11,'Enter (Vac BFs TrCl MB'!$F$6:$AJ$6,FALSE))),"",(INDEX('Enter (Vac BFs TrCl MB'!$F$7:$AJ$37,MATCH(REGENT!$B32,'Enter (Vac BFs TrCl MB'!$D$7:$D$37,FALSE),MATCH(REGENT!Y$11,'Enter (Vac BFs TrCl MB'!$F$6:$AJ$6,FALSE))))</f>
        <v/>
      </c>
      <c r="Z32" s="153" t="str">
        <f>IF(ISERROR(INDEX('Enter (Vac BFs TrCl MB'!$F$7:$AJ$37,MATCH(REGENT!$B32,'Enter (Vac BFs TrCl MB'!$D$7:$D$37,FALSE),MATCH(REGENT!Z$11,'Enter (Vac BFs TrCl MB'!$F$6:$AJ$6,FALSE))),"",(INDEX('Enter (Vac BFs TrCl MB'!$F$7:$AJ$37,MATCH(REGENT!$B32,'Enter (Vac BFs TrCl MB'!$D$7:$D$37,FALSE),MATCH(REGENT!Z$11,'Enter (Vac BFs TrCl MB'!$F$6:$AJ$6,FALSE))))</f>
        <v/>
      </c>
      <c r="AA32" s="154" t="str">
        <f>IF(ISERROR(INDEX('Enter (Vac BFs TrCl MB'!$F$7:$AJ$37,MATCH(REGENT!$B32,'Enter (Vac BFs TrCl MB'!$D$7:$D$37,FALSE),MATCH(REGENT!AA$11,'Enter (Vac BFs TrCl MB'!$F$6:$AJ$6,FALSE))),"",(INDEX('Enter (Vac BFs TrCl MB'!$F$7:$AJ$37,MATCH(REGENT!$B32,'Enter (Vac BFs TrCl MB'!$D$7:$D$37,FALSE),MATCH(REGENT!AA$11,'Enter (Vac BFs TrCl MB'!$F$6:$AJ$6,FALSE))))</f>
        <v/>
      </c>
    </row>
    <row r="33" spans="2:27" ht="15">
      <c r="B33" s="111"/>
      <c r="C33" s="153" t="str">
        <f>IF(ISERROR(INDEX('Enter (Vac BFs TrCl MB'!$F$7:$AJ$37,MATCH(REGENT!$B33,'Enter (Vac BFs TrCl MB'!$D$7:$D$37,FALSE),MATCH(REGENT!C$11,'Enter (Vac BFs TrCl MB'!$F$6:$AJ$6,FALSE))),"",(INDEX('Enter (Vac BFs TrCl MB'!$F$7:$AJ$37,MATCH(REGENT!$B33,'Enter (Vac BFs TrCl MB'!$D$7:$D$37,FALSE),MATCH(REGENT!C$11,'Enter (Vac BFs TrCl MB'!$F$6:$AJ$6,FALSE))))</f>
        <v/>
      </c>
      <c r="D33" s="153" t="str">
        <f>IF(ISERROR(INDEX('Enter (Vac BFs TrCl MB'!$F$7:$AJ$37,MATCH(REGENT!$B33,'Enter (Vac BFs TrCl MB'!$D$7:$D$37,FALSE),MATCH(REGENT!D$11,'Enter (Vac BFs TrCl MB'!$F$6:$AJ$6,FALSE))),"",(INDEX('Enter (Vac BFs TrCl MB'!$F$7:$AJ$37,MATCH(REGENT!$B33,'Enter (Vac BFs TrCl MB'!$D$7:$D$37,FALSE),MATCH(REGENT!D$11,'Enter (Vac BFs TrCl MB'!$F$6:$AJ$6,FALSE))))</f>
        <v/>
      </c>
      <c r="E33" s="153" t="str">
        <f>IF(ISERROR(INDEX('Enter (Vac BFs TrCl MB'!$F$7:$AJ$37,MATCH(REGENT!$B33,'Enter (Vac BFs TrCl MB'!$D$7:$D$37,FALSE),MATCH(REGENT!E$11,'Enter (Vac BFs TrCl MB'!$F$6:$AJ$6,FALSE))),"",(INDEX('Enter (Vac BFs TrCl MB'!$F$7:$AJ$37,MATCH(REGENT!$B33,'Enter (Vac BFs TrCl MB'!$D$7:$D$37,FALSE),MATCH(REGENT!E$11,'Enter (Vac BFs TrCl MB'!$F$6:$AJ$6,FALSE))))</f>
        <v/>
      </c>
      <c r="F33" s="153" t="str">
        <f>IF(ISERROR(INDEX('Enter (Vac BFs TrCl MB'!$F$7:$AJ$37,MATCH(REGENT!$B33,'Enter (Vac BFs TrCl MB'!$D$7:$D$37,FALSE),MATCH(REGENT!F$11,'Enter (Vac BFs TrCl MB'!$F$6:$AJ$6,FALSE))),"",(INDEX('Enter (Vac BFs TrCl MB'!$F$7:$AJ$37,MATCH(REGENT!$B33,'Enter (Vac BFs TrCl MB'!$D$7:$D$37,FALSE),MATCH(REGENT!F$11,'Enter (Vac BFs TrCl MB'!$F$6:$AJ$6,FALSE))))</f>
        <v/>
      </c>
      <c r="G33" s="153" t="str">
        <f>IF(ISERROR(INDEX('Enter (Vac BFs TrCl MB'!$F$7:$AJ$37,MATCH(REGENT!$B33,'Enter (Vac BFs TrCl MB'!$D$7:$D$37,FALSE),MATCH(REGENT!G$11,'Enter (Vac BFs TrCl MB'!$F$6:$AJ$6,FALSE))),"",(INDEX('Enter (Vac BFs TrCl MB'!$F$7:$AJ$37,MATCH(REGENT!$B33,'Enter (Vac BFs TrCl MB'!$D$7:$D$37,FALSE),MATCH(REGENT!G$11,'Enter (Vac BFs TrCl MB'!$F$6:$AJ$6,FALSE))))</f>
        <v/>
      </c>
      <c r="H33" s="153" t="str">
        <f>IF(ISERROR(INDEX('Enter (Vac BFs TrCl MB'!$F$7:$AJ$37,MATCH(REGENT!$B33,'Enter (Vac BFs TrCl MB'!$D$7:$D$37,FALSE),MATCH(REGENT!H$11,'Enter (Vac BFs TrCl MB'!$F$6:$AJ$6,FALSE))),"",(INDEX('Enter (Vac BFs TrCl MB'!$F$7:$AJ$37,MATCH(REGENT!$B33,'Enter (Vac BFs TrCl MB'!$D$7:$D$37,FALSE),MATCH(REGENT!H$11,'Enter (Vac BFs TrCl MB'!$F$6:$AJ$6,FALSE))))</f>
        <v/>
      </c>
      <c r="I33" s="154" t="str">
        <f>IF(ISERROR(INDEX('Enter (Vac BFs TrCl MB'!$F$7:$AJ$37,MATCH(REGENT!$B33,'Enter (Vac BFs TrCl MB'!$D$7:$D$37,FALSE),MATCH(REGENT!I$11,'Enter (Vac BFs TrCl MB'!$F$6:$AJ$6,FALSE))),"",(INDEX('Enter (Vac BFs TrCl MB'!$F$7:$AJ$37,MATCH(REGENT!$B33,'Enter (Vac BFs TrCl MB'!$D$7:$D$37,FALSE),MATCH(REGENT!I$11,'Enter (Vac BFs TrCl MB'!$F$6:$AJ$6,FALSE))))</f>
        <v/>
      </c>
      <c r="J33" s="810"/>
      <c r="K33" s="112"/>
      <c r="L33" s="153" t="str">
        <f>IF(ISERROR(INDEX('Enter (Vac BFs TrCl MB'!$F$7:$AJ$37,MATCH(REGENT!$B33,'Enter (Vac BFs TrCl MB'!$D$7:$D$37,FALSE),MATCH(REGENT!L$11,'Enter (Vac BFs TrCl MB'!$F$6:$AJ$6,FALSE))),"",(INDEX('Enter (Vac BFs TrCl MB'!$F$7:$AJ$37,MATCH(REGENT!$B33,'Enter (Vac BFs TrCl MB'!$D$7:$D$37,FALSE),MATCH(REGENT!L$11,'Enter (Vac BFs TrCl MB'!$F$6:$AJ$6,FALSE))))</f>
        <v/>
      </c>
      <c r="M33" s="153" t="str">
        <f>IF(ISERROR(INDEX('Enter (Vac BFs TrCl MB'!$F$7:$AJ$37,MATCH(REGENT!$B33,'Enter (Vac BFs TrCl MB'!$D$7:$D$37,FALSE),MATCH(REGENT!M$11,'Enter (Vac BFs TrCl MB'!$F$6:$AJ$6,FALSE))),"",(INDEX('Enter (Vac BFs TrCl MB'!$F$7:$AJ$37,MATCH(REGENT!$B33,'Enter (Vac BFs TrCl MB'!$D$7:$D$37,FALSE),MATCH(REGENT!M$11,'Enter (Vac BFs TrCl MB'!$F$6:$AJ$6,FALSE))))</f>
        <v/>
      </c>
      <c r="N33" s="153" t="str">
        <f>IF(ISERROR(INDEX('Enter (Vac BFs TrCl MB'!$F$7:$AJ$37,MATCH(REGENT!$B33,'Enter (Vac BFs TrCl MB'!$D$7:$D$37,FALSE),MATCH(REGENT!N$11,'Enter (Vac BFs TrCl MB'!$F$6:$AJ$6,FALSE))),"",(INDEX('Enter (Vac BFs TrCl MB'!$F$7:$AJ$37,MATCH(REGENT!$B33,'Enter (Vac BFs TrCl MB'!$D$7:$D$37,FALSE),MATCH(REGENT!N$11,'Enter (Vac BFs TrCl MB'!$F$6:$AJ$6,FALSE))))</f>
        <v/>
      </c>
      <c r="O33" s="153" t="str">
        <f>IF(ISERROR(INDEX('Enter (Vac BFs TrCl MB'!$F$7:$AJ$37,MATCH(REGENT!$B33,'Enter (Vac BFs TrCl MB'!$D$7:$D$37,FALSE),MATCH(REGENT!O$11,'Enter (Vac BFs TrCl MB'!$F$6:$AJ$6,FALSE))),"",(INDEX('Enter (Vac BFs TrCl MB'!$F$7:$AJ$37,MATCH(REGENT!$B33,'Enter (Vac BFs TrCl MB'!$D$7:$D$37,FALSE),MATCH(REGENT!O$11,'Enter (Vac BFs TrCl MB'!$F$6:$AJ$6,FALSE))))</f>
        <v/>
      </c>
      <c r="P33" s="153" t="str">
        <f>IF(ISERROR(INDEX('Enter (Vac BFs TrCl MB'!$F$7:$AJ$37,MATCH(REGENT!$B33,'Enter (Vac BFs TrCl MB'!$D$7:$D$37,FALSE),MATCH(REGENT!P$11,'Enter (Vac BFs TrCl MB'!$F$6:$AJ$6,FALSE))),"",(INDEX('Enter (Vac BFs TrCl MB'!$F$7:$AJ$37,MATCH(REGENT!$B33,'Enter (Vac BFs TrCl MB'!$D$7:$D$37,FALSE),MATCH(REGENT!P$11,'Enter (Vac BFs TrCl MB'!$F$6:$AJ$6,FALSE))))</f>
        <v/>
      </c>
      <c r="Q33" s="153" t="str">
        <f>IF(ISERROR(INDEX('Enter (Vac BFs TrCl MB'!$F$7:$AJ$37,MATCH(REGENT!$B33,'Enter (Vac BFs TrCl MB'!$D$7:$D$37,FALSE),MATCH(REGENT!Q$11,'Enter (Vac BFs TrCl MB'!$F$6:$AJ$6,FALSE))),"",(INDEX('Enter (Vac BFs TrCl MB'!$F$7:$AJ$37,MATCH(REGENT!$B33,'Enter (Vac BFs TrCl MB'!$D$7:$D$37,FALSE),MATCH(REGENT!Q$11,'Enter (Vac BFs TrCl MB'!$F$6:$AJ$6,FALSE))))</f>
        <v/>
      </c>
      <c r="R33" s="154" t="str">
        <f>IF(ISERROR(INDEX('Enter (Vac BFs TrCl MB'!$F$7:$AJ$37,MATCH(REGENT!$B33,'Enter (Vac BFs TrCl MB'!$D$7:$D$37,FALSE),MATCH(REGENT!R$11,'Enter (Vac BFs TrCl MB'!$F$6:$AJ$6,FALSE))),"",(INDEX('Enter (Vac BFs TrCl MB'!$F$7:$AJ$37,MATCH(REGENT!$B33,'Enter (Vac BFs TrCl MB'!$D$7:$D$37,FALSE),MATCH(REGENT!R$11,'Enter (Vac BFs TrCl MB'!$F$6:$AJ$6,FALSE))))</f>
        <v/>
      </c>
      <c r="S33" s="810"/>
      <c r="T33" s="112"/>
      <c r="U33" s="153" t="str">
        <f>IF(ISERROR(INDEX('Enter (Vac BFs TrCl MB'!$F$7:$AJ$37,MATCH(REGENT!$B33,'Enter (Vac BFs TrCl MB'!$D$7:$D$37,FALSE),MATCH(REGENT!U$11,'Enter (Vac BFs TrCl MB'!$F$6:$AJ$6,FALSE))),"",(INDEX('Enter (Vac BFs TrCl MB'!$F$7:$AJ$37,MATCH(REGENT!$B33,'Enter (Vac BFs TrCl MB'!$D$7:$D$37,FALSE),MATCH(REGENT!U$11,'Enter (Vac BFs TrCl MB'!$F$6:$AJ$6,FALSE))))</f>
        <v/>
      </c>
      <c r="V33" s="153" t="str">
        <f>IF(ISERROR(INDEX('Enter (Vac BFs TrCl MB'!$F$7:$AJ$37,MATCH(REGENT!$B33,'Enter (Vac BFs TrCl MB'!$D$7:$D$37,FALSE),MATCH(REGENT!V$11,'Enter (Vac BFs TrCl MB'!$F$6:$AJ$6,FALSE))),"",(INDEX('Enter (Vac BFs TrCl MB'!$F$7:$AJ$37,MATCH(REGENT!$B33,'Enter (Vac BFs TrCl MB'!$D$7:$D$37,FALSE),MATCH(REGENT!V$11,'Enter (Vac BFs TrCl MB'!$F$6:$AJ$6,FALSE))))</f>
        <v/>
      </c>
      <c r="W33" s="153" t="str">
        <f>IF(ISERROR(INDEX('Enter (Vac BFs TrCl MB'!$F$7:$AJ$37,MATCH(REGENT!$B33,'Enter (Vac BFs TrCl MB'!$D$7:$D$37,FALSE),MATCH(REGENT!W$11,'Enter (Vac BFs TrCl MB'!$F$6:$AJ$6,FALSE))),"",(INDEX('Enter (Vac BFs TrCl MB'!$F$7:$AJ$37,MATCH(REGENT!$B33,'Enter (Vac BFs TrCl MB'!$D$7:$D$37,FALSE),MATCH(REGENT!W$11,'Enter (Vac BFs TrCl MB'!$F$6:$AJ$6,FALSE))))</f>
        <v/>
      </c>
      <c r="X33" s="153" t="str">
        <f>IF(ISERROR(INDEX('Enter (Vac BFs TrCl MB'!$F$7:$AJ$37,MATCH(REGENT!$B33,'Enter (Vac BFs TrCl MB'!$D$7:$D$37,FALSE),MATCH(REGENT!X$11,'Enter (Vac BFs TrCl MB'!$F$6:$AJ$6,FALSE))),"",(INDEX('Enter (Vac BFs TrCl MB'!$F$7:$AJ$37,MATCH(REGENT!$B33,'Enter (Vac BFs TrCl MB'!$D$7:$D$37,FALSE),MATCH(REGENT!X$11,'Enter (Vac BFs TrCl MB'!$F$6:$AJ$6,FALSE))))</f>
        <v/>
      </c>
      <c r="Y33" s="153" t="str">
        <f>IF(ISERROR(INDEX('Enter (Vac BFs TrCl MB'!$F$7:$AJ$37,MATCH(REGENT!$B33,'Enter (Vac BFs TrCl MB'!$D$7:$D$37,FALSE),MATCH(REGENT!Y$11,'Enter (Vac BFs TrCl MB'!$F$6:$AJ$6,FALSE))),"",(INDEX('Enter (Vac BFs TrCl MB'!$F$7:$AJ$37,MATCH(REGENT!$B33,'Enter (Vac BFs TrCl MB'!$D$7:$D$37,FALSE),MATCH(REGENT!Y$11,'Enter (Vac BFs TrCl MB'!$F$6:$AJ$6,FALSE))))</f>
        <v/>
      </c>
      <c r="Z33" s="153" t="str">
        <f>IF(ISERROR(INDEX('Enter (Vac BFs TrCl MB'!$F$7:$AJ$37,MATCH(REGENT!$B33,'Enter (Vac BFs TrCl MB'!$D$7:$D$37,FALSE),MATCH(REGENT!Z$11,'Enter (Vac BFs TrCl MB'!$F$6:$AJ$6,FALSE))),"",(INDEX('Enter (Vac BFs TrCl MB'!$F$7:$AJ$37,MATCH(REGENT!$B33,'Enter (Vac BFs TrCl MB'!$D$7:$D$37,FALSE),MATCH(REGENT!Z$11,'Enter (Vac BFs TrCl MB'!$F$6:$AJ$6,FALSE))))</f>
        <v/>
      </c>
      <c r="AA33" s="154" t="str">
        <f>IF(ISERROR(INDEX('Enter (Vac BFs TrCl MB'!$F$7:$AJ$37,MATCH(REGENT!$B33,'Enter (Vac BFs TrCl MB'!$D$7:$D$37,FALSE),MATCH(REGENT!AA$11,'Enter (Vac BFs TrCl MB'!$F$6:$AJ$6,FALSE))),"",(INDEX('Enter (Vac BFs TrCl MB'!$F$7:$AJ$37,MATCH(REGENT!$B33,'Enter (Vac BFs TrCl MB'!$D$7:$D$37,FALSE),MATCH(REGENT!AA$11,'Enter (Vac BFs TrCl MB'!$F$6:$AJ$6,FALSE))))</f>
        <v/>
      </c>
    </row>
    <row r="34" spans="2:27" ht="15.4" thickBot="1">
      <c r="B34" s="144"/>
      <c r="C34" s="153" t="str">
        <f>IF(ISERROR(INDEX('Enter (Vac BFs TrCl MB'!$F$7:$AJ$37,MATCH(REGENT!$B34,'Enter (Vac BFs TrCl MB'!$D$7:$D$37,FALSE),MATCH(REGENT!C$11,'Enter (Vac BFs TrCl MB'!$F$6:$AJ$6,FALSE))),"",(INDEX('Enter (Vac BFs TrCl MB'!$F$7:$AJ$37,MATCH(REGENT!$B34,'Enter (Vac BFs TrCl MB'!$D$7:$D$37,FALSE),MATCH(REGENT!C$11,'Enter (Vac BFs TrCl MB'!$F$6:$AJ$6,FALSE))))</f>
        <v/>
      </c>
      <c r="D34" s="155" t="str">
        <f>IF(ISERROR(INDEX('Enter (Vac BFs TrCl MB'!$F$7:$AJ$37,MATCH(REGENT!$B34,'Enter (Vac BFs TrCl MB'!$D$7:$D$37,FALSE),MATCH(REGENT!D$11,'Enter (Vac BFs TrCl MB'!$F$6:$AJ$6,FALSE))),"",(INDEX('Enter (Vac BFs TrCl MB'!$F$7:$AJ$37,MATCH(REGENT!$B34,'Enter (Vac BFs TrCl MB'!$D$7:$D$37,FALSE),MATCH(REGENT!D$11,'Enter (Vac BFs TrCl MB'!$F$6:$AJ$6,FALSE))))</f>
        <v/>
      </c>
      <c r="E34" s="155" t="str">
        <f>IF(ISERROR(INDEX('Enter (Vac BFs TrCl MB'!$F$7:$AJ$37,MATCH(REGENT!$B34,'Enter (Vac BFs TrCl MB'!$D$7:$D$37,FALSE),MATCH(REGENT!E$11,'Enter (Vac BFs TrCl MB'!$F$6:$AJ$6,FALSE))),"",(INDEX('Enter (Vac BFs TrCl MB'!$F$7:$AJ$37,MATCH(REGENT!$B$13,'Enter (Vac BFs TrCl MB'!$D$7:$D$37,FALSE),MATCH(REGENT!E32,'Enter (Vac BFs TrCl MB'!$F$6:$AJ$6,FALSE))))</f>
        <v/>
      </c>
      <c r="F34" s="155" t="str">
        <f>IF(ISERROR(INDEX('Enter (Vac BFs TrCl MB'!$F$7:$AJ$37,MATCH(REGENT!$B34,'Enter (Vac BFs TrCl MB'!$D$7:$D$37,FALSE),MATCH(REGENT!F$11,'Enter (Vac BFs TrCl MB'!$F$6:$AJ$6,FALSE))),"",(INDEX('Enter (Vac BFs TrCl MB'!$F$7:$AJ$37,MATCH(REGENT!$B34,'Enter (Vac BFs TrCl MB'!$D$7:$D$37,FALSE),MATCH(REGENT!F$11,'Enter (Vac BFs TrCl MB'!$F$6:$AJ$6,FALSE))))</f>
        <v/>
      </c>
      <c r="G34" s="155" t="str">
        <f>IF(ISERROR(INDEX('Enter (Vac BFs TrCl MB'!$F$7:$AJ$37,MATCH(REGENT!$B34,'Enter (Vac BFs TrCl MB'!$D$7:$D$37,FALSE),MATCH(REGENT!G$11,'Enter (Vac BFs TrCl MB'!$F$6:$AJ$6,FALSE))),"",(INDEX('Enter (Vac BFs TrCl MB'!$F$7:$AJ$37,MATCH(REGENT!$B34,'Enter (Vac BFs TrCl MB'!$D$7:$D$37,FALSE),MATCH(REGENT!G$11,'Enter (Vac BFs TrCl MB'!$F$6:$AJ$6,FALSE))))</f>
        <v/>
      </c>
      <c r="H34" s="155" t="str">
        <f>IF(ISERROR(INDEX('Enter (Vac BFs TrCl MB'!$F$7:$AJ$37,MATCH(REGENT!$B34,'Enter (Vac BFs TrCl MB'!$D$7:$D$37,FALSE),MATCH(REGENT!H$11,'Enter (Vac BFs TrCl MB'!$F$6:$AJ$6,FALSE))),"",(INDEX('Enter (Vac BFs TrCl MB'!$F$7:$AJ$37,MATCH(REGENT!$B34,'Enter (Vac BFs TrCl MB'!$D$7:$D$37,FALSE),MATCH(REGENT!H$11,'Enter (Vac BFs TrCl MB'!$F$6:$AJ$6,FALSE))))</f>
        <v/>
      </c>
      <c r="I34" s="156" t="str">
        <f>IF(ISERROR(INDEX('Enter (Vac BFs TrCl MB'!$F$7:$AJ$37,MATCH(REGENT!$B34,'Enter (Vac BFs TrCl MB'!$D$7:$D$37,FALSE),MATCH(REGENT!I$11,'Enter (Vac BFs TrCl MB'!$F$6:$AJ$6,FALSE))),"",(INDEX('Enter (Vac BFs TrCl MB'!$F$7:$AJ$37,MATCH(REGENT!$B34,'Enter (Vac BFs TrCl MB'!$D$7:$D$37,FALSE),MATCH(REGENT!I$11,'Enter (Vac BFs TrCl MB'!$F$6:$AJ$6,FALSE))))</f>
        <v/>
      </c>
      <c r="J34" s="810"/>
      <c r="K34" s="113"/>
      <c r="L34" s="155" t="str">
        <f>IF(ISERROR(INDEX('Enter (Vac BFs TrCl MB'!$F$7:$AJ$37,MATCH(REGENT!$B34,'Enter (Vac BFs TrCl MB'!$D$7:$D$37,FALSE),MATCH(REGENT!L$11,'Enter (Vac BFs TrCl MB'!$F$6:$AJ$6,FALSE))),"",(INDEX('Enter (Vac BFs TrCl MB'!$F$7:$AJ$37,MATCH(REGENT!$B34,'Enter (Vac BFs TrCl MB'!$D$7:$D$37,FALSE),MATCH(REGENT!L$11,'Enter (Vac BFs TrCl MB'!$F$6:$AJ$6,FALSE))))</f>
        <v/>
      </c>
      <c r="M34" s="155" t="str">
        <f>IF(ISERROR(INDEX('Enter (Vac BFs TrCl MB'!$F$7:$AJ$37,MATCH(REGENT!$B34,'Enter (Vac BFs TrCl MB'!$D$7:$D$37,FALSE),MATCH(REGENT!M$11,'Enter (Vac BFs TrCl MB'!$F$6:$AJ$6,FALSE))),"",(INDEX('Enter (Vac BFs TrCl MB'!$F$7:$AJ$37,MATCH(REGENT!$B34,'Enter (Vac BFs TrCl MB'!$D$7:$D$37,FALSE),MATCH(REGENT!M$11,'Enter (Vac BFs TrCl MB'!$F$6:$AJ$6,FALSE))))</f>
        <v/>
      </c>
      <c r="N34" s="155" t="str">
        <f>IF(ISERROR(INDEX('Enter (Vac BFs TrCl MB'!$F$7:$AJ$37,MATCH(REGENT!$B34,'Enter (Vac BFs TrCl MB'!$D$7:$D$37,FALSE),MATCH(REGENT!N$11,'Enter (Vac BFs TrCl MB'!$F$6:$AJ$6,FALSE))),"",(INDEX('Enter (Vac BFs TrCl MB'!$F$7:$AJ$37,MATCH(REGENT!$B34,'Enter (Vac BFs TrCl MB'!$D$7:$D$37,FALSE),MATCH(REGENT!N$11,'Enter (Vac BFs TrCl MB'!$F$6:$AJ$6,FALSE))))</f>
        <v/>
      </c>
      <c r="O34" s="155" t="str">
        <f>IF(ISERROR(INDEX('Enter (Vac BFs TrCl MB'!$F$7:$AJ$37,MATCH(REGENT!$B34,'Enter (Vac BFs TrCl MB'!$D$7:$D$37,FALSE),MATCH(REGENT!O$11,'Enter (Vac BFs TrCl MB'!$F$6:$AJ$6,FALSE))),"",(INDEX('Enter (Vac BFs TrCl MB'!$F$7:$AJ$37,MATCH(REGENT!$B34,'Enter (Vac BFs TrCl MB'!$D$7:$D$37,FALSE),MATCH(REGENT!O$11,'Enter (Vac BFs TrCl MB'!$F$6:$AJ$6,FALSE))))</f>
        <v/>
      </c>
      <c r="P34" s="155" t="str">
        <f>IF(ISERROR(INDEX('Enter (Vac BFs TrCl MB'!$F$7:$AJ$37,MATCH(REGENT!$B34,'Enter (Vac BFs TrCl MB'!$D$7:$D$37,FALSE),MATCH(REGENT!P$11,'Enter (Vac BFs TrCl MB'!$F$6:$AJ$6,FALSE))),"",(INDEX('Enter (Vac BFs TrCl MB'!$F$7:$AJ$37,MATCH(REGENT!$B34,'Enter (Vac BFs TrCl MB'!$D$7:$D$37,FALSE),MATCH(REGENT!P$11,'Enter (Vac BFs TrCl MB'!$F$6:$AJ$6,FALSE))))</f>
        <v/>
      </c>
      <c r="Q34" s="155" t="str">
        <f>IF(ISERROR(INDEX('Enter (Vac BFs TrCl MB'!$F$7:$AJ$37,MATCH(REGENT!$B34,'Enter (Vac BFs TrCl MB'!$D$7:$D$37,FALSE),MATCH(REGENT!Q$11,'Enter (Vac BFs TrCl MB'!$F$6:$AJ$6,FALSE))),"",(INDEX('Enter (Vac BFs TrCl MB'!$F$7:$AJ$37,MATCH(REGENT!$B34,'Enter (Vac BFs TrCl MB'!$D$7:$D$37,FALSE),MATCH(REGENT!Q$11,'Enter (Vac BFs TrCl MB'!$F$6:$AJ$6,FALSE))))</f>
        <v/>
      </c>
      <c r="R34" s="156" t="str">
        <f>IF(ISERROR(INDEX('Enter (Vac BFs TrCl MB'!$F$7:$AJ$37,MATCH(REGENT!$B34,'Enter (Vac BFs TrCl MB'!$D$7:$D$37,FALSE),MATCH(REGENT!R$11,'Enter (Vac BFs TrCl MB'!$F$6:$AJ$6,FALSE))),"",(INDEX('Enter (Vac BFs TrCl MB'!$F$7:$AJ$37,MATCH(REGENT!$B34,'Enter (Vac BFs TrCl MB'!$D$7:$D$37,FALSE),MATCH(REGENT!R$11,'Enter (Vac BFs TrCl MB'!$F$6:$AJ$6,FALSE))))</f>
        <v/>
      </c>
      <c r="S34" s="810"/>
      <c r="T34" s="113"/>
      <c r="U34" s="155" t="str">
        <f>IF(ISERROR(INDEX('Enter (Vac BFs TrCl MB'!$F$7:$AJ$37,MATCH(REGENT!$B34,'Enter (Vac BFs TrCl MB'!$D$7:$D$37,FALSE),MATCH(REGENT!U$11,'Enter (Vac BFs TrCl MB'!$F$6:$AJ$6,FALSE))),"",(INDEX('Enter (Vac BFs TrCl MB'!$F$7:$AJ$37,MATCH(REGENT!$B34,'Enter (Vac BFs TrCl MB'!$D$7:$D$37,FALSE),MATCH(REGENT!U$11,'Enter (Vac BFs TrCl MB'!$F$6:$AJ$6,FALSE))))</f>
        <v/>
      </c>
      <c r="V34" s="155" t="str">
        <f>IF(ISERROR(INDEX('Enter (Vac BFs TrCl MB'!$F$7:$AJ$37,MATCH(REGENT!$B34,'Enter (Vac BFs TrCl MB'!$D$7:$D$37,FALSE),MATCH(REGENT!V$11,'Enter (Vac BFs TrCl MB'!$F$6:$AJ$6,FALSE))),"",(INDEX('Enter (Vac BFs TrCl MB'!$F$7:$AJ$37,MATCH(REGENT!$B34,'Enter (Vac BFs TrCl MB'!$D$7:$D$37,FALSE),MATCH(REGENT!V$11,'Enter (Vac BFs TrCl MB'!$F$6:$AJ$6,FALSE))))</f>
        <v/>
      </c>
      <c r="W34" s="155" t="str">
        <f>IF(ISERROR(INDEX('Enter (Vac BFs TrCl MB'!$F$7:$AJ$37,MATCH(REGENT!$B34,'Enter (Vac BFs TrCl MB'!$D$7:$D$37,FALSE),MATCH(REGENT!W$11,'Enter (Vac BFs TrCl MB'!$F$6:$AJ$6,FALSE))),"",(INDEX('Enter (Vac BFs TrCl MB'!$F$7:$AJ$37,MATCH(REGENT!$B34,'Enter (Vac BFs TrCl MB'!$D$7:$D$37,FALSE),MATCH(REGENT!W$11,'Enter (Vac BFs TrCl MB'!$F$6:$AJ$6,FALSE))))</f>
        <v/>
      </c>
      <c r="X34" s="155" t="str">
        <f>IF(ISERROR(INDEX('Enter (Vac BFs TrCl MB'!$F$7:$AJ$37,MATCH(REGENT!$B34,'Enter (Vac BFs TrCl MB'!$D$7:$D$37,FALSE),MATCH(REGENT!X$11,'Enter (Vac BFs TrCl MB'!$F$6:$AJ$6,FALSE))),"",(INDEX('Enter (Vac BFs TrCl MB'!$F$7:$AJ$37,MATCH(REGENT!$B34,'Enter (Vac BFs TrCl MB'!$D$7:$D$37,FALSE),MATCH(REGENT!X$11,'Enter (Vac BFs TrCl MB'!$F$6:$AJ$6,FALSE))))</f>
        <v/>
      </c>
      <c r="Y34" s="155" t="str">
        <f>IF(ISERROR(INDEX('Enter (Vac BFs TrCl MB'!$F$7:$AJ$37,MATCH(REGENT!$B34,'Enter (Vac BFs TrCl MB'!$D$7:$D$37,FALSE),MATCH(REGENT!Y$11,'Enter (Vac BFs TrCl MB'!$F$6:$AJ$6,FALSE))),"",(INDEX('Enter (Vac BFs TrCl MB'!$F$7:$AJ$37,MATCH(REGENT!$B34,'Enter (Vac BFs TrCl MB'!$D$7:$D$37,FALSE),MATCH(REGENT!Y$11,'Enter (Vac BFs TrCl MB'!$F$6:$AJ$6,FALSE))))</f>
        <v/>
      </c>
      <c r="Z34" s="155" t="str">
        <f>IF(ISERROR(INDEX('Enter (Vac BFs TrCl MB'!$F$7:$AJ$37,MATCH(REGENT!$B34,'Enter (Vac BFs TrCl MB'!$D$7:$D$37,FALSE),MATCH(REGENT!Z$11,'Enter (Vac BFs TrCl MB'!$F$6:$AJ$6,FALSE))),"",(INDEX('Enter (Vac BFs TrCl MB'!$F$7:$AJ$37,MATCH(REGENT!$B34,'Enter (Vac BFs TrCl MB'!$D$7:$D$37,FALSE),MATCH(REGENT!Z$11,'Enter (Vac BFs TrCl MB'!$F$6:$AJ$6,FALSE))))</f>
        <v/>
      </c>
      <c r="AA34" s="156" t="str">
        <f>IF(ISERROR(INDEX('Enter (Vac BFs TrCl MB'!$F$7:$AJ$37,MATCH(REGENT!$B34,'Enter (Vac BFs TrCl MB'!$D$7:$D$37,FALSE),MATCH(REGENT!AA$11,'Enter (Vac BFs TrCl MB'!$F$6:$AJ$6,FALSE))),"",(INDEX('Enter (Vac BFs TrCl MB'!$F$7:$AJ$37,MATCH(REGENT!$B34,'Enter (Vac BFs TrCl MB'!$D$7:$D$37,FALSE),MATCH(REGENT!AA$11,'Enter (Vac BFs TrCl MB'!$F$6:$AJ$6,FALSE))))</f>
        <v/>
      </c>
    </row>
    <row r="35" spans="2:27" ht="14.65" thickBot="1">
      <c r="B35" s="781"/>
      <c r="C35" s="781"/>
      <c r="D35" s="781"/>
      <c r="E35" s="781"/>
      <c r="F35" s="781"/>
      <c r="G35" s="781"/>
      <c r="H35" s="781"/>
      <c r="I35" s="781"/>
      <c r="J35" s="781"/>
      <c r="K35" s="781"/>
      <c r="L35" s="781"/>
      <c r="M35" s="781"/>
      <c r="N35" s="781"/>
      <c r="O35" s="781"/>
      <c r="P35" s="781"/>
      <c r="Q35" s="781"/>
      <c r="R35" s="781"/>
      <c r="S35" s="781"/>
      <c r="T35" s="781"/>
      <c r="U35" s="781"/>
      <c r="V35" s="781"/>
      <c r="W35" s="781"/>
      <c r="X35" s="781"/>
      <c r="Y35" s="781"/>
      <c r="Z35" s="781"/>
      <c r="AA35" s="781"/>
    </row>
    <row r="36" spans="2:27" ht="17.2" customHeight="1">
      <c r="B36" s="782" t="str">
        <f>IF('Enter Projections'!A1,"Événements
spéciaux","Special
Events")</f>
        <v>Special
Events</v>
      </c>
      <c r="C36" s="108"/>
      <c r="D36" s="108"/>
      <c r="E36" s="108"/>
      <c r="F36" s="108"/>
      <c r="G36" s="108"/>
      <c r="H36" s="108"/>
      <c r="I36" s="109"/>
      <c r="J36" s="781"/>
      <c r="K36" s="782" t="str">
        <f>IF('Enter Projections'!A1,"Événements
spéciaux","Special
Events")</f>
        <v>Special
Events</v>
      </c>
      <c r="L36" s="108"/>
      <c r="M36" s="108"/>
      <c r="N36" s="108" t="s">
        <v>226</v>
      </c>
      <c r="O36" s="108"/>
      <c r="P36" s="108"/>
      <c r="Q36" s="108"/>
      <c r="R36" s="109"/>
      <c r="S36" s="781"/>
      <c r="T36" s="785" t="s">
        <v>38</v>
      </c>
      <c r="U36" s="786"/>
      <c r="V36" s="786"/>
      <c r="W36" s="786"/>
      <c r="X36" s="786"/>
      <c r="Y36" s="786"/>
      <c r="Z36" s="786"/>
      <c r="AA36" s="787"/>
    </row>
    <row r="37" spans="2:27" ht="15">
      <c r="B37" s="783"/>
      <c r="C37" s="95"/>
      <c r="D37" s="95"/>
      <c r="E37" s="95"/>
      <c r="F37" s="95"/>
      <c r="G37" s="95"/>
      <c r="H37" s="95"/>
      <c r="I37" s="110"/>
      <c r="J37" s="781"/>
      <c r="K37" s="783"/>
      <c r="L37" s="95"/>
      <c r="M37" s="95"/>
      <c r="N37" s="95"/>
      <c r="O37" s="95"/>
      <c r="P37" s="95"/>
      <c r="Q37" s="95"/>
      <c r="R37" s="110"/>
      <c r="S37" s="781"/>
      <c r="T37" s="280" t="s">
        <v>39</v>
      </c>
      <c r="U37" s="278" t="s">
        <v>40</v>
      </c>
      <c r="V37" s="788" t="s">
        <v>41</v>
      </c>
      <c r="W37" s="788"/>
      <c r="X37" s="788"/>
      <c r="Y37" s="788"/>
      <c r="Z37" s="788"/>
      <c r="AA37" s="789"/>
    </row>
    <row r="38" spans="2:27" ht="15.4">
      <c r="B38" s="103" t="str">
        <f>IF('Enter (Vac BFs TrCl MB'!$D32=0,"",'Enter (Vac BFs TrCl MB'!$D32)</f>
        <v/>
      </c>
      <c r="C38" s="90" t="str">
        <f>IF(ISERROR(INDEX('Enter (Vac BFs TrCl MB'!$F$7:$AJ$37,MATCH(REGENT!$B7,'Enter (Vac BFs TrCl MB'!$D$7:$D$37,FALSE),MATCH(REGENT!C$42,'Enter (Vac BFs TrCl MB'!$F$6:$AJ$6,FALSE))),"",(INDEX('Enter (Vac BFs TrCl MB'!$F$7:$AJ$37,MATCH(REGENT!$B7,'Enter (Vac BFs TrCl MB'!$D$7:$D$37,FALSE),MATCH(REGENT!C$42,'Enter (Vac BFs TrCl MB'!$F$6:$AJ$6,FALSE))))</f>
        <v/>
      </c>
      <c r="D38" s="90" t="str">
        <f>IF(ISERROR(INDEX('Enter (Vac BFs TrCl MB'!$F$7:$AJ$37,MATCH(REGENT!$B7,'Enter (Vac BFs TrCl MB'!$D$7:$D$37,FALSE),MATCH(REGENT!D$42,'Enter (Vac BFs TrCl MB'!$F$6:$AJ$6,FALSE))),"",(INDEX('Enter (Vac BFs TrCl MB'!$F$7:$AJ$37,MATCH(REGENT!$B7,'Enter (Vac BFs TrCl MB'!$D$7:$D$37,FALSE),MATCH(REGENT!D$42,'Enter (Vac BFs TrCl MB'!$F$6:$AJ$6,FALSE))))</f>
        <v/>
      </c>
      <c r="E38" s="90" t="str">
        <f>IF(ISERROR(INDEX('Enter (Vac BFs TrCl MB'!$F$7:$AJ$37,MATCH(REGENT!$B7,'Enter (Vac BFs TrCl MB'!$D$7:$D$37,FALSE),MATCH(REGENT!E$42,'Enter (Vac BFs TrCl MB'!$F$6:$AJ$6,FALSE))),"",(INDEX('Enter (Vac BFs TrCl MB'!$F$7:$AJ$37,MATCH(REGENT!$B7,'Enter (Vac BFs TrCl MB'!$D$7:$D$37,FALSE),MATCH(REGENT!E$42,'Enter (Vac BFs TrCl MB'!$F$6:$AJ$6,FALSE))))</f>
        <v/>
      </c>
      <c r="F38" s="90" t="str">
        <f>IF(ISERROR(INDEX('Enter (Vac BFs TrCl MB'!$F$7:$AJ$37,MATCH(REGENT!$B7,'Enter (Vac BFs TrCl MB'!$D$7:$D$37,FALSE),MATCH(REGENT!F$42,'Enter (Vac BFs TrCl MB'!$F$6:$AJ$6,FALSE))),"",(INDEX('Enter (Vac BFs TrCl MB'!$F$7:$AJ$37,MATCH(REGENT!$B7,'Enter (Vac BFs TrCl MB'!$D$7:$D$37,FALSE),MATCH(REGENT!F$42,'Enter (Vac BFs TrCl MB'!$F$6:$AJ$6,FALSE))))</f>
        <v/>
      </c>
      <c r="G38" s="90" t="str">
        <f>IF(ISERROR(INDEX('Enter (Vac BFs TrCl MB'!$F$7:$AJ$37,MATCH(REGENT!$B7,'Enter (Vac BFs TrCl MB'!$D$7:$D$37,FALSE),MATCH(REGENT!G$42,'Enter (Vac BFs TrCl MB'!$F$6:$AJ$6,FALSE))),"",(INDEX('Enter (Vac BFs TrCl MB'!$F$7:$AJ$37,MATCH(REGENT!$B7,'Enter (Vac BFs TrCl MB'!$D$7:$D$37,FALSE),MATCH(REGENT!G$42,'Enter (Vac BFs TrCl MB'!$F$6:$AJ$6,FALSE))))</f>
        <v/>
      </c>
      <c r="H38" s="90" t="str">
        <f>IF(ISERROR(INDEX('Enter (Vac BFs TrCl MB'!$F$7:$AJ$37,MATCH(REGENT!$B7,'Enter (Vac BFs TrCl MB'!$D$7:$D$37,FALSE),MATCH(REGENT!H$42,'Enter (Vac BFs TrCl MB'!$F$6:$AJ$6,FALSE))),"",(INDEX('Enter (Vac BFs TrCl MB'!$F$7:$AJ$37,MATCH(REGENT!$B7,'Enter (Vac BFs TrCl MB'!$D$7:$D$37,FALSE),MATCH(REGENT!H$42,'Enter (Vac BFs TrCl MB'!$F$6:$AJ$6,FALSE))))</f>
        <v/>
      </c>
      <c r="I38" s="102" t="str">
        <f>IF(ISERROR(INDEX('Enter (Vac BFs TrCl MB'!$F$7:$AJ$37,MATCH(REGENT!$B7,'Enter (Vac BFs TrCl MB'!$D$7:$D$37,FALSE),MATCH(REGENT!I$42,'Enter (Vac BFs TrCl MB'!$F$6:$AJ$6,FALSE))),"",(INDEX('Enter (Vac BFs TrCl MB'!$F$7:$AJ$37,MATCH(REGENT!$B7,'Enter (Vac BFs TrCl MB'!$D$7:$D$37,FALSE),MATCH(REGENT!I$42,'Enter (Vac BFs TrCl MB'!$F$6:$AJ$6,FALSE))))</f>
        <v/>
      </c>
      <c r="J38" s="781"/>
      <c r="K38" s="103" t="str">
        <f>IF('Enter (Vac BFs TrCl MB'!$D32=0,"",'Enter (Vac BFs TrCl MB'!$D32)</f>
        <v/>
      </c>
      <c r="L38" s="90" t="str">
        <f>IF(ISERROR(INDEX('Enter (Vac BFs TrCl MB'!$F$7:$AP$37,MATCH(REGENT!$B7,'Enter (Vac BFs TrCl MB'!$D$7:$D$37,FALSE),MATCH(REGENT!L$42,'Enter (Vac BFs TrCl MB'!$F$6:$AP$6,FALSE))),"",(INDEX('Enter (Vac BFs TrCl MB'!$F$7:$AP$37,MATCH(REGENT!$B7,'Enter (Vac BFs TrCl MB'!$D$7:$D$37,FALSE),MATCH(REGENT!L$42,'Enter (Vac BFs TrCl MB'!$F$6:$AP$6,FALSE))))</f>
        <v/>
      </c>
      <c r="M38" s="90" t="str">
        <f>IF(ISERROR(INDEX('Enter (Vac BFs TrCl MB'!$F$7:$AP$37,MATCH(REGENT!$B7,'Enter (Vac BFs TrCl MB'!$D$7:$D$37,FALSE),MATCH(REGENT!M$42,'Enter (Vac BFs TrCl MB'!$F$6:$AP$6,FALSE))),"",(INDEX('Enter (Vac BFs TrCl MB'!$F$7:$AP$37,MATCH(REGENT!$B7,'Enter (Vac BFs TrCl MB'!$D$7:$D$37,FALSE),MATCH(REGENT!M$42,'Enter (Vac BFs TrCl MB'!$F$6:$AP$6,FALSE))))</f>
        <v/>
      </c>
      <c r="N38" s="90" t="str">
        <f>IF(ISERROR(INDEX('Enter (Vac BFs TrCl MB'!$F$7:$AP$37,MATCH(REGENT!$B7,'Enter (Vac BFs TrCl MB'!$D$7:$D$37,FALSE),MATCH(REGENT!N$42,'Enter (Vac BFs TrCl MB'!$F$6:$AP$6,FALSE))),"",(INDEX('Enter (Vac BFs TrCl MB'!$F$7:$AP$37,MATCH(REGENT!$B7,'Enter (Vac BFs TrCl MB'!$D$7:$D$37,FALSE),MATCH(REGENT!N$42,'Enter (Vac BFs TrCl MB'!$F$6:$AP$6,FALSE))))</f>
        <v/>
      </c>
      <c r="O38" s="90" t="str">
        <f>IF(ISERROR(INDEX('Enter (Vac BFs TrCl MB'!$F$7:$AP$37,MATCH(REGENT!$B7,'Enter (Vac BFs TrCl MB'!$D$7:$D$37,FALSE),MATCH(REGENT!O$42,'Enter (Vac BFs TrCl MB'!$F$6:$AP$6,FALSE))),"",(INDEX('Enter (Vac BFs TrCl MB'!$F$7:$AP$37,MATCH(REGENT!$B7,'Enter (Vac BFs TrCl MB'!$D$7:$D$37,FALSE),MATCH(REGENT!O$42,'Enter (Vac BFs TrCl MB'!$F$6:$AP$6,FALSE))))</f>
        <v/>
      </c>
      <c r="P38" s="90" t="str">
        <f>IF(ISERROR(INDEX('Enter (Vac BFs TrCl MB'!$F$7:$AP$37,MATCH(REGENT!$B7,'Enter (Vac BFs TrCl MB'!$D$7:$D$37,FALSE),MATCH(REGENT!P$42,'Enter (Vac BFs TrCl MB'!$F$6:$AP$6,FALSE))),"",(INDEX('Enter (Vac BFs TrCl MB'!$F$7:$AP$37,MATCH(REGENT!$B7,'Enter (Vac BFs TrCl MB'!$D$7:$D$37,FALSE),MATCH(REGENT!P$42,'Enter (Vac BFs TrCl MB'!$F$6:$AP$6,FALSE))))</f>
        <v/>
      </c>
      <c r="Q38" s="90" t="str">
        <f>IF(ISERROR(INDEX('Enter (Vac BFs TrCl MB'!$F$7:$AP$37,MATCH(REGENT!$B7,'Enter (Vac BFs TrCl MB'!$D$7:$D$37,FALSE),MATCH(REGENT!Q$42,'Enter (Vac BFs TrCl MB'!$F$6:$AP$6,FALSE))),"",(INDEX('Enter (Vac BFs TrCl MB'!$F$7:$AP$37,MATCH(REGENT!$B7,'Enter (Vac BFs TrCl MB'!$D$7:$D$37,FALSE),MATCH(REGENT!Q$42,'Enter (Vac BFs TrCl MB'!$F$6:$AP$6,FALSE))))</f>
        <v/>
      </c>
      <c r="R38" s="102" t="str">
        <f>IF(ISERROR(INDEX('Enter (Vac BFs TrCl MB'!$F$7:$AP$37,MATCH(REGENT!$B7,'Enter (Vac BFs TrCl MB'!$D$7:$D$37,FALSE),MATCH(REGENT!R$42,'Enter (Vac BFs TrCl MB'!$F$6:$AP$6,FALSE))),"",(INDEX('Enter (Vac BFs TrCl MB'!$F$7:$AP$37,MATCH(REGENT!$B7,'Enter (Vac BFs TrCl MB'!$D$7:$D$37,FALSE),MATCH(REGENT!R$42,'Enter (Vac BFs TrCl MB'!$F$6:$AP$6,FALSE))))</f>
        <v/>
      </c>
      <c r="S38" s="781"/>
      <c r="T38" s="634">
        <v>45320</v>
      </c>
      <c r="U38" s="279"/>
      <c r="V38" s="790" t="s">
        <v>161</v>
      </c>
      <c r="W38" s="790"/>
      <c r="X38" s="790"/>
      <c r="Y38" s="790"/>
      <c r="Z38" s="790"/>
      <c r="AA38" s="791"/>
    </row>
    <row r="39" spans="2:27" ht="15.4">
      <c r="B39" s="103" t="str">
        <f>IF('Enter (Vac BFs TrCl MB'!$D33=0,"",'Enter (Vac BFs TrCl MB'!$D33)</f>
        <v>SHAKE</v>
      </c>
      <c r="C39" s="90">
        <f>IF(ISERROR(INDEX('Enter (Vac BFs TrCl MB'!$F$7:$AJ$37,MATCH(REGENT!$B8,'Enter (Vac BFs TrCl MB'!$D$7:$D$37,FALSE),MATCH(REGENT!C$42,'Enter (Vac BFs TrCl MB'!$F$6:$AJ$6,FALSE))),"",(INDEX('Enter (Vac BFs TrCl MB'!$F$7:$AJ$37,MATCH(REGENT!$B8,'Enter (Vac BFs TrCl MB'!$D$7:$D$37,FALSE),MATCH(REGENT!C$42,'Enter (Vac BFs TrCl MB'!$F$6:$AJ$6,FALSE))))</f>
        <v>0</v>
      </c>
      <c r="D39" s="90">
        <f>IF(ISERROR(INDEX('Enter (Vac BFs TrCl MB'!$F$7:$AJ$37,MATCH(REGENT!$B8,'Enter (Vac BFs TrCl MB'!$D$7:$D$37,FALSE),MATCH(REGENT!D$42,'Enter (Vac BFs TrCl MB'!$F$6:$AJ$6,FALSE))),"",(INDEX('Enter (Vac BFs TrCl MB'!$F$7:$AJ$37,MATCH(REGENT!$B8,'Enter (Vac BFs TrCl MB'!$D$7:$D$37,FALSE),MATCH(REGENT!D$42,'Enter (Vac BFs TrCl MB'!$F$6:$AJ$6,FALSE))))</f>
        <v>0</v>
      </c>
      <c r="E39" s="90">
        <f>IF(ISERROR(INDEX('Enter (Vac BFs TrCl MB'!$F$7:$AJ$37,MATCH(REGENT!$B8,'Enter (Vac BFs TrCl MB'!$D$7:$D$37,FALSE),MATCH(REGENT!E$42,'Enter (Vac BFs TrCl MB'!$F$6:$AJ$6,FALSE))),"",(INDEX('Enter (Vac BFs TrCl MB'!$F$7:$AJ$37,MATCH(REGENT!$B8,'Enter (Vac BFs TrCl MB'!$D$7:$D$37,FALSE),MATCH(REGENT!E$42,'Enter (Vac BFs TrCl MB'!$F$6:$AJ$6,FALSE))))</f>
        <v>0</v>
      </c>
      <c r="F39" s="90">
        <f>IF(ISERROR(INDEX('Enter (Vac BFs TrCl MB'!$F$7:$AJ$37,MATCH(REGENT!$B8,'Enter (Vac BFs TrCl MB'!$D$7:$D$37,FALSE),MATCH(REGENT!F$42,'Enter (Vac BFs TrCl MB'!$F$6:$AJ$6,FALSE))),"",(INDEX('Enter (Vac BFs TrCl MB'!$F$7:$AJ$37,MATCH(REGENT!$B8,'Enter (Vac BFs TrCl MB'!$D$7:$D$37,FALSE),MATCH(REGENT!F$42,'Enter (Vac BFs TrCl MB'!$F$6:$AJ$6,FALSE))))</f>
        <v>0</v>
      </c>
      <c r="G39" s="90">
        <f>IF(ISERROR(INDEX('Enter (Vac BFs TrCl MB'!$F$7:$AJ$37,MATCH(REGENT!$B8,'Enter (Vac BFs TrCl MB'!$D$7:$D$37,FALSE),MATCH(REGENT!G$42,'Enter (Vac BFs TrCl MB'!$F$6:$AJ$6,FALSE))),"",(INDEX('Enter (Vac BFs TrCl MB'!$F$7:$AJ$37,MATCH(REGENT!$B8,'Enter (Vac BFs TrCl MB'!$D$7:$D$37,FALSE),MATCH(REGENT!G$42,'Enter (Vac BFs TrCl MB'!$F$6:$AJ$6,FALSE))))</f>
        <v>0</v>
      </c>
      <c r="H39" s="90">
        <f>IF(ISERROR(INDEX('Enter (Vac BFs TrCl MB'!$F$7:$AJ$37,MATCH(REGENT!$B8,'Enter (Vac BFs TrCl MB'!$D$7:$D$37,FALSE),MATCH(REGENT!H$42,'Enter (Vac BFs TrCl MB'!$F$6:$AJ$6,FALSE))),"",(INDEX('Enter (Vac BFs TrCl MB'!$F$7:$AJ$37,MATCH(REGENT!$B8,'Enter (Vac BFs TrCl MB'!$D$7:$D$37,FALSE),MATCH(REGENT!H$42,'Enter (Vac BFs TrCl MB'!$F$6:$AJ$6,FALSE))))</f>
        <v>0</v>
      </c>
      <c r="I39" s="102">
        <f>IF(ISERROR(INDEX('Enter (Vac BFs TrCl MB'!$F$7:$AJ$37,MATCH(REGENT!$B8,'Enter (Vac BFs TrCl MB'!$D$7:$D$37,FALSE),MATCH(REGENT!I$42,'Enter (Vac BFs TrCl MB'!$F$6:$AJ$6,FALSE))),"",(INDEX('Enter (Vac BFs TrCl MB'!$F$7:$AJ$37,MATCH(REGENT!$B8,'Enter (Vac BFs TrCl MB'!$D$7:$D$37,FALSE),MATCH(REGENT!I$42,'Enter (Vac BFs TrCl MB'!$F$6:$AJ$6,FALSE))))</f>
        <v>0</v>
      </c>
      <c r="J39" s="781"/>
      <c r="K39" s="103" t="str">
        <f>IF('Enter (Vac BFs TrCl MB'!$D33=0,"",'Enter (Vac BFs TrCl MB'!$D33)</f>
        <v>SHAKE</v>
      </c>
      <c r="L39" s="90">
        <f>IF(ISERROR(INDEX('Enter (Vac BFs TrCl MB'!$F$7:$AP$37,MATCH(REGENT!$B8,'Enter (Vac BFs TrCl MB'!$D$7:$D$37,FALSE),MATCH(REGENT!L$42,'Enter (Vac BFs TrCl MB'!$F$6:$AP$6,FALSE))),"",(INDEX('Enter (Vac BFs TrCl MB'!$F$7:$AP$37,MATCH(REGENT!$B8,'Enter (Vac BFs TrCl MB'!$D$7:$D$37,FALSE),MATCH(REGENT!L$42,'Enter (Vac BFs TrCl MB'!$F$6:$AP$6,FALSE))))</f>
        <v>0</v>
      </c>
      <c r="M39" s="90">
        <f>IF(ISERROR(INDEX('Enter (Vac BFs TrCl MB'!$F$7:$AP$37,MATCH(REGENT!$B8,'Enter (Vac BFs TrCl MB'!$D$7:$D$37,FALSE),MATCH(REGENT!M$42,'Enter (Vac BFs TrCl MB'!$F$6:$AP$6,FALSE))),"",(INDEX('Enter (Vac BFs TrCl MB'!$F$7:$AP$37,MATCH(REGENT!$B8,'Enter (Vac BFs TrCl MB'!$D$7:$D$37,FALSE),MATCH(REGENT!M$42,'Enter (Vac BFs TrCl MB'!$F$6:$AP$6,FALSE))))</f>
        <v>0</v>
      </c>
      <c r="N39" s="90" t="str">
        <f>IF(ISERROR(INDEX('Enter (Vac BFs TrCl MB'!$F$7:$AP$37,MATCH(REGENT!$B8,'Enter (Vac BFs TrCl MB'!$D$7:$D$37,FALSE),MATCH(REGENT!N$42,'Enter (Vac BFs TrCl MB'!$F$6:$AP$6,FALSE))),"",(INDEX('Enter (Vac BFs TrCl MB'!$F$7:$AP$37,MATCH(REGENT!$B8,'Enter (Vac BFs TrCl MB'!$D$7:$D$37,FALSE),MATCH(REGENT!N$42,'Enter (Vac BFs TrCl MB'!$F$6:$AP$6,FALSE))))</f>
        <v>CYC</v>
      </c>
      <c r="O39" s="90">
        <f>IF(ISERROR(INDEX('Enter (Vac BFs TrCl MB'!$F$7:$AP$37,MATCH(REGENT!$B8,'Enter (Vac BFs TrCl MB'!$D$7:$D$37,FALSE),MATCH(REGENT!O$42,'Enter (Vac BFs TrCl MB'!$F$6:$AP$6,FALSE))),"",(INDEX('Enter (Vac BFs TrCl MB'!$F$7:$AP$37,MATCH(REGENT!$B8,'Enter (Vac BFs TrCl MB'!$D$7:$D$37,FALSE),MATCH(REGENT!O$42,'Enter (Vac BFs TrCl MB'!$F$6:$AP$6,FALSE))))</f>
        <v>0</v>
      </c>
      <c r="P39" s="90" t="str">
        <f>IF(ISERROR(INDEX('Enter (Vac BFs TrCl MB'!$F$7:$AP$37,MATCH(REGENT!$B8,'Enter (Vac BFs TrCl MB'!$D$7:$D$37,FALSE),MATCH(REGENT!P$42,'Enter (Vac BFs TrCl MB'!$F$6:$AP$6,FALSE))),"",(INDEX('Enter (Vac BFs TrCl MB'!$F$7:$AP$37,MATCH(REGENT!$B8,'Enter (Vac BFs TrCl MB'!$D$7:$D$37,FALSE),MATCH(REGENT!P$42,'Enter (Vac BFs TrCl MB'!$F$6:$AP$6,FALSE))))</f>
        <v>CYC</v>
      </c>
      <c r="Q39" s="90">
        <f>IF(ISERROR(INDEX('Enter (Vac BFs TrCl MB'!$F$7:$AP$37,MATCH(REGENT!$B8,'Enter (Vac BFs TrCl MB'!$D$7:$D$37,FALSE),MATCH(REGENT!Q$42,'Enter (Vac BFs TrCl MB'!$F$6:$AP$6,FALSE))),"",(INDEX('Enter (Vac BFs TrCl MB'!$F$7:$AP$37,MATCH(REGENT!$B8,'Enter (Vac BFs TrCl MB'!$D$7:$D$37,FALSE),MATCH(REGENT!Q$42,'Enter (Vac BFs TrCl MB'!$F$6:$AP$6,FALSE))))</f>
        <v>0</v>
      </c>
      <c r="R39" s="102" t="str">
        <f>IF(ISERROR(INDEX('Enter (Vac BFs TrCl MB'!$F$7:$AP$37,MATCH(REGENT!$B8,'Enter (Vac BFs TrCl MB'!$D$7:$D$37,FALSE),MATCH(REGENT!R$42,'Enter (Vac BFs TrCl MB'!$F$6:$AP$6,FALSE))),"",(INDEX('Enter (Vac BFs TrCl MB'!$F$7:$AP$37,MATCH(REGENT!$B8,'Enter (Vac BFs TrCl MB'!$D$7:$D$37,FALSE),MATCH(REGENT!R$42,'Enter (Vac BFs TrCl MB'!$F$6:$AP$6,FALSE))))</f>
        <v>WK</v>
      </c>
      <c r="S39" s="781"/>
      <c r="T39" s="634">
        <v>45320</v>
      </c>
      <c r="U39" s="279"/>
      <c r="V39" s="790" t="s">
        <v>162</v>
      </c>
      <c r="W39" s="790"/>
      <c r="X39" s="790"/>
      <c r="Y39" s="790"/>
      <c r="Z39" s="790"/>
      <c r="AA39" s="791"/>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105" t="str">
        <f>Planner!K59</f>
        <v/>
      </c>
      <c r="J40" s="781"/>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105" t="str">
        <f>Planner!K71</f>
        <v/>
      </c>
      <c r="S40" s="781"/>
      <c r="T40" s="635">
        <v>45321</v>
      </c>
      <c r="U40" s="275"/>
      <c r="V40" s="792" t="s">
        <v>163</v>
      </c>
      <c r="W40" s="792"/>
      <c r="X40" s="792"/>
      <c r="Y40" s="792"/>
      <c r="Z40" s="792"/>
      <c r="AA40" s="793"/>
    </row>
    <row r="41" spans="2:27" ht="15.4">
      <c r="B41" s="104" t="str">
        <f>IF('Enter Projections'!$A$1,"NC","G.C.")</f>
        <v>G.C.</v>
      </c>
      <c r="C41" s="92" t="str">
        <f>Planner!E60</f>
        <v/>
      </c>
      <c r="D41" s="92" t="str">
        <f>Planner!F60</f>
        <v/>
      </c>
      <c r="E41" s="92" t="str">
        <f>Planner!G60</f>
        <v/>
      </c>
      <c r="F41" s="92" t="str">
        <f>Planner!H60</f>
        <v/>
      </c>
      <c r="G41" s="92" t="str">
        <f>Planner!I60</f>
        <v/>
      </c>
      <c r="H41" s="92" t="str">
        <f>Planner!J60</f>
        <v/>
      </c>
      <c r="I41" s="106" t="str">
        <f>Planner!K60</f>
        <v/>
      </c>
      <c r="J41" s="781"/>
      <c r="K41" s="104" t="str">
        <f>IF('Enter Projections'!$A$1,"NC","G.C.")</f>
        <v>G.C.</v>
      </c>
      <c r="L41" s="92" t="str">
        <f>Planner!E72</f>
        <v/>
      </c>
      <c r="M41" s="92" t="str">
        <f>Planner!F72</f>
        <v/>
      </c>
      <c r="N41" s="92" t="str">
        <f>Planner!G72</f>
        <v/>
      </c>
      <c r="O41" s="92" t="str">
        <f>Planner!H72</f>
        <v/>
      </c>
      <c r="P41" s="92" t="str">
        <f>Planner!I72</f>
        <v/>
      </c>
      <c r="Q41" s="92" t="str">
        <f>Planner!J72</f>
        <v/>
      </c>
      <c r="R41" s="106" t="str">
        <f>Planner!K72</f>
        <v/>
      </c>
      <c r="S41" s="781"/>
      <c r="T41" s="635">
        <v>45322</v>
      </c>
      <c r="U41" s="275"/>
      <c r="V41" s="792" t="s">
        <v>164</v>
      </c>
      <c r="W41" s="792"/>
      <c r="X41" s="792"/>
      <c r="Y41" s="792"/>
      <c r="Z41" s="792"/>
      <c r="AA41" s="793"/>
    </row>
    <row r="42" spans="2:27" ht="15.4">
      <c r="B42" s="104" t="s">
        <v>32</v>
      </c>
      <c r="C42" s="163">
        <v>45341</v>
      </c>
      <c r="D42" s="163">
        <v>45342</v>
      </c>
      <c r="E42" s="163">
        <v>45343</v>
      </c>
      <c r="F42" s="163">
        <v>45344</v>
      </c>
      <c r="G42" s="163">
        <v>45345</v>
      </c>
      <c r="H42" s="163">
        <v>45346</v>
      </c>
      <c r="I42" s="163">
        <v>45347</v>
      </c>
      <c r="J42" s="781"/>
      <c r="K42" s="104" t="s">
        <v>32</v>
      </c>
      <c r="L42" s="163">
        <v>45348</v>
      </c>
      <c r="M42" s="163">
        <v>45349</v>
      </c>
      <c r="N42" s="163">
        <v>45350</v>
      </c>
      <c r="O42" s="163">
        <v>45351</v>
      </c>
      <c r="P42" s="163">
        <v>45352</v>
      </c>
      <c r="Q42" s="163">
        <v>45353</v>
      </c>
      <c r="R42" s="163">
        <v>45354</v>
      </c>
      <c r="S42" s="781"/>
      <c r="T42" s="635">
        <v>45322</v>
      </c>
      <c r="U42" s="276"/>
      <c r="V42" s="794" t="s">
        <v>165</v>
      </c>
      <c r="W42" s="794"/>
      <c r="X42" s="794"/>
      <c r="Y42" s="794"/>
      <c r="Z42" s="794"/>
      <c r="AA42" s="795"/>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781"/>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781"/>
      <c r="T43" s="635">
        <v>45323</v>
      </c>
      <c r="U43" s="277"/>
      <c r="V43" s="796" t="s">
        <v>166</v>
      </c>
      <c r="W43" s="796"/>
      <c r="X43" s="796"/>
      <c r="Y43" s="796"/>
      <c r="Z43" s="796"/>
      <c r="AA43" s="797"/>
    </row>
    <row r="44" spans="2:27" ht="15.4">
      <c r="B44" s="111" t="s">
        <v>91</v>
      </c>
      <c r="C44" s="637" t="s">
        <v>100</v>
      </c>
      <c r="D44" s="153" t="s">
        <v>9</v>
      </c>
      <c r="E44" s="153" t="s">
        <v>112</v>
      </c>
      <c r="F44" s="153" t="s">
        <v>9</v>
      </c>
      <c r="G44" s="153" t="s">
        <v>96</v>
      </c>
      <c r="H44" s="153" t="s">
        <v>96</v>
      </c>
      <c r="I44" s="154" t="s">
        <v>96</v>
      </c>
      <c r="J44" s="781"/>
      <c r="K44" s="111" t="s">
        <v>91</v>
      </c>
      <c r="L44" s="153" t="s">
        <v>197</v>
      </c>
      <c r="M44" s="153" t="s">
        <v>197</v>
      </c>
      <c r="N44" s="153" t="s">
        <v>197</v>
      </c>
      <c r="O44" s="662" t="s">
        <v>109</v>
      </c>
      <c r="P44" s="637" t="s">
        <v>200</v>
      </c>
      <c r="Q44" s="637" t="s">
        <v>9</v>
      </c>
      <c r="R44" s="639" t="s">
        <v>9</v>
      </c>
      <c r="S44" s="781"/>
      <c r="T44" s="636">
        <v>45327</v>
      </c>
      <c r="U44" s="274"/>
      <c r="V44" s="798" t="s">
        <v>167</v>
      </c>
      <c r="W44" s="798"/>
      <c r="X44" s="798"/>
      <c r="Y44" s="798"/>
      <c r="Z44" s="798"/>
      <c r="AA44" s="799"/>
    </row>
    <row r="45" spans="2:27" ht="15">
      <c r="B45" s="111" t="s">
        <v>92</v>
      </c>
      <c r="C45" s="153" t="s">
        <v>3</v>
      </c>
      <c r="D45" s="153" t="s">
        <v>110</v>
      </c>
      <c r="E45" s="153" t="s">
        <v>110</v>
      </c>
      <c r="F45" s="153" t="s">
        <v>110</v>
      </c>
      <c r="G45" s="153" t="s">
        <v>110</v>
      </c>
      <c r="H45" s="637" t="s">
        <v>9</v>
      </c>
      <c r="I45" s="638" t="s">
        <v>9</v>
      </c>
      <c r="J45" s="781"/>
      <c r="K45" s="112" t="s">
        <v>92</v>
      </c>
      <c r="L45" s="659" t="s">
        <v>248</v>
      </c>
      <c r="M45" s="153" t="s">
        <v>9</v>
      </c>
      <c r="N45" s="153" t="s">
        <v>9</v>
      </c>
      <c r="O45" s="153" t="s">
        <v>110</v>
      </c>
      <c r="P45" s="153" t="s">
        <v>110</v>
      </c>
      <c r="Q45" s="153" t="s">
        <v>110</v>
      </c>
      <c r="R45" s="154" t="s">
        <v>9</v>
      </c>
      <c r="S45" s="781"/>
      <c r="T45" s="636"/>
      <c r="U45" s="274"/>
      <c r="V45" s="798"/>
      <c r="W45" s="798"/>
      <c r="X45" s="798"/>
      <c r="Y45" s="798"/>
      <c r="Z45" s="798"/>
      <c r="AA45" s="799"/>
    </row>
    <row r="46" spans="2:27" ht="15">
      <c r="B46" s="111" t="s">
        <v>95</v>
      </c>
      <c r="C46" s="153" t="s">
        <v>3</v>
      </c>
      <c r="D46" s="153" t="s">
        <v>112</v>
      </c>
      <c r="E46" s="153" t="s">
        <v>9</v>
      </c>
      <c r="F46" s="153" t="s">
        <v>112</v>
      </c>
      <c r="G46" s="153" t="s">
        <v>9</v>
      </c>
      <c r="H46" s="153" t="s">
        <v>110</v>
      </c>
      <c r="I46" s="154" t="s">
        <v>110</v>
      </c>
      <c r="J46" s="781"/>
      <c r="K46" s="112" t="s">
        <v>93</v>
      </c>
      <c r="L46" s="153" t="s">
        <v>112</v>
      </c>
      <c r="M46" s="153" t="s">
        <v>112</v>
      </c>
      <c r="N46" s="153" t="s">
        <v>9</v>
      </c>
      <c r="O46" s="153" t="s">
        <v>9</v>
      </c>
      <c r="P46" s="153" t="s">
        <v>112</v>
      </c>
      <c r="Q46" s="153" t="s">
        <v>112</v>
      </c>
      <c r="R46" s="266" t="s">
        <v>96</v>
      </c>
      <c r="S46" s="781"/>
      <c r="T46" s="283"/>
      <c r="U46" s="274"/>
      <c r="V46" s="800"/>
      <c r="W46" s="800"/>
      <c r="X46" s="800"/>
      <c r="Y46" s="800"/>
      <c r="Z46" s="800"/>
      <c r="AA46" s="801"/>
    </row>
    <row r="47" spans="2:27" ht="15">
      <c r="B47" s="111" t="s">
        <v>94</v>
      </c>
      <c r="C47" s="153" t="s">
        <v>3</v>
      </c>
      <c r="D47" s="153" t="s">
        <v>9</v>
      </c>
      <c r="E47" s="153" t="s">
        <v>9</v>
      </c>
      <c r="F47" s="641" t="s">
        <v>245</v>
      </c>
      <c r="G47" s="153" t="s">
        <v>112</v>
      </c>
      <c r="H47" s="153" t="s">
        <v>112</v>
      </c>
      <c r="I47" s="154" t="s">
        <v>112</v>
      </c>
      <c r="J47" s="781"/>
      <c r="K47" s="112" t="s">
        <v>94</v>
      </c>
      <c r="L47" s="153" t="s">
        <v>9</v>
      </c>
      <c r="M47" s="153" t="s">
        <v>9</v>
      </c>
      <c r="N47" s="153" t="s">
        <v>112</v>
      </c>
      <c r="O47" s="153" t="s">
        <v>112</v>
      </c>
      <c r="P47" s="153" t="s">
        <v>96</v>
      </c>
      <c r="Q47" s="153" t="s">
        <v>96</v>
      </c>
      <c r="R47" s="154" t="s">
        <v>110</v>
      </c>
      <c r="S47" s="781"/>
      <c r="T47" s="636"/>
      <c r="U47" s="274"/>
      <c r="V47" s="798"/>
      <c r="W47" s="798"/>
      <c r="X47" s="798"/>
      <c r="Y47" s="798"/>
      <c r="Z47" s="798"/>
      <c r="AA47" s="799"/>
    </row>
    <row r="48" spans="2:27" ht="15">
      <c r="B48" s="111"/>
      <c r="C48" s="153"/>
      <c r="D48" s="153"/>
      <c r="E48" s="153"/>
      <c r="F48" s="153"/>
      <c r="G48" s="153" t="str">
        <f>IF(ISERROR(INDEX('Enter (Vac BFs TrCl MB'!$F$7:$AJ$37,MATCH(REGENT!$B48,'Enter (Vac BFs TrCl MB'!$D$7:$D$37,FALSE),MATCH(REGENT!G$42,'Enter (Vac BFs TrCl MB'!$F$6:$AJ$6,FALSE))),"",(INDEX('Enter (Vac BFs TrCl MB'!$F$7:$AJ$37,MATCH(REGENT!$B48,'Enter (Vac BFs TrCl MB'!$D$7:$D$37,FALSE),MATCH(REGENT!G$42,'Enter (Vac BFs TrCl MB'!$F$6:$AJ$6,FALSE))))</f>
        <v/>
      </c>
      <c r="H48" s="153" t="str">
        <f>IF(ISERROR(INDEX('Enter (Vac BFs TrCl MB'!$F$7:$AJ$37,MATCH(REGENT!$B48,'Enter (Vac BFs TrCl MB'!$D$7:$D$37,FALSE),MATCH(REGENT!H$42,'Enter (Vac BFs TrCl MB'!$F$6:$AJ$6,FALSE))),"",(INDEX('Enter (Vac BFs TrCl MB'!$F$7:$AJ$37,MATCH(REGENT!$B48,'Enter (Vac BFs TrCl MB'!$D$7:$D$37,FALSE),MATCH(REGENT!H$42,'Enter (Vac BFs TrCl MB'!$F$6:$AJ$6,FALSE))))</f>
        <v/>
      </c>
      <c r="I48" s="154" t="str">
        <f>IF(ISERROR(INDEX('Enter (Vac BFs TrCl MB'!$F$7:$AJ$37,MATCH(REGENT!$B48,'Enter (Vac BFs TrCl MB'!$D$7:$D$37,FALSE),MATCH(REGENT!I$42,'Enter (Vac BFs TrCl MB'!$F$6:$AJ$6,FALSE))),"",(INDEX('Enter (Vac BFs TrCl MB'!$F$7:$AJ$37,MATCH(REGENT!$B48,'Enter (Vac BFs TrCl MB'!$D$7:$D$37,FALSE),MATCH(REGENT!I$42,'Enter (Vac BFs TrCl MB'!$F$6:$AJ$6,FALSE))))</f>
        <v/>
      </c>
      <c r="J48" s="781"/>
      <c r="K48" s="112" t="s">
        <v>193</v>
      </c>
      <c r="L48" s="153" t="str">
        <f>IF(ISERROR(INDEX('Enter (Vac BFs TrCl MB'!$F$7:$AJ$37,MATCH(REGENT!$B48,'Enter (Vac BFs TrCl MB'!$D$7:$D$37,FALSE),MATCH(REGENT!L$42,'Enter (Vac BFs TrCl MB'!$F$6:$AJ$6,FALSE))),"",(INDEX('Enter (Vac BFs TrCl MB'!$F$7:$AJ$37,MATCH(REGENT!$B48,'Enter (Vac BFs TrCl MB'!$D$7:$D$37,FALSE),MATCH(REGENT!L$42,'Enter (Vac BFs TrCl MB'!$F$6:$AJ$6,FALSE))))</f>
        <v/>
      </c>
      <c r="M48" s="153" t="str">
        <f>IF(ISERROR(INDEX('Enter (Vac BFs TrCl MB'!$F$7:$AJ$37,MATCH(REGENT!$B48,'Enter (Vac BFs TrCl MB'!$D$7:$D$37,FALSE),MATCH(REGENT!M$42,'Enter (Vac BFs TrCl MB'!$F$6:$AJ$6,FALSE))),"",(INDEX('Enter (Vac BFs TrCl MB'!$F$7:$AJ$37,MATCH(REGENT!$B48,'Enter (Vac BFs TrCl MB'!$D$7:$D$37,FALSE),MATCH(REGENT!M$42,'Enter (Vac BFs TrCl MB'!$F$6:$AJ$6,FALSE))))</f>
        <v/>
      </c>
      <c r="N48" s="153" t="str">
        <f>IF(ISERROR(INDEX('Enter (Vac BFs TrCl MB'!$F$7:$AJ$37,MATCH(REGENT!$B48,'Enter (Vac BFs TrCl MB'!$D$7:$D$37,FALSE),MATCH(REGENT!N$42,'Enter (Vac BFs TrCl MB'!$F$6:$AJ$6,FALSE))),"",(INDEX('Enter (Vac BFs TrCl MB'!$F$7:$AJ$37,MATCH(REGENT!$B48,'Enter (Vac BFs TrCl MB'!$D$7:$D$37,FALSE),MATCH(REGENT!N$42,'Enter (Vac BFs TrCl MB'!$F$6:$AJ$6,FALSE))))</f>
        <v/>
      </c>
      <c r="O48" s="153" t="str">
        <f>IF(ISERROR(INDEX('Enter (Vac BFs TrCl MB'!$F$7:$AU$37,MATCH(REGENT!$B48,'Enter (Vac BFs TrCl MB'!$D$7:$D$37,FALSE),MATCH(REGENT!O$42,'Enter (Vac BFs TrCl MB'!$F$6:$AU$6,FALSE))),"",(INDEX('Enter (Vac BFs TrCl MB'!$F$7:$AU$37,MATCH(REGENT!$B48,'Enter (Vac BFs TrCl MB'!$D$7:$D$37,FALSE),MATCH(REGENT!O$42,'Enter (Vac BFs TrCl MB'!$F$6:$AU$6,FALSE))))</f>
        <v/>
      </c>
      <c r="P48" s="153" t="str">
        <f>IF(ISERROR(INDEX('Enter (Vac BFs TrCl MB'!$F$7:$AU$37,MATCH(REGENT!$B48,'Enter (Vac BFs TrCl MB'!$D$7:$D$37,FALSE),MATCH(REGENT!P$42,'Enter (Vac BFs TrCl MB'!$F$6:$AU$6,FALSE))),"",(INDEX('Enter (Vac BFs TrCl MB'!$F$7:$AU$37,MATCH(REGENT!$B48,'Enter (Vac BFs TrCl MB'!$D$7:$D$37,FALSE),MATCH(REGENT!P$42,'Enter (Vac BFs TrCl MB'!$F$6:$AU$6,FALSE))))</f>
        <v/>
      </c>
      <c r="Q48" s="153" t="str">
        <f>IF(ISERROR(INDEX('Enter (Vac BFs TrCl MB'!$F$7:$AU$37,MATCH(REGENT!$B48,'Enter (Vac BFs TrCl MB'!$D$7:$D$37,FALSE),MATCH(REGENT!Q$42,'Enter (Vac BFs TrCl MB'!$F$6:$AU$6,FALSE))),"",(INDEX('Enter (Vac BFs TrCl MB'!$F$7:$AU$37,MATCH(REGENT!$B48,'Enter (Vac BFs TrCl MB'!$D$7:$D$37,FALSE),MATCH(REGENT!Q$42,'Enter (Vac BFs TrCl MB'!$F$6:$AU$6,FALSE))))</f>
        <v/>
      </c>
      <c r="R48" s="154" t="s">
        <v>112</v>
      </c>
      <c r="S48" s="781"/>
      <c r="T48" s="636">
        <v>45328</v>
      </c>
      <c r="U48" s="274" t="s">
        <v>140</v>
      </c>
      <c r="V48" s="798" t="s">
        <v>182</v>
      </c>
      <c r="W48" s="798"/>
      <c r="X48" s="798"/>
      <c r="Y48" s="798"/>
      <c r="Z48" s="798"/>
      <c r="AA48" s="799"/>
    </row>
    <row r="49" spans="2:27" ht="15">
      <c r="B49" s="111" t="s">
        <v>246</v>
      </c>
      <c r="C49" s="153" t="str">
        <f>IF(ISERROR(INDEX('Enter (Vac BFs TrCl MB'!$F$7:$AJ$37,MATCH(REGENT!$B49,'Enter (Vac BFs TrCl MB'!$D$7:$D$37,FALSE),MATCH(REGENT!C$42,'Enter (Vac BFs TrCl MB'!$F$6:$AJ$6,FALSE))),"",(INDEX('Enter (Vac BFs TrCl MB'!$F$7:$AJ$37,MATCH(REGENT!$B49,'Enter (Vac BFs TrCl MB'!$D$7:$D$37,FALSE),MATCH(REGENT!C$42,'Enter (Vac BFs TrCl MB'!$F$6:$AJ$6,FALSE))))</f>
        <v/>
      </c>
      <c r="D49" s="153" t="str">
        <f>IF(ISERROR(INDEX('Enter (Vac BFs TrCl MB'!$F$7:$AJ$37,MATCH(REGENT!$B49,'Enter (Vac BFs TrCl MB'!$D$7:$D$37,FALSE),MATCH(REGENT!D$42,'Enter (Vac BFs TrCl MB'!$F$6:$AJ$6,FALSE))),"",(INDEX('Enter (Vac BFs TrCl MB'!$F$7:$AJ$37,MATCH(REGENT!$B49,'Enter (Vac BFs TrCl MB'!$D$7:$D$37,FALSE),MATCH(REGENT!D$42,'Enter (Vac BFs TrCl MB'!$F$6:$AJ$6,FALSE))))</f>
        <v/>
      </c>
      <c r="E49" s="153" t="str">
        <f>IF(ISERROR(INDEX('Enter (Vac BFs TrCl MB'!$F$7:$AJ$37,MATCH(REGENT!$B49,'Enter (Vac BFs TrCl MB'!$D$7:$D$37,FALSE),MATCH(REGENT!E$42,'Enter (Vac BFs TrCl MB'!$F$6:$AJ$6,FALSE))),"",(INDEX('Enter (Vac BFs TrCl MB'!$F$7:$AJ$37,MATCH(REGENT!$B49,'Enter (Vac BFs TrCl MB'!$D$7:$D$37,FALSE),MATCH(REGENT!E$42,'Enter (Vac BFs TrCl MB'!$F$6:$AJ$6,FALSE))))</f>
        <v/>
      </c>
      <c r="F49" s="153" t="s">
        <v>96</v>
      </c>
      <c r="G49" s="153" t="str">
        <f>IF(ISERROR(INDEX('Enter (Vac BFs TrCl MB'!$F$7:$AJ$37,MATCH(REGENT!$B49,'Enter (Vac BFs TrCl MB'!$D$7:$D$37,FALSE),MATCH(REGENT!G$42,'Enter (Vac BFs TrCl MB'!$F$6:$AJ$6,FALSE))),"",(INDEX('Enter (Vac BFs TrCl MB'!$F$7:$AJ$37,MATCH(REGENT!$B49,'Enter (Vac BFs TrCl MB'!$D$7:$D$37,FALSE),MATCH(REGENT!G$42,'Enter (Vac BFs TrCl MB'!$F$6:$AJ$6,FALSE))))</f>
        <v/>
      </c>
      <c r="H49" s="153" t="str">
        <f>IF(ISERROR(INDEX('Enter (Vac BFs TrCl MB'!$F$7:$AJ$37,MATCH(REGENT!$B49,'Enter (Vac BFs TrCl MB'!$D$7:$D$37,FALSE),MATCH(REGENT!H$42,'Enter (Vac BFs TrCl MB'!$F$6:$AJ$6,FALSE))),"",(INDEX('Enter (Vac BFs TrCl MB'!$F$7:$AJ$37,MATCH(REGENT!$B49,'Enter (Vac BFs TrCl MB'!$D$7:$D$37,FALSE),MATCH(REGENT!H$42,'Enter (Vac BFs TrCl MB'!$F$6:$AJ$6,FALSE))))</f>
        <v/>
      </c>
      <c r="I49" s="154" t="str">
        <f>IF(ISERROR(INDEX('Enter (Vac BFs TrCl MB'!$F$7:$AJ$37,MATCH(REGENT!$B49,'Enter (Vac BFs TrCl MB'!$D$7:$D$37,FALSE),MATCH(REGENT!I$42,'Enter (Vac BFs TrCl MB'!$F$6:$AJ$6,FALSE))),"",(INDEX('Enter (Vac BFs TrCl MB'!$F$7:$AJ$37,MATCH(REGENT!$B49,'Enter (Vac BFs TrCl MB'!$D$7:$D$37,FALSE),MATCH(REGENT!I$42,'Enter (Vac BFs TrCl MB'!$F$6:$AJ$6,FALSE))))</f>
        <v/>
      </c>
      <c r="J49" s="781"/>
      <c r="K49" s="112"/>
      <c r="L49" s="153" t="str">
        <f>IF(ISERROR(INDEX('Enter (Vac BFs TrCl MB'!$F$7:$AJ$37,MATCH(REGENT!$B49,'Enter (Vac BFs TrCl MB'!$D$7:$D$37,FALSE),MATCH(REGENT!L$42,'Enter (Vac BFs TrCl MB'!$F$6:$AJ$6,FALSE))),"",(INDEX('Enter (Vac BFs TrCl MB'!$F$7:$AJ$37,MATCH(REGENT!$B49,'Enter (Vac BFs TrCl MB'!$D$7:$D$37,FALSE),MATCH(REGENT!L$42,'Enter (Vac BFs TrCl MB'!$F$6:$AJ$6,FALSE))))</f>
        <v/>
      </c>
      <c r="M49" s="153" t="str">
        <f>IF(ISERROR(INDEX('Enter (Vac BFs TrCl MB'!$F$7:$AJ$37,MATCH(REGENT!$B49,'Enter (Vac BFs TrCl MB'!$D$7:$D$37,FALSE),MATCH(REGENT!M$42,'Enter (Vac BFs TrCl MB'!$F$6:$AJ$6,FALSE))),"",(INDEX('Enter (Vac BFs TrCl MB'!$F$7:$AJ$37,MATCH(REGENT!$B49,'Enter (Vac BFs TrCl MB'!$D$7:$D$37,FALSE),MATCH(REGENT!M$42,'Enter (Vac BFs TrCl MB'!$F$6:$AJ$6,FALSE))))</f>
        <v/>
      </c>
      <c r="N49" s="153" t="str">
        <f>IF(ISERROR(INDEX('Enter (Vac BFs TrCl MB'!$F$7:$AJ$37,MATCH(REGENT!$B49,'Enter (Vac BFs TrCl MB'!$D$7:$D$37,FALSE),MATCH(REGENT!N$42,'Enter (Vac BFs TrCl MB'!$F$6:$AJ$6,FALSE))),"",(INDEX('Enter (Vac BFs TrCl MB'!$F$7:$AJ$37,MATCH(REGENT!$B49,'Enter (Vac BFs TrCl MB'!$D$7:$D$37,FALSE),MATCH(REGENT!N$42,'Enter (Vac BFs TrCl MB'!$F$6:$AJ$6,FALSE))))</f>
        <v/>
      </c>
      <c r="O49" s="153" t="str">
        <f>IF(ISERROR(INDEX('Enter (Vac BFs TrCl MB'!$F$7:$AU$37,MATCH(REGENT!$B49,'Enter (Vac BFs TrCl MB'!$D$7:$D$37,FALSE),MATCH(REGENT!O$42,'Enter (Vac BFs TrCl MB'!$F$6:$AU$6,FALSE))),"",(INDEX('Enter (Vac BFs TrCl MB'!$F$7:$AU$37,MATCH(REGENT!$B49,'Enter (Vac BFs TrCl MB'!$D$7:$D$37,FALSE),MATCH(REGENT!O$42,'Enter (Vac BFs TrCl MB'!$F$6:$AU$6,FALSE))))</f>
        <v/>
      </c>
      <c r="P49" s="153" t="str">
        <f>IF(ISERROR(INDEX('Enter (Vac BFs TrCl MB'!$F$7:$AU$37,MATCH(REGENT!$B49,'Enter (Vac BFs TrCl MB'!$D$7:$D$37,FALSE),MATCH(REGENT!P$42,'Enter (Vac BFs TrCl MB'!$F$6:$AU$6,FALSE))),"",(INDEX('Enter (Vac BFs TrCl MB'!$F$7:$AU$37,MATCH(REGENT!$B49,'Enter (Vac BFs TrCl MB'!$D$7:$D$37,FALSE),MATCH(REGENT!P$42,'Enter (Vac BFs TrCl MB'!$F$6:$AU$6,FALSE))))</f>
        <v/>
      </c>
      <c r="Q49" s="153" t="str">
        <f>IF(ISERROR(INDEX('Enter (Vac BFs TrCl MB'!$F$7:$AU$37,MATCH(REGENT!$B49,'Enter (Vac BFs TrCl MB'!$D$7:$D$37,FALSE),MATCH(REGENT!Q$42,'Enter (Vac BFs TrCl MB'!$F$6:$AU$6,FALSE))),"",(INDEX('Enter (Vac BFs TrCl MB'!$F$7:$AU$37,MATCH(REGENT!$B49,'Enter (Vac BFs TrCl MB'!$D$7:$D$37,FALSE),MATCH(REGENT!Q$42,'Enter (Vac BFs TrCl MB'!$F$6:$AU$6,FALSE))))</f>
        <v/>
      </c>
      <c r="R49" s="154" t="str">
        <f>IF(ISERROR(INDEX('Enter (Vac BFs TrCl MB'!$F$7:$AJ$37,MATCH(REGENT!$B49,'Enter (Vac BFs TrCl MB'!$D$7:$D$37,FALSE),MATCH(REGENT!R$42,'Enter (Vac BFs TrCl MB'!$F$6:$AJ$6,FALSE))),"",(INDEX('Enter (Vac BFs TrCl MB'!$F$7:$AJ$37,MATCH(REGENT!$B49,'Enter (Vac BFs TrCl MB'!$D$7:$D$37,FALSE),MATCH(REGENT!R$42,'Enter (Vac BFs TrCl MB'!$F$6:$AJ$6,FALSE))))</f>
        <v/>
      </c>
      <c r="S49" s="781"/>
      <c r="T49" s="636"/>
      <c r="U49" s="274"/>
      <c r="V49" s="816"/>
      <c r="W49" s="817"/>
      <c r="X49" s="817"/>
      <c r="Y49" s="817"/>
      <c r="Z49" s="817"/>
      <c r="AA49" s="818"/>
    </row>
    <row r="50" spans="2:27" ht="15">
      <c r="B50" s="111"/>
      <c r="C50" s="153" t="str">
        <f>IF(ISERROR(INDEX('Enter (Vac BFs TrCl MB'!$F$7:$AJ$37,MATCH(REGENT!$B50,'Enter (Vac BFs TrCl MB'!$D$7:$D$37,FALSE),MATCH(REGENT!C$42,'Enter (Vac BFs TrCl MB'!$F$6:$AJ$6,FALSE))),"",(INDEX('Enter (Vac BFs TrCl MB'!$F$7:$AJ$37,MATCH(REGENT!$B50,'Enter (Vac BFs TrCl MB'!$D$7:$D$37,FALSE),MATCH(REGENT!C$42,'Enter (Vac BFs TrCl MB'!$F$6:$AJ$6,FALSE))))</f>
        <v/>
      </c>
      <c r="D50" s="153" t="str">
        <f>IF(ISERROR(INDEX('Enter (Vac BFs TrCl MB'!$F$7:$AJ$37,MATCH(REGENT!$B50,'Enter (Vac BFs TrCl MB'!$D$7:$D$37,FALSE),MATCH(REGENT!D$42,'Enter (Vac BFs TrCl MB'!$F$6:$AJ$6,FALSE))),"",(INDEX('Enter (Vac BFs TrCl MB'!$F$7:$AJ$37,MATCH(REGENT!$B50,'Enter (Vac BFs TrCl MB'!$D$7:$D$37,FALSE),MATCH(REGENT!D$42,'Enter (Vac BFs TrCl MB'!$F$6:$AJ$6,FALSE))))</f>
        <v/>
      </c>
      <c r="E50" s="153" t="str">
        <f>IF(ISERROR(INDEX('Enter (Vac BFs TrCl MB'!$F$7:$AJ$37,MATCH(REGENT!$B50,'Enter (Vac BFs TrCl MB'!$D$7:$D$37,FALSE),MATCH(REGENT!E$42,'Enter (Vac BFs TrCl MB'!$F$6:$AJ$6,FALSE))),"",(INDEX('Enter (Vac BFs TrCl MB'!$F$7:$AJ$37,MATCH(REGENT!$B50,'Enter (Vac BFs TrCl MB'!$D$7:$D$37,FALSE),MATCH(REGENT!E$42,'Enter (Vac BFs TrCl MB'!$F$6:$AJ$6,FALSE))))</f>
        <v/>
      </c>
      <c r="F50" s="153" t="str">
        <f>IF(ISERROR(INDEX('Enter (Vac BFs TrCl MB'!$F$7:$AJ$37,MATCH(REGENT!$B50,'Enter (Vac BFs TrCl MB'!$D$7:$D$37,FALSE),MATCH(REGENT!F$42,'Enter (Vac BFs TrCl MB'!$F$6:$AJ$6,FALSE))),"",(INDEX('Enter (Vac BFs TrCl MB'!$F$7:$AJ$37,MATCH(REGENT!$B50,'Enter (Vac BFs TrCl MB'!$D$7:$D$37,FALSE),MATCH(REGENT!F$42,'Enter (Vac BFs TrCl MB'!$F$6:$AJ$6,FALSE))))</f>
        <v/>
      </c>
      <c r="G50" s="153" t="str">
        <f>IF(ISERROR(INDEX('Enter (Vac BFs TrCl MB'!$F$7:$AJ$37,MATCH(REGENT!$B50,'Enter (Vac BFs TrCl MB'!$D$7:$D$37,FALSE),MATCH(REGENT!G$42,'Enter (Vac BFs TrCl MB'!$F$6:$AJ$6,FALSE))),"",(INDEX('Enter (Vac BFs TrCl MB'!$F$7:$AJ$37,MATCH(REGENT!$B50,'Enter (Vac BFs TrCl MB'!$D$7:$D$37,FALSE),MATCH(REGENT!G$42,'Enter (Vac BFs TrCl MB'!$F$6:$AJ$6,FALSE))))</f>
        <v/>
      </c>
      <c r="H50" s="153" t="str">
        <f>IF(ISERROR(INDEX('Enter (Vac BFs TrCl MB'!$F$7:$AJ$37,MATCH(REGENT!$B50,'Enter (Vac BFs TrCl MB'!$D$7:$D$37,FALSE),MATCH(REGENT!H$42,'Enter (Vac BFs TrCl MB'!$F$6:$AJ$6,FALSE))),"",(INDEX('Enter (Vac BFs TrCl MB'!$F$7:$AJ$37,MATCH(REGENT!$B50,'Enter (Vac BFs TrCl MB'!$D$7:$D$37,FALSE),MATCH(REGENT!H$42,'Enter (Vac BFs TrCl MB'!$F$6:$AJ$6,FALSE))))</f>
        <v/>
      </c>
      <c r="I50" s="154" t="str">
        <f>IF(ISERROR(INDEX('Enter (Vac BFs TrCl MB'!$F$7:$AJ$37,MATCH(REGENT!$B50,'Enter (Vac BFs TrCl MB'!$D$7:$D$37,FALSE),MATCH(REGENT!I$42,'Enter (Vac BFs TrCl MB'!$F$6:$AJ$6,FALSE))),"",(INDEX('Enter (Vac BFs TrCl MB'!$F$7:$AJ$37,MATCH(REGENT!$B50,'Enter (Vac BFs TrCl MB'!$D$7:$D$37,FALSE),MATCH(REGENT!I$42,'Enter (Vac BFs TrCl MB'!$F$6:$AJ$6,FALSE))))</f>
        <v/>
      </c>
      <c r="J50" s="781"/>
      <c r="K50" s="112" t="s">
        <v>92</v>
      </c>
      <c r="L50" s="652" t="s">
        <v>264</v>
      </c>
      <c r="M50" s="153" t="str">
        <f>IF(ISERROR(INDEX('Enter (Vac BFs TrCl MB'!$F$7:$AJ$37,MATCH(REGENT!$B50,'Enter (Vac BFs TrCl MB'!$D$7:$D$37,FALSE),MATCH(REGENT!M$42,'Enter (Vac BFs TrCl MB'!$F$6:$AJ$6,FALSE))),"",(INDEX('Enter (Vac BFs TrCl MB'!$F$7:$AJ$37,MATCH(REGENT!$B50,'Enter (Vac BFs TrCl MB'!$D$7:$D$37,FALSE),MATCH(REGENT!M$42,'Enter (Vac BFs TrCl MB'!$F$6:$AJ$6,FALSE))))</f>
        <v/>
      </c>
      <c r="N50" s="153" t="str">
        <f>IF(ISERROR(INDEX('Enter (Vac BFs TrCl MB'!$F$7:$AJ$37,MATCH(REGENT!$B50,'Enter (Vac BFs TrCl MB'!$D$7:$D$37,FALSE),MATCH(REGENT!N$42,'Enter (Vac BFs TrCl MB'!$F$6:$AJ$6,FALSE))),"",(INDEX('Enter (Vac BFs TrCl MB'!$F$7:$AJ$37,MATCH(REGENT!$B50,'Enter (Vac BFs TrCl MB'!$D$7:$D$37,FALSE),MATCH(REGENT!N$42,'Enter (Vac BFs TrCl MB'!$F$6:$AJ$6,FALSE))))</f>
        <v/>
      </c>
      <c r="O50" s="153" t="str">
        <f>IF(ISERROR(INDEX('Enter (Vac BFs TrCl MB'!$F$7:$AU$37,MATCH(REGENT!$B50,'Enter (Vac BFs TrCl MB'!$D$7:$D$37,FALSE),MATCH(REGENT!O$42,'Enter (Vac BFs TrCl MB'!$F$6:$AU$6,FALSE))),"",(INDEX('Enter (Vac BFs TrCl MB'!$F$7:$AU$37,MATCH(REGENT!$B50,'Enter (Vac BFs TrCl MB'!$D$7:$D$37,FALSE),MATCH(REGENT!O$42,'Enter (Vac BFs TrCl MB'!$F$6:$AU$6,FALSE))))</f>
        <v/>
      </c>
      <c r="P50" s="153" t="str">
        <f>IF(ISERROR(INDEX('Enter (Vac BFs TrCl MB'!$F$7:$AU$37,MATCH(REGENT!$B50,'Enter (Vac BFs TrCl MB'!$D$7:$D$37,FALSE),MATCH(REGENT!P$42,'Enter (Vac BFs TrCl MB'!$F$6:$AU$6,FALSE))),"",(INDEX('Enter (Vac BFs TrCl MB'!$F$7:$AU$37,MATCH(REGENT!$B50,'Enter (Vac BFs TrCl MB'!$D$7:$D$37,FALSE),MATCH(REGENT!P$42,'Enter (Vac BFs TrCl MB'!$F$6:$AU$6,FALSE))))</f>
        <v/>
      </c>
      <c r="Q50" s="153" t="str">
        <f>IF(ISERROR(INDEX('Enter (Vac BFs TrCl MB'!$F$7:$AU$37,MATCH(REGENT!$B50,'Enter (Vac BFs TrCl MB'!$D$7:$D$37,FALSE),MATCH(REGENT!Q$42,'Enter (Vac BFs TrCl MB'!$F$6:$AU$6,FALSE))),"",(INDEX('Enter (Vac BFs TrCl MB'!$F$7:$AU$37,MATCH(REGENT!$B50,'Enter (Vac BFs TrCl MB'!$D$7:$D$37,FALSE),MATCH(REGENT!Q$42,'Enter (Vac BFs TrCl MB'!$F$6:$AU$6,FALSE))))</f>
        <v/>
      </c>
      <c r="R50" s="266"/>
      <c r="S50" s="781"/>
      <c r="T50" s="636">
        <v>45330</v>
      </c>
      <c r="U50" s="274"/>
      <c r="V50" s="819" t="s">
        <v>178</v>
      </c>
      <c r="W50" s="820"/>
      <c r="X50" s="820"/>
      <c r="Y50" s="820"/>
      <c r="Z50" s="820"/>
      <c r="AA50" s="821"/>
    </row>
    <row r="51" spans="2:27" ht="15">
      <c r="B51" s="111"/>
      <c r="C51" s="153" t="str">
        <f>IF(ISERROR(INDEX('Enter (Vac BFs TrCl MB'!$F$7:$AJ$37,MATCH(REGENT!$B51,'Enter (Vac BFs TrCl MB'!$D$7:$D$37,FALSE),MATCH(REGENT!C$42,'Enter (Vac BFs TrCl MB'!$F$6:$AJ$6,FALSE))),"",(INDEX('Enter (Vac BFs TrCl MB'!$F$7:$AJ$37,MATCH(REGENT!$B51,'Enter (Vac BFs TrCl MB'!$D$7:$D$37,FALSE),MATCH(REGENT!C$42,'Enter (Vac BFs TrCl MB'!$F$6:$AJ$6,FALSE))))</f>
        <v/>
      </c>
      <c r="D51" s="153" t="str">
        <f>IF(ISERROR(INDEX('Enter (Vac BFs TrCl MB'!$F$7:$AJ$37,MATCH(REGENT!$B51,'Enter (Vac BFs TrCl MB'!$D$7:$D$37,FALSE),MATCH(REGENT!D$42,'Enter (Vac BFs TrCl MB'!$F$6:$AJ$6,FALSE))),"",(INDEX('Enter (Vac BFs TrCl MB'!$F$7:$AJ$37,MATCH(REGENT!$B51,'Enter (Vac BFs TrCl MB'!$D$7:$D$37,FALSE),MATCH(REGENT!D$42,'Enter (Vac BFs TrCl MB'!$F$6:$AJ$6,FALSE))))</f>
        <v/>
      </c>
      <c r="E51" s="153" t="str">
        <f>IF(ISERROR(INDEX('Enter (Vac BFs TrCl MB'!$F$7:$AJ$37,MATCH(REGENT!$B51,'Enter (Vac BFs TrCl MB'!$D$7:$D$37,FALSE),MATCH(REGENT!E$42,'Enter (Vac BFs TrCl MB'!$F$6:$AJ$6,FALSE))),"",(INDEX('Enter (Vac BFs TrCl MB'!$F$7:$AJ$37,MATCH(REGENT!$B51,'Enter (Vac BFs TrCl MB'!$D$7:$D$37,FALSE),MATCH(REGENT!E$42,'Enter (Vac BFs TrCl MB'!$F$6:$AJ$6,FALSE))))</f>
        <v/>
      </c>
      <c r="F51" s="153" t="str">
        <f>IF(ISERROR(INDEX('Enter (Vac BFs TrCl MB'!$F$7:$AJ$37,MATCH(REGENT!$B51,'Enter (Vac BFs TrCl MB'!$D$7:$D$37,FALSE),MATCH(REGENT!F$42,'Enter (Vac BFs TrCl MB'!$F$6:$AJ$6,FALSE))),"",(INDEX('Enter (Vac BFs TrCl MB'!$F$7:$AJ$37,MATCH(REGENT!$B51,'Enter (Vac BFs TrCl MB'!$D$7:$D$37,FALSE),MATCH(REGENT!F$42,'Enter (Vac BFs TrCl MB'!$F$6:$AJ$6,FALSE))))</f>
        <v/>
      </c>
      <c r="G51" s="153" t="str">
        <f>IF(ISERROR(INDEX('Enter (Vac BFs TrCl MB'!$F$7:$AJ$37,MATCH(REGENT!$B51,'Enter (Vac BFs TrCl MB'!$D$7:$D$37,FALSE),MATCH(REGENT!G$42,'Enter (Vac BFs TrCl MB'!$F$6:$AJ$6,FALSE))),"",(INDEX('Enter (Vac BFs TrCl MB'!$F$7:$AJ$37,MATCH(REGENT!$B51,'Enter (Vac BFs TrCl MB'!$D$7:$D$37,FALSE),MATCH(REGENT!G$42,'Enter (Vac BFs TrCl MB'!$F$6:$AJ$6,FALSE))))</f>
        <v/>
      </c>
      <c r="H51" s="153" t="str">
        <f>IF(ISERROR(INDEX('Enter (Vac BFs TrCl MB'!$F$7:$AJ$37,MATCH(REGENT!$B51,'Enter (Vac BFs TrCl MB'!$D$7:$D$37,FALSE),MATCH(REGENT!H$42,'Enter (Vac BFs TrCl MB'!$F$6:$AJ$6,FALSE))),"",(INDEX('Enter (Vac BFs TrCl MB'!$F$7:$AJ$37,MATCH(REGENT!$B51,'Enter (Vac BFs TrCl MB'!$D$7:$D$37,FALSE),MATCH(REGENT!H$42,'Enter (Vac BFs TrCl MB'!$F$6:$AJ$6,FALSE))))</f>
        <v/>
      </c>
      <c r="I51" s="154" t="str">
        <f>IF(ISERROR(INDEX('Enter (Vac BFs TrCl MB'!$F$7:$AJ$37,MATCH(REGENT!$B51,'Enter (Vac BFs TrCl MB'!$D$7:$D$37,FALSE),MATCH(REGENT!I$42,'Enter (Vac BFs TrCl MB'!$F$6:$AJ$6,FALSE))),"",(INDEX('Enter (Vac BFs TrCl MB'!$F$7:$AJ$37,MATCH(REGENT!$B51,'Enter (Vac BFs TrCl MB'!$D$7:$D$37,FALSE),MATCH(REGENT!I$42,'Enter (Vac BFs TrCl MB'!$F$6:$AJ$6,FALSE))))</f>
        <v/>
      </c>
      <c r="J51" s="781"/>
      <c r="K51" s="112"/>
      <c r="L51" s="153" t="str">
        <f>IF(ISERROR(INDEX('Enter (Vac BFs TrCl MB'!$F$7:$AJ$37,MATCH(REGENT!$B51,'Enter (Vac BFs TrCl MB'!$D$7:$D$37,FALSE),MATCH(REGENT!L$42,'Enter (Vac BFs TrCl MB'!$F$6:$AJ$6,FALSE))),"",(INDEX('Enter (Vac BFs TrCl MB'!$F$7:$AJ$37,MATCH(REGENT!$B51,'Enter (Vac BFs TrCl MB'!$D$7:$D$37,FALSE),MATCH(REGENT!L$42,'Enter (Vac BFs TrCl MB'!$F$6:$AJ$6,FALSE))))</f>
        <v/>
      </c>
      <c r="M51" s="153" t="str">
        <f>IF(ISERROR(INDEX('Enter (Vac BFs TrCl MB'!$F$7:$AJ$37,MATCH(REGENT!$B51,'Enter (Vac BFs TrCl MB'!$D$7:$D$37,FALSE),MATCH(REGENT!M$42,'Enter (Vac BFs TrCl MB'!$F$6:$AJ$6,FALSE))),"",(INDEX('Enter (Vac BFs TrCl MB'!$F$7:$AJ$37,MATCH(REGENT!$B51,'Enter (Vac BFs TrCl MB'!$D$7:$D$37,FALSE),MATCH(REGENT!M$42,'Enter (Vac BFs TrCl MB'!$F$6:$AJ$6,FALSE))))</f>
        <v/>
      </c>
      <c r="N51" s="153" t="str">
        <f>IF(ISERROR(INDEX('Enter (Vac BFs TrCl MB'!$F$7:$AJ$37,MATCH(REGENT!$B51,'Enter (Vac BFs TrCl MB'!$D$7:$D$37,FALSE),MATCH(REGENT!N$42,'Enter (Vac BFs TrCl MB'!$F$6:$AJ$6,FALSE))),"",(INDEX('Enter (Vac BFs TrCl MB'!$F$7:$AJ$37,MATCH(REGENT!$B51,'Enter (Vac BFs TrCl MB'!$D$7:$D$37,FALSE),MATCH(REGENT!N$42,'Enter (Vac BFs TrCl MB'!$F$6:$AJ$6,FALSE))))</f>
        <v/>
      </c>
      <c r="O51" s="153" t="str">
        <f>IF(ISERROR(INDEX('Enter (Vac BFs TrCl MB'!$F$7:$AU$37,MATCH(REGENT!$B51,'Enter (Vac BFs TrCl MB'!$D$7:$D$37,FALSE),MATCH(REGENT!O$42,'Enter (Vac BFs TrCl MB'!$F$6:$AU$6,FALSE))),"",(INDEX('Enter (Vac BFs TrCl MB'!$F$7:$AU$37,MATCH(REGENT!$B51,'Enter (Vac BFs TrCl MB'!$D$7:$D$37,FALSE),MATCH(REGENT!O$42,'Enter (Vac BFs TrCl MB'!$F$6:$AU$6,FALSE))))</f>
        <v/>
      </c>
      <c r="P51" s="153" t="str">
        <f>IF(ISERROR(INDEX('Enter (Vac BFs TrCl MB'!$F$7:$AU$37,MATCH(REGENT!$B51,'Enter (Vac BFs TrCl MB'!$D$7:$D$37,FALSE),MATCH(REGENT!P$42,'Enter (Vac BFs TrCl MB'!$F$6:$AU$6,FALSE))),"",(INDEX('Enter (Vac BFs TrCl MB'!$F$7:$AU$37,MATCH(REGENT!$B51,'Enter (Vac BFs TrCl MB'!$D$7:$D$37,FALSE),MATCH(REGENT!P$42,'Enter (Vac BFs TrCl MB'!$F$6:$AU$6,FALSE))))</f>
        <v/>
      </c>
      <c r="Q51" s="153" t="str">
        <f>IF(ISERROR(INDEX('Enter (Vac BFs TrCl MB'!$F$7:$AU$37,MATCH(REGENT!$B51,'Enter (Vac BFs TrCl MB'!$D$7:$D$37,FALSE),MATCH(REGENT!Q$42,'Enter (Vac BFs TrCl MB'!$F$6:$AU$6,FALSE))),"",(INDEX('Enter (Vac BFs TrCl MB'!$F$7:$AU$37,MATCH(REGENT!$B51,'Enter (Vac BFs TrCl MB'!$D$7:$D$37,FALSE),MATCH(REGENT!Q$42,'Enter (Vac BFs TrCl MB'!$F$6:$AU$6,FALSE))))</f>
        <v/>
      </c>
      <c r="R51" s="266"/>
      <c r="S51" s="781"/>
      <c r="T51" s="636"/>
      <c r="U51" s="274"/>
      <c r="V51" s="816"/>
      <c r="W51" s="817"/>
      <c r="X51" s="817"/>
      <c r="Y51" s="817"/>
      <c r="Z51" s="817"/>
      <c r="AA51" s="818"/>
    </row>
    <row r="52" spans="2:27" ht="15">
      <c r="B52" s="111"/>
      <c r="C52" s="153" t="str">
        <f>IF(ISERROR(INDEX('Enter (Vac BFs TrCl MB'!$F$7:$AJ$37,MATCH(REGENT!$B52,'Enter (Vac BFs TrCl MB'!$D$7:$D$37,FALSE),MATCH(REGENT!C$42,'Enter (Vac BFs TrCl MB'!$F$6:$AJ$6,FALSE))),"",(INDEX('Enter (Vac BFs TrCl MB'!$F$7:$AJ$37,MATCH(REGENT!$B52,'Enter (Vac BFs TrCl MB'!$D$7:$D$37,FALSE),MATCH(REGENT!C$42,'Enter (Vac BFs TrCl MB'!$F$6:$AJ$6,FALSE))))</f>
        <v/>
      </c>
      <c r="D52" s="153" t="str">
        <f>IF(ISERROR(INDEX('Enter (Vac BFs TrCl MB'!$F$7:$AJ$37,MATCH(REGENT!$B52,'Enter (Vac BFs TrCl MB'!$D$7:$D$37,FALSE),MATCH(REGENT!D$42,'Enter (Vac BFs TrCl MB'!$F$6:$AJ$6,FALSE))),"",(INDEX('Enter (Vac BFs TrCl MB'!$F$7:$AJ$37,MATCH(REGENT!$B52,'Enter (Vac BFs TrCl MB'!$D$7:$D$37,FALSE),MATCH(REGENT!D$42,'Enter (Vac BFs TrCl MB'!$F$6:$AJ$6,FALSE))))</f>
        <v/>
      </c>
      <c r="E52" s="153" t="str">
        <f>IF(ISERROR(INDEX('Enter (Vac BFs TrCl MB'!$F$7:$AJ$37,MATCH(REGENT!$B52,'Enter (Vac BFs TrCl MB'!$D$7:$D$37,FALSE),MATCH(REGENT!E$42,'Enter (Vac BFs TrCl MB'!$F$6:$AJ$6,FALSE))),"",(INDEX('Enter (Vac BFs TrCl MB'!$F$7:$AJ$37,MATCH(REGENT!$B52,'Enter (Vac BFs TrCl MB'!$D$7:$D$37,FALSE),MATCH(REGENT!E$42,'Enter (Vac BFs TrCl MB'!$F$6:$AJ$6,FALSE))))</f>
        <v/>
      </c>
      <c r="F52" s="153" t="str">
        <f>IF(ISERROR(INDEX('Enter (Vac BFs TrCl MB'!$F$7:$AJ$37,MATCH(REGENT!$B52,'Enter (Vac BFs TrCl MB'!$D$7:$D$37,FALSE),MATCH(REGENT!F$42,'Enter (Vac BFs TrCl MB'!$F$6:$AJ$6,FALSE))),"",(INDEX('Enter (Vac BFs TrCl MB'!$F$7:$AJ$37,MATCH(REGENT!$B52,'Enter (Vac BFs TrCl MB'!$D$7:$D$37,FALSE),MATCH(REGENT!F$42,'Enter (Vac BFs TrCl MB'!$F$6:$AJ$6,FALSE))))</f>
        <v/>
      </c>
      <c r="G52" s="153" t="str">
        <f>IF(ISERROR(INDEX('Enter (Vac BFs TrCl MB'!$F$7:$AJ$37,MATCH(REGENT!$B52,'Enter (Vac BFs TrCl MB'!$D$7:$D$37,FALSE),MATCH(REGENT!G$42,'Enter (Vac BFs TrCl MB'!$F$6:$AJ$6,FALSE))),"",(INDEX('Enter (Vac BFs TrCl MB'!$F$7:$AJ$37,MATCH(REGENT!$B52,'Enter (Vac BFs TrCl MB'!$D$7:$D$37,FALSE),MATCH(REGENT!G$42,'Enter (Vac BFs TrCl MB'!$F$6:$AJ$6,FALSE))))</f>
        <v/>
      </c>
      <c r="H52" s="153" t="str">
        <f>IF(ISERROR(INDEX('Enter (Vac BFs TrCl MB'!$F$7:$AJ$37,MATCH(REGENT!$B52,'Enter (Vac BFs TrCl MB'!$D$7:$D$37,FALSE),MATCH(REGENT!H$42,'Enter (Vac BFs TrCl MB'!$F$6:$AJ$6,FALSE))),"",(INDEX('Enter (Vac BFs TrCl MB'!$F$7:$AJ$37,MATCH(REGENT!$B52,'Enter (Vac BFs TrCl MB'!$D$7:$D$37,FALSE),MATCH(REGENT!H$42,'Enter (Vac BFs TrCl MB'!$F$6:$AJ$6,FALSE))))</f>
        <v/>
      </c>
      <c r="I52" s="154" t="str">
        <f>IF(ISERROR(INDEX('Enter (Vac BFs TrCl MB'!$F$7:$AJ$37,MATCH(REGENT!$B52,'Enter (Vac BFs TrCl MB'!$D$7:$D$37,FALSE),MATCH(REGENT!I$42,'Enter (Vac BFs TrCl MB'!$F$6:$AJ$6,FALSE))),"",(INDEX('Enter (Vac BFs TrCl MB'!$F$7:$AJ$37,MATCH(REGENT!$B52,'Enter (Vac BFs TrCl MB'!$D$7:$D$37,FALSE),MATCH(REGENT!I$42,'Enter (Vac BFs TrCl MB'!$F$6:$AJ$6,FALSE))))</f>
        <v/>
      </c>
      <c r="J52" s="781"/>
      <c r="K52" s="112"/>
      <c r="L52" s="153" t="str">
        <f>IF(ISERROR(INDEX('Enter (Vac BFs TrCl MB'!$F$7:$AJ$37,MATCH(REGENT!$B52,'Enter (Vac BFs TrCl MB'!$D$7:$D$37,FALSE),MATCH(REGENT!L$42,'Enter (Vac BFs TrCl MB'!$F$6:$AJ$6,FALSE))),"",(INDEX('Enter (Vac BFs TrCl MB'!$F$7:$AJ$37,MATCH(REGENT!$B52,'Enter (Vac BFs TrCl MB'!$D$7:$D$37,FALSE),MATCH(REGENT!L$42,'Enter (Vac BFs TrCl MB'!$F$6:$AJ$6,FALSE))))</f>
        <v/>
      </c>
      <c r="M52" s="153" t="str">
        <f>IF(ISERROR(INDEX('Enter (Vac BFs TrCl MB'!$F$7:$AJ$37,MATCH(REGENT!$B52,'Enter (Vac BFs TrCl MB'!$D$7:$D$37,FALSE),MATCH(REGENT!M$42,'Enter (Vac BFs TrCl MB'!$F$6:$AJ$6,FALSE))),"",(INDEX('Enter (Vac BFs TrCl MB'!$F$7:$AJ$37,MATCH(REGENT!$B52,'Enter (Vac BFs TrCl MB'!$D$7:$D$37,FALSE),MATCH(REGENT!M$42,'Enter (Vac BFs TrCl MB'!$F$6:$AJ$6,FALSE))))</f>
        <v/>
      </c>
      <c r="N52" s="153" t="str">
        <f>IF(ISERROR(INDEX('Enter (Vac BFs TrCl MB'!$F$7:$AJ$37,MATCH(REGENT!$B52,'Enter (Vac BFs TrCl MB'!$D$7:$D$37,FALSE),MATCH(REGENT!N$42,'Enter (Vac BFs TrCl MB'!$F$6:$AJ$6,FALSE))),"",(INDEX('Enter (Vac BFs TrCl MB'!$F$7:$AJ$37,MATCH(REGENT!$B52,'Enter (Vac BFs TrCl MB'!$D$7:$D$37,FALSE),MATCH(REGENT!N$42,'Enter (Vac BFs TrCl MB'!$F$6:$AJ$6,FALSE))))</f>
        <v/>
      </c>
      <c r="O52" s="153" t="str">
        <f>IF(ISERROR(INDEX('Enter (Vac BFs TrCl MB'!$F$7:$AU$37,MATCH(REGENT!$B52,'Enter (Vac BFs TrCl MB'!$D$7:$D$37,FALSE),MATCH(REGENT!O$42,'Enter (Vac BFs TrCl MB'!$F$6:$AU$6,FALSE))),"",(INDEX('Enter (Vac BFs TrCl MB'!$F$7:$AU$37,MATCH(REGENT!$B52,'Enter (Vac BFs TrCl MB'!$D$7:$D$37,FALSE),MATCH(REGENT!O$42,'Enter (Vac BFs TrCl MB'!$F$6:$AU$6,FALSE))))</f>
        <v/>
      </c>
      <c r="P52" s="153" t="str">
        <f>IF(ISERROR(INDEX('Enter (Vac BFs TrCl MB'!$F$7:$AU$37,MATCH(REGENT!$B52,'Enter (Vac BFs TrCl MB'!$D$7:$D$37,FALSE),MATCH(REGENT!P$42,'Enter (Vac BFs TrCl MB'!$F$6:$AU$6,FALSE))),"",(INDEX('Enter (Vac BFs TrCl MB'!$F$7:$AU$37,MATCH(REGENT!$B52,'Enter (Vac BFs TrCl MB'!$D$7:$D$37,FALSE),MATCH(REGENT!P$42,'Enter (Vac BFs TrCl MB'!$F$6:$AU$6,FALSE))))</f>
        <v/>
      </c>
      <c r="Q52" s="153" t="str">
        <f>IF(ISERROR(INDEX('Enter (Vac BFs TrCl MB'!$F$7:$AU$37,MATCH(REGENT!$B52,'Enter (Vac BFs TrCl MB'!$D$7:$D$37,FALSE),MATCH(REGENT!Q$42,'Enter (Vac BFs TrCl MB'!$F$6:$AU$6,FALSE))),"",(INDEX('Enter (Vac BFs TrCl MB'!$F$7:$AU$37,MATCH(REGENT!$B52,'Enter (Vac BFs TrCl MB'!$D$7:$D$37,FALSE),MATCH(REGENT!Q$42,'Enter (Vac BFs TrCl MB'!$F$6:$AU$6,FALSE))))</f>
        <v/>
      </c>
      <c r="R52" s="266"/>
      <c r="S52" s="781"/>
      <c r="T52" s="636"/>
      <c r="U52" s="274"/>
      <c r="V52" s="816"/>
      <c r="W52" s="817"/>
      <c r="X52" s="817"/>
      <c r="Y52" s="817"/>
      <c r="Z52" s="817"/>
      <c r="AA52" s="818"/>
    </row>
    <row r="53" spans="2:27" ht="15">
      <c r="B53" s="111"/>
      <c r="C53" s="153" t="str">
        <f>IF(ISERROR(INDEX('Enter (Vac BFs TrCl MB'!$F$7:$AJ$37,MATCH(REGENT!$B53,'Enter (Vac BFs TrCl MB'!$D$7:$D$37,FALSE),MATCH(REGENT!C$42,'Enter (Vac BFs TrCl MB'!$F$6:$AJ$6,FALSE))),"",(INDEX('Enter (Vac BFs TrCl MB'!$F$7:$AJ$37,MATCH(REGENT!$B53,'Enter (Vac BFs TrCl MB'!$D$7:$D$37,FALSE),MATCH(REGENT!C$42,'Enter (Vac BFs TrCl MB'!$F$6:$AJ$6,FALSE))))</f>
        <v/>
      </c>
      <c r="D53" s="153" t="str">
        <f>IF(ISERROR(INDEX('Enter (Vac BFs TrCl MB'!$F$7:$AJ$37,MATCH(REGENT!$B53,'Enter (Vac BFs TrCl MB'!$D$7:$D$37,FALSE),MATCH(REGENT!D$42,'Enter (Vac BFs TrCl MB'!$F$6:$AJ$6,FALSE))),"",(INDEX('Enter (Vac BFs TrCl MB'!$F$7:$AJ$37,MATCH(REGENT!$B53,'Enter (Vac BFs TrCl MB'!$D$7:$D$37,FALSE),MATCH(REGENT!D$42,'Enter (Vac BFs TrCl MB'!$F$6:$AJ$6,FALSE))))</f>
        <v/>
      </c>
      <c r="E53" s="153" t="str">
        <f>IF(ISERROR(INDEX('Enter (Vac BFs TrCl MB'!$F$7:$AJ$37,MATCH(REGENT!$B53,'Enter (Vac BFs TrCl MB'!$D$7:$D$37,FALSE),MATCH(REGENT!E$42,'Enter (Vac BFs TrCl MB'!$F$6:$AJ$6,FALSE))),"",(INDEX('Enter (Vac BFs TrCl MB'!$F$7:$AJ$37,MATCH(REGENT!$B53,'Enter (Vac BFs TrCl MB'!$D$7:$D$37,FALSE),MATCH(REGENT!E$42,'Enter (Vac BFs TrCl MB'!$F$6:$AJ$6,FALSE))))</f>
        <v/>
      </c>
      <c r="F53" s="153" t="str">
        <f>IF(ISERROR(INDEX('Enter (Vac BFs TrCl MB'!$F$7:$AJ$37,MATCH(REGENT!$B53,'Enter (Vac BFs TrCl MB'!$D$7:$D$37,FALSE),MATCH(REGENT!F$42,'Enter (Vac BFs TrCl MB'!$F$6:$AJ$6,FALSE))),"",(INDEX('Enter (Vac BFs TrCl MB'!$F$7:$AJ$37,MATCH(REGENT!$B53,'Enter (Vac BFs TrCl MB'!$D$7:$D$37,FALSE),MATCH(REGENT!F$42,'Enter (Vac BFs TrCl MB'!$F$6:$AJ$6,FALSE))))</f>
        <v/>
      </c>
      <c r="G53" s="153" t="str">
        <f>IF(ISERROR(INDEX('Enter (Vac BFs TrCl MB'!$F$7:$AJ$37,MATCH(REGENT!$B53,'Enter (Vac BFs TrCl MB'!$D$7:$D$37,FALSE),MATCH(REGENT!G$42,'Enter (Vac BFs TrCl MB'!$F$6:$AJ$6,FALSE))),"",(INDEX('Enter (Vac BFs TrCl MB'!$F$7:$AJ$37,MATCH(REGENT!$B53,'Enter (Vac BFs TrCl MB'!$D$7:$D$37,FALSE),MATCH(REGENT!G$42,'Enter (Vac BFs TrCl MB'!$F$6:$AJ$6,FALSE))))</f>
        <v/>
      </c>
      <c r="H53" s="153" t="str">
        <f>IF(ISERROR(INDEX('Enter (Vac BFs TrCl MB'!$F$7:$AJ$37,MATCH(REGENT!$B53,'Enter (Vac BFs TrCl MB'!$D$7:$D$37,FALSE),MATCH(REGENT!H$42,'Enter (Vac BFs TrCl MB'!$F$6:$AJ$6,FALSE))),"",(INDEX('Enter (Vac BFs TrCl MB'!$F$7:$AJ$37,MATCH(REGENT!$B53,'Enter (Vac BFs TrCl MB'!$D$7:$D$37,FALSE),MATCH(REGENT!H$42,'Enter (Vac BFs TrCl MB'!$F$6:$AJ$6,FALSE))))</f>
        <v/>
      </c>
      <c r="I53" s="154" t="str">
        <f>IF(ISERROR(INDEX('Enter (Vac BFs TrCl MB'!$F$7:$AJ$37,MATCH(REGENT!$B53,'Enter (Vac BFs TrCl MB'!$D$7:$D$37,FALSE),MATCH(REGENT!I$42,'Enter (Vac BFs TrCl MB'!$F$6:$AJ$6,FALSE))),"",(INDEX('Enter (Vac BFs TrCl MB'!$F$7:$AJ$37,MATCH(REGENT!$B53,'Enter (Vac BFs TrCl MB'!$D$7:$D$37,FALSE),MATCH(REGENT!I$42,'Enter (Vac BFs TrCl MB'!$F$6:$AJ$6,FALSE))))</f>
        <v/>
      </c>
      <c r="J53" s="781"/>
      <c r="K53" s="112"/>
      <c r="L53" s="153" t="str">
        <f>IF(ISERROR(INDEX('Enter (Vac BFs TrCl MB'!$F$7:$AJ$37,MATCH(REGENT!$B53,'Enter (Vac BFs TrCl MB'!$D$7:$D$37,FALSE),MATCH(REGENT!L$42,'Enter (Vac BFs TrCl MB'!$F$6:$AJ$6,FALSE))),"",(INDEX('Enter (Vac BFs TrCl MB'!$F$7:$AJ$37,MATCH(REGENT!$B53,'Enter (Vac BFs TrCl MB'!$D$7:$D$37,FALSE),MATCH(REGENT!L$42,'Enter (Vac BFs TrCl MB'!$F$6:$AJ$6,FALSE))))</f>
        <v/>
      </c>
      <c r="M53" s="153" t="str">
        <f>IF(ISERROR(INDEX('Enter (Vac BFs TrCl MB'!$F$7:$AJ$37,MATCH(REGENT!$B53,'Enter (Vac BFs TrCl MB'!$D$7:$D$37,FALSE),MATCH(REGENT!M$42,'Enter (Vac BFs TrCl MB'!$F$6:$AJ$6,FALSE))),"",(INDEX('Enter (Vac BFs TrCl MB'!$F$7:$AJ$37,MATCH(REGENT!$B53,'Enter (Vac BFs TrCl MB'!$D$7:$D$37,FALSE),MATCH(REGENT!M$42,'Enter (Vac BFs TrCl MB'!$F$6:$AJ$6,FALSE))))</f>
        <v/>
      </c>
      <c r="N53" s="153" t="str">
        <f>IF(ISERROR(INDEX('Enter (Vac BFs TrCl MB'!$F$7:$AJ$37,MATCH(REGENT!$B53,'Enter (Vac BFs TrCl MB'!$D$7:$D$37,FALSE),MATCH(REGENT!N$42,'Enter (Vac BFs TrCl MB'!$F$6:$AJ$6,FALSE))),"",(INDEX('Enter (Vac BFs TrCl MB'!$F$7:$AJ$37,MATCH(REGENT!$B53,'Enter (Vac BFs TrCl MB'!$D$7:$D$37,FALSE),MATCH(REGENT!N$42,'Enter (Vac BFs TrCl MB'!$F$6:$AJ$6,FALSE))))</f>
        <v/>
      </c>
      <c r="O53" s="153" t="str">
        <f>IF(ISERROR(INDEX('Enter (Vac BFs TrCl MB'!$F$7:$AU$37,MATCH(REGENT!$B53,'Enter (Vac BFs TrCl MB'!$D$7:$D$37,FALSE),MATCH(REGENT!O$42,'Enter (Vac BFs TrCl MB'!$F$6:$AU$6,FALSE))),"",(INDEX('Enter (Vac BFs TrCl MB'!$F$7:$AU$37,MATCH(REGENT!$B53,'Enter (Vac BFs TrCl MB'!$D$7:$D$37,FALSE),MATCH(REGENT!O$42,'Enter (Vac BFs TrCl MB'!$F$6:$AU$6,FALSE))))</f>
        <v/>
      </c>
      <c r="P53" s="153" t="str">
        <f>IF(ISERROR(INDEX('Enter (Vac BFs TrCl MB'!$F$7:$AU$37,MATCH(REGENT!$B53,'Enter (Vac BFs TrCl MB'!$D$7:$D$37,FALSE),MATCH(REGENT!P$42,'Enter (Vac BFs TrCl MB'!$F$6:$AU$6,FALSE))),"",(INDEX('Enter (Vac BFs TrCl MB'!$F$7:$AU$37,MATCH(REGENT!$B53,'Enter (Vac BFs TrCl MB'!$D$7:$D$37,FALSE),MATCH(REGENT!P$42,'Enter (Vac BFs TrCl MB'!$F$6:$AU$6,FALSE))))</f>
        <v/>
      </c>
      <c r="Q53" s="153" t="str">
        <f>IF(ISERROR(INDEX('Enter (Vac BFs TrCl MB'!$F$7:$AU$37,MATCH(REGENT!$B53,'Enter (Vac BFs TrCl MB'!$D$7:$D$37,FALSE),MATCH(REGENT!Q$42,'Enter (Vac BFs TrCl MB'!$F$6:$AU$6,FALSE))),"",(INDEX('Enter (Vac BFs TrCl MB'!$F$7:$AU$37,MATCH(REGENT!$B53,'Enter (Vac BFs TrCl MB'!$D$7:$D$37,FALSE),MATCH(REGENT!Q$42,'Enter (Vac BFs TrCl MB'!$F$6:$AU$6,FALSE))))</f>
        <v/>
      </c>
      <c r="R53" s="266"/>
      <c r="S53" s="781"/>
      <c r="T53" s="283" t="s">
        <v>253</v>
      </c>
      <c r="U53" s="274"/>
      <c r="V53" s="816" t="s">
        <v>181</v>
      </c>
      <c r="W53" s="817"/>
      <c r="X53" s="817"/>
      <c r="Y53" s="817"/>
      <c r="Z53" s="817"/>
      <c r="AA53" s="818"/>
    </row>
    <row r="54" spans="2:27" ht="15">
      <c r="B54" s="111"/>
      <c r="C54" s="153" t="str">
        <f>IF(ISERROR(INDEX('Enter (Vac BFs TrCl MB'!$F$7:$AJ$37,MATCH(REGENT!$B54,'Enter (Vac BFs TrCl MB'!$D$7:$D$37,FALSE),MATCH(REGENT!C$42,'Enter (Vac BFs TrCl MB'!$F$6:$AJ$6,FALSE))),"",(INDEX('Enter (Vac BFs TrCl MB'!$F$7:$AJ$37,MATCH(REGENT!$B54,'Enter (Vac BFs TrCl MB'!$D$7:$D$37,FALSE),MATCH(REGENT!C$42,'Enter (Vac BFs TrCl MB'!$F$6:$AJ$6,FALSE))))</f>
        <v/>
      </c>
      <c r="D54" s="153" t="str">
        <f>IF(ISERROR(INDEX('Enter (Vac BFs TrCl MB'!$F$7:$AJ$37,MATCH(REGENT!$B54,'Enter (Vac BFs TrCl MB'!$D$7:$D$37,FALSE),MATCH(REGENT!D$42,'Enter (Vac BFs TrCl MB'!$F$6:$AJ$6,FALSE))),"",(INDEX('Enter (Vac BFs TrCl MB'!$F$7:$AJ$37,MATCH(REGENT!$B54,'Enter (Vac BFs TrCl MB'!$D$7:$D$37,FALSE),MATCH(REGENT!D$42,'Enter (Vac BFs TrCl MB'!$F$6:$AJ$6,FALSE))))</f>
        <v/>
      </c>
      <c r="E54" s="153" t="str">
        <f>IF(ISERROR(INDEX('Enter (Vac BFs TrCl MB'!$F$7:$AJ$37,MATCH(REGENT!$B54,'Enter (Vac BFs TrCl MB'!$D$7:$D$37,FALSE),MATCH(REGENT!E$42,'Enter (Vac BFs TrCl MB'!$F$6:$AJ$6,FALSE))),"",(INDEX('Enter (Vac BFs TrCl MB'!$F$7:$AJ$37,MATCH(REGENT!$B54,'Enter (Vac BFs TrCl MB'!$D$7:$D$37,FALSE),MATCH(REGENT!E$42,'Enter (Vac BFs TrCl MB'!$F$6:$AJ$6,FALSE))))</f>
        <v/>
      </c>
      <c r="F54" s="153" t="str">
        <f>IF(ISERROR(INDEX('Enter (Vac BFs TrCl MB'!$F$7:$AJ$37,MATCH(REGENT!$B54,'Enter (Vac BFs TrCl MB'!$D$7:$D$37,FALSE),MATCH(REGENT!F$42,'Enter (Vac BFs TrCl MB'!$F$6:$AJ$6,FALSE))),"",(INDEX('Enter (Vac BFs TrCl MB'!$F$7:$AJ$37,MATCH(REGENT!$B54,'Enter (Vac BFs TrCl MB'!$D$7:$D$37,FALSE),MATCH(REGENT!F$42,'Enter (Vac BFs TrCl MB'!$F$6:$AJ$6,FALSE))))</f>
        <v/>
      </c>
      <c r="G54" s="153" t="str">
        <f>IF(ISERROR(INDEX('Enter (Vac BFs TrCl MB'!$F$7:$AJ$37,MATCH(REGENT!$B54,'Enter (Vac BFs TrCl MB'!$D$7:$D$37,FALSE),MATCH(REGENT!G$42,'Enter (Vac BFs TrCl MB'!$F$6:$AJ$6,FALSE))),"",(INDEX('Enter (Vac BFs TrCl MB'!$F$7:$AJ$37,MATCH(REGENT!$B54,'Enter (Vac BFs TrCl MB'!$D$7:$D$37,FALSE),MATCH(REGENT!G$42,'Enter (Vac BFs TrCl MB'!$F$6:$AJ$6,FALSE))))</f>
        <v/>
      </c>
      <c r="H54" s="153" t="str">
        <f>IF(ISERROR(INDEX('Enter (Vac BFs TrCl MB'!$F$7:$AJ$37,MATCH(REGENT!$B54,'Enter (Vac BFs TrCl MB'!$D$7:$D$37,FALSE),MATCH(REGENT!H$42,'Enter (Vac BFs TrCl MB'!$F$6:$AJ$6,FALSE))),"",(INDEX('Enter (Vac BFs TrCl MB'!$F$7:$AJ$37,MATCH(REGENT!$B54,'Enter (Vac BFs TrCl MB'!$D$7:$D$37,FALSE),MATCH(REGENT!H$42,'Enter (Vac BFs TrCl MB'!$F$6:$AJ$6,FALSE))))</f>
        <v/>
      </c>
      <c r="I54" s="154" t="str">
        <f>IF(ISERROR(INDEX('Enter (Vac BFs TrCl MB'!$F$7:$AJ$37,MATCH(REGENT!$B54,'Enter (Vac BFs TrCl MB'!$D$7:$D$37,FALSE),MATCH(REGENT!I$42,'Enter (Vac BFs TrCl MB'!$F$6:$AJ$6,FALSE))),"",(INDEX('Enter (Vac BFs TrCl MB'!$F$7:$AJ$37,MATCH(REGENT!$B54,'Enter (Vac BFs TrCl MB'!$D$7:$D$37,FALSE),MATCH(REGENT!I$42,'Enter (Vac BFs TrCl MB'!$F$6:$AJ$6,FALSE))))</f>
        <v/>
      </c>
      <c r="J54" s="781"/>
      <c r="K54" s="112"/>
      <c r="L54" s="153" t="str">
        <f>IF(ISERROR(INDEX('Enter (Vac BFs TrCl MB'!$F$7:$AJ$37,MATCH(REGENT!$B54,'Enter (Vac BFs TrCl MB'!$D$7:$D$37,FALSE),MATCH(REGENT!L$42,'Enter (Vac BFs TrCl MB'!$F$6:$AJ$6,FALSE))),"",(INDEX('Enter (Vac BFs TrCl MB'!$F$7:$AJ$37,MATCH(REGENT!$B54,'Enter (Vac BFs TrCl MB'!$D$7:$D$37,FALSE),MATCH(REGENT!L$42,'Enter (Vac BFs TrCl MB'!$F$6:$AJ$6,FALSE))))</f>
        <v/>
      </c>
      <c r="M54" s="153" t="str">
        <f>IF(ISERROR(INDEX('Enter (Vac BFs TrCl MB'!$F$7:$AJ$37,MATCH(REGENT!$B54,'Enter (Vac BFs TrCl MB'!$D$7:$D$37,FALSE),MATCH(REGENT!M$42,'Enter (Vac BFs TrCl MB'!$F$6:$AJ$6,FALSE))),"",(INDEX('Enter (Vac BFs TrCl MB'!$F$7:$AJ$37,MATCH(REGENT!$B54,'Enter (Vac BFs TrCl MB'!$D$7:$D$37,FALSE),MATCH(REGENT!M$42,'Enter (Vac BFs TrCl MB'!$F$6:$AJ$6,FALSE))))</f>
        <v/>
      </c>
      <c r="N54" s="153" t="str">
        <f>IF(ISERROR(INDEX('Enter (Vac BFs TrCl MB'!$F$7:$AJ$37,MATCH(REGENT!$B54,'Enter (Vac BFs TrCl MB'!$D$7:$D$37,FALSE),MATCH(REGENT!N$42,'Enter (Vac BFs TrCl MB'!$F$6:$AJ$6,FALSE))),"",(INDEX('Enter (Vac BFs TrCl MB'!$F$7:$AJ$37,MATCH(REGENT!$B54,'Enter (Vac BFs TrCl MB'!$D$7:$D$37,FALSE),MATCH(REGENT!N$42,'Enter (Vac BFs TrCl MB'!$F$6:$AJ$6,FALSE))))</f>
        <v/>
      </c>
      <c r="O54" s="153" t="str">
        <f>IF(ISERROR(INDEX('Enter (Vac BFs TrCl MB'!$F$7:$AU$37,MATCH(REGENT!$B54,'Enter (Vac BFs TrCl MB'!$D$7:$D$37,FALSE),MATCH(REGENT!O$42,'Enter (Vac BFs TrCl MB'!$F$6:$AU$6,FALSE))),"",(INDEX('Enter (Vac BFs TrCl MB'!$F$7:$AU$37,MATCH(REGENT!$B54,'Enter (Vac BFs TrCl MB'!$D$7:$D$37,FALSE),MATCH(REGENT!O$42,'Enter (Vac BFs TrCl MB'!$F$6:$AU$6,FALSE))))</f>
        <v/>
      </c>
      <c r="P54" s="153" t="str">
        <f>IF(ISERROR(INDEX('Enter (Vac BFs TrCl MB'!$F$7:$AU$37,MATCH(REGENT!$B54,'Enter (Vac BFs TrCl MB'!$D$7:$D$37,FALSE),MATCH(REGENT!P$42,'Enter (Vac BFs TrCl MB'!$F$6:$AU$6,FALSE))),"",(INDEX('Enter (Vac BFs TrCl MB'!$F$7:$AU$37,MATCH(REGENT!$B54,'Enter (Vac BFs TrCl MB'!$D$7:$D$37,FALSE),MATCH(REGENT!P$42,'Enter (Vac BFs TrCl MB'!$F$6:$AU$6,FALSE))))</f>
        <v/>
      </c>
      <c r="Q54" s="153" t="str">
        <f>IF(ISERROR(INDEX('Enter (Vac BFs TrCl MB'!$F$7:$AU$37,MATCH(REGENT!$B54,'Enter (Vac BFs TrCl MB'!$D$7:$D$37,FALSE),MATCH(REGENT!Q$42,'Enter (Vac BFs TrCl MB'!$F$6:$AU$6,FALSE))),"",(INDEX('Enter (Vac BFs TrCl MB'!$F$7:$AU$37,MATCH(REGENT!$B54,'Enter (Vac BFs TrCl MB'!$D$7:$D$37,FALSE),MATCH(REGENT!Q$42,'Enter (Vac BFs TrCl MB'!$F$6:$AU$6,FALSE))))</f>
        <v/>
      </c>
      <c r="R54" s="266"/>
      <c r="S54" s="781"/>
      <c r="T54" s="636">
        <v>45334</v>
      </c>
      <c r="U54" s="274"/>
      <c r="V54" s="816" t="s">
        <v>183</v>
      </c>
      <c r="W54" s="817"/>
      <c r="X54" s="817"/>
      <c r="Y54" s="817"/>
      <c r="Z54" s="817"/>
      <c r="AA54" s="818"/>
    </row>
    <row r="55" spans="2:27" ht="15">
      <c r="B55" s="111"/>
      <c r="C55" s="153" t="str">
        <f>IF(ISERROR(INDEX('Enter (Vac BFs TrCl MB'!$F$7:$AJ$37,MATCH(REGENT!$B55,'Enter (Vac BFs TrCl MB'!$D$7:$D$37,FALSE),MATCH(REGENT!C$42,'Enter (Vac BFs TrCl MB'!$F$6:$AJ$6,FALSE))),"",(INDEX('Enter (Vac BFs TrCl MB'!$F$7:$AJ$37,MATCH(REGENT!$B55,'Enter (Vac BFs TrCl MB'!$D$7:$D$37,FALSE),MATCH(REGENT!C$42,'Enter (Vac BFs TrCl MB'!$F$6:$AJ$6,FALSE))))</f>
        <v/>
      </c>
      <c r="D55" s="153" t="str">
        <f>IF(ISERROR(INDEX('Enter (Vac BFs TrCl MB'!$F$7:$AJ$37,MATCH(REGENT!$B55,'Enter (Vac BFs TrCl MB'!$D$7:$D$37,FALSE),MATCH(REGENT!D$42,'Enter (Vac BFs TrCl MB'!$F$6:$AJ$6,FALSE))),"",(INDEX('Enter (Vac BFs TrCl MB'!$F$7:$AJ$37,MATCH(REGENT!$B55,'Enter (Vac BFs TrCl MB'!$D$7:$D$37,FALSE),MATCH(REGENT!D$42,'Enter (Vac BFs TrCl MB'!$F$6:$AJ$6,FALSE))))</f>
        <v/>
      </c>
      <c r="E55" s="153" t="str">
        <f>IF(ISERROR(INDEX('Enter (Vac BFs TrCl MB'!$F$7:$AJ$37,MATCH(REGENT!$B55,'Enter (Vac BFs TrCl MB'!$D$7:$D$37,FALSE),MATCH(REGENT!E$42,'Enter (Vac BFs TrCl MB'!$F$6:$AJ$6,FALSE))),"",(INDEX('Enter (Vac BFs TrCl MB'!$F$7:$AJ$37,MATCH(REGENT!$B55,'Enter (Vac BFs TrCl MB'!$D$7:$D$37,FALSE),MATCH(REGENT!E$42,'Enter (Vac BFs TrCl MB'!$F$6:$AJ$6,FALSE))))</f>
        <v/>
      </c>
      <c r="F55" s="153" t="str">
        <f>IF(ISERROR(INDEX('Enter (Vac BFs TrCl MB'!$F$7:$AJ$37,MATCH(REGENT!$B55,'Enter (Vac BFs TrCl MB'!$D$7:$D$37,FALSE),MATCH(REGENT!F$42,'Enter (Vac BFs TrCl MB'!$F$6:$AJ$6,FALSE))),"",(INDEX('Enter (Vac BFs TrCl MB'!$F$7:$AJ$37,MATCH(REGENT!$B55,'Enter (Vac BFs TrCl MB'!$D$7:$D$37,FALSE),MATCH(REGENT!F$42,'Enter (Vac BFs TrCl MB'!$F$6:$AJ$6,FALSE))))</f>
        <v/>
      </c>
      <c r="G55" s="153" t="str">
        <f>IF(ISERROR(INDEX('Enter (Vac BFs TrCl MB'!$F$7:$AJ$37,MATCH(REGENT!$B55,'Enter (Vac BFs TrCl MB'!$D$7:$D$37,FALSE),MATCH(REGENT!G$42,'Enter (Vac BFs TrCl MB'!$F$6:$AJ$6,FALSE))),"",(INDEX('Enter (Vac BFs TrCl MB'!$F$7:$AJ$37,MATCH(REGENT!$B55,'Enter (Vac BFs TrCl MB'!$D$7:$D$37,FALSE),MATCH(REGENT!G$42,'Enter (Vac BFs TrCl MB'!$F$6:$AJ$6,FALSE))))</f>
        <v/>
      </c>
      <c r="H55" s="153" t="str">
        <f>IF(ISERROR(INDEX('Enter (Vac BFs TrCl MB'!$F$7:$AJ$37,MATCH(REGENT!$B55,'Enter (Vac BFs TrCl MB'!$D$7:$D$37,FALSE),MATCH(REGENT!H$42,'Enter (Vac BFs TrCl MB'!$F$6:$AJ$6,FALSE))),"",(INDEX('Enter (Vac BFs TrCl MB'!$F$7:$AJ$37,MATCH(REGENT!$B55,'Enter (Vac BFs TrCl MB'!$D$7:$D$37,FALSE),MATCH(REGENT!H$42,'Enter (Vac BFs TrCl MB'!$F$6:$AJ$6,FALSE))))</f>
        <v/>
      </c>
      <c r="I55" s="154" t="str">
        <f>IF(ISERROR(INDEX('Enter (Vac BFs TrCl MB'!$F$7:$AJ$37,MATCH(REGENT!$B55,'Enter (Vac BFs TrCl MB'!$D$7:$D$37,FALSE),MATCH(REGENT!I$42,'Enter (Vac BFs TrCl MB'!$F$6:$AJ$6,FALSE))),"",(INDEX('Enter (Vac BFs TrCl MB'!$F$7:$AJ$37,MATCH(REGENT!$B55,'Enter (Vac BFs TrCl MB'!$D$7:$D$37,FALSE),MATCH(REGENT!I$42,'Enter (Vac BFs TrCl MB'!$F$6:$AJ$6,FALSE))))</f>
        <v/>
      </c>
      <c r="J55" s="781"/>
      <c r="K55" s="112"/>
      <c r="L55" s="153" t="str">
        <f>IF(ISERROR(INDEX('Enter (Vac BFs TrCl MB'!$F$7:$AJ$37,MATCH(REGENT!$B55,'Enter (Vac BFs TrCl MB'!$D$7:$D$37,FALSE),MATCH(REGENT!L$42,'Enter (Vac BFs TrCl MB'!$F$6:$AJ$6,FALSE))),"",(INDEX('Enter (Vac BFs TrCl MB'!$F$7:$AJ$37,MATCH(REGENT!$B55,'Enter (Vac BFs TrCl MB'!$D$7:$D$37,FALSE),MATCH(REGENT!L$42,'Enter (Vac BFs TrCl MB'!$F$6:$AJ$6,FALSE))))</f>
        <v/>
      </c>
      <c r="M55" s="153" t="str">
        <f>IF(ISERROR(INDEX('Enter (Vac BFs TrCl MB'!$F$7:$AJ$37,MATCH(REGENT!$B55,'Enter (Vac BFs TrCl MB'!$D$7:$D$37,FALSE),MATCH(REGENT!M$42,'Enter (Vac BFs TrCl MB'!$F$6:$AJ$6,FALSE))),"",(INDEX('Enter (Vac BFs TrCl MB'!$F$7:$AJ$37,MATCH(REGENT!$B55,'Enter (Vac BFs TrCl MB'!$D$7:$D$37,FALSE),MATCH(REGENT!M$42,'Enter (Vac BFs TrCl MB'!$F$6:$AJ$6,FALSE))))</f>
        <v/>
      </c>
      <c r="N55" s="153" t="str">
        <f>IF(ISERROR(INDEX('Enter (Vac BFs TrCl MB'!$F$7:$AJ$37,MATCH(REGENT!$B55,'Enter (Vac BFs TrCl MB'!$D$7:$D$37,FALSE),MATCH(REGENT!N$42,'Enter (Vac BFs TrCl MB'!$F$6:$AJ$6,FALSE))),"",(INDEX('Enter (Vac BFs TrCl MB'!$F$7:$AJ$37,MATCH(REGENT!$B55,'Enter (Vac BFs TrCl MB'!$D$7:$D$37,FALSE),MATCH(REGENT!N$42,'Enter (Vac BFs TrCl MB'!$F$6:$AJ$6,FALSE))))</f>
        <v/>
      </c>
      <c r="O55" s="153" t="str">
        <f>IF(ISERROR(INDEX('Enter (Vac BFs TrCl MB'!$F$7:$AU$37,MATCH(REGENT!$B55,'Enter (Vac BFs TrCl MB'!$D$7:$D$37,FALSE),MATCH(REGENT!O$42,'Enter (Vac BFs TrCl MB'!$F$6:$AU$6,FALSE))),"",(INDEX('Enter (Vac BFs TrCl MB'!$F$7:$AU$37,MATCH(REGENT!$B55,'Enter (Vac BFs TrCl MB'!$D$7:$D$37,FALSE),MATCH(REGENT!O$42,'Enter (Vac BFs TrCl MB'!$F$6:$AU$6,FALSE))))</f>
        <v/>
      </c>
      <c r="P55" s="153" t="str">
        <f>IF(ISERROR(INDEX('Enter (Vac BFs TrCl MB'!$F$7:$AU$37,MATCH(REGENT!$B55,'Enter (Vac BFs TrCl MB'!$D$7:$D$37,FALSE),MATCH(REGENT!P$42,'Enter (Vac BFs TrCl MB'!$F$6:$AU$6,FALSE))),"",(INDEX('Enter (Vac BFs TrCl MB'!$F$7:$AU$37,MATCH(REGENT!$B55,'Enter (Vac BFs TrCl MB'!$D$7:$D$37,FALSE),MATCH(REGENT!P$42,'Enter (Vac BFs TrCl MB'!$F$6:$AU$6,FALSE))))</f>
        <v/>
      </c>
      <c r="Q55" s="153" t="str">
        <f>IF(ISERROR(INDEX('Enter (Vac BFs TrCl MB'!$F$7:$AU$37,MATCH(REGENT!$B55,'Enter (Vac BFs TrCl MB'!$D$7:$D$37,FALSE),MATCH(REGENT!Q$42,'Enter (Vac BFs TrCl MB'!$F$6:$AU$6,FALSE))),"",(INDEX('Enter (Vac BFs TrCl MB'!$F$7:$AU$37,MATCH(REGENT!$B55,'Enter (Vac BFs TrCl MB'!$D$7:$D$37,FALSE),MATCH(REGENT!Q$42,'Enter (Vac BFs TrCl MB'!$F$6:$AU$6,FALSE))))</f>
        <v/>
      </c>
      <c r="R55" s="266"/>
      <c r="S55" s="781"/>
      <c r="T55" s="636"/>
      <c r="U55" s="274"/>
      <c r="V55" s="816"/>
      <c r="W55" s="817"/>
      <c r="X55" s="817"/>
      <c r="Y55" s="817"/>
      <c r="Z55" s="817"/>
      <c r="AA55" s="818"/>
    </row>
    <row r="56" spans="2:27" ht="15">
      <c r="B56" s="111"/>
      <c r="C56" s="153" t="str">
        <f>IF(ISERROR(INDEX('Enter (Vac BFs TrCl MB'!$F$7:$AJ$37,MATCH(REGENT!$B56,'Enter (Vac BFs TrCl MB'!$D$7:$D$37,FALSE),MATCH(REGENT!C$42,'Enter (Vac BFs TrCl MB'!$F$6:$AJ$6,FALSE))),"",(INDEX('Enter (Vac BFs TrCl MB'!$F$7:$AJ$37,MATCH(REGENT!$B56,'Enter (Vac BFs TrCl MB'!$D$7:$D$37,FALSE),MATCH(REGENT!C$42,'Enter (Vac BFs TrCl MB'!$F$6:$AJ$6,FALSE))))</f>
        <v/>
      </c>
      <c r="D56" s="153" t="str">
        <f>IF(ISERROR(INDEX('Enter (Vac BFs TrCl MB'!$F$7:$AJ$37,MATCH(REGENT!$B56,'Enter (Vac BFs TrCl MB'!$D$7:$D$37,FALSE),MATCH(REGENT!D$42,'Enter (Vac BFs TrCl MB'!$F$6:$AJ$6,FALSE))),"",(INDEX('Enter (Vac BFs TrCl MB'!$F$7:$AJ$37,MATCH(REGENT!$B56,'Enter (Vac BFs TrCl MB'!$D$7:$D$37,FALSE),MATCH(REGENT!D$42,'Enter (Vac BFs TrCl MB'!$F$6:$AJ$6,FALSE))))</f>
        <v/>
      </c>
      <c r="E56" s="153" t="str">
        <f>IF(ISERROR(INDEX('Enter (Vac BFs TrCl MB'!$F$7:$AJ$37,MATCH(REGENT!$B56,'Enter (Vac BFs TrCl MB'!$D$7:$D$37,FALSE),MATCH(REGENT!E$42,'Enter (Vac BFs TrCl MB'!$F$6:$AJ$6,FALSE))),"",(INDEX('Enter (Vac BFs TrCl MB'!$F$7:$AJ$37,MATCH(REGENT!$B56,'Enter (Vac BFs TrCl MB'!$D$7:$D$37,FALSE),MATCH(REGENT!E$42,'Enter (Vac BFs TrCl MB'!$F$6:$AJ$6,FALSE))))</f>
        <v/>
      </c>
      <c r="F56" s="153" t="str">
        <f>IF(ISERROR(INDEX('Enter (Vac BFs TrCl MB'!$F$7:$AJ$37,MATCH(REGENT!$B56,'Enter (Vac BFs TrCl MB'!$D$7:$D$37,FALSE),MATCH(REGENT!F$42,'Enter (Vac BFs TrCl MB'!$F$6:$AJ$6,FALSE))),"",(INDEX('Enter (Vac BFs TrCl MB'!$F$7:$AJ$37,MATCH(REGENT!$B56,'Enter (Vac BFs TrCl MB'!$D$7:$D$37,FALSE),MATCH(REGENT!F$42,'Enter (Vac BFs TrCl MB'!$F$6:$AJ$6,FALSE))))</f>
        <v/>
      </c>
      <c r="G56" s="153" t="str">
        <f>IF(ISERROR(INDEX('Enter (Vac BFs TrCl MB'!$F$7:$AJ$37,MATCH(REGENT!$B56,'Enter (Vac BFs TrCl MB'!$D$7:$D$37,FALSE),MATCH(REGENT!G$42,'Enter (Vac BFs TrCl MB'!$F$6:$AJ$6,FALSE))),"",(INDEX('Enter (Vac BFs TrCl MB'!$F$7:$AJ$37,MATCH(REGENT!$B56,'Enter (Vac BFs TrCl MB'!$D$7:$D$37,FALSE),MATCH(REGENT!G$42,'Enter (Vac BFs TrCl MB'!$F$6:$AJ$6,FALSE))))</f>
        <v/>
      </c>
      <c r="H56" s="153" t="str">
        <f>IF(ISERROR(INDEX('Enter (Vac BFs TrCl MB'!$F$7:$AJ$37,MATCH(REGENT!$B56,'Enter (Vac BFs TrCl MB'!$D$7:$D$37,FALSE),MATCH(REGENT!H$42,'Enter (Vac BFs TrCl MB'!$F$6:$AJ$6,FALSE))),"",(INDEX('Enter (Vac BFs TrCl MB'!$F$7:$AJ$37,MATCH(REGENT!$B56,'Enter (Vac BFs TrCl MB'!$D$7:$D$37,FALSE),MATCH(REGENT!H$42,'Enter (Vac BFs TrCl MB'!$F$6:$AJ$6,FALSE))))</f>
        <v/>
      </c>
      <c r="I56" s="154" t="str">
        <f>IF(ISERROR(INDEX('Enter (Vac BFs TrCl MB'!$F$7:$AJ$37,MATCH(REGENT!$B56,'Enter (Vac BFs TrCl MB'!$D$7:$D$37,FALSE),MATCH(REGENT!I$42,'Enter (Vac BFs TrCl MB'!$F$6:$AJ$6,FALSE))),"",(INDEX('Enter (Vac BFs TrCl MB'!$F$7:$AJ$37,MATCH(REGENT!$B56,'Enter (Vac BFs TrCl MB'!$D$7:$D$37,FALSE),MATCH(REGENT!I$42,'Enter (Vac BFs TrCl MB'!$F$6:$AJ$6,FALSE))))</f>
        <v/>
      </c>
      <c r="J56" s="781"/>
      <c r="K56" s="112"/>
      <c r="L56" s="153" t="str">
        <f>IF(ISERROR(INDEX('Enter (Vac BFs TrCl MB'!$F$7:$AJ$37,MATCH(REGENT!$B56,'Enter (Vac BFs TrCl MB'!$D$7:$D$37,FALSE),MATCH(REGENT!L$42,'Enter (Vac BFs TrCl MB'!$F$6:$AJ$6,FALSE))),"",(INDEX('Enter (Vac BFs TrCl MB'!$F$7:$AJ$37,MATCH(REGENT!$B56,'Enter (Vac BFs TrCl MB'!$D$7:$D$37,FALSE),MATCH(REGENT!L$42,'Enter (Vac BFs TrCl MB'!$F$6:$AJ$6,FALSE))))</f>
        <v/>
      </c>
      <c r="M56" s="153" t="str">
        <f>IF(ISERROR(INDEX('Enter (Vac BFs TrCl MB'!$F$7:$AJ$37,MATCH(REGENT!$B56,'Enter (Vac BFs TrCl MB'!$D$7:$D$37,FALSE),MATCH(REGENT!M$42,'Enter (Vac BFs TrCl MB'!$F$6:$AJ$6,FALSE))),"",(INDEX('Enter (Vac BFs TrCl MB'!$F$7:$AJ$37,MATCH(REGENT!$B56,'Enter (Vac BFs TrCl MB'!$D$7:$D$37,FALSE),MATCH(REGENT!M$42,'Enter (Vac BFs TrCl MB'!$F$6:$AJ$6,FALSE))))</f>
        <v/>
      </c>
      <c r="N56" s="153" t="str">
        <f>IF(ISERROR(INDEX('Enter (Vac BFs TrCl MB'!$F$7:$AJ$37,MATCH(REGENT!$B56,'Enter (Vac BFs TrCl MB'!$D$7:$D$37,FALSE),MATCH(REGENT!N$42,'Enter (Vac BFs TrCl MB'!$F$6:$AJ$6,FALSE))),"",(INDEX('Enter (Vac BFs TrCl MB'!$F$7:$AJ$37,MATCH(REGENT!$B56,'Enter (Vac BFs TrCl MB'!$D$7:$D$37,FALSE),MATCH(REGENT!N$42,'Enter (Vac BFs TrCl MB'!$F$6:$AJ$6,FALSE))))</f>
        <v/>
      </c>
      <c r="O56" s="153" t="str">
        <f>IF(ISERROR(INDEX('Enter (Vac BFs TrCl MB'!$F$7:$AU$37,MATCH(REGENT!$B56,'Enter (Vac BFs TrCl MB'!$D$7:$D$37,FALSE),MATCH(REGENT!O$42,'Enter (Vac BFs TrCl MB'!$F$6:$AU$6,FALSE))),"",(INDEX('Enter (Vac BFs TrCl MB'!$F$7:$AU$37,MATCH(REGENT!$B56,'Enter (Vac BFs TrCl MB'!$D$7:$D$37,FALSE),MATCH(REGENT!O$42,'Enter (Vac BFs TrCl MB'!$F$6:$AU$6,FALSE))))</f>
        <v/>
      </c>
      <c r="P56" s="153" t="str">
        <f>IF(ISERROR(INDEX('Enter (Vac BFs TrCl MB'!$F$7:$AU$37,MATCH(REGENT!$B56,'Enter (Vac BFs TrCl MB'!$D$7:$D$37,FALSE),MATCH(REGENT!P$42,'Enter (Vac BFs TrCl MB'!$F$6:$AU$6,FALSE))),"",(INDEX('Enter (Vac BFs TrCl MB'!$F$7:$AU$37,MATCH(REGENT!$B56,'Enter (Vac BFs TrCl MB'!$D$7:$D$37,FALSE),MATCH(REGENT!P$42,'Enter (Vac BFs TrCl MB'!$F$6:$AU$6,FALSE))))</f>
        <v/>
      </c>
      <c r="Q56" s="153" t="str">
        <f>IF(ISERROR(INDEX('Enter (Vac BFs TrCl MB'!$F$7:$AU$37,MATCH(REGENT!$B56,'Enter (Vac BFs TrCl MB'!$D$7:$D$37,FALSE),MATCH(REGENT!Q$42,'Enter (Vac BFs TrCl MB'!$F$6:$AU$6,FALSE))),"",(INDEX('Enter (Vac BFs TrCl MB'!$F$7:$AU$37,MATCH(REGENT!$B56,'Enter (Vac BFs TrCl MB'!$D$7:$D$37,FALSE),MATCH(REGENT!Q$42,'Enter (Vac BFs TrCl MB'!$F$6:$AU$6,FALSE))))</f>
        <v/>
      </c>
      <c r="R56" s="266"/>
      <c r="S56" s="781"/>
      <c r="T56" s="636"/>
      <c r="U56" s="274"/>
      <c r="V56" s="822"/>
      <c r="W56" s="823"/>
      <c r="X56" s="823"/>
      <c r="Y56" s="823"/>
      <c r="Z56" s="823"/>
      <c r="AA56" s="824"/>
    </row>
    <row r="57" spans="2:27" ht="15">
      <c r="B57" s="111"/>
      <c r="C57" s="153" t="str">
        <f>IF(ISERROR(INDEX('Enter (Vac BFs TrCl MB'!$F$7:$AJ$37,MATCH(REGENT!$B57,'Enter (Vac BFs TrCl MB'!$D$7:$D$37,FALSE),MATCH(REGENT!C$42,'Enter (Vac BFs TrCl MB'!$F$6:$AJ$6,FALSE))),"",(INDEX('Enter (Vac BFs TrCl MB'!$F$7:$AJ$37,MATCH(REGENT!$B57,'Enter (Vac BFs TrCl MB'!$D$7:$D$37,FALSE),MATCH(REGENT!C$42,'Enter (Vac BFs TrCl MB'!$F$6:$AJ$6,FALSE))))</f>
        <v/>
      </c>
      <c r="D57" s="153" t="str">
        <f>IF(ISERROR(INDEX('Enter (Vac BFs TrCl MB'!$F$7:$AJ$37,MATCH(REGENT!$B57,'Enter (Vac BFs TrCl MB'!$D$7:$D$37,FALSE),MATCH(REGENT!D$42,'Enter (Vac BFs TrCl MB'!$F$6:$AJ$6,FALSE))),"",(INDEX('Enter (Vac BFs TrCl MB'!$F$7:$AJ$37,MATCH(REGENT!$B57,'Enter (Vac BFs TrCl MB'!$D$7:$D$37,FALSE),MATCH(REGENT!D$42,'Enter (Vac BFs TrCl MB'!$F$6:$AJ$6,FALSE))))</f>
        <v/>
      </c>
      <c r="E57" s="153" t="str">
        <f>IF(ISERROR(INDEX('Enter (Vac BFs TrCl MB'!$F$7:$AJ$37,MATCH(REGENT!$B57,'Enter (Vac BFs TrCl MB'!$D$7:$D$37,FALSE),MATCH(REGENT!E$42,'Enter (Vac BFs TrCl MB'!$F$6:$AJ$6,FALSE))),"",(INDEX('Enter (Vac BFs TrCl MB'!$F$7:$AJ$37,MATCH(REGENT!$B57,'Enter (Vac BFs TrCl MB'!$D$7:$D$37,FALSE),MATCH(REGENT!E$42,'Enter (Vac BFs TrCl MB'!$F$6:$AJ$6,FALSE))))</f>
        <v/>
      </c>
      <c r="F57" s="153" t="str">
        <f>IF(ISERROR(INDEX('Enter (Vac BFs TrCl MB'!$F$7:$AJ$37,MATCH(REGENT!$B57,'Enter (Vac BFs TrCl MB'!$D$7:$D$37,FALSE),MATCH(REGENT!F$42,'Enter (Vac BFs TrCl MB'!$F$6:$AJ$6,FALSE))),"",(INDEX('Enter (Vac BFs TrCl MB'!$F$7:$AJ$37,MATCH(REGENT!$B57,'Enter (Vac BFs TrCl MB'!$D$7:$D$37,FALSE),MATCH(REGENT!F$42,'Enter (Vac BFs TrCl MB'!$F$6:$AJ$6,FALSE))))</f>
        <v/>
      </c>
      <c r="G57" s="153" t="str">
        <f>IF(ISERROR(INDEX('Enter (Vac BFs TrCl MB'!$F$7:$AJ$37,MATCH(REGENT!$B57,'Enter (Vac BFs TrCl MB'!$D$7:$D$37,FALSE),MATCH(REGENT!G$42,'Enter (Vac BFs TrCl MB'!$F$6:$AJ$6,FALSE))),"",(INDEX('Enter (Vac BFs TrCl MB'!$F$7:$AJ$37,MATCH(REGENT!$B57,'Enter (Vac BFs TrCl MB'!$D$7:$D$37,FALSE),MATCH(REGENT!G$42,'Enter (Vac BFs TrCl MB'!$F$6:$AJ$6,FALSE))))</f>
        <v/>
      </c>
      <c r="H57" s="153" t="str">
        <f>IF(ISERROR(INDEX('Enter (Vac BFs TrCl MB'!$F$7:$AJ$37,MATCH(REGENT!$B57,'Enter (Vac BFs TrCl MB'!$D$7:$D$37,FALSE),MATCH(REGENT!H$42,'Enter (Vac BFs TrCl MB'!$F$6:$AJ$6,FALSE))),"",(INDEX('Enter (Vac BFs TrCl MB'!$F$7:$AJ$37,MATCH(REGENT!$B57,'Enter (Vac BFs TrCl MB'!$D$7:$D$37,FALSE),MATCH(REGENT!H$42,'Enter (Vac BFs TrCl MB'!$F$6:$AJ$6,FALSE))))</f>
        <v/>
      </c>
      <c r="I57" s="154" t="str">
        <f>IF(ISERROR(INDEX('Enter (Vac BFs TrCl MB'!$F$7:$AJ$37,MATCH(REGENT!$B57,'Enter (Vac BFs TrCl MB'!$D$7:$D$37,FALSE),MATCH(REGENT!I$42,'Enter (Vac BFs TrCl MB'!$F$6:$AJ$6,FALSE))),"",(INDEX('Enter (Vac BFs TrCl MB'!$F$7:$AJ$37,MATCH(REGENT!$B57,'Enter (Vac BFs TrCl MB'!$D$7:$D$37,FALSE),MATCH(REGENT!I$42,'Enter (Vac BFs TrCl MB'!$F$6:$AJ$6,FALSE))))</f>
        <v/>
      </c>
      <c r="J57" s="781"/>
      <c r="K57" s="112"/>
      <c r="L57" s="153" t="str">
        <f>IF(ISERROR(INDEX('Enter (Vac BFs TrCl MB'!$F$7:$AJ$37,MATCH(REGENT!$B57,'Enter (Vac BFs TrCl MB'!$D$7:$D$37,FALSE),MATCH(REGENT!L$42,'Enter (Vac BFs TrCl MB'!$F$6:$AJ$6,FALSE))),"",(INDEX('Enter (Vac BFs TrCl MB'!$F$7:$AJ$37,MATCH(REGENT!$B57,'Enter (Vac BFs TrCl MB'!$D$7:$D$37,FALSE),MATCH(REGENT!L$42,'Enter (Vac BFs TrCl MB'!$F$6:$AJ$6,FALSE))))</f>
        <v/>
      </c>
      <c r="M57" s="153" t="str">
        <f>IF(ISERROR(INDEX('Enter (Vac BFs TrCl MB'!$F$7:$AJ$37,MATCH(REGENT!$B57,'Enter (Vac BFs TrCl MB'!$D$7:$D$37,FALSE),MATCH(REGENT!M$42,'Enter (Vac BFs TrCl MB'!$F$6:$AJ$6,FALSE))),"",(INDEX('Enter (Vac BFs TrCl MB'!$F$7:$AJ$37,MATCH(REGENT!$B57,'Enter (Vac BFs TrCl MB'!$D$7:$D$37,FALSE),MATCH(REGENT!M$42,'Enter (Vac BFs TrCl MB'!$F$6:$AJ$6,FALSE))))</f>
        <v/>
      </c>
      <c r="N57" s="153" t="str">
        <f>IF(ISERROR(INDEX('Enter (Vac BFs TrCl MB'!$F$7:$AJ$37,MATCH(REGENT!$B57,'Enter (Vac BFs TrCl MB'!$D$7:$D$37,FALSE),MATCH(REGENT!N$42,'Enter (Vac BFs TrCl MB'!$F$6:$AJ$6,FALSE))),"",(INDEX('Enter (Vac BFs TrCl MB'!$F$7:$AJ$37,MATCH(REGENT!$B57,'Enter (Vac BFs TrCl MB'!$D$7:$D$37,FALSE),MATCH(REGENT!N$42,'Enter (Vac BFs TrCl MB'!$F$6:$AJ$6,FALSE))))</f>
        <v/>
      </c>
      <c r="O57" s="153" t="str">
        <f>IF(ISERROR(INDEX('Enter (Vac BFs TrCl MB'!$F$7:$AU$37,MATCH(REGENT!$B57,'Enter (Vac BFs TrCl MB'!$D$7:$D$37,FALSE),MATCH(REGENT!O$42,'Enter (Vac BFs TrCl MB'!$F$6:$AU$6,FALSE))),"",(INDEX('Enter (Vac BFs TrCl MB'!$F$7:$AU$37,MATCH(REGENT!$B57,'Enter (Vac BFs TrCl MB'!$D$7:$D$37,FALSE),MATCH(REGENT!O$42,'Enter (Vac BFs TrCl MB'!$F$6:$AU$6,FALSE))))</f>
        <v/>
      </c>
      <c r="P57" s="153" t="str">
        <f>IF(ISERROR(INDEX('Enter (Vac BFs TrCl MB'!$F$7:$AU$37,MATCH(REGENT!$B57,'Enter (Vac BFs TrCl MB'!$D$7:$D$37,FALSE),MATCH(REGENT!P$42,'Enter (Vac BFs TrCl MB'!$F$6:$AU$6,FALSE))),"",(INDEX('Enter (Vac BFs TrCl MB'!$F$7:$AU$37,MATCH(REGENT!$B57,'Enter (Vac BFs TrCl MB'!$D$7:$D$37,FALSE),MATCH(REGENT!P$42,'Enter (Vac BFs TrCl MB'!$F$6:$AU$6,FALSE))))</f>
        <v/>
      </c>
      <c r="Q57" s="153" t="str">
        <f>IF(ISERROR(INDEX('Enter (Vac BFs TrCl MB'!$F$7:$AU$37,MATCH(REGENT!$B57,'Enter (Vac BFs TrCl MB'!$D$7:$D$37,FALSE),MATCH(REGENT!Q$42,'Enter (Vac BFs TrCl MB'!$F$6:$AU$6,FALSE))),"",(INDEX('Enter (Vac BFs TrCl MB'!$F$7:$AU$37,MATCH(REGENT!$B57,'Enter (Vac BFs TrCl MB'!$D$7:$D$37,FALSE),MATCH(REGENT!Q$42,'Enter (Vac BFs TrCl MB'!$F$6:$AU$6,FALSE))))</f>
        <v/>
      </c>
      <c r="R57" s="154"/>
      <c r="S57" s="781"/>
      <c r="T57" s="636"/>
      <c r="U57" s="274"/>
      <c r="V57" s="822"/>
      <c r="W57" s="823"/>
      <c r="X57" s="823"/>
      <c r="Y57" s="823"/>
      <c r="Z57" s="823"/>
      <c r="AA57" s="824"/>
    </row>
    <row r="58" spans="2:27" ht="15">
      <c r="B58" s="111"/>
      <c r="C58" s="153" t="str">
        <f>IF(ISERROR(INDEX('Enter (Vac BFs TrCl MB'!$F$7:$AJ$37,MATCH(REGENT!$B58,'Enter (Vac BFs TrCl MB'!$D$7:$D$37,FALSE),MATCH(REGENT!C$42,'Enter (Vac BFs TrCl MB'!$F$6:$AJ$6,FALSE))),"",(INDEX('Enter (Vac BFs TrCl MB'!$F$7:$AJ$37,MATCH(REGENT!$B58,'Enter (Vac BFs TrCl MB'!$D$7:$D$37,FALSE),MATCH(REGENT!C$42,'Enter (Vac BFs TrCl MB'!$F$6:$AJ$6,FALSE))))</f>
        <v/>
      </c>
      <c r="D58" s="153" t="str">
        <f>IF(ISERROR(INDEX('Enter (Vac BFs TrCl MB'!$F$7:$AJ$37,MATCH(REGENT!$B58,'Enter (Vac BFs TrCl MB'!$D$7:$D$37,FALSE),MATCH(REGENT!D$42,'Enter (Vac BFs TrCl MB'!$F$6:$AJ$6,FALSE))),"",(INDEX('Enter (Vac BFs TrCl MB'!$F$7:$AJ$37,MATCH(REGENT!$B58,'Enter (Vac BFs TrCl MB'!$D$7:$D$37,FALSE),MATCH(REGENT!D$42,'Enter (Vac BFs TrCl MB'!$F$6:$AJ$6,FALSE))))</f>
        <v/>
      </c>
      <c r="E58" s="153" t="str">
        <f>IF(ISERROR(INDEX('Enter (Vac BFs TrCl MB'!$F$7:$AJ$37,MATCH(REGENT!$B58,'Enter (Vac BFs TrCl MB'!$D$7:$D$37,FALSE),MATCH(REGENT!E$42,'Enter (Vac BFs TrCl MB'!$F$6:$AJ$6,FALSE))),"",(INDEX('Enter (Vac BFs TrCl MB'!$F$7:$AJ$37,MATCH(REGENT!$B58,'Enter (Vac BFs TrCl MB'!$D$7:$D$37,FALSE),MATCH(REGENT!E$42,'Enter (Vac BFs TrCl MB'!$F$6:$AJ$6,FALSE))))</f>
        <v/>
      </c>
      <c r="F58" s="153" t="str">
        <f>IF(ISERROR(INDEX('Enter (Vac BFs TrCl MB'!$F$7:$AJ$37,MATCH(REGENT!$B58,'Enter (Vac BFs TrCl MB'!$D$7:$D$37,FALSE),MATCH(REGENT!F$42,'Enter (Vac BFs TrCl MB'!$F$6:$AJ$6,FALSE))),"",(INDEX('Enter (Vac BFs TrCl MB'!$F$7:$AJ$37,MATCH(REGENT!$B58,'Enter (Vac BFs TrCl MB'!$D$7:$D$37,FALSE),MATCH(REGENT!F$42,'Enter (Vac BFs TrCl MB'!$F$6:$AJ$6,FALSE))))</f>
        <v/>
      </c>
      <c r="G58" s="153" t="str">
        <f>IF(ISERROR(INDEX('Enter (Vac BFs TrCl MB'!$F$7:$AJ$37,MATCH(REGENT!$B58,'Enter (Vac BFs TrCl MB'!$D$7:$D$37,FALSE),MATCH(REGENT!G$42,'Enter (Vac BFs TrCl MB'!$F$6:$AJ$6,FALSE))),"",(INDEX('Enter (Vac BFs TrCl MB'!$F$7:$AJ$37,MATCH(REGENT!$B58,'Enter (Vac BFs TrCl MB'!$D$7:$D$37,FALSE),MATCH(REGENT!G$42,'Enter (Vac BFs TrCl MB'!$F$6:$AJ$6,FALSE))))</f>
        <v/>
      </c>
      <c r="H58" s="153" t="str">
        <f>IF(ISERROR(INDEX('Enter (Vac BFs TrCl MB'!$F$7:$AJ$37,MATCH(REGENT!$B58,'Enter (Vac BFs TrCl MB'!$D$7:$D$37,FALSE),MATCH(REGENT!H$42,'Enter (Vac BFs TrCl MB'!$F$6:$AJ$6,FALSE))),"",(INDEX('Enter (Vac BFs TrCl MB'!$F$7:$AJ$37,MATCH(REGENT!$B58,'Enter (Vac BFs TrCl MB'!$D$7:$D$37,FALSE),MATCH(REGENT!H$42,'Enter (Vac BFs TrCl MB'!$F$6:$AJ$6,FALSE))))</f>
        <v/>
      </c>
      <c r="I58" s="154" t="str">
        <f>IF(ISERROR(INDEX('Enter (Vac BFs TrCl MB'!$F$7:$AJ$37,MATCH(REGENT!$B58,'Enter (Vac BFs TrCl MB'!$D$7:$D$37,FALSE),MATCH(REGENT!I$42,'Enter (Vac BFs TrCl MB'!$F$6:$AJ$6,FALSE))),"",(INDEX('Enter (Vac BFs TrCl MB'!$F$7:$AJ$37,MATCH(REGENT!$B58,'Enter (Vac BFs TrCl MB'!$D$7:$D$37,FALSE),MATCH(REGENT!I$42,'Enter (Vac BFs TrCl MB'!$F$6:$AJ$6,FALSE))))</f>
        <v/>
      </c>
      <c r="J58" s="781"/>
      <c r="K58" s="112"/>
      <c r="L58" s="153" t="str">
        <f>IF(ISERROR(INDEX('Enter (Vac BFs TrCl MB'!$F$7:$AJ$37,MATCH(REGENT!$B58,'Enter (Vac BFs TrCl MB'!$D$7:$D$37,FALSE),MATCH(REGENT!L$42,'Enter (Vac BFs TrCl MB'!$F$6:$AJ$6,FALSE))),"",(INDEX('Enter (Vac BFs TrCl MB'!$F$7:$AJ$37,MATCH(REGENT!$B58,'Enter (Vac BFs TrCl MB'!$D$7:$D$37,FALSE),MATCH(REGENT!L$42,'Enter (Vac BFs TrCl MB'!$F$6:$AJ$6,FALSE))))</f>
        <v/>
      </c>
      <c r="M58" s="153" t="str">
        <f>IF(ISERROR(INDEX('Enter (Vac BFs TrCl MB'!$F$7:$AJ$37,MATCH(REGENT!$B58,'Enter (Vac BFs TrCl MB'!$D$7:$D$37,FALSE),MATCH(REGENT!M$42,'Enter (Vac BFs TrCl MB'!$F$6:$AJ$6,FALSE))),"",(INDEX('Enter (Vac BFs TrCl MB'!$F$7:$AJ$37,MATCH(REGENT!$B58,'Enter (Vac BFs TrCl MB'!$D$7:$D$37,FALSE),MATCH(REGENT!M$42,'Enter (Vac BFs TrCl MB'!$F$6:$AJ$6,FALSE))))</f>
        <v/>
      </c>
      <c r="N58" s="153" t="str">
        <f>IF(ISERROR(INDEX('Enter (Vac BFs TrCl MB'!$F$7:$AJ$37,MATCH(REGENT!$B58,'Enter (Vac BFs TrCl MB'!$D$7:$D$37,FALSE),MATCH(REGENT!N$42,'Enter (Vac BFs TrCl MB'!$F$6:$AJ$6,FALSE))),"",(INDEX('Enter (Vac BFs TrCl MB'!$F$7:$AJ$37,MATCH(REGENT!$B58,'Enter (Vac BFs TrCl MB'!$D$7:$D$37,FALSE),MATCH(REGENT!N$42,'Enter (Vac BFs TrCl MB'!$F$6:$AJ$6,FALSE))))</f>
        <v/>
      </c>
      <c r="O58" s="153" t="str">
        <f>IF(ISERROR(INDEX('Enter (Vac BFs TrCl MB'!$F$7:$AU$37,MATCH(REGENT!$B58,'Enter (Vac BFs TrCl MB'!$D$7:$D$37,FALSE),MATCH(REGENT!O$42,'Enter (Vac BFs TrCl MB'!$F$6:$AU$6,FALSE))),"",(INDEX('Enter (Vac BFs TrCl MB'!$F$7:$AU$37,MATCH(REGENT!$B58,'Enter (Vac BFs TrCl MB'!$D$7:$D$37,FALSE),MATCH(REGENT!O$42,'Enter (Vac BFs TrCl MB'!$F$6:$AU$6,FALSE))))</f>
        <v/>
      </c>
      <c r="P58" s="153" t="str">
        <f>IF(ISERROR(INDEX('Enter (Vac BFs TrCl MB'!$F$7:$AU$37,MATCH(REGENT!$B58,'Enter (Vac BFs TrCl MB'!$D$7:$D$37,FALSE),MATCH(REGENT!P$42,'Enter (Vac BFs TrCl MB'!$F$6:$AU$6,FALSE))),"",(INDEX('Enter (Vac BFs TrCl MB'!$F$7:$AU$37,MATCH(REGENT!$B58,'Enter (Vac BFs TrCl MB'!$D$7:$D$37,FALSE),MATCH(REGENT!P$42,'Enter (Vac BFs TrCl MB'!$F$6:$AU$6,FALSE))))</f>
        <v/>
      </c>
      <c r="Q58" s="153" t="str">
        <f>IF(ISERROR(INDEX('Enter (Vac BFs TrCl MB'!$F$7:$AU$37,MATCH(REGENT!$B58,'Enter (Vac BFs TrCl MB'!$D$7:$D$37,FALSE),MATCH(REGENT!Q$42,'Enter (Vac BFs TrCl MB'!$F$6:$AU$6,FALSE))),"",(INDEX('Enter (Vac BFs TrCl MB'!$F$7:$AU$37,MATCH(REGENT!$B58,'Enter (Vac BFs TrCl MB'!$D$7:$D$37,FALSE),MATCH(REGENT!Q$42,'Enter (Vac BFs TrCl MB'!$F$6:$AU$6,FALSE))))</f>
        <v/>
      </c>
      <c r="R58" s="154"/>
      <c r="S58" s="781"/>
      <c r="T58" s="636">
        <v>45338</v>
      </c>
      <c r="U58" s="274"/>
      <c r="V58" s="798" t="s">
        <v>254</v>
      </c>
      <c r="W58" s="798"/>
      <c r="X58" s="798"/>
      <c r="Y58" s="798"/>
      <c r="Z58" s="798"/>
      <c r="AA58" s="799"/>
    </row>
    <row r="59" spans="2:27" ht="15">
      <c r="B59" s="111"/>
      <c r="C59" s="153" t="str">
        <f>IF(ISERROR(INDEX('Enter (Vac BFs TrCl MB'!$F$7:$AJ$37,MATCH(REGENT!$B59,'Enter (Vac BFs TrCl MB'!$D$7:$D$37,FALSE),MATCH(REGENT!C$42,'Enter (Vac BFs TrCl MB'!$F$6:$AJ$6,FALSE))),"",(INDEX('Enter (Vac BFs TrCl MB'!$F$7:$AJ$37,MATCH(REGENT!$B59,'Enter (Vac BFs TrCl MB'!$D$7:$D$37,FALSE),MATCH(REGENT!C$42,'Enter (Vac BFs TrCl MB'!$F$6:$AJ$6,FALSE))))</f>
        <v/>
      </c>
      <c r="D59" s="153" t="str">
        <f>IF(ISERROR(INDEX('Enter (Vac BFs TrCl MB'!$F$7:$AJ$37,MATCH(REGENT!$B59,'Enter (Vac BFs TrCl MB'!$D$7:$D$37,FALSE),MATCH(REGENT!D$42,'Enter (Vac BFs TrCl MB'!$F$6:$AJ$6,FALSE))),"",(INDEX('Enter (Vac BFs TrCl MB'!$F$7:$AJ$37,MATCH(REGENT!$B59,'Enter (Vac BFs TrCl MB'!$D$7:$D$37,FALSE),MATCH(REGENT!D$42,'Enter (Vac BFs TrCl MB'!$F$6:$AJ$6,FALSE))))</f>
        <v/>
      </c>
      <c r="E59" s="153" t="str">
        <f>IF(ISERROR(INDEX('Enter (Vac BFs TrCl MB'!$F$7:$AJ$37,MATCH(REGENT!$B59,'Enter (Vac BFs TrCl MB'!$D$7:$D$37,FALSE),MATCH(REGENT!E$42,'Enter (Vac BFs TrCl MB'!$F$6:$AJ$6,FALSE))),"",(INDEX('Enter (Vac BFs TrCl MB'!$F$7:$AJ$37,MATCH(REGENT!$B59,'Enter (Vac BFs TrCl MB'!$D$7:$D$37,FALSE),MATCH(REGENT!E$42,'Enter (Vac BFs TrCl MB'!$F$6:$AJ$6,FALSE))))</f>
        <v/>
      </c>
      <c r="F59" s="153" t="str">
        <f>IF(ISERROR(INDEX('Enter (Vac BFs TrCl MB'!$F$7:$AJ$37,MATCH(REGENT!$B59,'Enter (Vac BFs TrCl MB'!$D$7:$D$37,FALSE),MATCH(REGENT!F$42,'Enter (Vac BFs TrCl MB'!$F$6:$AJ$6,FALSE))),"",(INDEX('Enter (Vac BFs TrCl MB'!$F$7:$AJ$37,MATCH(REGENT!$B59,'Enter (Vac BFs TrCl MB'!$D$7:$D$37,FALSE),MATCH(REGENT!F$42,'Enter (Vac BFs TrCl MB'!$F$6:$AJ$6,FALSE))))</f>
        <v/>
      </c>
      <c r="G59" s="153" t="str">
        <f>IF(ISERROR(INDEX('Enter (Vac BFs TrCl MB'!$F$7:$AJ$37,MATCH(REGENT!$B59,'Enter (Vac BFs TrCl MB'!$D$7:$D$37,FALSE),MATCH(REGENT!G$42,'Enter (Vac BFs TrCl MB'!$F$6:$AJ$6,FALSE))),"",(INDEX('Enter (Vac BFs TrCl MB'!$F$7:$AJ$37,MATCH(REGENT!$B59,'Enter (Vac BFs TrCl MB'!$D$7:$D$37,FALSE),MATCH(REGENT!G$42,'Enter (Vac BFs TrCl MB'!$F$6:$AJ$6,FALSE))))</f>
        <v/>
      </c>
      <c r="H59" s="153" t="str">
        <f>IF(ISERROR(INDEX('Enter (Vac BFs TrCl MB'!$F$7:$AJ$37,MATCH(REGENT!$B59,'Enter (Vac BFs TrCl MB'!$D$7:$D$37,FALSE),MATCH(REGENT!H$42,'Enter (Vac BFs TrCl MB'!$F$6:$AJ$6,FALSE))),"",(INDEX('Enter (Vac BFs TrCl MB'!$F$7:$AJ$37,MATCH(REGENT!$B59,'Enter (Vac BFs TrCl MB'!$D$7:$D$37,FALSE),MATCH(REGENT!H$42,'Enter (Vac BFs TrCl MB'!$F$6:$AJ$6,FALSE))))</f>
        <v/>
      </c>
      <c r="I59" s="154" t="str">
        <f>IF(ISERROR(INDEX('Enter (Vac BFs TrCl MB'!$F$7:$AJ$37,MATCH(REGENT!$B59,'Enter (Vac BFs TrCl MB'!$D$7:$D$37,FALSE),MATCH(REGENT!I$42,'Enter (Vac BFs TrCl MB'!$F$6:$AJ$6,FALSE))),"",(INDEX('Enter (Vac BFs TrCl MB'!$F$7:$AJ$37,MATCH(REGENT!$B59,'Enter (Vac BFs TrCl MB'!$D$7:$D$37,FALSE),MATCH(REGENT!I$42,'Enter (Vac BFs TrCl MB'!$F$6:$AJ$6,FALSE))))</f>
        <v/>
      </c>
      <c r="J59" s="781"/>
      <c r="K59" s="112"/>
      <c r="L59" s="153" t="str">
        <f>IF(ISERROR(INDEX('Enter (Vac BFs TrCl MB'!$F$7:$AJ$37,MATCH(REGENT!$B59,'Enter (Vac BFs TrCl MB'!$D$7:$D$37,FALSE),MATCH(REGENT!L$42,'Enter (Vac BFs TrCl MB'!$F$6:$AJ$6,FALSE))),"",(INDEX('Enter (Vac BFs TrCl MB'!$F$7:$AJ$37,MATCH(REGENT!$B59,'Enter (Vac BFs TrCl MB'!$D$7:$D$37,FALSE),MATCH(REGENT!L$42,'Enter (Vac BFs TrCl MB'!$F$6:$AJ$6,FALSE))))</f>
        <v/>
      </c>
      <c r="M59" s="153" t="str">
        <f>IF(ISERROR(INDEX('Enter (Vac BFs TrCl MB'!$F$7:$AJ$37,MATCH(REGENT!$B59,'Enter (Vac BFs TrCl MB'!$D$7:$D$37,FALSE),MATCH(REGENT!M$42,'Enter (Vac BFs TrCl MB'!$F$6:$AJ$6,FALSE))),"",(INDEX('Enter (Vac BFs TrCl MB'!$F$7:$AJ$37,MATCH(REGENT!$B59,'Enter (Vac BFs TrCl MB'!$D$7:$D$37,FALSE),MATCH(REGENT!M$42,'Enter (Vac BFs TrCl MB'!$F$6:$AJ$6,FALSE))))</f>
        <v/>
      </c>
      <c r="N59" s="153" t="str">
        <f>IF(ISERROR(INDEX('Enter (Vac BFs TrCl MB'!$F$7:$AJ$37,MATCH(REGENT!$B59,'Enter (Vac BFs TrCl MB'!$D$7:$D$37,FALSE),MATCH(REGENT!N$42,'Enter (Vac BFs TrCl MB'!$F$6:$AJ$6,FALSE))),"",(INDEX('Enter (Vac BFs TrCl MB'!$F$7:$AJ$37,MATCH(REGENT!$B59,'Enter (Vac BFs TrCl MB'!$D$7:$D$37,FALSE),MATCH(REGENT!N$42,'Enter (Vac BFs TrCl MB'!$F$6:$AJ$6,FALSE))))</f>
        <v/>
      </c>
      <c r="O59" s="153" t="str">
        <f>IF(ISERROR(INDEX('Enter (Vac BFs TrCl MB'!$F$7:$AU$37,MATCH(REGENT!$B59,'Enter (Vac BFs TrCl MB'!$D$7:$D$37,FALSE),MATCH(REGENT!O$42,'Enter (Vac BFs TrCl MB'!$F$6:$AU$6,FALSE))),"",(INDEX('Enter (Vac BFs TrCl MB'!$F$7:$AU$37,MATCH(REGENT!$B59,'Enter (Vac BFs TrCl MB'!$D$7:$D$37,FALSE),MATCH(REGENT!O$42,'Enter (Vac BFs TrCl MB'!$F$6:$AU$6,FALSE))))</f>
        <v/>
      </c>
      <c r="P59" s="153" t="str">
        <f>IF(ISERROR(INDEX('Enter (Vac BFs TrCl MB'!$F$7:$AU$37,MATCH(REGENT!$B59,'Enter (Vac BFs TrCl MB'!$D$7:$D$37,FALSE),MATCH(REGENT!P$42,'Enter (Vac BFs TrCl MB'!$F$6:$AU$6,FALSE))),"",(INDEX('Enter (Vac BFs TrCl MB'!$F$7:$AU$37,MATCH(REGENT!$B59,'Enter (Vac BFs TrCl MB'!$D$7:$D$37,FALSE),MATCH(REGENT!P$42,'Enter (Vac BFs TrCl MB'!$F$6:$AU$6,FALSE))))</f>
        <v/>
      </c>
      <c r="Q59" s="153" t="str">
        <f>IF(ISERROR(INDEX('Enter (Vac BFs TrCl MB'!$F$7:$AU$37,MATCH(REGENT!$B59,'Enter (Vac BFs TrCl MB'!$D$7:$D$37,FALSE),MATCH(REGENT!Q$42,'Enter (Vac BFs TrCl MB'!$F$6:$AU$6,FALSE))),"",(INDEX('Enter (Vac BFs TrCl MB'!$F$7:$AU$37,MATCH(REGENT!$B59,'Enter (Vac BFs TrCl MB'!$D$7:$D$37,FALSE),MATCH(REGENT!Q$42,'Enter (Vac BFs TrCl MB'!$F$6:$AU$6,FALSE))))</f>
        <v/>
      </c>
      <c r="R59" s="154"/>
      <c r="S59" s="781"/>
      <c r="T59" s="636" t="s">
        <v>257</v>
      </c>
      <c r="U59" s="274"/>
      <c r="V59" s="798" t="s">
        <v>258</v>
      </c>
      <c r="W59" s="798"/>
      <c r="X59" s="798"/>
      <c r="Y59" s="798"/>
      <c r="Z59" s="798"/>
      <c r="AA59" s="799"/>
    </row>
    <row r="60" spans="2:27" ht="15">
      <c r="B60" s="111" t="str">
        <f>IF('Enter (Vac BFs TrCl MB'!$D23=0,"",'Enter (Vac BFs TrCl MB'!$D23)</f>
        <v/>
      </c>
      <c r="C60" s="153" t="str">
        <f>IF(ISERROR(INDEX('Enter (Vac BFs TrCl MB'!$F$7:$AJ$37,MATCH(REGENT!$B60,'Enter (Vac BFs TrCl MB'!$D$7:$D$37,FALSE),MATCH(REGENT!C$42,'Enter (Vac BFs TrCl MB'!$F$6:$AJ$6,FALSE))),"",(INDEX('Enter (Vac BFs TrCl MB'!$F$7:$AJ$37,MATCH(REGENT!$B60,'Enter (Vac BFs TrCl MB'!$D$7:$D$37,FALSE),MATCH(REGENT!C$42,'Enter (Vac BFs TrCl MB'!$F$6:$AJ$6,FALSE))))</f>
        <v/>
      </c>
      <c r="D60" s="153" t="str">
        <f>IF(ISERROR(INDEX('Enter (Vac BFs TrCl MB'!$F$7:$AJ$37,MATCH(REGENT!$B60,'Enter (Vac BFs TrCl MB'!$D$7:$D$37,FALSE),MATCH(REGENT!D$42,'Enter (Vac BFs TrCl MB'!$F$6:$AJ$6,FALSE))),"",(INDEX('Enter (Vac BFs TrCl MB'!$F$7:$AJ$37,MATCH(REGENT!$B60,'Enter (Vac BFs TrCl MB'!$D$7:$D$37,FALSE),MATCH(REGENT!D$42,'Enter (Vac BFs TrCl MB'!$F$6:$AJ$6,FALSE))))</f>
        <v/>
      </c>
      <c r="E60" s="153" t="str">
        <f>IF(ISERROR(INDEX('Enter (Vac BFs TrCl MB'!$F$7:$AJ$37,MATCH(REGENT!$B60,'Enter (Vac BFs TrCl MB'!$D$7:$D$37,FALSE),MATCH(REGENT!E$42,'Enter (Vac BFs TrCl MB'!$F$6:$AJ$6,FALSE))),"",(INDEX('Enter (Vac BFs TrCl MB'!$F$7:$AJ$37,MATCH(REGENT!$B60,'Enter (Vac BFs TrCl MB'!$D$7:$D$37,FALSE),MATCH(REGENT!E$42,'Enter (Vac BFs TrCl MB'!$F$6:$AJ$6,FALSE))))</f>
        <v/>
      </c>
      <c r="F60" s="153" t="str">
        <f>IF(ISERROR(INDEX('Enter (Vac BFs TrCl MB'!$F$7:$AJ$37,MATCH(REGENT!$B60,'Enter (Vac BFs TrCl MB'!$D$7:$D$37,FALSE),MATCH(REGENT!F$42,'Enter (Vac BFs TrCl MB'!$F$6:$AJ$6,FALSE))),"",(INDEX('Enter (Vac BFs TrCl MB'!$F$7:$AJ$37,MATCH(REGENT!$B60,'Enter (Vac BFs TrCl MB'!$D$7:$D$37,FALSE),MATCH(REGENT!F$42,'Enter (Vac BFs TrCl MB'!$F$6:$AJ$6,FALSE))))</f>
        <v/>
      </c>
      <c r="G60" s="153" t="str">
        <f>IF(ISERROR(INDEX('Enter (Vac BFs TrCl MB'!$F$7:$AJ$37,MATCH(REGENT!$B60,'Enter (Vac BFs TrCl MB'!$D$7:$D$37,FALSE),MATCH(REGENT!G$42,'Enter (Vac BFs TrCl MB'!$F$6:$AJ$6,FALSE))),"",(INDEX('Enter (Vac BFs TrCl MB'!$F$7:$AJ$37,MATCH(REGENT!$B60,'Enter (Vac BFs TrCl MB'!$D$7:$D$37,FALSE),MATCH(REGENT!G$42,'Enter (Vac BFs TrCl MB'!$F$6:$AJ$6,FALSE))))</f>
        <v/>
      </c>
      <c r="H60" s="153" t="str">
        <f>IF(ISERROR(INDEX('Enter (Vac BFs TrCl MB'!$F$7:$AJ$37,MATCH(REGENT!$B60,'Enter (Vac BFs TrCl MB'!$D$7:$D$37,FALSE),MATCH(REGENT!H$42,'Enter (Vac BFs TrCl MB'!$F$6:$AJ$6,FALSE))),"",(INDEX('Enter (Vac BFs TrCl MB'!$F$7:$AJ$37,MATCH(REGENT!$B60,'Enter (Vac BFs TrCl MB'!$D$7:$D$37,FALSE),MATCH(REGENT!H$42,'Enter (Vac BFs TrCl MB'!$F$6:$AJ$6,FALSE))))</f>
        <v/>
      </c>
      <c r="I60" s="154" t="str">
        <f>IF(ISERROR(INDEX('Enter (Vac BFs TrCl MB'!$F$7:$AJ$37,MATCH(REGENT!$B60,'Enter (Vac BFs TrCl MB'!$D$7:$D$37,FALSE),MATCH(REGENT!I$42,'Enter (Vac BFs TrCl MB'!$F$6:$AJ$6,FALSE))),"",(INDEX('Enter (Vac BFs TrCl MB'!$F$7:$AJ$37,MATCH(REGENT!$B60,'Enter (Vac BFs TrCl MB'!$D$7:$D$37,FALSE),MATCH(REGENT!I$42,'Enter (Vac BFs TrCl MB'!$F$6:$AJ$6,FALSE))))</f>
        <v/>
      </c>
      <c r="J60" s="781"/>
      <c r="K60" s="112"/>
      <c r="L60" s="153" t="str">
        <f>IF(ISERROR(INDEX('Enter (Vac BFs TrCl MB'!$F$7:$AJ$37,MATCH(REGENT!$B60,'Enter (Vac BFs TrCl MB'!$D$7:$D$37,FALSE),MATCH(REGENT!L$42,'Enter (Vac BFs TrCl MB'!$F$6:$AJ$6,FALSE))),"",(INDEX('Enter (Vac BFs TrCl MB'!$F$7:$AJ$37,MATCH(REGENT!$B60,'Enter (Vac BFs TrCl MB'!$D$7:$D$37,FALSE),MATCH(REGENT!L$42,'Enter (Vac BFs TrCl MB'!$F$6:$AJ$6,FALSE))))</f>
        <v/>
      </c>
      <c r="M60" s="153" t="str">
        <f>IF(ISERROR(INDEX('Enter (Vac BFs TrCl MB'!$F$7:$AJ$37,MATCH(REGENT!$B60,'Enter (Vac BFs TrCl MB'!$D$7:$D$37,FALSE),MATCH(REGENT!M$42,'Enter (Vac BFs TrCl MB'!$F$6:$AJ$6,FALSE))),"",(INDEX('Enter (Vac BFs TrCl MB'!$F$7:$AJ$37,MATCH(REGENT!$B60,'Enter (Vac BFs TrCl MB'!$D$7:$D$37,FALSE),MATCH(REGENT!M$42,'Enter (Vac BFs TrCl MB'!$F$6:$AJ$6,FALSE))))</f>
        <v/>
      </c>
      <c r="N60" s="153" t="str">
        <f>IF(ISERROR(INDEX('Enter (Vac BFs TrCl MB'!$F$7:$AJ$37,MATCH(REGENT!$B60,'Enter (Vac BFs TrCl MB'!$D$7:$D$37,FALSE),MATCH(REGENT!N$42,'Enter (Vac BFs TrCl MB'!$F$6:$AJ$6,FALSE))),"",(INDEX('Enter (Vac BFs TrCl MB'!$F$7:$AJ$37,MATCH(REGENT!$B60,'Enter (Vac BFs TrCl MB'!$D$7:$D$37,FALSE),MATCH(REGENT!N$42,'Enter (Vac BFs TrCl MB'!$F$6:$AJ$6,FALSE))))</f>
        <v/>
      </c>
      <c r="O60" s="153" t="str">
        <f>IF(ISERROR(INDEX('Enter (Vac BFs TrCl MB'!$F$7:$AU$37,MATCH(REGENT!$B60,'Enter (Vac BFs TrCl MB'!$D$7:$D$37,FALSE),MATCH(REGENT!O$42,'Enter (Vac BFs TrCl MB'!$F$6:$AU$6,FALSE))),"",(INDEX('Enter (Vac BFs TrCl MB'!$F$7:$AU$37,MATCH(REGENT!$B60,'Enter (Vac BFs TrCl MB'!$D$7:$D$37,FALSE),MATCH(REGENT!O$42,'Enter (Vac BFs TrCl MB'!$F$6:$AU$6,FALSE))))</f>
        <v/>
      </c>
      <c r="P60" s="153" t="str">
        <f>IF(ISERROR(INDEX('Enter (Vac BFs TrCl MB'!$F$7:$AU$37,MATCH(REGENT!$B60,'Enter (Vac BFs TrCl MB'!$D$7:$D$37,FALSE),MATCH(REGENT!P$42,'Enter (Vac BFs TrCl MB'!$F$6:$AU$6,FALSE))),"",(INDEX('Enter (Vac BFs TrCl MB'!$F$7:$AU$37,MATCH(REGENT!$B60,'Enter (Vac BFs TrCl MB'!$D$7:$D$37,FALSE),MATCH(REGENT!P$42,'Enter (Vac BFs TrCl MB'!$F$6:$AU$6,FALSE))))</f>
        <v/>
      </c>
      <c r="Q60" s="153" t="str">
        <f>IF(ISERROR(INDEX('Enter (Vac BFs TrCl MB'!$F$7:$AU$37,MATCH(REGENT!$B60,'Enter (Vac BFs TrCl MB'!$D$7:$D$37,FALSE),MATCH(REGENT!Q$42,'Enter (Vac BFs TrCl MB'!$F$6:$AU$6,FALSE))),"",(INDEX('Enter (Vac BFs TrCl MB'!$F$7:$AU$37,MATCH(REGENT!$B60,'Enter (Vac BFs TrCl MB'!$D$7:$D$37,FALSE),MATCH(REGENT!Q$42,'Enter (Vac BFs TrCl MB'!$F$6:$AU$6,FALSE))))</f>
        <v/>
      </c>
      <c r="R60" s="154"/>
      <c r="S60" s="781"/>
      <c r="T60" s="636"/>
      <c r="U60" s="274"/>
      <c r="V60" s="798"/>
      <c r="W60" s="798"/>
      <c r="X60" s="798"/>
      <c r="Y60" s="798"/>
      <c r="Z60" s="798"/>
      <c r="AA60" s="799"/>
    </row>
    <row r="61" spans="2:27" ht="15">
      <c r="B61" s="111"/>
      <c r="C61" s="153" t="str">
        <f>IF(ISERROR(INDEX('Enter (Vac BFs TrCl MB'!$F$7:$AJ$37,MATCH(REGENT!$B61,'Enter (Vac BFs TrCl MB'!$D$7:$D$37,FALSE),MATCH(REGENT!C$42,'Enter (Vac BFs TrCl MB'!$F$6:$AJ$6,FALSE))),"",(INDEX('Enter (Vac BFs TrCl MB'!$F$7:$AJ$37,MATCH(REGENT!$B61,'Enter (Vac BFs TrCl MB'!$D$7:$D$37,FALSE),MATCH(REGENT!C$42,'Enter (Vac BFs TrCl MB'!$F$6:$AJ$6,FALSE))))</f>
        <v/>
      </c>
      <c r="D61" s="153" t="str">
        <f>IF(ISERROR(INDEX('Enter (Vac BFs TrCl MB'!$F$7:$AJ$37,MATCH(REGENT!$B61,'Enter (Vac BFs TrCl MB'!$D$7:$D$37,FALSE),MATCH(REGENT!D$42,'Enter (Vac BFs TrCl MB'!$F$6:$AJ$6,FALSE))),"",(INDEX('Enter (Vac BFs TrCl MB'!$F$7:$AJ$37,MATCH(REGENT!$B61,'Enter (Vac BFs TrCl MB'!$D$7:$D$37,FALSE),MATCH(REGENT!D$42,'Enter (Vac BFs TrCl MB'!$F$6:$AJ$6,FALSE))))</f>
        <v/>
      </c>
      <c r="E61" s="153" t="str">
        <f>IF(ISERROR(INDEX('Enter (Vac BFs TrCl MB'!$F$7:$AJ$37,MATCH(REGENT!$B61,'Enter (Vac BFs TrCl MB'!$D$7:$D$37,FALSE),MATCH(REGENT!E$42,'Enter (Vac BFs TrCl MB'!$F$6:$AJ$6,FALSE))),"",(INDEX('Enter (Vac BFs TrCl MB'!$F$7:$AJ$37,MATCH(REGENT!$B61,'Enter (Vac BFs TrCl MB'!$D$7:$D$37,FALSE),MATCH(REGENT!E$42,'Enter (Vac BFs TrCl MB'!$F$6:$AJ$6,FALSE))))</f>
        <v/>
      </c>
      <c r="F61" s="153" t="str">
        <f>IF(ISERROR(INDEX('Enter (Vac BFs TrCl MB'!$F$7:$AJ$37,MATCH(REGENT!$B61,'Enter (Vac BFs TrCl MB'!$D$7:$D$37,FALSE),MATCH(REGENT!F$42,'Enter (Vac BFs TrCl MB'!$F$6:$AJ$6,FALSE))),"",(INDEX('Enter (Vac BFs TrCl MB'!$F$7:$AJ$37,MATCH(REGENT!$B61,'Enter (Vac BFs TrCl MB'!$D$7:$D$37,FALSE),MATCH(REGENT!F$42,'Enter (Vac BFs TrCl MB'!$F$6:$AJ$6,FALSE))))</f>
        <v/>
      </c>
      <c r="G61" s="153" t="str">
        <f>IF(ISERROR(INDEX('Enter (Vac BFs TrCl MB'!$F$7:$AJ$37,MATCH(REGENT!$B61,'Enter (Vac BFs TrCl MB'!$D$7:$D$37,FALSE),MATCH(REGENT!G$42,'Enter (Vac BFs TrCl MB'!$F$6:$AJ$6,FALSE))),"",(INDEX('Enter (Vac BFs TrCl MB'!$F$7:$AJ$37,MATCH(REGENT!$B61,'Enter (Vac BFs TrCl MB'!$D$7:$D$37,FALSE),MATCH(REGENT!G$42,'Enter (Vac BFs TrCl MB'!$F$6:$AJ$6,FALSE))))</f>
        <v/>
      </c>
      <c r="H61" s="153" t="str">
        <f>IF(ISERROR(INDEX('Enter (Vac BFs TrCl MB'!$F$7:$AJ$37,MATCH(REGENT!$B61,'Enter (Vac BFs TrCl MB'!$D$7:$D$37,FALSE),MATCH(REGENT!H$42,'Enter (Vac BFs TrCl MB'!$F$6:$AJ$6,FALSE))),"",(INDEX('Enter (Vac BFs TrCl MB'!$F$7:$AJ$37,MATCH(REGENT!$B61,'Enter (Vac BFs TrCl MB'!$D$7:$D$37,FALSE),MATCH(REGENT!H$42,'Enter (Vac BFs TrCl MB'!$F$6:$AJ$6,FALSE))))</f>
        <v/>
      </c>
      <c r="I61" s="154" t="str">
        <f>IF(ISERROR(INDEX('Enter (Vac BFs TrCl MB'!$F$7:$AJ$37,MATCH(REGENT!$B61,'Enter (Vac BFs TrCl MB'!$D$7:$D$37,FALSE),MATCH(REGENT!I$42,'Enter (Vac BFs TrCl MB'!$F$6:$AJ$6,FALSE))),"",(INDEX('Enter (Vac BFs TrCl MB'!$F$7:$AJ$37,MATCH(REGENT!$B61,'Enter (Vac BFs TrCl MB'!$D$7:$D$37,FALSE),MATCH(REGENT!I$42,'Enter (Vac BFs TrCl MB'!$F$6:$AJ$6,FALSE))))</f>
        <v/>
      </c>
      <c r="J61" s="781"/>
      <c r="K61" s="112"/>
      <c r="L61" s="153" t="str">
        <f>IF(ISERROR(INDEX('Enter (Vac BFs TrCl MB'!$F$7:$AJ$37,MATCH(REGENT!$B61,'Enter (Vac BFs TrCl MB'!$D$7:$D$37,FALSE),MATCH(REGENT!L$42,'Enter (Vac BFs TrCl MB'!$F$6:$AJ$6,FALSE))),"",(INDEX('Enter (Vac BFs TrCl MB'!$F$7:$AJ$37,MATCH(REGENT!$B61,'Enter (Vac BFs TrCl MB'!$D$7:$D$37,FALSE),MATCH(REGENT!L$42,'Enter (Vac BFs TrCl MB'!$F$6:$AJ$6,FALSE))))</f>
        <v/>
      </c>
      <c r="M61" s="153" t="str">
        <f>IF(ISERROR(INDEX('Enter (Vac BFs TrCl MB'!$F$7:$AJ$37,MATCH(REGENT!$B61,'Enter (Vac BFs TrCl MB'!$D$7:$D$37,FALSE),MATCH(REGENT!M$42,'Enter (Vac BFs TrCl MB'!$F$6:$AJ$6,FALSE))),"",(INDEX('Enter (Vac BFs TrCl MB'!$F$7:$AJ$37,MATCH(REGENT!$B61,'Enter (Vac BFs TrCl MB'!$D$7:$D$37,FALSE),MATCH(REGENT!M$42,'Enter (Vac BFs TrCl MB'!$F$6:$AJ$6,FALSE))))</f>
        <v/>
      </c>
      <c r="N61" s="153" t="str">
        <f>IF(ISERROR(INDEX('Enter (Vac BFs TrCl MB'!$F$7:$AJ$37,MATCH(REGENT!$B61,'Enter (Vac BFs TrCl MB'!$D$7:$D$37,FALSE),MATCH(REGENT!N$42,'Enter (Vac BFs TrCl MB'!$F$6:$AJ$6,FALSE))),"",(INDEX('Enter (Vac BFs TrCl MB'!$F$7:$AJ$37,MATCH(REGENT!$B61,'Enter (Vac BFs TrCl MB'!$D$7:$D$37,FALSE),MATCH(REGENT!N$42,'Enter (Vac BFs TrCl MB'!$F$6:$AJ$6,FALSE))))</f>
        <v/>
      </c>
      <c r="O61" s="153" t="str">
        <f>IF(ISERROR(INDEX('Enter (Vac BFs TrCl MB'!$F$7:$AU$37,MATCH(REGENT!$B61,'Enter (Vac BFs TrCl MB'!$D$7:$D$37,FALSE),MATCH(REGENT!O$42,'Enter (Vac BFs TrCl MB'!$F$6:$AU$6,FALSE))),"",(INDEX('Enter (Vac BFs TrCl MB'!$F$7:$AU$37,MATCH(REGENT!$B61,'Enter (Vac BFs TrCl MB'!$D$7:$D$37,FALSE),MATCH(REGENT!O$42,'Enter (Vac BFs TrCl MB'!$F$6:$AU$6,FALSE))))</f>
        <v/>
      </c>
      <c r="P61" s="153" t="str">
        <f>IF(ISERROR(INDEX('Enter (Vac BFs TrCl MB'!$F$7:$AU$37,MATCH(REGENT!$B61,'Enter (Vac BFs TrCl MB'!$D$7:$D$37,FALSE),MATCH(REGENT!P$42,'Enter (Vac BFs TrCl MB'!$F$6:$AU$6,FALSE))),"",(INDEX('Enter (Vac BFs TrCl MB'!$F$7:$AU$37,MATCH(REGENT!$B61,'Enter (Vac BFs TrCl MB'!$D$7:$D$37,FALSE),MATCH(REGENT!P$42,'Enter (Vac BFs TrCl MB'!$F$6:$AU$6,FALSE))))</f>
        <v/>
      </c>
      <c r="Q61" s="153" t="str">
        <f>IF(ISERROR(INDEX('Enter (Vac BFs TrCl MB'!$F$7:$AU$37,MATCH(REGENT!$B61,'Enter (Vac BFs TrCl MB'!$D$7:$D$37,FALSE),MATCH(REGENT!Q$42,'Enter (Vac BFs TrCl MB'!$F$6:$AU$6,FALSE))),"",(INDEX('Enter (Vac BFs TrCl MB'!$F$7:$AU$37,MATCH(REGENT!$B61,'Enter (Vac BFs TrCl MB'!$D$7:$D$37,FALSE),MATCH(REGENT!Q$42,'Enter (Vac BFs TrCl MB'!$F$6:$AU$6,FALSE))))</f>
        <v/>
      </c>
      <c r="R61" s="154"/>
      <c r="S61" s="781"/>
      <c r="T61" s="283"/>
      <c r="U61" s="274"/>
      <c r="V61" s="798" t="s">
        <v>255</v>
      </c>
      <c r="W61" s="798"/>
      <c r="X61" s="798"/>
      <c r="Y61" s="798"/>
      <c r="Z61" s="798"/>
      <c r="AA61" s="799"/>
    </row>
    <row r="62" spans="2:27" ht="15">
      <c r="B62" s="111"/>
      <c r="C62" s="153" t="str">
        <f>IF(ISERROR(INDEX('Enter (Vac BFs TrCl MB'!$F$7:$AJ$37,MATCH(REGENT!$B62,'Enter (Vac BFs TrCl MB'!$D$7:$D$37,FALSE),MATCH(REGENT!C$42,'Enter (Vac BFs TrCl MB'!$F$6:$AJ$6,FALSE))),"",(INDEX('Enter (Vac BFs TrCl MB'!$F$7:$AJ$37,MATCH(REGENT!$B62,'Enter (Vac BFs TrCl MB'!$D$7:$D$37,FALSE),MATCH(REGENT!C$42,'Enter (Vac BFs TrCl MB'!$F$6:$AJ$6,FALSE))))</f>
        <v/>
      </c>
      <c r="D62" s="153" t="str">
        <f>IF(ISERROR(INDEX('Enter (Vac BFs TrCl MB'!$F$7:$AJ$37,MATCH(REGENT!$B62,'Enter (Vac BFs TrCl MB'!$D$7:$D$37,FALSE),MATCH(REGENT!D$42,'Enter (Vac BFs TrCl MB'!$F$6:$AJ$6,FALSE))),"",(INDEX('Enter (Vac BFs TrCl MB'!$F$7:$AJ$37,MATCH(REGENT!$B62,'Enter (Vac BFs TrCl MB'!$D$7:$D$37,FALSE),MATCH(REGENT!D$42,'Enter (Vac BFs TrCl MB'!$F$6:$AJ$6,FALSE))))</f>
        <v/>
      </c>
      <c r="E62" s="153" t="str">
        <f>IF(ISERROR(INDEX('Enter (Vac BFs TrCl MB'!$F$7:$AJ$37,MATCH(REGENT!$B62,'Enter (Vac BFs TrCl MB'!$D$7:$D$37,FALSE),MATCH(REGENT!E$42,'Enter (Vac BFs TrCl MB'!$F$6:$AJ$6,FALSE))),"",(INDEX('Enter (Vac BFs TrCl MB'!$F$7:$AJ$37,MATCH(REGENT!$B62,'Enter (Vac BFs TrCl MB'!$D$7:$D$37,FALSE),MATCH(REGENT!E$42,'Enter (Vac BFs TrCl MB'!$F$6:$AJ$6,FALSE))))</f>
        <v/>
      </c>
      <c r="F62" s="153" t="str">
        <f>IF(ISERROR(INDEX('Enter (Vac BFs TrCl MB'!$F$7:$AJ$37,MATCH(REGENT!$B62,'Enter (Vac BFs TrCl MB'!$D$7:$D$37,FALSE),MATCH(REGENT!F$42,'Enter (Vac BFs TrCl MB'!$F$6:$AJ$6,FALSE))),"",(INDEX('Enter (Vac BFs TrCl MB'!$F$7:$AJ$37,MATCH(REGENT!$B62,'Enter (Vac BFs TrCl MB'!$D$7:$D$37,FALSE),MATCH(REGENT!F$42,'Enter (Vac BFs TrCl MB'!$F$6:$AJ$6,FALSE))))</f>
        <v/>
      </c>
      <c r="G62" s="153" t="str">
        <f>IF(ISERROR(INDEX('Enter (Vac BFs TrCl MB'!$F$7:$AJ$37,MATCH(REGENT!$B62,'Enter (Vac BFs TrCl MB'!$D$7:$D$37,FALSE),MATCH(REGENT!G$42,'Enter (Vac BFs TrCl MB'!$F$6:$AJ$6,FALSE))),"",(INDEX('Enter (Vac BFs TrCl MB'!$F$7:$AJ$37,MATCH(REGENT!$B62,'Enter (Vac BFs TrCl MB'!$D$7:$D$37,FALSE),MATCH(REGENT!G$42,'Enter (Vac BFs TrCl MB'!$F$6:$AJ$6,FALSE))))</f>
        <v/>
      </c>
      <c r="H62" s="153" t="str">
        <f>IF(ISERROR(INDEX('Enter (Vac BFs TrCl MB'!$F$7:$AJ$37,MATCH(REGENT!$B62,'Enter (Vac BFs TrCl MB'!$D$7:$D$37,FALSE),MATCH(REGENT!H$42,'Enter (Vac BFs TrCl MB'!$F$6:$AJ$6,FALSE))),"",(INDEX('Enter (Vac BFs TrCl MB'!$F$7:$AJ$37,MATCH(REGENT!$B62,'Enter (Vac BFs TrCl MB'!$D$7:$D$37,FALSE),MATCH(REGENT!H$42,'Enter (Vac BFs TrCl MB'!$F$6:$AJ$6,FALSE))))</f>
        <v/>
      </c>
      <c r="I62" s="154" t="str">
        <f>IF(ISERROR(INDEX('Enter (Vac BFs TrCl MB'!$F$7:$AJ$37,MATCH(REGENT!$B62,'Enter (Vac BFs TrCl MB'!$D$7:$D$37,FALSE),MATCH(REGENT!I$42,'Enter (Vac BFs TrCl MB'!$F$6:$AJ$6,FALSE))),"",(INDEX('Enter (Vac BFs TrCl MB'!$F$7:$AJ$37,MATCH(REGENT!$B62,'Enter (Vac BFs TrCl MB'!$D$7:$D$37,FALSE),MATCH(REGENT!I$42,'Enter (Vac BFs TrCl MB'!$F$6:$AJ$6,FALSE))))</f>
        <v/>
      </c>
      <c r="J62" s="781"/>
      <c r="K62" s="112"/>
      <c r="L62" s="153" t="str">
        <f>IF(ISERROR(INDEX('Enter (Vac BFs TrCl MB'!$F$7:$AJ$37,MATCH(REGENT!$B62,'Enter (Vac BFs TrCl MB'!$D$7:$D$37,FALSE),MATCH(REGENT!L$42,'Enter (Vac BFs TrCl MB'!$F$6:$AJ$6,FALSE))),"",(INDEX('Enter (Vac BFs TrCl MB'!$F$7:$AJ$37,MATCH(REGENT!$B62,'Enter (Vac BFs TrCl MB'!$D$7:$D$37,FALSE),MATCH(REGENT!L$42,'Enter (Vac BFs TrCl MB'!$F$6:$AJ$6,FALSE))))</f>
        <v/>
      </c>
      <c r="M62" s="153" t="str">
        <f>IF(ISERROR(INDEX('Enter (Vac BFs TrCl MB'!$F$7:$AJ$37,MATCH(REGENT!$B62,'Enter (Vac BFs TrCl MB'!$D$7:$D$37,FALSE),MATCH(REGENT!M$42,'Enter (Vac BFs TrCl MB'!$F$6:$AJ$6,FALSE))),"",(INDEX('Enter (Vac BFs TrCl MB'!$F$7:$AJ$37,MATCH(REGENT!$B62,'Enter (Vac BFs TrCl MB'!$D$7:$D$37,FALSE),MATCH(REGENT!M$42,'Enter (Vac BFs TrCl MB'!$F$6:$AJ$6,FALSE))))</f>
        <v/>
      </c>
      <c r="N62" s="153" t="str">
        <f>IF(ISERROR(INDEX('Enter (Vac BFs TrCl MB'!$F$7:$AJ$37,MATCH(REGENT!$B62,'Enter (Vac BFs TrCl MB'!$D$7:$D$37,FALSE),MATCH(REGENT!N$42,'Enter (Vac BFs TrCl MB'!$F$6:$AJ$6,FALSE))),"",(INDEX('Enter (Vac BFs TrCl MB'!$F$7:$AJ$37,MATCH(REGENT!$B62,'Enter (Vac BFs TrCl MB'!$D$7:$D$37,FALSE),MATCH(REGENT!N$42,'Enter (Vac BFs TrCl MB'!$F$6:$AJ$6,FALSE))))</f>
        <v/>
      </c>
      <c r="O62" s="153" t="str">
        <f>IF(ISERROR(INDEX('Enter (Vac BFs TrCl MB'!$F$7:$AU$37,MATCH(REGENT!$B62,'Enter (Vac BFs TrCl MB'!$D$7:$D$37,FALSE),MATCH(REGENT!O$42,'Enter (Vac BFs TrCl MB'!$F$6:$AU$6,FALSE))),"",(INDEX('Enter (Vac BFs TrCl MB'!$F$7:$AU$37,MATCH(REGENT!$B62,'Enter (Vac BFs TrCl MB'!$D$7:$D$37,FALSE),MATCH(REGENT!O$42,'Enter (Vac BFs TrCl MB'!$F$6:$AU$6,FALSE))))</f>
        <v/>
      </c>
      <c r="P62" s="153" t="str">
        <f>IF(ISERROR(INDEX('Enter (Vac BFs TrCl MB'!$F$7:$AU$37,MATCH(REGENT!$B62,'Enter (Vac BFs TrCl MB'!$D$7:$D$37,FALSE),MATCH(REGENT!P$42,'Enter (Vac BFs TrCl MB'!$F$6:$AU$6,FALSE))),"",(INDEX('Enter (Vac BFs TrCl MB'!$F$7:$AU$37,MATCH(REGENT!$B62,'Enter (Vac BFs TrCl MB'!$D$7:$D$37,FALSE),MATCH(REGENT!P$42,'Enter (Vac BFs TrCl MB'!$F$6:$AU$6,FALSE))))</f>
        <v/>
      </c>
      <c r="Q62" s="153" t="str">
        <f>IF(ISERROR(INDEX('Enter (Vac BFs TrCl MB'!$F$7:$AU$37,MATCH(REGENT!$B62,'Enter (Vac BFs TrCl MB'!$D$7:$D$37,FALSE),MATCH(REGENT!Q$42,'Enter (Vac BFs TrCl MB'!$F$6:$AU$6,FALSE))),"",(INDEX('Enter (Vac BFs TrCl MB'!$F$7:$AU$37,MATCH(REGENT!$B62,'Enter (Vac BFs TrCl MB'!$D$7:$D$37,FALSE),MATCH(REGENT!Q$42,'Enter (Vac BFs TrCl MB'!$F$6:$AU$6,FALSE))))</f>
        <v/>
      </c>
      <c r="R62" s="154"/>
      <c r="S62" s="781"/>
      <c r="T62" s="283"/>
      <c r="U62" s="274"/>
      <c r="V62" s="798" t="s">
        <v>256</v>
      </c>
      <c r="W62" s="798"/>
      <c r="X62" s="798"/>
      <c r="Y62" s="798"/>
      <c r="Z62" s="798"/>
      <c r="AA62" s="799"/>
    </row>
    <row r="63" spans="2:27" ht="15">
      <c r="B63" s="111" t="str">
        <f>IF('Enter (Vac BFs TrCl MB'!$D26=0,"",'Enter (Vac BFs TrCl MB'!$D26)</f>
        <v/>
      </c>
      <c r="C63" s="153" t="str">
        <f>IF(ISERROR(INDEX('Enter (Vac BFs TrCl MB'!$F$7:$AJ$37,MATCH(REGENT!$B63,'Enter (Vac BFs TrCl MB'!$D$7:$D$37,FALSE),MATCH(REGENT!C$42,'Enter (Vac BFs TrCl MB'!$F$6:$AJ$6,FALSE))),"",(INDEX('Enter (Vac BFs TrCl MB'!$F$7:$AJ$37,MATCH(REGENT!$B63,'Enter (Vac BFs TrCl MB'!$D$7:$D$37,FALSE),MATCH(REGENT!C$42,'Enter (Vac BFs TrCl MB'!$F$6:$AJ$6,FALSE))))</f>
        <v/>
      </c>
      <c r="D63" s="153" t="str">
        <f>IF(ISERROR(INDEX('Enter (Vac BFs TrCl MB'!$F$7:$AJ$37,MATCH(REGENT!$B63,'Enter (Vac BFs TrCl MB'!$D$7:$D$37,FALSE),MATCH(REGENT!D$42,'Enter (Vac BFs TrCl MB'!$F$6:$AJ$6,FALSE))),"",(INDEX('Enter (Vac BFs TrCl MB'!$F$7:$AJ$37,MATCH(REGENT!$B63,'Enter (Vac BFs TrCl MB'!$D$7:$D$37,FALSE),MATCH(REGENT!D$42,'Enter (Vac BFs TrCl MB'!$F$6:$AJ$6,FALSE))))</f>
        <v/>
      </c>
      <c r="E63" s="153" t="str">
        <f>IF(ISERROR(INDEX('Enter (Vac BFs TrCl MB'!$F$7:$AJ$37,MATCH(REGENT!$B63,'Enter (Vac BFs TrCl MB'!$D$7:$D$37,FALSE),MATCH(REGENT!E$42,'Enter (Vac BFs TrCl MB'!$F$6:$AJ$6,FALSE))),"",(INDEX('Enter (Vac BFs TrCl MB'!$F$7:$AJ$37,MATCH(REGENT!$B63,'Enter (Vac BFs TrCl MB'!$D$7:$D$37,FALSE),MATCH(REGENT!E$42,'Enter (Vac BFs TrCl MB'!$F$6:$AJ$6,FALSE))))</f>
        <v/>
      </c>
      <c r="F63" s="153" t="str">
        <f>IF(ISERROR(INDEX('Enter (Vac BFs TrCl MB'!$F$7:$AJ$37,MATCH(REGENT!$B63,'Enter (Vac BFs TrCl MB'!$D$7:$D$37,FALSE),MATCH(REGENT!F$42,'Enter (Vac BFs TrCl MB'!$F$6:$AJ$6,FALSE))),"",(INDEX('Enter (Vac BFs TrCl MB'!$F$7:$AJ$37,MATCH(REGENT!$B63,'Enter (Vac BFs TrCl MB'!$D$7:$D$37,FALSE),MATCH(REGENT!F$42,'Enter (Vac BFs TrCl MB'!$F$6:$AJ$6,FALSE))))</f>
        <v/>
      </c>
      <c r="G63" s="153" t="str">
        <f>IF(ISERROR(INDEX('Enter (Vac BFs TrCl MB'!$F$7:$AJ$37,MATCH(REGENT!$B63,'Enter (Vac BFs TrCl MB'!$D$7:$D$37,FALSE),MATCH(REGENT!G$42,'Enter (Vac BFs TrCl MB'!$F$6:$AJ$6,FALSE))),"",(INDEX('Enter (Vac BFs TrCl MB'!$F$7:$AJ$37,MATCH(REGENT!$B63,'Enter (Vac BFs TrCl MB'!$D$7:$D$37,FALSE),MATCH(REGENT!G$42,'Enter (Vac BFs TrCl MB'!$F$6:$AJ$6,FALSE))))</f>
        <v/>
      </c>
      <c r="H63" s="153" t="str">
        <f>IF(ISERROR(INDEX('Enter (Vac BFs TrCl MB'!$F$7:$AJ$37,MATCH(REGENT!$B63,'Enter (Vac BFs TrCl MB'!$D$7:$D$37,FALSE),MATCH(REGENT!H$42,'Enter (Vac BFs TrCl MB'!$F$6:$AJ$6,FALSE))),"",(INDEX('Enter (Vac BFs TrCl MB'!$F$7:$AJ$37,MATCH(REGENT!$B63,'Enter (Vac BFs TrCl MB'!$D$7:$D$37,FALSE),MATCH(REGENT!H$42,'Enter (Vac BFs TrCl MB'!$F$6:$AJ$6,FALSE))))</f>
        <v/>
      </c>
      <c r="I63" s="154" t="str">
        <f>IF(ISERROR(INDEX('Enter (Vac BFs TrCl MB'!$F$7:$AJ$37,MATCH(REGENT!$B63,'Enter (Vac BFs TrCl MB'!$D$7:$D$37,FALSE),MATCH(REGENT!I$42,'Enter (Vac BFs TrCl MB'!$F$6:$AJ$6,FALSE))),"",(INDEX('Enter (Vac BFs TrCl MB'!$F$7:$AJ$37,MATCH(REGENT!$B63,'Enter (Vac BFs TrCl MB'!$D$7:$D$37,FALSE),MATCH(REGENT!I$42,'Enter (Vac BFs TrCl MB'!$F$6:$AJ$6,FALSE))))</f>
        <v/>
      </c>
      <c r="J63" s="781"/>
      <c r="K63" s="112"/>
      <c r="L63" s="153" t="str">
        <f>IF(ISERROR(INDEX('Enter (Vac BFs TrCl MB'!$F$7:$AJ$37,MATCH(REGENT!$B63,'Enter (Vac BFs TrCl MB'!$D$7:$D$37,FALSE),MATCH(REGENT!L$42,'Enter (Vac BFs TrCl MB'!$F$6:$AJ$6,FALSE))),"",(INDEX('Enter (Vac BFs TrCl MB'!$F$7:$AJ$37,MATCH(REGENT!$B63,'Enter (Vac BFs TrCl MB'!$D$7:$D$37,FALSE),MATCH(REGENT!L$42,'Enter (Vac BFs TrCl MB'!$F$6:$AJ$6,FALSE))))</f>
        <v/>
      </c>
      <c r="M63" s="153" t="str">
        <f>IF(ISERROR(INDEX('Enter (Vac BFs TrCl MB'!$F$7:$AJ$37,MATCH(REGENT!$B63,'Enter (Vac BFs TrCl MB'!$D$7:$D$37,FALSE),MATCH(REGENT!M$42,'Enter (Vac BFs TrCl MB'!$F$6:$AJ$6,FALSE))),"",(INDEX('Enter (Vac BFs TrCl MB'!$F$7:$AJ$37,MATCH(REGENT!$B63,'Enter (Vac BFs TrCl MB'!$D$7:$D$37,FALSE),MATCH(REGENT!M$42,'Enter (Vac BFs TrCl MB'!$F$6:$AJ$6,FALSE))))</f>
        <v/>
      </c>
      <c r="N63" s="153" t="str">
        <f>IF(ISERROR(INDEX('Enter (Vac BFs TrCl MB'!$F$7:$AJ$37,MATCH(REGENT!$B63,'Enter (Vac BFs TrCl MB'!$D$7:$D$37,FALSE),MATCH(REGENT!N$42,'Enter (Vac BFs TrCl MB'!$F$6:$AJ$6,FALSE))),"",(INDEX('Enter (Vac BFs TrCl MB'!$F$7:$AJ$37,MATCH(REGENT!$B63,'Enter (Vac BFs TrCl MB'!$D$7:$D$37,FALSE),MATCH(REGENT!N$42,'Enter (Vac BFs TrCl MB'!$F$6:$AJ$6,FALSE))))</f>
        <v/>
      </c>
      <c r="O63" s="153" t="str">
        <f>IF(ISERROR(INDEX('Enter (Vac BFs TrCl MB'!$F$7:$AU$37,MATCH(REGENT!$B63,'Enter (Vac BFs TrCl MB'!$D$7:$D$37,FALSE),MATCH(REGENT!O$42,'Enter (Vac BFs TrCl MB'!$F$6:$AU$6,FALSE))),"",(INDEX('Enter (Vac BFs TrCl MB'!$F$7:$AU$37,MATCH(REGENT!$B63,'Enter (Vac BFs TrCl MB'!$D$7:$D$37,FALSE),MATCH(REGENT!O$42,'Enter (Vac BFs TrCl MB'!$F$6:$AU$6,FALSE))))</f>
        <v/>
      </c>
      <c r="P63" s="153" t="str">
        <f>IF(ISERROR(INDEX('Enter (Vac BFs TrCl MB'!$F$7:$AU$37,MATCH(REGENT!$B63,'Enter (Vac BFs TrCl MB'!$D$7:$D$37,FALSE),MATCH(REGENT!P$42,'Enter (Vac BFs TrCl MB'!$F$6:$AU$6,FALSE))),"",(INDEX('Enter (Vac BFs TrCl MB'!$F$7:$AU$37,MATCH(REGENT!$B63,'Enter (Vac BFs TrCl MB'!$D$7:$D$37,FALSE),MATCH(REGENT!P$42,'Enter (Vac BFs TrCl MB'!$F$6:$AU$6,FALSE))))</f>
        <v/>
      </c>
      <c r="Q63" s="153" t="str">
        <f>IF(ISERROR(INDEX('Enter (Vac BFs TrCl MB'!$F$7:$AU$37,MATCH(REGENT!$B63,'Enter (Vac BFs TrCl MB'!$D$7:$D$37,FALSE),MATCH(REGENT!Q$42,'Enter (Vac BFs TrCl MB'!$F$6:$AU$6,FALSE))),"",(INDEX('Enter (Vac BFs TrCl MB'!$F$7:$AU$37,MATCH(REGENT!$B63,'Enter (Vac BFs TrCl MB'!$D$7:$D$37,FALSE),MATCH(REGENT!Q$42,'Enter (Vac BFs TrCl MB'!$F$6:$AU$6,FALSE))))</f>
        <v/>
      </c>
      <c r="R63" s="154"/>
      <c r="S63" s="781"/>
      <c r="T63" s="283"/>
      <c r="U63" s="274"/>
      <c r="V63" s="798"/>
      <c r="W63" s="798"/>
      <c r="X63" s="798"/>
      <c r="Y63" s="798"/>
      <c r="Z63" s="798"/>
      <c r="AA63" s="799"/>
    </row>
    <row r="64" spans="2:27" ht="15">
      <c r="B64" s="111"/>
      <c r="C64" s="153" t="str">
        <f>IF(ISERROR(INDEX('Enter (Vac BFs TrCl MB'!$F$7:$AJ$37,MATCH(REGENT!$B64,'Enter (Vac BFs TrCl MB'!$D$7:$D$37,FALSE),MATCH(REGENT!C$42,'Enter (Vac BFs TrCl MB'!$F$6:$AJ$6,FALSE))),"",(INDEX('Enter (Vac BFs TrCl MB'!$F$7:$AJ$37,MATCH(REGENT!$B64,'Enter (Vac BFs TrCl MB'!$D$7:$D$37,FALSE),MATCH(REGENT!C$42,'Enter (Vac BFs TrCl MB'!$F$6:$AJ$6,FALSE))))</f>
        <v/>
      </c>
      <c r="D64" s="153" t="str">
        <f>IF(ISERROR(INDEX('Enter (Vac BFs TrCl MB'!$F$7:$AJ$37,MATCH(REGENT!$B64,'Enter (Vac BFs TrCl MB'!$D$7:$D$37,FALSE),MATCH(REGENT!D$42,'Enter (Vac BFs TrCl MB'!$F$6:$AJ$6,FALSE))),"",(INDEX('Enter (Vac BFs TrCl MB'!$F$7:$AJ$37,MATCH(REGENT!$B64,'Enter (Vac BFs TrCl MB'!$D$7:$D$37,FALSE),MATCH(REGENT!D$42,'Enter (Vac BFs TrCl MB'!$F$6:$AJ$6,FALSE))))</f>
        <v/>
      </c>
      <c r="E64" s="153" t="str">
        <f>IF(ISERROR(INDEX('Enter (Vac BFs TrCl MB'!$F$7:$AJ$37,MATCH(REGENT!$B64,'Enter (Vac BFs TrCl MB'!$D$7:$D$37,FALSE),MATCH(REGENT!E$42,'Enter (Vac BFs TrCl MB'!$F$6:$AJ$6,FALSE))),"",(INDEX('Enter (Vac BFs TrCl MB'!$F$7:$AJ$37,MATCH(REGENT!$B64,'Enter (Vac BFs TrCl MB'!$D$7:$D$37,FALSE),MATCH(REGENT!E$42,'Enter (Vac BFs TrCl MB'!$F$6:$AJ$6,FALSE))))</f>
        <v/>
      </c>
      <c r="F64" s="153" t="str">
        <f>IF(ISERROR(INDEX('Enter (Vac BFs TrCl MB'!$F$7:$AJ$37,MATCH(REGENT!$B64,'Enter (Vac BFs TrCl MB'!$D$7:$D$37,FALSE),MATCH(REGENT!F$42,'Enter (Vac BFs TrCl MB'!$F$6:$AJ$6,FALSE))),"",(INDEX('Enter (Vac BFs TrCl MB'!$F$7:$AJ$37,MATCH(REGENT!$B64,'Enter (Vac BFs TrCl MB'!$D$7:$D$37,FALSE),MATCH(REGENT!F$42,'Enter (Vac BFs TrCl MB'!$F$6:$AJ$6,FALSE))))</f>
        <v/>
      </c>
      <c r="G64" s="153" t="str">
        <f>IF(ISERROR(INDEX('Enter (Vac BFs TrCl MB'!$F$7:$AJ$37,MATCH(REGENT!$B64,'Enter (Vac BFs TrCl MB'!$D$7:$D$37,FALSE),MATCH(REGENT!G$42,'Enter (Vac BFs TrCl MB'!$F$6:$AJ$6,FALSE))),"",(INDEX('Enter (Vac BFs TrCl MB'!$F$7:$AJ$37,MATCH(REGENT!$B64,'Enter (Vac BFs TrCl MB'!$D$7:$D$37,FALSE),MATCH(REGENT!G$42,'Enter (Vac BFs TrCl MB'!$F$6:$AJ$6,FALSE))))</f>
        <v/>
      </c>
      <c r="H64" s="153" t="str">
        <f>IF(ISERROR(INDEX('Enter (Vac BFs TrCl MB'!$F$7:$AJ$37,MATCH(REGENT!$B64,'Enter (Vac BFs TrCl MB'!$D$7:$D$37,FALSE),MATCH(REGENT!H$42,'Enter (Vac BFs TrCl MB'!$F$6:$AJ$6,FALSE))),"",(INDEX('Enter (Vac BFs TrCl MB'!$F$7:$AJ$37,MATCH(REGENT!$B64,'Enter (Vac BFs TrCl MB'!$D$7:$D$37,FALSE),MATCH(REGENT!H$42,'Enter (Vac BFs TrCl MB'!$F$6:$AJ$6,FALSE))))</f>
        <v/>
      </c>
      <c r="I64" s="154" t="str">
        <f>IF(ISERROR(INDEX('Enter (Vac BFs TrCl MB'!$F$7:$AJ$37,MATCH(REGENT!$B64,'Enter (Vac BFs TrCl MB'!$D$7:$D$37,FALSE),MATCH(REGENT!I$42,'Enter (Vac BFs TrCl MB'!$F$6:$AJ$6,FALSE))),"",(INDEX('Enter (Vac BFs TrCl MB'!$F$7:$AJ$37,MATCH(REGENT!$B64,'Enter (Vac BFs TrCl MB'!$D$7:$D$37,FALSE),MATCH(REGENT!I$42,'Enter (Vac BFs TrCl MB'!$F$6:$AJ$6,FALSE))))</f>
        <v/>
      </c>
      <c r="J64" s="781"/>
      <c r="K64" s="112"/>
      <c r="L64" s="153" t="str">
        <f>IF(ISERROR(INDEX('Enter (Vac BFs TrCl MB'!$F$7:$AJ$37,MATCH(REGENT!$B64,'Enter (Vac BFs TrCl MB'!$D$7:$D$37,FALSE),MATCH(REGENT!L$42,'Enter (Vac BFs TrCl MB'!$F$6:$AJ$6,FALSE))),"",(INDEX('Enter (Vac BFs TrCl MB'!$F$7:$AJ$37,MATCH(REGENT!$B64,'Enter (Vac BFs TrCl MB'!$D$7:$D$37,FALSE),MATCH(REGENT!L$42,'Enter (Vac BFs TrCl MB'!$F$6:$AJ$6,FALSE))))</f>
        <v/>
      </c>
      <c r="M64" s="153" t="str">
        <f>IF(ISERROR(INDEX('Enter (Vac BFs TrCl MB'!$F$7:$AJ$37,MATCH(REGENT!$B64,'Enter (Vac BFs TrCl MB'!$D$7:$D$37,FALSE),MATCH(REGENT!M$42,'Enter (Vac BFs TrCl MB'!$F$6:$AJ$6,FALSE))),"",(INDEX('Enter (Vac BFs TrCl MB'!$F$7:$AJ$37,MATCH(REGENT!$B64,'Enter (Vac BFs TrCl MB'!$D$7:$D$37,FALSE),MATCH(REGENT!M$42,'Enter (Vac BFs TrCl MB'!$F$6:$AJ$6,FALSE))))</f>
        <v/>
      </c>
      <c r="N64" s="153" t="str">
        <f>IF(ISERROR(INDEX('Enter (Vac BFs TrCl MB'!$F$7:$AJ$37,MATCH(REGENT!$B64,'Enter (Vac BFs TrCl MB'!$D$7:$D$37,FALSE),MATCH(REGENT!N$42,'Enter (Vac BFs TrCl MB'!$F$6:$AJ$6,FALSE))),"",(INDEX('Enter (Vac BFs TrCl MB'!$F$7:$AJ$37,MATCH(REGENT!$B64,'Enter (Vac BFs TrCl MB'!$D$7:$D$37,FALSE),MATCH(REGENT!N$42,'Enter (Vac BFs TrCl MB'!$F$6:$AJ$6,FALSE))))</f>
        <v/>
      </c>
      <c r="O64" s="153" t="str">
        <f>IF(ISERROR(INDEX('Enter (Vac BFs TrCl MB'!$F$7:$AU$37,MATCH(REGENT!$B64,'Enter (Vac BFs TrCl MB'!$D$7:$D$37,FALSE),MATCH(REGENT!O$42,'Enter (Vac BFs TrCl MB'!$F$6:$AU$6,FALSE))),"",(INDEX('Enter (Vac BFs TrCl MB'!$F$7:$AU$37,MATCH(REGENT!$B64,'Enter (Vac BFs TrCl MB'!$D$7:$D$37,FALSE),MATCH(REGENT!O$42,'Enter (Vac BFs TrCl MB'!$F$6:$AU$6,FALSE))))</f>
        <v/>
      </c>
      <c r="P64" s="153" t="str">
        <f>IF(ISERROR(INDEX('Enter (Vac BFs TrCl MB'!$F$7:$AU$37,MATCH(REGENT!$B64,'Enter (Vac BFs TrCl MB'!$D$7:$D$37,FALSE),MATCH(REGENT!P$42,'Enter (Vac BFs TrCl MB'!$F$6:$AU$6,FALSE))),"",(INDEX('Enter (Vac BFs TrCl MB'!$F$7:$AU$37,MATCH(REGENT!$B64,'Enter (Vac BFs TrCl MB'!$D$7:$D$37,FALSE),MATCH(REGENT!P$42,'Enter (Vac BFs TrCl MB'!$F$6:$AU$6,FALSE))))</f>
        <v/>
      </c>
      <c r="Q64" s="153" t="str">
        <f>IF(ISERROR(INDEX('Enter (Vac BFs TrCl MB'!$F$7:$AU$37,MATCH(REGENT!$B64,'Enter (Vac BFs TrCl MB'!$D$7:$D$37,FALSE),MATCH(REGENT!Q$42,'Enter (Vac BFs TrCl MB'!$F$6:$AU$6,FALSE))),"",(INDEX('Enter (Vac BFs TrCl MB'!$F$7:$AU$37,MATCH(REGENT!$B64,'Enter (Vac BFs TrCl MB'!$D$7:$D$37,FALSE),MATCH(REGENT!Q$42,'Enter (Vac BFs TrCl MB'!$F$6:$AU$6,FALSE))))</f>
        <v/>
      </c>
      <c r="R64" s="154"/>
      <c r="S64" s="781"/>
      <c r="T64" s="283"/>
      <c r="U64" s="274"/>
      <c r="V64" s="798"/>
      <c r="W64" s="798"/>
      <c r="X64" s="798"/>
      <c r="Y64" s="798"/>
      <c r="Z64" s="798"/>
      <c r="AA64" s="799"/>
    </row>
    <row r="65" spans="2:27" ht="15.4" thickBot="1">
      <c r="B65" s="111"/>
      <c r="C65" s="155" t="str">
        <f>IF(ISERROR(INDEX('Enter (Vac BFs TrCl MB'!$F$7:$AJ$37,MATCH(REGENT!$B65,'Enter (Vac BFs TrCl MB'!$D$7:$D$37,FALSE),MATCH(REGENT!C$42,'Enter (Vac BFs TrCl MB'!$F$6:$AJ$6,FALSE))),"",(INDEX('Enter (Vac BFs TrCl MB'!$F$7:$AJ$37,MATCH(REGENT!$B65,'Enter (Vac BFs TrCl MB'!$D$7:$D$37,FALSE),MATCH(REGENT!C$42,'Enter (Vac BFs TrCl MB'!$F$6:$AJ$6,FALSE))))</f>
        <v/>
      </c>
      <c r="D65" s="155" t="str">
        <f>IF(ISERROR(INDEX('Enter (Vac BFs TrCl MB'!$F$7:$AJ$37,MATCH(REGENT!$B65,'Enter (Vac BFs TrCl MB'!$D$7:$D$37,FALSE),MATCH(REGENT!D$42,'Enter (Vac BFs TrCl MB'!$F$6:$AJ$6,FALSE))),"",(INDEX('Enter (Vac BFs TrCl MB'!$F$7:$AJ$37,MATCH(REGENT!$B65,'Enter (Vac BFs TrCl MB'!$D$7:$D$37,FALSE),MATCH(REGENT!D$42,'Enter (Vac BFs TrCl MB'!$F$6:$AJ$6,FALSE))))</f>
        <v/>
      </c>
      <c r="E65" s="155" t="str">
        <f>IF(ISERROR(INDEX('Enter (Vac BFs TrCl MB'!$F$7:$AJ$37,MATCH(REGENT!$B65,'Enter (Vac BFs TrCl MB'!$D$7:$D$37,FALSE),MATCH(REGENT!E$42,'Enter (Vac BFs TrCl MB'!$F$6:$AJ$6,FALSE))),"",(INDEX('Enter (Vac BFs TrCl MB'!$F$7:$AJ$37,MATCH(REGENT!$B65,'Enter (Vac BFs TrCl MB'!$D$7:$D$37,FALSE),MATCH(REGENT!E$42,'Enter (Vac BFs TrCl MB'!$F$6:$AJ$6,FALSE))))</f>
        <v/>
      </c>
      <c r="F65" s="155" t="str">
        <f>IF(ISERROR(INDEX('Enter (Vac BFs TrCl MB'!$F$7:$AJ$37,MATCH(REGENT!$B65,'Enter (Vac BFs TrCl MB'!$D$7:$D$37,FALSE),MATCH(REGENT!F$42,'Enter (Vac BFs TrCl MB'!$F$6:$AJ$6,FALSE))),"",(INDEX('Enter (Vac BFs TrCl MB'!$F$7:$AJ$37,MATCH(REGENT!$B65,'Enter (Vac BFs TrCl MB'!$D$7:$D$37,FALSE),MATCH(REGENT!F$42,'Enter (Vac BFs TrCl MB'!$F$6:$AJ$6,FALSE))))</f>
        <v/>
      </c>
      <c r="G65" s="155" t="str">
        <f>IF(ISERROR(INDEX('Enter (Vac BFs TrCl MB'!$F$7:$AJ$37,MATCH(REGENT!$B65,'Enter (Vac BFs TrCl MB'!$D$7:$D$37,FALSE),MATCH(REGENT!G$42,'Enter (Vac BFs TrCl MB'!$F$6:$AJ$6,FALSE))),"",(INDEX('Enter (Vac BFs TrCl MB'!$F$7:$AJ$37,MATCH(REGENT!$B65,'Enter (Vac BFs TrCl MB'!$D$7:$D$37,FALSE),MATCH(REGENT!G$42,'Enter (Vac BFs TrCl MB'!$F$6:$AJ$6,FALSE))))</f>
        <v/>
      </c>
      <c r="H65" s="155"/>
      <c r="I65" s="156" t="str">
        <f>IF(ISERROR(INDEX('Enter (Vac BFs TrCl MB'!$F$7:$AJ$37,MATCH(REGENT!$B65,'Enter (Vac BFs TrCl MB'!$D$7:$D$37,FALSE),MATCH(REGENT!I$42,'Enter (Vac BFs TrCl MB'!$F$6:$AJ$6,FALSE))),"",(INDEX('Enter (Vac BFs TrCl MB'!$F$7:$AJ$37,MATCH(REGENT!$B65,'Enter (Vac BFs TrCl MB'!$D$7:$D$37,FALSE),MATCH(REGENT!I$42,'Enter (Vac BFs TrCl MB'!$F$6:$AJ$6,FALSE))))</f>
        <v/>
      </c>
      <c r="J65" s="781"/>
      <c r="K65" s="113"/>
      <c r="L65" s="155" t="str">
        <f>IF(ISERROR(INDEX('Enter (Vac BFs TrCl MB'!$F$7:$AJ$37,MATCH(REGENT!$B65,'Enter (Vac BFs TrCl MB'!$D$7:$D$37,FALSE),MATCH(REGENT!L$42,'Enter (Vac BFs TrCl MB'!$F$6:$AJ$6,FALSE))),"",(INDEX('Enter (Vac BFs TrCl MB'!$F$7:$AJ$37,MATCH(REGENT!$B65,'Enter (Vac BFs TrCl MB'!$D$7:$D$37,FALSE),MATCH(REGENT!L$42,'Enter (Vac BFs TrCl MB'!$F$6:$AJ$6,FALSE))))</f>
        <v/>
      </c>
      <c r="M65" s="155" t="str">
        <f>IF(ISERROR(INDEX('Enter (Vac BFs TrCl MB'!$F$7:$AJ$37,MATCH(REGENT!$B65,'Enter (Vac BFs TrCl MB'!$D$7:$D$37,FALSE),MATCH(REGENT!M$42,'Enter (Vac BFs TrCl MB'!$F$6:$AJ$6,FALSE))),"",(INDEX('Enter (Vac BFs TrCl MB'!$F$7:$AJ$37,MATCH(REGENT!$B65,'Enter (Vac BFs TrCl MB'!$D$7:$D$37,FALSE),MATCH(REGENT!M$42,'Enter (Vac BFs TrCl MB'!$F$6:$AJ$6,FALSE))))</f>
        <v/>
      </c>
      <c r="N65" s="155" t="str">
        <f>IF(ISERROR(INDEX('Enter (Vac BFs TrCl MB'!$F$7:$AJ$37,MATCH(REGENT!$B65,'Enter (Vac BFs TrCl MB'!$D$7:$D$37,FALSE),MATCH(REGENT!N$42,'Enter (Vac BFs TrCl MB'!$F$6:$AJ$6,FALSE))),"",(INDEX('Enter (Vac BFs TrCl MB'!$F$7:$AJ$37,MATCH(REGENT!$B65,'Enter (Vac BFs TrCl MB'!$D$7:$D$37,FALSE),MATCH(REGENT!N$42,'Enter (Vac BFs TrCl MB'!$F$6:$AJ$6,FALSE))))</f>
        <v/>
      </c>
      <c r="O65" s="155" t="str">
        <f>IF(ISERROR(INDEX('Enter (Vac BFs TrCl MB'!$F$7:$AU$37,MATCH(REGENT!$B65,'Enter (Vac BFs TrCl MB'!$D$7:$D$37,FALSE),MATCH(REGENT!O$42,'Enter (Vac BFs TrCl MB'!$F$6:$AU$6,FALSE))),"",(INDEX('Enter (Vac BFs TrCl MB'!$F$7:$AU$37,MATCH(REGENT!$B65,'Enter (Vac BFs TrCl MB'!$D$7:$D$37,FALSE),MATCH(REGENT!O$42,'Enter (Vac BFs TrCl MB'!$F$6:$AU$6,FALSE))))</f>
        <v/>
      </c>
      <c r="P65" s="155" t="str">
        <f>IF(ISERROR(INDEX('Enter (Vac BFs TrCl MB'!$F$7:$AU$37,MATCH(REGENT!$B65,'Enter (Vac BFs TrCl MB'!$D$7:$D$37,FALSE),MATCH(REGENT!P$42,'Enter (Vac BFs TrCl MB'!$F$6:$AU$6,FALSE))),"",(INDEX('Enter (Vac BFs TrCl MB'!$F$7:$AU$37,MATCH(REGENT!$B65,'Enter (Vac BFs TrCl MB'!$D$7:$D$37,FALSE),MATCH(REGENT!P$42,'Enter (Vac BFs TrCl MB'!$F$6:$AU$6,FALSE))))</f>
        <v/>
      </c>
      <c r="Q65" s="155" t="str">
        <f>IF(ISERROR(INDEX('Enter (Vac BFs TrCl MB'!$F$7:$AU$37,MATCH(REGENT!$B65,'Enter (Vac BFs TrCl MB'!$D$7:$D$37,FALSE),MATCH(REGENT!Q$42,'Enter (Vac BFs TrCl MB'!$F$6:$AU$6,FALSE))),"",(INDEX('Enter (Vac BFs TrCl MB'!$F$7:$AU$37,MATCH(REGENT!$B65,'Enter (Vac BFs TrCl MB'!$D$7:$D$37,FALSE),MATCH(REGENT!Q$42,'Enter (Vac BFs TrCl MB'!$F$6:$AU$6,FALSE))))</f>
        <v/>
      </c>
      <c r="R65" s="156"/>
      <c r="S65" s="781"/>
      <c r="T65" s="284"/>
      <c r="U65" s="285"/>
      <c r="V65" s="825"/>
      <c r="W65" s="825"/>
      <c r="X65" s="825"/>
      <c r="Y65" s="825"/>
      <c r="Z65" s="825"/>
      <c r="AA65" s="826"/>
    </row>
  </sheetData>
  <sheetProtection formatCells="0" formatColumns="0" formatRows="0" insertRows="0" deleteRows="0" selectLockedCells="1"/>
  <mergeCells count="55">
    <mergeCell ref="E2:J2"/>
    <mergeCell ref="O2:T2"/>
    <mergeCell ref="N3:O3"/>
    <mergeCell ref="K2:N2"/>
    <mergeCell ref="U2:V2"/>
    <mergeCell ref="B4:AA4"/>
    <mergeCell ref="E3:F3"/>
    <mergeCell ref="G3:H3"/>
    <mergeCell ref="C3:D3"/>
    <mergeCell ref="I3:K3"/>
    <mergeCell ref="W2:X2"/>
    <mergeCell ref="L3:M3"/>
    <mergeCell ref="U3:V3"/>
    <mergeCell ref="Q3:S3"/>
    <mergeCell ref="X3:Y3"/>
    <mergeCell ref="B5:B6"/>
    <mergeCell ref="K5:K6"/>
    <mergeCell ref="T5:T6"/>
    <mergeCell ref="B36:B37"/>
    <mergeCell ref="K36:K37"/>
    <mergeCell ref="J5:J34"/>
    <mergeCell ref="S5:S34"/>
    <mergeCell ref="J36:J65"/>
    <mergeCell ref="S36:S65"/>
    <mergeCell ref="B35:AA35"/>
    <mergeCell ref="T36:AA36"/>
    <mergeCell ref="V37:AA37"/>
    <mergeCell ref="V38:AA38"/>
    <mergeCell ref="V39:AA39"/>
    <mergeCell ref="V40:AA40"/>
    <mergeCell ref="V41:AA41"/>
    <mergeCell ref="V42:AA42"/>
    <mergeCell ref="V43:AA43"/>
    <mergeCell ref="V44:AA44"/>
    <mergeCell ref="V45:AA45"/>
    <mergeCell ref="V46:AA46"/>
    <mergeCell ref="V47:AA47"/>
    <mergeCell ref="V48:AA48"/>
    <mergeCell ref="V49:AA49"/>
    <mergeCell ref="V50:AA50"/>
    <mergeCell ref="V51:AA51"/>
    <mergeCell ref="V52:AA52"/>
    <mergeCell ref="V53:AA53"/>
    <mergeCell ref="V54:AA54"/>
    <mergeCell ref="V55:AA55"/>
    <mergeCell ref="V56:AA56"/>
    <mergeCell ref="V62:AA62"/>
    <mergeCell ref="V63:AA63"/>
    <mergeCell ref="V64:AA64"/>
    <mergeCell ref="V65:AA65"/>
    <mergeCell ref="V57:AA57"/>
    <mergeCell ref="V58:AA58"/>
    <mergeCell ref="V59:AA59"/>
    <mergeCell ref="V60:AA60"/>
    <mergeCell ref="V61:AA61"/>
  </mergeCells>
  <phoneticPr fontId="91" type="noConversion"/>
  <conditionalFormatting sqref="C7:I8">
    <cfRule type="cellIs" dxfId="28" priority="24" operator="equal">
      <formula>0</formula>
    </cfRule>
  </conditionalFormatting>
  <conditionalFormatting sqref="C13:I34">
    <cfRule type="cellIs" dxfId="27" priority="31" operator="equal">
      <formula>0</formula>
    </cfRule>
  </conditionalFormatting>
  <conditionalFormatting sqref="C38:I39">
    <cfRule type="cellIs" dxfId="26" priority="14" operator="equal">
      <formula>0</formula>
    </cfRule>
  </conditionalFormatting>
  <conditionalFormatting sqref="C44:I65">
    <cfRule type="cellIs" dxfId="25" priority="27" operator="equal">
      <formula>0</formula>
    </cfRule>
  </conditionalFormatting>
  <conditionalFormatting sqref="F13">
    <cfRule type="cellIs" dxfId="24" priority="30" operator="equal">
      <formula>0</formula>
    </cfRule>
  </conditionalFormatting>
  <conditionalFormatting sqref="L44:N65 R45:R56">
    <cfRule type="cellIs" dxfId="23" priority="26" operator="equal">
      <formula>0</formula>
    </cfRule>
  </conditionalFormatting>
  <conditionalFormatting sqref="L7:R8">
    <cfRule type="cellIs" dxfId="22" priority="18" operator="equal">
      <formula>0</formula>
    </cfRule>
  </conditionalFormatting>
  <conditionalFormatting sqref="L13:R34">
    <cfRule type="cellIs" dxfId="21" priority="29" operator="equal">
      <formula>0</formula>
    </cfRule>
  </conditionalFormatting>
  <conditionalFormatting sqref="L38:R39">
    <cfRule type="cellIs" dxfId="20" priority="12" operator="equal">
      <formula>0</formula>
    </cfRule>
  </conditionalFormatting>
  <conditionalFormatting sqref="O44:Q56">
    <cfRule type="cellIs" dxfId="19" priority="5" operator="equal">
      <formula>0</formula>
    </cfRule>
  </conditionalFormatting>
  <conditionalFormatting sqref="O57:R65">
    <cfRule type="cellIs" dxfId="18" priority="4" operator="equal">
      <formula>0</formula>
    </cfRule>
  </conditionalFormatting>
  <conditionalFormatting sqref="U38:V39">
    <cfRule type="cellIs" dxfId="17" priority="1" operator="equal">
      <formula>0</formula>
    </cfRule>
  </conditionalFormatting>
  <conditionalFormatting sqref="U44:V65">
    <cfRule type="cellIs" dxfId="16" priority="2" operator="equal">
      <formula>0</formula>
    </cfRule>
  </conditionalFormatting>
  <conditionalFormatting sqref="U7:AA8">
    <cfRule type="cellIs" dxfId="15" priority="16" operator="equal">
      <formula>0</formula>
    </cfRule>
  </conditionalFormatting>
  <conditionalFormatting sqref="U13:AA34">
    <cfRule type="cellIs" dxfId="14" priority="28" operator="equal">
      <formula>0</formula>
    </cfRule>
  </conditionalFormatting>
  <printOptions horizontalCentered="1" verticalCentered="1"/>
  <pageMargins left="0" right="0" top="0" bottom="0" header="0" footer="0"/>
  <pageSetup scale="55" orientation="landscape" r:id="rId1"/>
  <ignoredErrors>
    <ignoredError sqref="C7:D7 C18:I26 C50:I65 U7:AA8 C28:I28 D27:I27 D30:I34 D29:I29 L48:L49 M48:M65 N48:N65 R49 O60:Q65 B60 B5:B12 B29 C29:C34 O57 O48:Q56 O58:Q59 P57:Q57 E7:I7 C8:I8 L7:R7 L8:R8 B63 U17:V17 L19:R34 C17:D17 F17:I17 L17:N17 P17 L18:M18 U20:AA34 V18:W18 Y17:AA17 U19:V19 Y19:AA19 G48:I48 C49:E49 G49:I49 L51:L65"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450A-F379-40F3-957B-053E99DBC956}">
  <sheetPr codeName="Sheet8"/>
  <dimension ref="A1:AD65"/>
  <sheetViews>
    <sheetView topLeftCell="B1" workbookViewId="0">
      <selection activeCell="C14" sqref="C14"/>
    </sheetView>
  </sheetViews>
  <sheetFormatPr defaultRowHeight="14.25"/>
  <cols>
    <col min="1" max="1" width="24.796875" hidden="1" customWidth="1"/>
    <col min="2" max="2" width="16.19921875" customWidth="1"/>
    <col min="10" max="10" width="3.53125" customWidth="1"/>
    <col min="11" max="11" width="16.19921875" customWidth="1"/>
    <col min="16" max="16" width="11.265625" bestFit="1" customWidth="1"/>
    <col min="19" max="19" width="3.53125" customWidth="1"/>
    <col min="20" max="20" width="16.19921875" bestFit="1" customWidth="1"/>
  </cols>
  <sheetData>
    <row r="1" spans="1:27" ht="14.65" thickBot="1"/>
    <row r="2" spans="1:27" ht="25.05" customHeight="1">
      <c r="A2" s="40"/>
      <c r="B2" s="96">
        <f>Planner!B18</f>
        <v>45323</v>
      </c>
      <c r="C2" s="114" t="str">
        <f>IF('Enter Projections'!$A$1,"Mois","Month:")</f>
        <v>Month:</v>
      </c>
      <c r="D2" s="114"/>
      <c r="E2" s="811" t="str">
        <f>'Enter Projections'!K2</f>
        <v>February</v>
      </c>
      <c r="F2" s="811"/>
      <c r="G2" s="811"/>
      <c r="H2" s="811"/>
      <c r="I2" s="811"/>
      <c r="J2" s="811"/>
      <c r="K2" s="812" t="str">
        <f>IF('Enter Projections'!$A$1,"Nom du restaurant :","Restaurant Name:")</f>
        <v>Restaurant Name:</v>
      </c>
      <c r="L2" s="812"/>
      <c r="M2" s="812"/>
      <c r="N2" s="812"/>
      <c r="O2" s="813"/>
      <c r="P2" s="813"/>
      <c r="Q2" s="813"/>
      <c r="R2" s="813"/>
      <c r="S2" s="813"/>
      <c r="T2" s="813"/>
      <c r="U2" s="814" t="str">
        <f>IF('Enter Projections'!$A$1,"% prévues","Planned LBR")</f>
        <v>Planned LBR</v>
      </c>
      <c r="V2" s="814"/>
      <c r="W2" s="815">
        <f>'Enter Projections'!O27/100</f>
        <v>0</v>
      </c>
      <c r="X2" s="815"/>
      <c r="Y2" s="97"/>
      <c r="Z2" s="98"/>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Projections'!$A$1,"MATn-d’œuvre prévue","Proj $")</f>
        <v>Proj $</v>
      </c>
      <c r="J3" s="802"/>
      <c r="K3" s="802"/>
      <c r="L3" s="807">
        <f>'Enter Projections'!O17</f>
        <v>0</v>
      </c>
      <c r="M3" s="807"/>
      <c r="N3" s="802" t="str">
        <f>IF('Enter Projections'!$A$1,"MATn-d’œuvre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808" t="str">
        <f>IF('Enter Projections'!A1,"Événements
spéciaux","Special
Events")</f>
        <v>Special
Events</v>
      </c>
      <c r="C5" s="108"/>
      <c r="D5" s="108"/>
      <c r="E5" s="108"/>
      <c r="F5" s="108"/>
      <c r="G5" s="108"/>
      <c r="H5" s="108"/>
      <c r="I5" s="109"/>
      <c r="J5" s="810"/>
      <c r="K5" s="808" t="str">
        <f>IF('Enter Projections'!A1,"Événements
spéciaux","Special
Events")</f>
        <v>Special
Events</v>
      </c>
      <c r="L5" s="145"/>
      <c r="M5" s="145"/>
      <c r="N5" s="145"/>
      <c r="O5" s="145"/>
      <c r="P5" s="145"/>
      <c r="Q5" s="145"/>
      <c r="R5" s="146"/>
      <c r="S5" s="810"/>
      <c r="T5" s="808" t="str">
        <f>IF('Enter Projections'!A1,"Événements
spéciaux","Special
Events")</f>
        <v>Special
Events</v>
      </c>
      <c r="U5" s="145"/>
      <c r="V5" s="145"/>
      <c r="W5" s="145"/>
      <c r="X5" s="145"/>
      <c r="Y5" s="145"/>
      <c r="Z5" s="145"/>
      <c r="AA5" s="146"/>
    </row>
    <row r="6" spans="1:27" ht="15">
      <c r="B6" s="809"/>
      <c r="C6" s="95"/>
      <c r="D6" s="95"/>
      <c r="E6" s="95"/>
      <c r="F6" s="95"/>
      <c r="G6" s="95"/>
      <c r="H6" s="95"/>
      <c r="I6" s="110"/>
      <c r="J6" s="810"/>
      <c r="K6" s="809"/>
      <c r="L6" s="147"/>
      <c r="M6" s="147"/>
      <c r="N6" s="147"/>
      <c r="O6" s="147"/>
      <c r="P6" s="147"/>
      <c r="Q6" s="147"/>
      <c r="R6" s="148"/>
      <c r="S6" s="810"/>
      <c r="T6" s="809"/>
      <c r="U6" s="147"/>
      <c r="V6" s="147"/>
      <c r="W6" s="147"/>
      <c r="X6" s="147"/>
      <c r="Y6" s="147"/>
      <c r="Z6" s="147"/>
      <c r="AA6" s="148"/>
    </row>
    <row r="7" spans="1:27" ht="15.4">
      <c r="B7" s="149" t="str">
        <f>IF('Enter (Vac BFs TrCl MB'!$D32=0,"",'Enter (Vac BFs TrCl MB'!$D32)</f>
        <v/>
      </c>
      <c r="C7" s="150" t="str">
        <f>IF(ISERROR(INDEX('Enter (Vac BFs TrCl MB'!$E$7:$AU$37,MATCH('5 Weeks Sun Week Start'!$B7,'Enter (Vac BFs TrCl MB'!$D$7:$D$37,FALSE),MATCH('5 Weeks Sun Week Start'!C$11,'Enter (Vac BFs TrCl MB'!$E$6:$AU$6,FALSE))),"",(INDEX('Enter (Vac BFs TrCl MB'!$E$7:$AU$37,MATCH('5 Weeks Sun Week Start'!$B7,'Enter (Vac BFs TrCl MB'!$D$7:$D$37,FALSE),MATCH('5 Weeks Sun Week Start'!C$11,'Enter (Vac BFs TrCl MB'!$E$6:$AU$6,FALSE))))</f>
        <v/>
      </c>
      <c r="D7" s="150" t="str">
        <f>IF(ISERROR(INDEX('Enter (Vac BFs TrCl MB'!$F$7:$AU$37,MATCH(PROSPECT!$B7,'Enter (Vac BFs TrCl MB'!$D$7:$D$37,FALSE),MATCH(PROSPECT!D$11,'Enter (Vac BFs TrCl MB'!$F$6:$AU$6,FALSE))),"",(INDEX('Enter (Vac BFs TrCl MB'!$F$7:$AU$37,MATCH(PROSPECT!$B7,'Enter (Vac BFs TrCl MB'!$D$7:$D$37,FALSE),MATCH(PROSPECT!D$11,'Enter (Vac BFs TrCl MB'!$F$6:$AU$6,FALSE))))</f>
        <v/>
      </c>
      <c r="E7" s="150" t="str">
        <f>IF(ISERROR(INDEX('Enter (Vac BFs TrCl MB'!$F$7:$AU$37,MATCH(PROSPECT!$B7,'Enter (Vac BFs TrCl MB'!$D$7:$D$37,FALSE),MATCH(PROSPECT!E$11,'Enter (Vac BFs TrCl MB'!$F$6:$AU$6,FALSE))),"",(INDEX('Enter (Vac BFs TrCl MB'!$F$7:$AU$37,MATCH(PROSPECT!$B7,'Enter (Vac BFs TrCl MB'!$D$7:$D$37,FALSE),MATCH(PROSPECT!E$11,'Enter (Vac BFs TrCl MB'!$F$6:$AU$6,FALSE))))</f>
        <v/>
      </c>
      <c r="F7" s="150" t="str">
        <f>IF(ISERROR(INDEX('Enter (Vac BFs TrCl MB'!$F$7:$AU$37,MATCH(PROSPECT!$B7,'Enter (Vac BFs TrCl MB'!$D$7:$D$37,FALSE),MATCH(PROSPECT!F$11,'Enter (Vac BFs TrCl MB'!$F$6:$AU$6,FALSE))),"",(INDEX('Enter (Vac BFs TrCl MB'!$F$7:$AU$37,MATCH(PROSPECT!$B7,'Enter (Vac BFs TrCl MB'!$D$7:$D$37,FALSE),MATCH(PROSPECT!F$11,'Enter (Vac BFs TrCl MB'!$F$6:$AU$6,FALSE))))</f>
        <v/>
      </c>
      <c r="G7" s="150" t="str">
        <f>IF(ISERROR(INDEX('Enter (Vac BFs TrCl MB'!$F$7:$AU$37,MATCH(PROSPECT!$B7,'Enter (Vac BFs TrCl MB'!$D$7:$D$37,FALSE),MATCH(PROSPECT!G$11,'Enter (Vac BFs TrCl MB'!$F$6:$AU$6,FALSE))),"",(INDEX('Enter (Vac BFs TrCl MB'!$F$7:$AU$37,MATCH(PROSPECT!$B7,'Enter (Vac BFs TrCl MB'!$D$7:$D$37,FALSE),MATCH(PROSPECT!G$11,'Enter (Vac BFs TrCl MB'!$F$6:$AU$6,FALSE))))</f>
        <v/>
      </c>
      <c r="H7" s="150" t="str">
        <f>IF(ISERROR(INDEX('Enter (Vac BFs TrCl MB'!$F$7:$AU$37,MATCH(PROSPECT!$B7,'Enter (Vac BFs TrCl MB'!$D$7:$D$37,FALSE),MATCH(PROSPECT!H$11,'Enter (Vac BFs TrCl MB'!$F$6:$AU$6,FALSE))),"",(INDEX('Enter (Vac BFs TrCl MB'!$F$7:$AU$37,MATCH(PROSPECT!$B7,'Enter (Vac BFs TrCl MB'!$D$7:$D$37,FALSE),MATCH(PROSPECT!H$11,'Enter (Vac BFs TrCl MB'!$F$6:$AU$6,FALSE))))</f>
        <v/>
      </c>
      <c r="I7" s="151" t="str">
        <f>IF(ISERROR(INDEX('Enter (Vac BFs TrCl MB'!$F$7:$AU$37,MATCH(PROSPECT!$B7,'Enter (Vac BFs TrCl MB'!$D$7:$D$37,FALSE),MATCH(PROSPECT!I$11,'Enter (Vac BFs TrCl MB'!$F$6:$AU$6,FALSE))),"",(INDEX('Enter (Vac BFs TrCl MB'!$F$7:$AU$37,MATCH(PROSPECT!$B7,'Enter (Vac BFs TrCl MB'!$D$7:$D$37,FALSE),MATCH(PROSPECT!I$11,'Enter (Vac BFs TrCl MB'!$F$6:$AU$6,FALSE))))</f>
        <v/>
      </c>
      <c r="J7" s="810"/>
      <c r="K7" s="149" t="str">
        <f>IF('Enter (Vac BFs TrCl MB'!$D32=0,"",'Enter (Vac BFs TrCl MB'!$D32)</f>
        <v/>
      </c>
      <c r="L7" s="150" t="str">
        <f>IF(ISERROR(INDEX('Enter (Vac BFs TrCl MB'!$F$7:$AU$37,MATCH(PROSPECT!$B7,'Enter (Vac BFs TrCl MB'!$D$7:$D$37,FALSE),MATCH(PROSPECT!L$11,'Enter (Vac BFs TrCl MB'!$F$6:$AU$6,FALSE))),"",(INDEX('Enter (Vac BFs TrCl MB'!$F$7:$AU$37,MATCH(PROSPECT!$B7,'Enter (Vac BFs TrCl MB'!$D$7:$D$37,FALSE),MATCH(PROSPECT!L$11,'Enter (Vac BFs TrCl MB'!$F$6:$AU$6,FALSE))))</f>
        <v/>
      </c>
      <c r="M7" s="150" t="str">
        <f>IF(ISERROR(INDEX('Enter (Vac BFs TrCl MB'!$F$7:$AU$37,MATCH(PROSPECT!$B7,'Enter (Vac BFs TrCl MB'!$D$7:$D$37,FALSE),MATCH(PROSPECT!M$11,'Enter (Vac BFs TrCl MB'!$F$6:$AU$6,FALSE))),"",(INDEX('Enter (Vac BFs TrCl MB'!$F$7:$AU$37,MATCH(PROSPECT!$B7,'Enter (Vac BFs TrCl MB'!$D$7:$D$37,FALSE),MATCH(PROSPECT!M$11,'Enter (Vac BFs TrCl MB'!$F$6:$AU$6,FALSE))))</f>
        <v/>
      </c>
      <c r="N7" s="150" t="str">
        <f>IF(ISERROR(INDEX('Enter (Vac BFs TrCl MB'!$F$7:$AU$37,MATCH(PROSPECT!$B7,'Enter (Vac BFs TrCl MB'!$D$7:$D$37,FALSE),MATCH(PROSPECT!N$11,'Enter (Vac BFs TrCl MB'!$F$6:$AU$6,FALSE))),"",(INDEX('Enter (Vac BFs TrCl MB'!$F$7:$AU$37,MATCH(PROSPECT!$B7,'Enter (Vac BFs TrCl MB'!$D$7:$D$37,FALSE),MATCH(PROSPECT!N$11,'Enter (Vac BFs TrCl MB'!$F$6:$AU$6,FALSE))))</f>
        <v/>
      </c>
      <c r="O7" s="150" t="str">
        <f>IF(ISERROR(INDEX('Enter (Vac BFs TrCl MB'!$F$7:$AU$37,MATCH(PROSPECT!$B7,'Enter (Vac BFs TrCl MB'!$D$7:$D$37,FALSE),MATCH(PROSPECT!O$11,'Enter (Vac BFs TrCl MB'!$F$6:$AU$6,FALSE))),"",(INDEX('Enter (Vac BFs TrCl MB'!$F$7:$AU$37,MATCH(PROSPECT!$B7,'Enter (Vac BFs TrCl MB'!$D$7:$D$37,FALSE),MATCH(PROSPECT!O$11,'Enter (Vac BFs TrCl MB'!$F$6:$AU$6,FALSE))))</f>
        <v/>
      </c>
      <c r="P7" s="150" t="str">
        <f>IF(ISERROR(INDEX('Enter (Vac BFs TrCl MB'!$F$7:$AU$37,MATCH(PROSPECT!$B7,'Enter (Vac BFs TrCl MB'!$D$7:$D$37,FALSE),MATCH(PROSPECT!P$11,'Enter (Vac BFs TrCl MB'!$F$6:$AU$6,FALSE))),"",(INDEX('Enter (Vac BFs TrCl MB'!$F$7:$AU$37,MATCH(PROSPECT!$B7,'Enter (Vac BFs TrCl MB'!$D$7:$D$37,FALSE),MATCH(PROSPECT!P$11,'Enter (Vac BFs TrCl MB'!$F$6:$AU$6,FALSE))))</f>
        <v/>
      </c>
      <c r="Q7" s="150" t="str">
        <f>IF(ISERROR(INDEX('Enter (Vac BFs TrCl MB'!$F$7:$AU$37,MATCH(PROSPECT!$B7,'Enter (Vac BFs TrCl MB'!$D$7:$D$37,FALSE),MATCH(PROSPECT!Q$11,'Enter (Vac BFs TrCl MB'!$F$6:$AU$6,FALSE))),"",(INDEX('Enter (Vac BFs TrCl MB'!$F$7:$AU$37,MATCH(PROSPECT!$B7,'Enter (Vac BFs TrCl MB'!$D$7:$D$37,FALSE),MATCH(PROSPECT!Q$11,'Enter (Vac BFs TrCl MB'!$F$6:$AU$6,FALSE))))</f>
        <v/>
      </c>
      <c r="R7" s="151" t="str">
        <f>IF(ISERROR(INDEX('Enter (Vac BFs TrCl MB'!$F$7:$AU$37,MATCH(PROSPECT!$B7,'Enter (Vac BFs TrCl MB'!$D$7:$D$37,FALSE),MATCH(PROSPECT!R$11,'Enter (Vac BFs TrCl MB'!$F$6:$AU$6,FALSE))),"",(INDEX('Enter (Vac BFs TrCl MB'!$F$7:$AU$37,MATCH(PROSPECT!$B7,'Enter (Vac BFs TrCl MB'!$D$7:$D$37,FALSE),MATCH(PROSPECT!R$11,'Enter (Vac BFs TrCl MB'!$F$6:$AU$6,FALSE))))</f>
        <v/>
      </c>
      <c r="S7" s="810"/>
      <c r="T7" s="149" t="str">
        <f>IF('Enter (Vac BFs TrCl MB'!$D32=0,"",'Enter (Vac BFs TrCl MB'!$D32)</f>
        <v/>
      </c>
      <c r="U7" s="150" t="str">
        <f>IF(ISERROR(INDEX('Enter (Vac BFs TrCl MB'!$F$7:$AU$37,MATCH(PROSPECT!$B7,'Enter (Vac BFs TrCl MB'!$D$7:$D$37,FALSE),MATCH(PROSPECT!U$11,'Enter (Vac BFs TrCl MB'!$F$6:$AU$6,FALSE))),"",(INDEX('Enter (Vac BFs TrCl MB'!$F$7:$AU$37,MATCH(PROSPECT!$B7,'Enter (Vac BFs TrCl MB'!$D$7:$D$37,FALSE),MATCH(PROSPECT!U$11,'Enter (Vac BFs TrCl MB'!$F$6:$AU$6,FALSE))))</f>
        <v/>
      </c>
      <c r="V7" s="150" t="str">
        <f>IF(ISERROR(INDEX('Enter (Vac BFs TrCl MB'!$F$7:$AU$37,MATCH(PROSPECT!$B7,'Enter (Vac BFs TrCl MB'!$D$7:$D$37,FALSE),MATCH(PROSPECT!V$11,'Enter (Vac BFs TrCl MB'!$F$6:$AU$6,FALSE))),"",(INDEX('Enter (Vac BFs TrCl MB'!$F$7:$AU$37,MATCH(PROSPECT!$B7,'Enter (Vac BFs TrCl MB'!$D$7:$D$37,FALSE),MATCH(PROSPECT!V$11,'Enter (Vac BFs TrCl MB'!$F$6:$AU$6,FALSE))))</f>
        <v/>
      </c>
      <c r="W7" s="150" t="str">
        <f>IF(ISERROR(INDEX('Enter (Vac BFs TrCl MB'!$F$7:$AU$37,MATCH(PROSPECT!$B7,'Enter (Vac BFs TrCl MB'!$D$7:$D$37,FALSE),MATCH(PROSPECT!W$11,'Enter (Vac BFs TrCl MB'!$F$6:$AU$6,FALSE))),"",(INDEX('Enter (Vac BFs TrCl MB'!$F$7:$AU$37,MATCH(PROSPECT!$B7,'Enter (Vac BFs TrCl MB'!$D$7:$D$37,FALSE),MATCH(PROSPECT!W$11,'Enter (Vac BFs TrCl MB'!$F$6:$AU$6,FALSE))))</f>
        <v/>
      </c>
      <c r="X7" s="150" t="str">
        <f>IF(ISERROR(INDEX('Enter (Vac BFs TrCl MB'!$F$7:$AU$37,MATCH(PROSPECT!$B7,'Enter (Vac BFs TrCl MB'!$D$7:$D$37,FALSE),MATCH(PROSPECT!X$11,'Enter (Vac BFs TrCl MB'!$F$6:$AU$6,FALSE))),"",(INDEX('Enter (Vac BFs TrCl MB'!$F$7:$AU$37,MATCH(PROSPECT!$B7,'Enter (Vac BFs TrCl MB'!$D$7:$D$37,FALSE),MATCH(PROSPECT!X$11,'Enter (Vac BFs TrCl MB'!$F$6:$AU$6,FALSE))))</f>
        <v/>
      </c>
      <c r="Y7" s="150" t="str">
        <f>IF(ISERROR(INDEX('Enter (Vac BFs TrCl MB'!$F$7:$AU$37,MATCH(PROSPECT!$B7,'Enter (Vac BFs TrCl MB'!$D$7:$D$37,FALSE),MATCH(PROSPECT!Y$11,'Enter (Vac BFs TrCl MB'!$F$6:$AU$6,FALSE))),"",(INDEX('Enter (Vac BFs TrCl MB'!$F$7:$AU$37,MATCH(PROSPECT!$B7,'Enter (Vac BFs TrCl MB'!$D$7:$D$37,FALSE),MATCH(PROSPECT!Y$11,'Enter (Vac BFs TrCl MB'!$F$6:$AU$6,FALSE))))</f>
        <v/>
      </c>
      <c r="Z7" s="150" t="str">
        <f>IF(ISERROR(INDEX('Enter (Vac BFs TrCl MB'!$F$7:$AU$37,MATCH(PROSPECT!$B7,'Enter (Vac BFs TrCl MB'!$D$7:$D$37,FALSE),MATCH(PROSPECT!Z$11,'Enter (Vac BFs TrCl MB'!$F$6:$AU$6,FALSE))),"",(INDEX('Enter (Vac BFs TrCl MB'!$F$7:$AU$37,MATCH(PROSPECT!$B7,'Enter (Vac BFs TrCl MB'!$D$7:$D$37,FALSE),MATCH(PROSPECT!Z$11,'Enter (Vac BFs TrCl MB'!$F$6:$AU$6,FALSE))))</f>
        <v/>
      </c>
      <c r="AA7" s="151" t="str">
        <f>IF(ISERROR(INDEX('Enter (Vac BFs TrCl MB'!$F$7:$AU$37,MATCH(PROSPECT!$B7,'Enter (Vac BFs TrCl MB'!$D$7:$D$37,FALSE),MATCH(PROSPECT!AA$11,'Enter (Vac BFs TrCl MB'!$F$6:$AU$6,FALSE))),"",(INDEX('Enter (Vac BFs TrCl MB'!$F$7:$AU$37,MATCH(PROSPECT!$B7,'Enter (Vac BFs TrCl MB'!$D$7:$D$37,FALSE),MATCH(PROSPECT!AA$11,'Enter (Vac BFs TrCl MB'!$F$6:$AU$6,FALSE))))</f>
        <v/>
      </c>
    </row>
    <row r="8" spans="1:27" ht="15.4">
      <c r="B8" s="152" t="str">
        <f>IF('Enter (Vac BFs TrCl MB'!$D33=0,"",'Enter (Vac BFs TrCl MB'!$D33)</f>
        <v>SHAKE</v>
      </c>
      <c r="C8" s="150" t="str">
        <f>IF(ISERROR(INDEX('Enter (Vac BFs TrCl MB'!$E$7:$AU$37,MATCH('5 Weeks Sun Week Start'!$B8,'Enter (Vac BFs TrCl MB'!$D$7:$D$37,FALSE),MATCH('5 Weeks Sun Week Start'!C$11,'Enter (Vac BFs TrCl MB'!$E$6:$AU$6,FALSE))),"",(INDEX('Enter (Vac BFs TrCl MB'!$E$7:$AU$37,MATCH('5 Weeks Sun Week Start'!$B8,'Enter (Vac BFs TrCl MB'!$D$7:$D$37,FALSE),MATCH('5 Weeks Sun Week Start'!C$11,'Enter (Vac BFs TrCl MB'!$E$6:$AU$6,FALSE))))</f>
        <v/>
      </c>
      <c r="D8" s="150">
        <f>IF(ISERROR(INDEX('Enter (Vac BFs TrCl MB'!$F$7:$AU$37,MATCH(PROSPECT!$B8,'Enter (Vac BFs TrCl MB'!$D$7:$D$37,FALSE),MATCH(PROSPECT!D$11,'Enter (Vac BFs TrCl MB'!$F$6:$AU$6,FALSE))),"",(INDEX('Enter (Vac BFs TrCl MB'!$F$7:$AU$37,MATCH(PROSPECT!$B8,'Enter (Vac BFs TrCl MB'!$D$7:$D$37,FALSE),MATCH(PROSPECT!D$11,'Enter (Vac BFs TrCl MB'!$F$6:$AU$6,FALSE))))</f>
        <v>0</v>
      </c>
      <c r="E8" s="150">
        <f>IF(ISERROR(INDEX('Enter (Vac BFs TrCl MB'!$F$7:$AU$37,MATCH(PROSPECT!$B8,'Enter (Vac BFs TrCl MB'!$D$7:$D$37,FALSE),MATCH(PROSPECT!E$11,'Enter (Vac BFs TrCl MB'!$F$6:$AU$6,FALSE))),"",(INDEX('Enter (Vac BFs TrCl MB'!$F$7:$AU$37,MATCH(PROSPECT!$B8,'Enter (Vac BFs TrCl MB'!$D$7:$D$37,FALSE),MATCH(PROSPECT!E$11,'Enter (Vac BFs TrCl MB'!$F$6:$AU$6,FALSE))))</f>
        <v>0</v>
      </c>
      <c r="F8" s="150">
        <f>IF(ISERROR(INDEX('Enter (Vac BFs TrCl MB'!$F$7:$AU$37,MATCH(PROSPECT!$B8,'Enter (Vac BFs TrCl MB'!$D$7:$D$37,FALSE),MATCH(PROSPECT!F$11,'Enter (Vac BFs TrCl MB'!$F$6:$AU$6,FALSE))),"",(INDEX('Enter (Vac BFs TrCl MB'!$F$7:$AU$37,MATCH(PROSPECT!$B8,'Enter (Vac BFs TrCl MB'!$D$7:$D$37,FALSE),MATCH(PROSPECT!F$11,'Enter (Vac BFs TrCl MB'!$F$6:$AU$6,FALSE))))</f>
        <v>0</v>
      </c>
      <c r="G8" s="150">
        <f>IF(ISERROR(INDEX('Enter (Vac BFs TrCl MB'!$F$7:$AU$37,MATCH(PROSPECT!$B8,'Enter (Vac BFs TrCl MB'!$D$7:$D$37,FALSE),MATCH(PROSPECT!G$11,'Enter (Vac BFs TrCl MB'!$F$6:$AU$6,FALSE))),"",(INDEX('Enter (Vac BFs TrCl MB'!$F$7:$AU$37,MATCH(PROSPECT!$B8,'Enter (Vac BFs TrCl MB'!$D$7:$D$37,FALSE),MATCH(PROSPECT!G$11,'Enter (Vac BFs TrCl MB'!$F$6:$AU$6,FALSE))))</f>
        <v>0</v>
      </c>
      <c r="H8" s="150">
        <f>IF(ISERROR(INDEX('Enter (Vac BFs TrCl MB'!$F$7:$AU$37,MATCH(PROSPECT!$B8,'Enter (Vac BFs TrCl MB'!$D$7:$D$37,FALSE),MATCH(PROSPECT!H$11,'Enter (Vac BFs TrCl MB'!$F$6:$AU$6,FALSE))),"",(INDEX('Enter (Vac BFs TrCl MB'!$F$7:$AU$37,MATCH(PROSPECT!$B8,'Enter (Vac BFs TrCl MB'!$D$7:$D$37,FALSE),MATCH(PROSPECT!H$11,'Enter (Vac BFs TrCl MB'!$F$6:$AU$6,FALSE))))</f>
        <v>0</v>
      </c>
      <c r="I8" s="151">
        <f>IF(ISERROR(INDEX('Enter (Vac BFs TrCl MB'!$F$7:$AU$37,MATCH(PROSPECT!$B8,'Enter (Vac BFs TrCl MB'!$D$7:$D$37,FALSE),MATCH(PROSPECT!I$11,'Enter (Vac BFs TrCl MB'!$F$6:$AU$6,FALSE))),"",(INDEX('Enter (Vac BFs TrCl MB'!$F$7:$AU$37,MATCH(PROSPECT!$B8,'Enter (Vac BFs TrCl MB'!$D$7:$D$37,FALSE),MATCH(PROSPECT!I$11,'Enter (Vac BFs TrCl MB'!$F$6:$AU$6,FALSE))))</f>
        <v>0</v>
      </c>
      <c r="J8" s="810"/>
      <c r="K8" s="152" t="str">
        <f>IF('Enter (Vac BFs TrCl MB'!$D33=0,"",'Enter (Vac BFs TrCl MB'!$D33)</f>
        <v>SHAKE</v>
      </c>
      <c r="L8" s="150">
        <f>IF(ISERROR(INDEX('Enter (Vac BFs TrCl MB'!$F$7:$AU$37,MATCH(PROSPECT!$B8,'Enter (Vac BFs TrCl MB'!$D$7:$D$37,FALSE),MATCH(PROSPECT!L$11,'Enter (Vac BFs TrCl MB'!$F$6:$AU$6,FALSE))),"",(INDEX('Enter (Vac BFs TrCl MB'!$F$7:$AU$37,MATCH(PROSPECT!$B8,'Enter (Vac BFs TrCl MB'!$D$7:$D$37,FALSE),MATCH(PROSPECT!L$11,'Enter (Vac BFs TrCl MB'!$F$6:$AU$6,FALSE))))</f>
        <v>0</v>
      </c>
      <c r="M8" s="150" t="str">
        <f>IF(ISERROR(INDEX('Enter (Vac BFs TrCl MB'!$F$7:$AU$37,MATCH(PROSPECT!$B8,'Enter (Vac BFs TrCl MB'!$D$7:$D$37,FALSE),MATCH(PROSPECT!M$11,'Enter (Vac BFs TrCl MB'!$F$6:$AU$6,FALSE))),"",(INDEX('Enter (Vac BFs TrCl MB'!$F$7:$AU$37,MATCH(PROSPECT!$B8,'Enter (Vac BFs TrCl MB'!$D$7:$D$37,FALSE),MATCH(PROSPECT!M$11,'Enter (Vac BFs TrCl MB'!$F$6:$AU$6,FALSE))))</f>
        <v>CYC</v>
      </c>
      <c r="N8" s="150">
        <f>IF(ISERROR(INDEX('Enter (Vac BFs TrCl MB'!$F$7:$AU$37,MATCH(PROSPECT!$B8,'Enter (Vac BFs TrCl MB'!$D$7:$D$37,FALSE),MATCH(PROSPECT!N$11,'Enter (Vac BFs TrCl MB'!$F$6:$AU$6,FALSE))),"",(INDEX('Enter (Vac BFs TrCl MB'!$F$7:$AU$37,MATCH(PROSPECT!$B8,'Enter (Vac BFs TrCl MB'!$D$7:$D$37,FALSE),MATCH(PROSPECT!N$11,'Enter (Vac BFs TrCl MB'!$F$6:$AU$6,FALSE))))</f>
        <v>0</v>
      </c>
      <c r="O8" s="150">
        <f>IF(ISERROR(INDEX('Enter (Vac BFs TrCl MB'!$F$7:$AU$37,MATCH(PROSPECT!$B8,'Enter (Vac BFs TrCl MB'!$D$7:$D$37,FALSE),MATCH(PROSPECT!O$11,'Enter (Vac BFs TrCl MB'!$F$6:$AU$6,FALSE))),"",(INDEX('Enter (Vac BFs TrCl MB'!$F$7:$AU$37,MATCH(PROSPECT!$B8,'Enter (Vac BFs TrCl MB'!$D$7:$D$37,FALSE),MATCH(PROSPECT!O$11,'Enter (Vac BFs TrCl MB'!$F$6:$AU$6,FALSE))))</f>
        <v>0</v>
      </c>
      <c r="P8" s="150" t="str">
        <f>IF(ISERROR(INDEX('Enter (Vac BFs TrCl MB'!$F$7:$AU$37,MATCH(PROSPECT!$B8,'Enter (Vac BFs TrCl MB'!$D$7:$D$37,FALSE),MATCH(PROSPECT!P$11,'Enter (Vac BFs TrCl MB'!$F$6:$AU$6,FALSE))),"",(INDEX('Enter (Vac BFs TrCl MB'!$F$7:$AU$37,MATCH(PROSPECT!$B8,'Enter (Vac BFs TrCl MB'!$D$7:$D$37,FALSE),MATCH(PROSPECT!P$11,'Enter (Vac BFs TrCl MB'!$F$6:$AU$6,FALSE))))</f>
        <v>QTR</v>
      </c>
      <c r="Q8" s="150" t="str">
        <f>IF(ISERROR(INDEX('Enter (Vac BFs TrCl MB'!$F$7:$AU$37,MATCH(PROSPECT!$B8,'Enter (Vac BFs TrCl MB'!$D$7:$D$37,FALSE),MATCH(PROSPECT!Q$11,'Enter (Vac BFs TrCl MB'!$F$6:$AU$6,FALSE))),"",(INDEX('Enter (Vac BFs TrCl MB'!$F$7:$AU$37,MATCH(PROSPECT!$B8,'Enter (Vac BFs TrCl MB'!$D$7:$D$37,FALSE),MATCH(PROSPECT!Q$11,'Enter (Vac BFs TrCl MB'!$F$6:$AU$6,FALSE))))</f>
        <v>CYC</v>
      </c>
      <c r="R8" s="151">
        <f>IF(ISERROR(INDEX('Enter (Vac BFs TrCl MB'!$F$7:$AU$37,MATCH(PROSPECT!$B8,'Enter (Vac BFs TrCl MB'!$D$7:$D$37,FALSE),MATCH(PROSPECT!R$11,'Enter (Vac BFs TrCl MB'!$F$6:$AU$6,FALSE))),"",(INDEX('Enter (Vac BFs TrCl MB'!$F$7:$AU$37,MATCH(PROSPECT!$B8,'Enter (Vac BFs TrCl MB'!$D$7:$D$37,FALSE),MATCH(PROSPECT!R$11,'Enter (Vac BFs TrCl MB'!$F$6:$AU$6,FALSE))))</f>
        <v>0</v>
      </c>
      <c r="S8" s="810"/>
      <c r="T8" s="152" t="str">
        <f>IF('Enter (Vac BFs TrCl MB'!$D33=0,"",'Enter (Vac BFs TrCl MB'!$D33)</f>
        <v>SHAKE</v>
      </c>
      <c r="U8" s="150">
        <f>IF(ISERROR(INDEX('Enter (Vac BFs TrCl MB'!$F$7:$AU$37,MATCH(PROSPECT!$B8,'Enter (Vac BFs TrCl MB'!$D$7:$D$37,FALSE),MATCH(PROSPECT!U$11,'Enter (Vac BFs TrCl MB'!$F$6:$AU$6,FALSE))),"",(INDEX('Enter (Vac BFs TrCl MB'!$F$7:$AU$37,MATCH(PROSPECT!$B8,'Enter (Vac BFs TrCl MB'!$D$7:$D$37,FALSE),MATCH(PROSPECT!U$11,'Enter (Vac BFs TrCl MB'!$F$6:$AU$6,FALSE))))</f>
        <v>0</v>
      </c>
      <c r="V8" s="150">
        <f>IF(ISERROR(INDEX('Enter (Vac BFs TrCl MB'!$F$7:$AU$37,MATCH(PROSPECT!$B8,'Enter (Vac BFs TrCl MB'!$D$7:$D$37,FALSE),MATCH(PROSPECT!V$11,'Enter (Vac BFs TrCl MB'!$F$6:$AU$6,FALSE))),"",(INDEX('Enter (Vac BFs TrCl MB'!$F$7:$AU$37,MATCH(PROSPECT!$B8,'Enter (Vac BFs TrCl MB'!$D$7:$D$37,FALSE),MATCH(PROSPECT!V$11,'Enter (Vac BFs TrCl MB'!$F$6:$AU$6,FALSE))))</f>
        <v>0</v>
      </c>
      <c r="W8" s="150">
        <f>IF(ISERROR(INDEX('Enter (Vac BFs TrCl MB'!$F$7:$AU$37,MATCH(PROSPECT!$B8,'Enter (Vac BFs TrCl MB'!$D$7:$D$37,FALSE),MATCH(PROSPECT!W$11,'Enter (Vac BFs TrCl MB'!$F$6:$AU$6,FALSE))),"",(INDEX('Enter (Vac BFs TrCl MB'!$F$7:$AU$37,MATCH(PROSPECT!$B8,'Enter (Vac BFs TrCl MB'!$D$7:$D$37,FALSE),MATCH(PROSPECT!W$11,'Enter (Vac BFs TrCl MB'!$F$6:$AU$6,FALSE))))</f>
        <v>0</v>
      </c>
      <c r="X8" s="150">
        <f>IF(ISERROR(INDEX('Enter (Vac BFs TrCl MB'!$F$7:$AU$37,MATCH(PROSPECT!$B8,'Enter (Vac BFs TrCl MB'!$D$7:$D$37,FALSE),MATCH(PROSPECT!X$11,'Enter (Vac BFs TrCl MB'!$F$6:$AU$6,FALSE))),"",(INDEX('Enter (Vac BFs TrCl MB'!$F$7:$AU$37,MATCH(PROSPECT!$B8,'Enter (Vac BFs TrCl MB'!$D$7:$D$37,FALSE),MATCH(PROSPECT!X$11,'Enter (Vac BFs TrCl MB'!$F$6:$AU$6,FALSE))))</f>
        <v>0</v>
      </c>
      <c r="Y8" s="150">
        <f>IF(ISERROR(INDEX('Enter (Vac BFs TrCl MB'!$F$7:$AU$37,MATCH(PROSPECT!$B8,'Enter (Vac BFs TrCl MB'!$D$7:$D$37,FALSE),MATCH(PROSPECT!Y$11,'Enter (Vac BFs TrCl MB'!$F$6:$AU$6,FALSE))),"",(INDEX('Enter (Vac BFs TrCl MB'!$F$7:$AU$37,MATCH(PROSPECT!$B8,'Enter (Vac BFs TrCl MB'!$D$7:$D$37,FALSE),MATCH(PROSPECT!Y$11,'Enter (Vac BFs TrCl MB'!$F$6:$AU$6,FALSE))))</f>
        <v>0</v>
      </c>
      <c r="Z8" s="150">
        <f>IF(ISERROR(INDEX('Enter (Vac BFs TrCl MB'!$F$7:$AU$37,MATCH(PROSPECT!$B8,'Enter (Vac BFs TrCl MB'!$D$7:$D$37,FALSE),MATCH(PROSPECT!Z$11,'Enter (Vac BFs TrCl MB'!$F$6:$AU$6,FALSE))),"",(INDEX('Enter (Vac BFs TrCl MB'!$F$7:$AU$37,MATCH(PROSPECT!$B8,'Enter (Vac BFs TrCl MB'!$D$7:$D$37,FALSE),MATCH(PROSPECT!Z$11,'Enter (Vac BFs TrCl MB'!$F$6:$AU$6,FALSE))))</f>
        <v>0</v>
      </c>
      <c r="AA8" s="151">
        <f>IF(ISERROR(INDEX('Enter (Vac BFs TrCl MB'!$F$7:$AU$37,MATCH(PROSPECT!$B8,'Enter (Vac BFs TrCl MB'!$D$7:$D$37,FALSE),MATCH(PROSPECT!AA$11,'Enter (Vac BFs TrCl MB'!$F$6:$AU$6,FALSE))),"",(INDEX('Enter (Vac BFs TrCl MB'!$F$7:$AU$37,MATCH(PROSPECT!$B8,'Enter (Vac BFs TrCl MB'!$D$7:$D$37,FALSE),MATCH(PROSPECT!AA$11,'Enter (Vac BFs TrCl MB'!$F$6:$AU$6,FALSE))))</f>
        <v>0</v>
      </c>
    </row>
    <row r="9" spans="1:27" ht="15.4">
      <c r="B9" s="157" t="str">
        <f>IF('Enter Projections'!$A$1,"$ prévus","Projected $" )</f>
        <v>Projected $</v>
      </c>
      <c r="C9" s="158" t="str">
        <f>Planner!F$23</f>
        <v/>
      </c>
      <c r="D9" s="158" t="str">
        <f>Planner!G$23</f>
        <v/>
      </c>
      <c r="E9" s="158" t="str">
        <f>Planner!H$23</f>
        <v/>
      </c>
      <c r="F9" s="158" t="str">
        <f>Planner!I$23</f>
        <v/>
      </c>
      <c r="G9" s="158" t="str">
        <f>Planner!J$23</f>
        <v/>
      </c>
      <c r="H9" s="158" t="str">
        <f>Planner!K$23</f>
        <v/>
      </c>
      <c r="I9" s="158" t="str">
        <f>Planner!E$35</f>
        <v/>
      </c>
      <c r="J9" s="810"/>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8" t="str">
        <f>Planner!K$35</f>
        <v/>
      </c>
      <c r="S9" s="810"/>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8" t="str">
        <f>Planner!K$47</f>
        <v/>
      </c>
    </row>
    <row r="10" spans="1:27" ht="15.4">
      <c r="B10" s="157" t="str">
        <f>IF('Enter Projections'!$A$1,"NC","G.C.")</f>
        <v>G.C.</v>
      </c>
      <c r="C10" s="160" t="str">
        <f>Planner!F$24</f>
        <v/>
      </c>
      <c r="D10" s="160" t="str">
        <f>Planner!G$24</f>
        <v/>
      </c>
      <c r="E10" s="160" t="str">
        <f>Planner!H$24</f>
        <v/>
      </c>
      <c r="F10" s="160" t="str">
        <f>Planner!I$24</f>
        <v/>
      </c>
      <c r="G10" s="160" t="str">
        <f>Planner!J$24</f>
        <v/>
      </c>
      <c r="H10" s="160" t="str">
        <f>Planner!K$24</f>
        <v/>
      </c>
      <c r="I10" s="160" t="str">
        <f>Planner!E$36</f>
        <v/>
      </c>
      <c r="J10" s="810"/>
      <c r="K10" s="157" t="str">
        <f>IF('Enter Projections'!$A$1,"NC","G.C.")</f>
        <v>G.C.</v>
      </c>
      <c r="L10" s="158" t="str">
        <f>Planner!E$36</f>
        <v/>
      </c>
      <c r="M10" s="158" t="str">
        <f>Planner!F$36</f>
        <v/>
      </c>
      <c r="N10" s="158" t="str">
        <f>Planner!G$36</f>
        <v/>
      </c>
      <c r="O10" s="158" t="str">
        <f>Planner!H$36</f>
        <v/>
      </c>
      <c r="P10" s="158" t="str">
        <f>Planner!I$36</f>
        <v/>
      </c>
      <c r="Q10" s="158" t="str">
        <f>Planner!J$36</f>
        <v/>
      </c>
      <c r="R10" s="158" t="str">
        <f>Planner!K$36</f>
        <v/>
      </c>
      <c r="S10" s="810"/>
      <c r="T10" s="166" t="str">
        <f>IF($A$1,"NC","G.C.")</f>
        <v>G.C.</v>
      </c>
      <c r="U10" s="158" t="str">
        <f>Planner!E$48</f>
        <v/>
      </c>
      <c r="V10" s="158" t="str">
        <f>Planner!F$48</f>
        <v/>
      </c>
      <c r="W10" s="158" t="str">
        <f>Planner!G$48</f>
        <v/>
      </c>
      <c r="X10" s="158" t="str">
        <f>Planner!H$48</f>
        <v/>
      </c>
      <c r="Y10" s="158" t="str">
        <f>Planner!I$48</f>
        <v/>
      </c>
      <c r="Z10" s="158" t="str">
        <f>Planner!J$48</f>
        <v/>
      </c>
      <c r="AA10" s="158" t="str">
        <f>Planner!K$48</f>
        <v/>
      </c>
    </row>
    <row r="11" spans="1:27" ht="15.4">
      <c r="B11" s="157" t="s">
        <v>32</v>
      </c>
      <c r="C11" s="163">
        <v>45256</v>
      </c>
      <c r="D11" s="163">
        <v>45257</v>
      </c>
      <c r="E11" s="163">
        <v>45258</v>
      </c>
      <c r="F11" s="163">
        <v>45259</v>
      </c>
      <c r="G11" s="163">
        <v>45260</v>
      </c>
      <c r="H11" s="163">
        <v>45261</v>
      </c>
      <c r="I11" s="163">
        <v>45262</v>
      </c>
      <c r="J11" s="810"/>
      <c r="K11" s="157" t="s">
        <v>32</v>
      </c>
      <c r="L11" s="163">
        <v>45264</v>
      </c>
      <c r="M11" s="163">
        <v>45265</v>
      </c>
      <c r="N11" s="163">
        <v>45266</v>
      </c>
      <c r="O11" s="163">
        <v>45267</v>
      </c>
      <c r="P11" s="163">
        <v>45268</v>
      </c>
      <c r="Q11" s="163">
        <v>45269</v>
      </c>
      <c r="R11" s="163">
        <v>45270</v>
      </c>
      <c r="S11" s="810"/>
      <c r="T11" s="167" t="s">
        <v>32</v>
      </c>
      <c r="U11" s="163">
        <v>45271</v>
      </c>
      <c r="V11" s="163">
        <v>45272</v>
      </c>
      <c r="W11" s="163">
        <v>45273</v>
      </c>
      <c r="X11" s="163">
        <v>45274</v>
      </c>
      <c r="Y11" s="163">
        <v>45275</v>
      </c>
      <c r="Z11" s="163">
        <v>45276</v>
      </c>
      <c r="AA11" s="163">
        <v>45277</v>
      </c>
    </row>
    <row r="12" spans="1:27" ht="15.4">
      <c r="B12" s="157" t="str">
        <f>IF('Enter Projections'!$A$1,"Nom","Name")</f>
        <v>Name</v>
      </c>
      <c r="C12" s="164" t="str">
        <f>IF('Enter Projections'!$A$1,"DIM","SUN")</f>
        <v>SUN</v>
      </c>
      <c r="D12" s="164" t="str">
        <f>IF('Enter Projections'!$A$1,"LUN","MON")</f>
        <v>MON</v>
      </c>
      <c r="E12" s="164" t="str">
        <f>IF('Enter Projections'!$A$1,"MAR","TUE")</f>
        <v>TUE</v>
      </c>
      <c r="F12" s="164" t="str">
        <f>IF('Enter Projections'!$A$1,"MER","WED")</f>
        <v>WED</v>
      </c>
      <c r="G12" s="164" t="str">
        <f>IF('Enter Projections'!$A$1,"JEU","THU")</f>
        <v>THU</v>
      </c>
      <c r="H12" s="164" t="str">
        <f>IF('Enter Projections'!$A$1,"VEN","FRI")</f>
        <v>FRI</v>
      </c>
      <c r="I12" s="165" t="str">
        <f>IF('Enter Projections'!$A$1,"SAM","SAT")</f>
        <v>SAT</v>
      </c>
      <c r="J12" s="810"/>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10"/>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tr">
        <f>IF('Enter (Vac BFs TrCl MB'!$D7=0,"",'Enter (Vac BFs TrCl MB'!$D7)</f>
        <v>Brittney</v>
      </c>
      <c r="C13" s="153" t="s">
        <v>43</v>
      </c>
      <c r="D13" s="153">
        <f>IF(ISERROR(INDEX('Enter (Vac BFs TrCl MB'!$F$7:$AU$37,MATCH(PROSPECT!$B13,'Enter (Vac BFs TrCl MB'!$D$7:$D$37,FALSE),MATCH(PROSPECT!D$11,'Enter (Vac BFs TrCl MB'!$F$6:$AU$6,FALSE))),"",(INDEX('Enter (Vac BFs TrCl MB'!$F$7:$AU$37,MATCH(PROSPECT!$B13,'Enter (Vac BFs TrCl MB'!$D$7:$D$37,FALSE),MATCH(PROSPECT!D$11,'Enter (Vac BFs TrCl MB'!$F$6:$AU$6,FALSE))))</f>
        <v>0</v>
      </c>
      <c r="E13" s="153">
        <f>IF(ISERROR(INDEX('Enter (Vac BFs TrCl MB'!$F$7:$AU$37,MATCH(PROSPECT!$B13,'Enter (Vac BFs TrCl MB'!$D$7:$D$37,FALSE),MATCH(PROSPECT!E$11,'Enter (Vac BFs TrCl MB'!$F$6:$AU$6,FALSE))),"",(INDEX('Enter (Vac BFs TrCl MB'!$F$7:$AU$37,MATCH(PROSPECT!$B13,'Enter (Vac BFs TrCl MB'!$D$7:$D$37,FALSE),MATCH(PROSPECT!E$11,'Enter (Vac BFs TrCl MB'!$F$6:$AU$6,FALSE))))</f>
        <v>0</v>
      </c>
      <c r="F13" s="153">
        <f>IF(ISERROR(INDEX('Enter (Vac BFs TrCl MB'!$F$7:$AU$37,MATCH(PROSPECT!$B13,'Enter (Vac BFs TrCl MB'!$D$7:$D$37,FALSE),MATCH(PROSPECT!F$11,'Enter (Vac BFs TrCl MB'!$F$6:$AU$6,FALSE))),"",(INDEX('Enter (Vac BFs TrCl MB'!$F$7:$AU$37,MATCH(PROSPECT!$B13,'Enter (Vac BFs TrCl MB'!$D$7:$D$37,FALSE),MATCH(PROSPECT!F$11,'Enter (Vac BFs TrCl MB'!$F$6:$AU$6,FALSE))))</f>
        <v>0</v>
      </c>
      <c r="G13" s="153">
        <f>IF(ISERROR(INDEX('Enter (Vac BFs TrCl MB'!$F$7:$AU$37,MATCH(PROSPECT!$B13,'Enter (Vac BFs TrCl MB'!$D$7:$D$37,FALSE),MATCH(PROSPECT!G$11,'Enter (Vac BFs TrCl MB'!$F$6:$AU$6,FALSE))),"",(INDEX('Enter (Vac BFs TrCl MB'!$F$7:$AU$37,MATCH(PROSPECT!$B13,'Enter (Vac BFs TrCl MB'!$D$7:$D$37,FALSE),MATCH(PROSPECT!G$11,'Enter (Vac BFs TrCl MB'!$F$6:$AU$6,FALSE))))</f>
        <v>0</v>
      </c>
      <c r="H13" s="153">
        <f>IF(ISERROR(INDEX('Enter (Vac BFs TrCl MB'!$F$7:$AU$37,MATCH(PROSPECT!$B13,'Enter (Vac BFs TrCl MB'!$D$7:$D$37,FALSE),MATCH(PROSPECT!H$11,'Enter (Vac BFs TrCl MB'!$F$6:$AU$6,FALSE))),"",(INDEX('Enter (Vac BFs TrCl MB'!$F$7:$AU$37,MATCH(PROSPECT!$B13,'Enter (Vac BFs TrCl MB'!$D$7:$D$37,FALSE),MATCH(PROSPECT!H$11,'Enter (Vac BFs TrCl MB'!$F$6:$AU$6,FALSE))))</f>
        <v>0</v>
      </c>
      <c r="I13" s="154">
        <f>IF(ISERROR(INDEX('Enter (Vac BFs TrCl MB'!$F$7:$AU$37,MATCH(PROSPECT!$B13,'Enter (Vac BFs TrCl MB'!$D$7:$D$37,FALSE),MATCH(PROSPECT!I$11,'Enter (Vac BFs TrCl MB'!$F$6:$AU$6,FALSE))),"",(INDEX('Enter (Vac BFs TrCl MB'!$F$7:$AU$37,MATCH(PROSPECT!$B13,'Enter (Vac BFs TrCl MB'!$D$7:$D$37,FALSE),MATCH(PROSPECT!I$11,'Enter (Vac BFs TrCl MB'!$F$6:$AU$6,FALSE))))</f>
        <v>0</v>
      </c>
      <c r="J13" s="810"/>
      <c r="K13" s="111" t="str">
        <f>IF('Enter (Vac BFs TrCl MB'!$D7=0,"",'Enter (Vac BFs TrCl MB'!$D7)</f>
        <v>Brittney</v>
      </c>
      <c r="L13" s="288">
        <f>IF(ISERROR(INDEX('Enter (Vac BFs TrCl MB'!$F$7:$AU$37,MATCH(PROSPECT!$B13,'Enter (Vac BFs TrCl MB'!$D$7:$D$37,FALSE),MATCH(PROSPECT!L$11,'Enter (Vac BFs TrCl MB'!$F$6:$AU$6,FALSE))),"",(INDEX('Enter (Vac BFs TrCl MB'!$F$7:$AU$37,MATCH(PROSPECT!$B13,'Enter (Vac BFs TrCl MB'!$D$7:$D$37,FALSE),MATCH(PROSPECT!L$11,'Enter (Vac BFs TrCl MB'!$F$6:$AU$6,FALSE))))</f>
        <v>0</v>
      </c>
      <c r="M13" s="153">
        <f>IF(ISERROR(INDEX('Enter (Vac BFs TrCl MB'!$F$7:$AU$37,MATCH(PROSPECT!$B13,'Enter (Vac BFs TrCl MB'!$D$7:$D$37,FALSE),MATCH(PROSPECT!M$11,'Enter (Vac BFs TrCl MB'!$F$6:$AU$6,FALSE))),"",(INDEX('Enter (Vac BFs TrCl MB'!$F$7:$AU$37,MATCH(PROSPECT!$B13,'Enter (Vac BFs TrCl MB'!$D$7:$D$37,FALSE),MATCH(PROSPECT!M$11,'Enter (Vac BFs TrCl MB'!$F$6:$AU$6,FALSE))))</f>
        <v>0</v>
      </c>
      <c r="N13" s="153">
        <f>IF(ISERROR(INDEX('Enter (Vac BFs TrCl MB'!$F$7:$AU$37,MATCH(PROSPECT!$B13,'Enter (Vac BFs TrCl MB'!$D$7:$D$37,FALSE),MATCH(PROSPECT!N$11,'Enter (Vac BFs TrCl MB'!$F$6:$AU$6,FALSE))),"",(INDEX('Enter (Vac BFs TrCl MB'!$F$7:$AU$37,MATCH(PROSPECT!$B13,'Enter (Vac BFs TrCl MB'!$D$7:$D$37,FALSE),MATCH(PROSPECT!N$11,'Enter (Vac BFs TrCl MB'!$F$6:$AU$6,FALSE))))</f>
        <v>0</v>
      </c>
      <c r="O13" s="153">
        <f>IF(ISERROR(INDEX('Enter (Vac BFs TrCl MB'!$F$7:$AU$37,MATCH(PROSPECT!$B13,'Enter (Vac BFs TrCl MB'!$D$7:$D$37,FALSE),MATCH(PROSPECT!O$11,'Enter (Vac BFs TrCl MB'!$F$6:$AU$6,FALSE))),"",(INDEX('Enter (Vac BFs TrCl MB'!$F$7:$AU$37,MATCH(PROSPECT!$B13,'Enter (Vac BFs TrCl MB'!$D$7:$D$37,FALSE),MATCH(PROSPECT!O$11,'Enter (Vac BFs TrCl MB'!$F$6:$AU$6,FALSE))))</f>
        <v>0</v>
      </c>
      <c r="P13" s="153">
        <f>IF(ISERROR(INDEX('Enter (Vac BFs TrCl MB'!$F$7:$AU$37,MATCH(PROSPECT!$B13,'Enter (Vac BFs TrCl MB'!$D$7:$D$37,FALSE),MATCH(PROSPECT!P$11,'Enter (Vac BFs TrCl MB'!$F$6:$AU$6,FALSE))),"",(INDEX('Enter (Vac BFs TrCl MB'!$F$7:$AU$37,MATCH(PROSPECT!$B13,'Enter (Vac BFs TrCl MB'!$D$7:$D$37,FALSE),MATCH(PROSPECT!P$11,'Enter (Vac BFs TrCl MB'!$F$6:$AU$6,FALSE))))</f>
        <v>0</v>
      </c>
      <c r="Q13" s="153">
        <f>IF(ISERROR(INDEX('Enter (Vac BFs TrCl MB'!$F$7:$AU$37,MATCH(PROSPECT!$B13,'Enter (Vac BFs TrCl MB'!$D$7:$D$37,FALSE),MATCH(PROSPECT!Q$11,'Enter (Vac BFs TrCl MB'!$F$6:$AU$6,FALSE))),"",(INDEX('Enter (Vac BFs TrCl MB'!$F$7:$AU$37,MATCH(PROSPECT!$B13,'Enter (Vac BFs TrCl MB'!$D$7:$D$37,FALSE),MATCH(PROSPECT!Q$11,'Enter (Vac BFs TrCl MB'!$F$6:$AU$6,FALSE))))</f>
        <v>0</v>
      </c>
      <c r="R13" s="154">
        <f>IF(ISERROR(INDEX('Enter (Vac BFs TrCl MB'!$F$7:$AU$37,MATCH(PROSPECT!$B13,'Enter (Vac BFs TrCl MB'!$D$7:$D$37,FALSE),MATCH(PROSPECT!R$11,'Enter (Vac BFs TrCl MB'!$F$6:$AU$6,FALSE))),"",(INDEX('Enter (Vac BFs TrCl MB'!$F$7:$AU$37,MATCH(PROSPECT!$B13,'Enter (Vac BFs TrCl MB'!$D$7:$D$37,FALSE),MATCH(PROSPECT!R$11,'Enter (Vac BFs TrCl MB'!$F$6:$AU$6,FALSE))))</f>
        <v>0</v>
      </c>
      <c r="S13" s="810"/>
      <c r="T13" s="111" t="str">
        <f>IF('Enter (Vac BFs TrCl MB'!$D7=0,"",'Enter (Vac BFs TrCl MB'!$D7)</f>
        <v>Brittney</v>
      </c>
      <c r="U13" s="153">
        <f>IF(ISERROR(INDEX('Enter (Vac BFs TrCl MB'!$F$7:$AU$37,MATCH(PROSPECT!$B13,'Enter (Vac BFs TrCl MB'!$D$7:$D$37,FALSE),MATCH(PROSPECT!U$11,'Enter (Vac BFs TrCl MB'!$F$6:$AU$6,FALSE))),"",(INDEX('Enter (Vac BFs TrCl MB'!$F$7:$AU$37,MATCH(PROSPECT!$B13,'Enter (Vac BFs TrCl MB'!$D$7:$D$37,FALSE),MATCH(PROSPECT!U$11,'Enter (Vac BFs TrCl MB'!$F$6:$AU$6,FALSE))))</f>
        <v>0</v>
      </c>
      <c r="V13" s="153">
        <f>IF(ISERROR(INDEX('Enter (Vac BFs TrCl MB'!$F$7:$AU$37,MATCH(PROSPECT!$B13,'Enter (Vac BFs TrCl MB'!$D$7:$D$37,FALSE),MATCH(PROSPECT!V$11,'Enter (Vac BFs TrCl MB'!$F$6:$AU$6,FALSE))),"",(INDEX('Enter (Vac BFs TrCl MB'!$F$7:$AU$37,MATCH(PROSPECT!$B13,'Enter (Vac BFs TrCl MB'!$D$7:$D$37,FALSE),MATCH(PROSPECT!V$11,'Enter (Vac BFs TrCl MB'!$F$6:$AU$6,FALSE))))</f>
        <v>0</v>
      </c>
      <c r="W13" s="153">
        <f>IF(ISERROR(INDEX('Enter (Vac BFs TrCl MB'!$F$7:$AU$37,MATCH(PROSPECT!$B13,'Enter (Vac BFs TrCl MB'!$D$7:$D$37,FALSE),MATCH(PROSPECT!W$11,'Enter (Vac BFs TrCl MB'!$F$6:$AU$6,FALSE))),"",(INDEX('Enter (Vac BFs TrCl MB'!$F$7:$AU$37,MATCH(PROSPECT!$B13,'Enter (Vac BFs TrCl MB'!$D$7:$D$37,FALSE),MATCH(PROSPECT!W$11,'Enter (Vac BFs TrCl MB'!$F$6:$AU$6,FALSE))))</f>
        <v>0</v>
      </c>
      <c r="X13" s="153">
        <f>IF(ISERROR(INDEX('Enter (Vac BFs TrCl MB'!$F$7:$AU$37,MATCH(PROSPECT!$B13,'Enter (Vac BFs TrCl MB'!$D$7:$D$37,FALSE),MATCH(PROSPECT!X$11,'Enter (Vac BFs TrCl MB'!$F$6:$AU$6,FALSE))),"",(INDEX('Enter (Vac BFs TrCl MB'!$F$7:$AU$37,MATCH(PROSPECT!$B13,'Enter (Vac BFs TrCl MB'!$D$7:$D$37,FALSE),MATCH(PROSPECT!X$11,'Enter (Vac BFs TrCl MB'!$F$6:$AU$6,FALSE))))</f>
        <v>0</v>
      </c>
      <c r="Y13" s="153">
        <f>IF(ISERROR(INDEX('Enter (Vac BFs TrCl MB'!$F$7:$AU$37,MATCH(PROSPECT!$B13,'Enter (Vac BFs TrCl MB'!$D$7:$D$37,FALSE),MATCH(PROSPECT!Y$11,'Enter (Vac BFs TrCl MB'!$F$6:$AU$6,FALSE))),"",(INDEX('Enter (Vac BFs TrCl MB'!$F$7:$AU$37,MATCH(PROSPECT!$B13,'Enter (Vac BFs TrCl MB'!$D$7:$D$37,FALSE),MATCH(PROSPECT!Y$11,'Enter (Vac BFs TrCl MB'!$F$6:$AU$6,FALSE))))</f>
        <v>0</v>
      </c>
      <c r="Z13" s="153">
        <f>IF(ISERROR(INDEX('Enter (Vac BFs TrCl MB'!$F$7:$AU$37,MATCH(PROSPECT!$B13,'Enter (Vac BFs TrCl MB'!$D$7:$D$37,FALSE),MATCH(PROSPECT!Z$11,'Enter (Vac BFs TrCl MB'!$F$6:$AU$6,FALSE))),"",(INDEX('Enter (Vac BFs TrCl MB'!$F$7:$AU$37,MATCH(PROSPECT!$B13,'Enter (Vac BFs TrCl MB'!$D$7:$D$37,FALSE),MATCH(PROSPECT!Z$11,'Enter (Vac BFs TrCl MB'!$F$6:$AU$6,FALSE))))</f>
        <v>0</v>
      </c>
      <c r="AA13" s="154">
        <f>IF(ISERROR(INDEX('Enter (Vac BFs TrCl MB'!$F$7:$AU$37,MATCH(PROSPECT!$B13,'Enter (Vac BFs TrCl MB'!$D$7:$D$37,FALSE),MATCH(PROSPECT!AA$11,'Enter (Vac BFs TrCl MB'!$F$6:$AU$6,FALSE))),"",(INDEX('Enter (Vac BFs TrCl MB'!$F$7:$AU$37,MATCH(PROSPECT!$B13,'Enter (Vac BFs TrCl MB'!$D$7:$D$37,FALSE),MATCH(PROSPECT!AA$11,'Enter (Vac BFs TrCl MB'!$F$6:$AU$6,FALSE))))</f>
        <v>0</v>
      </c>
    </row>
    <row r="14" spans="1:27" ht="15">
      <c r="B14" s="111" t="str">
        <f>IF('Enter (Vac BFs TrCl MB'!$D8=0,"",'Enter (Vac BFs TrCl MB'!$D8)</f>
        <v>Jayda</v>
      </c>
      <c r="C14" s="153" t="s">
        <v>44</v>
      </c>
      <c r="D14" s="153">
        <f>IF(ISERROR(INDEX('Enter (Vac BFs TrCl MB'!$F$7:$AU$37,MATCH(PROSPECT!$B14,'Enter (Vac BFs TrCl MB'!$D$7:$D$37,FALSE),MATCH(PROSPECT!D$11,'Enter (Vac BFs TrCl MB'!$F$6:$AU$6,FALSE))),"",(INDEX('Enter (Vac BFs TrCl MB'!$F$7:$AU$37,MATCH(PROSPECT!$B14,'Enter (Vac BFs TrCl MB'!$D$7:$D$37,FALSE),MATCH(PROSPECT!D$11,'Enter (Vac BFs TrCl MB'!$F$6:$AU$6,FALSE))))</f>
        <v>0</v>
      </c>
      <c r="E14" s="153">
        <f>IF(ISERROR(INDEX('Enter (Vac BFs TrCl MB'!$F$7:$AU$37,MATCH(PROSPECT!$B14,'Enter (Vac BFs TrCl MB'!$D$7:$D$37,FALSE),MATCH(PROSPECT!E$11,'Enter (Vac BFs TrCl MB'!$F$6:$AU$6,FALSE))),"",(INDEX('Enter (Vac BFs TrCl MB'!$F$7:$AU$37,MATCH(PROSPECT!$B14,'Enter (Vac BFs TrCl MB'!$D$7:$D$37,FALSE),MATCH(PROSPECT!E$11,'Enter (Vac BFs TrCl MB'!$F$6:$AU$6,FALSE))))</f>
        <v>0</v>
      </c>
      <c r="F14" s="153">
        <f>IF(ISERROR(INDEX('Enter (Vac BFs TrCl MB'!$F$7:$AU$37,MATCH(PROSPECT!$B14,'Enter (Vac BFs TrCl MB'!$D$7:$D$37,FALSE),MATCH(PROSPECT!F$11,'Enter (Vac BFs TrCl MB'!$F$6:$AU$6,FALSE))),"",(INDEX('Enter (Vac BFs TrCl MB'!$F$7:$AU$37,MATCH(PROSPECT!$B14,'Enter (Vac BFs TrCl MB'!$D$7:$D$37,FALSE),MATCH(PROSPECT!F$11,'Enter (Vac BFs TrCl MB'!$F$6:$AU$6,FALSE))))</f>
        <v>0</v>
      </c>
      <c r="G14" s="153">
        <f>IF(ISERROR(INDEX('Enter (Vac BFs TrCl MB'!$F$7:$AU$37,MATCH(PROSPECT!$B14,'Enter (Vac BFs TrCl MB'!$D$7:$D$37,FALSE),MATCH(PROSPECT!G$11,'Enter (Vac BFs TrCl MB'!$F$6:$AU$6,FALSE))),"",(INDEX('Enter (Vac BFs TrCl MB'!$F$7:$AU$37,MATCH(PROSPECT!$B14,'Enter (Vac BFs TrCl MB'!$D$7:$D$37,FALSE),MATCH(PROSPECT!G$11,'Enter (Vac BFs TrCl MB'!$F$6:$AU$6,FALSE))))</f>
        <v>0</v>
      </c>
      <c r="H14" s="153">
        <f>IF(ISERROR(INDEX('Enter (Vac BFs TrCl MB'!$F$7:$AU$37,MATCH(PROSPECT!$B14,'Enter (Vac BFs TrCl MB'!$D$7:$D$37,FALSE),MATCH(PROSPECT!H$11,'Enter (Vac BFs TrCl MB'!$F$6:$AU$6,FALSE))),"",(INDEX('Enter (Vac BFs TrCl MB'!$F$7:$AU$37,MATCH(PROSPECT!$B14,'Enter (Vac BFs TrCl MB'!$D$7:$D$37,FALSE),MATCH(PROSPECT!H$11,'Enter (Vac BFs TrCl MB'!$F$6:$AU$6,FALSE))))</f>
        <v>0</v>
      </c>
      <c r="I14" s="154">
        <f>IF(ISERROR(INDEX('Enter (Vac BFs TrCl MB'!$F$7:$AU$37,MATCH(PROSPECT!$B14,'Enter (Vac BFs TrCl MB'!$D$7:$D$37,FALSE),MATCH(PROSPECT!I$11,'Enter (Vac BFs TrCl MB'!$F$6:$AU$6,FALSE))),"",(INDEX('Enter (Vac BFs TrCl MB'!$F$7:$AU$37,MATCH(PROSPECT!$B14,'Enter (Vac BFs TrCl MB'!$D$7:$D$37,FALSE),MATCH(PROSPECT!I$11,'Enter (Vac BFs TrCl MB'!$F$6:$AU$6,FALSE))))</f>
        <v>0</v>
      </c>
      <c r="J14" s="810"/>
      <c r="K14" s="112" t="str">
        <f>IF('Enter (Vac BFs TrCl MB'!$D8=0,"",'Enter (Vac BFs TrCl MB'!$D8)</f>
        <v>Jayda</v>
      </c>
      <c r="L14" s="153" t="str">
        <f>IF(ISERROR(INDEX('Enter (Vac BFs TrCl MB'!$F$7:$AU$37,MATCH(PROSPECT!$B14,'Enter (Vac BFs TrCl MB'!$D$7:$D$37,FALSE),MATCH(PROSPECT!L$11,'Enter (Vac BFs TrCl MB'!$F$6:$AU$6,FALSE))),"",(INDEX('Enter (Vac BFs TrCl MB'!$F$7:$AU$37,MATCH(PROSPECT!$B14,'Enter (Vac BFs TrCl MB'!$D$7:$D$37,FALSE),MATCH(PROSPECT!L$11,'Enter (Vac BFs TrCl MB'!$F$6:$AU$6,FALSE))))</f>
        <v>XX</v>
      </c>
      <c r="M14" s="153">
        <f>IF(ISERROR(INDEX('Enter (Vac BFs TrCl MB'!$F$7:$AU$37,MATCH(PROSPECT!$B14,'Enter (Vac BFs TrCl MB'!$D$7:$D$37,FALSE),MATCH(PROSPECT!M$11,'Enter (Vac BFs TrCl MB'!$F$6:$AU$6,FALSE))),"",(INDEX('Enter (Vac BFs TrCl MB'!$F$7:$AU$37,MATCH(PROSPECT!$B14,'Enter (Vac BFs TrCl MB'!$D$7:$D$37,FALSE),MATCH(PROSPECT!M$11,'Enter (Vac BFs TrCl MB'!$F$6:$AU$6,FALSE))))</f>
        <v>0</v>
      </c>
      <c r="N14" s="153">
        <f>IF(ISERROR(INDEX('Enter (Vac BFs TrCl MB'!$F$7:$AU$37,MATCH(PROSPECT!$B14,'Enter (Vac BFs TrCl MB'!$D$7:$D$37,FALSE),MATCH(PROSPECT!N$11,'Enter (Vac BFs TrCl MB'!$F$6:$AU$6,FALSE))),"",(INDEX('Enter (Vac BFs TrCl MB'!$F$7:$AU$37,MATCH(PROSPECT!$B14,'Enter (Vac BFs TrCl MB'!$D$7:$D$37,FALSE),MATCH(PROSPECT!N$11,'Enter (Vac BFs TrCl MB'!$F$6:$AU$6,FALSE))))</f>
        <v>0</v>
      </c>
      <c r="O14" s="153">
        <f>IF(ISERROR(INDEX('Enter (Vac BFs TrCl MB'!$F$7:$AU$37,MATCH(PROSPECT!$B14,'Enter (Vac BFs TrCl MB'!$D$7:$D$37,FALSE),MATCH(PROSPECT!O$11,'Enter (Vac BFs TrCl MB'!$F$6:$AU$6,FALSE))),"",(INDEX('Enter (Vac BFs TrCl MB'!$F$7:$AU$37,MATCH(PROSPECT!$B14,'Enter (Vac BFs TrCl MB'!$D$7:$D$37,FALSE),MATCH(PROSPECT!O$11,'Enter (Vac BFs TrCl MB'!$F$6:$AU$6,FALSE))))</f>
        <v>0</v>
      </c>
      <c r="P14" s="153">
        <f>IF(ISERROR(INDEX('Enter (Vac BFs TrCl MB'!$F$7:$AU$37,MATCH(PROSPECT!$B14,'Enter (Vac BFs TrCl MB'!$D$7:$D$37,FALSE),MATCH(PROSPECT!P$11,'Enter (Vac BFs TrCl MB'!$F$6:$AU$6,FALSE))),"",(INDEX('Enter (Vac BFs TrCl MB'!$F$7:$AU$37,MATCH(PROSPECT!$B14,'Enter (Vac BFs TrCl MB'!$D$7:$D$37,FALSE),MATCH(PROSPECT!P$11,'Enter (Vac BFs TrCl MB'!$F$6:$AU$6,FALSE))))</f>
        <v>0</v>
      </c>
      <c r="Q14" s="153">
        <f>IF(ISERROR(INDEX('Enter (Vac BFs TrCl MB'!$F$7:$AU$37,MATCH(PROSPECT!$B14,'Enter (Vac BFs TrCl MB'!$D$7:$D$37,FALSE),MATCH(PROSPECT!Q$11,'Enter (Vac BFs TrCl MB'!$F$6:$AU$6,FALSE))),"",(INDEX('Enter (Vac BFs TrCl MB'!$F$7:$AU$37,MATCH(PROSPECT!$B14,'Enter (Vac BFs TrCl MB'!$D$7:$D$37,FALSE),MATCH(PROSPECT!Q$11,'Enter (Vac BFs TrCl MB'!$F$6:$AU$6,FALSE))))</f>
        <v>0</v>
      </c>
      <c r="R14" s="154">
        <f>IF(ISERROR(INDEX('Enter (Vac BFs TrCl MB'!$F$7:$AU$37,MATCH(PROSPECT!$B14,'Enter (Vac BFs TrCl MB'!$D$7:$D$37,FALSE),MATCH(PROSPECT!R$11,'Enter (Vac BFs TrCl MB'!$F$6:$AU$6,FALSE))),"",(INDEX('Enter (Vac BFs TrCl MB'!$F$7:$AU$37,MATCH(PROSPECT!$B14,'Enter (Vac BFs TrCl MB'!$D$7:$D$37,FALSE),MATCH(PROSPECT!R$11,'Enter (Vac BFs TrCl MB'!$F$6:$AU$6,FALSE))))</f>
        <v>0</v>
      </c>
      <c r="S14" s="810"/>
      <c r="T14" s="112" t="str">
        <f>IF('Enter (Vac BFs TrCl MB'!$D8=0,"",'Enter (Vac BFs TrCl MB'!$D8)</f>
        <v>Jayda</v>
      </c>
      <c r="U14" s="153">
        <f>IF(ISERROR(INDEX('Enter (Vac BFs TrCl MB'!$F$7:$AU$37,MATCH(PROSPECT!$B14,'Enter (Vac BFs TrCl MB'!$D$7:$D$37,FALSE),MATCH(PROSPECT!U$11,'Enter (Vac BFs TrCl MB'!$F$6:$AU$6,FALSE))),"",(INDEX('Enter (Vac BFs TrCl MB'!$F$7:$AU$37,MATCH(PROSPECT!$B14,'Enter (Vac BFs TrCl MB'!$D$7:$D$37,FALSE),MATCH(PROSPECT!U$11,'Enter (Vac BFs TrCl MB'!$F$6:$AU$6,FALSE))))</f>
        <v>0</v>
      </c>
      <c r="V14" s="153">
        <f>IF(ISERROR(INDEX('Enter (Vac BFs TrCl MB'!$F$7:$AU$37,MATCH(PROSPECT!$B14,'Enter (Vac BFs TrCl MB'!$D$7:$D$37,FALSE),MATCH(PROSPECT!V$11,'Enter (Vac BFs TrCl MB'!$F$6:$AU$6,FALSE))),"",(INDEX('Enter (Vac BFs TrCl MB'!$F$7:$AU$37,MATCH(PROSPECT!$B14,'Enter (Vac BFs TrCl MB'!$D$7:$D$37,FALSE),MATCH(PROSPECT!V$11,'Enter (Vac BFs TrCl MB'!$F$6:$AU$6,FALSE))))</f>
        <v>0</v>
      </c>
      <c r="W14" s="153">
        <f>IF(ISERROR(INDEX('Enter (Vac BFs TrCl MB'!$F$7:$AU$37,MATCH(PROSPECT!$B14,'Enter (Vac BFs TrCl MB'!$D$7:$D$37,FALSE),MATCH(PROSPECT!W$11,'Enter (Vac BFs TrCl MB'!$F$6:$AU$6,FALSE))),"",(INDEX('Enter (Vac BFs TrCl MB'!$F$7:$AU$37,MATCH(PROSPECT!$B14,'Enter (Vac BFs TrCl MB'!$D$7:$D$37,FALSE),MATCH(PROSPECT!W$11,'Enter (Vac BFs TrCl MB'!$F$6:$AU$6,FALSE))))</f>
        <v>0</v>
      </c>
      <c r="X14" s="153">
        <f>IF(ISERROR(INDEX('Enter (Vac BFs TrCl MB'!$F$7:$AU$37,MATCH(PROSPECT!$B14,'Enter (Vac BFs TrCl MB'!$D$7:$D$37,FALSE),MATCH(PROSPECT!X$11,'Enter (Vac BFs TrCl MB'!$F$6:$AU$6,FALSE))),"",(INDEX('Enter (Vac BFs TrCl MB'!$F$7:$AU$37,MATCH(PROSPECT!$B14,'Enter (Vac BFs TrCl MB'!$D$7:$D$37,FALSE),MATCH(PROSPECT!X$11,'Enter (Vac BFs TrCl MB'!$F$6:$AU$6,FALSE))))</f>
        <v>0</v>
      </c>
      <c r="Y14" s="153">
        <f>IF(ISERROR(INDEX('Enter (Vac BFs TrCl MB'!$F$7:$AU$37,MATCH(PROSPECT!$B14,'Enter (Vac BFs TrCl MB'!$D$7:$D$37,FALSE),MATCH(PROSPECT!Y$11,'Enter (Vac BFs TrCl MB'!$F$6:$AU$6,FALSE))),"",(INDEX('Enter (Vac BFs TrCl MB'!$F$7:$AU$37,MATCH(PROSPECT!$B14,'Enter (Vac BFs TrCl MB'!$D$7:$D$37,FALSE),MATCH(PROSPECT!Y$11,'Enter (Vac BFs TrCl MB'!$F$6:$AU$6,FALSE))))</f>
        <v>0</v>
      </c>
      <c r="Z14" s="153">
        <f>IF(ISERROR(INDEX('Enter (Vac BFs TrCl MB'!$F$7:$AU$37,MATCH(PROSPECT!$B14,'Enter (Vac BFs TrCl MB'!$D$7:$D$37,FALSE),MATCH(PROSPECT!Z$11,'Enter (Vac BFs TrCl MB'!$F$6:$AU$6,FALSE))),"",(INDEX('Enter (Vac BFs TrCl MB'!$F$7:$AU$37,MATCH(PROSPECT!$B14,'Enter (Vac BFs TrCl MB'!$D$7:$D$37,FALSE),MATCH(PROSPECT!Z$11,'Enter (Vac BFs TrCl MB'!$F$6:$AU$6,FALSE))))</f>
        <v>0</v>
      </c>
      <c r="AA14" s="154">
        <f>IF(ISERROR(INDEX('Enter (Vac BFs TrCl MB'!$F$7:$AU$37,MATCH(PROSPECT!$B14,'Enter (Vac BFs TrCl MB'!$D$7:$D$37,FALSE),MATCH(PROSPECT!AA$11,'Enter (Vac BFs TrCl MB'!$F$6:$AU$6,FALSE))),"",(INDEX('Enter (Vac BFs TrCl MB'!$F$7:$AU$37,MATCH(PROSPECT!$B14,'Enter (Vac BFs TrCl MB'!$D$7:$D$37,FALSE),MATCH(PROSPECT!AA$11,'Enter (Vac BFs TrCl MB'!$F$6:$AU$6,FALSE))))</f>
        <v>0</v>
      </c>
    </row>
    <row r="15" spans="1:27" ht="15">
      <c r="B15" s="111" t="str">
        <f>IF('Enter (Vac BFs TrCl MB'!$D9=0,"",'Enter (Vac BFs TrCl MB'!$D9)</f>
        <v>Harkaml</v>
      </c>
      <c r="C15" s="153">
        <f>IF(ISERROR(INDEX('Enter (Vac BFs TrCl MB'!$F$7:$AU$37,MATCH(PROSPECT!$B15,'Enter (Vac BFs TrCl MB'!$D$7:$D$37,FALSE),MATCH(PROSPECT!C$11,'Enter (Vac BFs TrCl MB'!$F$6:$AU$6,FALSE))),"",(INDEX('Enter (Vac BFs TrCl MB'!$F$7:$AU$37,MATCH(PROSPECT!$B15,'Enter (Vac BFs TrCl MB'!$D$7:$D$37,FALSE),MATCH(PROSPECT!C$11,'Enter (Vac BFs TrCl MB'!$F$6:$AU$6,FALSE))))</f>
        <v>0</v>
      </c>
      <c r="D15" s="153">
        <f>IF(ISERROR(INDEX('Enter (Vac BFs TrCl MB'!$F$7:$AU$37,MATCH(PROSPECT!$B15,'Enter (Vac BFs TrCl MB'!$D$7:$D$37,FALSE),MATCH(PROSPECT!D$11,'Enter (Vac BFs TrCl MB'!$F$6:$AU$6,FALSE))),"",(INDEX('Enter (Vac BFs TrCl MB'!$F$7:$AU$37,MATCH(PROSPECT!$B15,'Enter (Vac BFs TrCl MB'!$D$7:$D$37,FALSE),MATCH(PROSPECT!D$11,'Enter (Vac BFs TrCl MB'!$F$6:$AU$6,FALSE))))</f>
        <v>0</v>
      </c>
      <c r="E15" s="153">
        <f>IF(ISERROR(INDEX('Enter (Vac BFs TrCl MB'!$F$7:$AU$37,MATCH(PROSPECT!$B15,'Enter (Vac BFs TrCl MB'!$D$7:$D$37,FALSE),MATCH(PROSPECT!E$11,'Enter (Vac BFs TrCl MB'!$F$6:$AU$6,FALSE))),"",(INDEX('Enter (Vac BFs TrCl MB'!$F$7:$AU$37,MATCH(PROSPECT!$B15,'Enter (Vac BFs TrCl MB'!$D$7:$D$37,FALSE),MATCH(PROSPECT!E$11,'Enter (Vac BFs TrCl MB'!$F$6:$AU$6,FALSE))))</f>
        <v>0</v>
      </c>
      <c r="F15" s="153">
        <f>IF(ISERROR(INDEX('Enter (Vac BFs TrCl MB'!$F$7:$AU$37,MATCH(PROSPECT!$B15,'Enter (Vac BFs TrCl MB'!$D$7:$D$37,FALSE),MATCH(PROSPECT!F$11,'Enter (Vac BFs TrCl MB'!$F$6:$AU$6,FALSE))),"",(INDEX('Enter (Vac BFs TrCl MB'!$F$7:$AU$37,MATCH(PROSPECT!$B15,'Enter (Vac BFs TrCl MB'!$D$7:$D$37,FALSE),MATCH(PROSPECT!F$11,'Enter (Vac BFs TrCl MB'!$F$6:$AU$6,FALSE))))</f>
        <v>0</v>
      </c>
      <c r="G15" s="153">
        <f>IF(ISERROR(INDEX('Enter (Vac BFs TrCl MB'!$F$7:$AU$37,MATCH(PROSPECT!$B15,'Enter (Vac BFs TrCl MB'!$D$7:$D$37,FALSE),MATCH(PROSPECT!G$11,'Enter (Vac BFs TrCl MB'!$F$6:$AU$6,FALSE))),"",(INDEX('Enter (Vac BFs TrCl MB'!$F$7:$AU$37,MATCH(PROSPECT!$B15,'Enter (Vac BFs TrCl MB'!$D$7:$D$37,FALSE),MATCH(PROSPECT!G$11,'Enter (Vac BFs TrCl MB'!$F$6:$AU$6,FALSE))))</f>
        <v>0</v>
      </c>
      <c r="H15" s="153">
        <f>IF(ISERROR(INDEX('Enter (Vac BFs TrCl MB'!$F$7:$AU$37,MATCH(PROSPECT!$B15,'Enter (Vac BFs TrCl MB'!$D$7:$D$37,FALSE),MATCH(PROSPECT!H$11,'Enter (Vac BFs TrCl MB'!$F$6:$AU$6,FALSE))),"",(INDEX('Enter (Vac BFs TrCl MB'!$F$7:$AU$37,MATCH(PROSPECT!$B15,'Enter (Vac BFs TrCl MB'!$D$7:$D$37,FALSE),MATCH(PROSPECT!H$11,'Enter (Vac BFs TrCl MB'!$F$6:$AU$6,FALSE))))</f>
        <v>0</v>
      </c>
      <c r="I15" s="154">
        <f>IF(ISERROR(INDEX('Enter (Vac BFs TrCl MB'!$F$7:$AU$37,MATCH(PROSPECT!$B15,'Enter (Vac BFs TrCl MB'!$D$7:$D$37,FALSE),MATCH(PROSPECT!I$11,'Enter (Vac BFs TrCl MB'!$F$6:$AU$6,FALSE))),"",(INDEX('Enter (Vac BFs TrCl MB'!$F$7:$AU$37,MATCH(PROSPECT!$B15,'Enter (Vac BFs TrCl MB'!$D$7:$D$37,FALSE),MATCH(PROSPECT!I$11,'Enter (Vac BFs TrCl MB'!$F$6:$AU$6,FALSE))))</f>
        <v>0</v>
      </c>
      <c r="J15" s="810"/>
      <c r="K15" s="112" t="str">
        <f>IF('Enter (Vac BFs TrCl MB'!$D9=0,"",'Enter (Vac BFs TrCl MB'!$D9)</f>
        <v>Harkaml</v>
      </c>
      <c r="L15" s="153">
        <f>IF(ISERROR(INDEX('Enter (Vac BFs TrCl MB'!$F$7:$AU$37,MATCH(PROSPECT!$B15,'Enter (Vac BFs TrCl MB'!$D$7:$D$37,FALSE),MATCH(PROSPECT!L$11,'Enter (Vac BFs TrCl MB'!$F$6:$AU$6,FALSE))),"",(INDEX('Enter (Vac BFs TrCl MB'!$F$7:$AU$37,MATCH(PROSPECT!$B15,'Enter (Vac BFs TrCl MB'!$D$7:$D$37,FALSE),MATCH(PROSPECT!L$11,'Enter (Vac BFs TrCl MB'!$F$6:$AU$6,FALSE))))</f>
        <v>0</v>
      </c>
      <c r="M15" s="153">
        <f>IF(ISERROR(INDEX('Enter (Vac BFs TrCl MB'!$F$7:$AU$37,MATCH(PROSPECT!$B15,'Enter (Vac BFs TrCl MB'!$D$7:$D$37,FALSE),MATCH(PROSPECT!M$11,'Enter (Vac BFs TrCl MB'!$F$6:$AU$6,FALSE))),"",(INDEX('Enter (Vac BFs TrCl MB'!$F$7:$AU$37,MATCH(PROSPECT!$B15,'Enter (Vac BFs TrCl MB'!$D$7:$D$37,FALSE),MATCH(PROSPECT!M$11,'Enter (Vac BFs TrCl MB'!$F$6:$AU$6,FALSE))))</f>
        <v>0</v>
      </c>
      <c r="N15" s="153">
        <f>IF(ISERROR(INDEX('Enter (Vac BFs TrCl MB'!$F$7:$AU$37,MATCH(PROSPECT!$B15,'Enter (Vac BFs TrCl MB'!$D$7:$D$37,FALSE),MATCH(PROSPECT!N$11,'Enter (Vac BFs TrCl MB'!$F$6:$AU$6,FALSE))),"",(INDEX('Enter (Vac BFs TrCl MB'!$F$7:$AU$37,MATCH(PROSPECT!$B15,'Enter (Vac BFs TrCl MB'!$D$7:$D$37,FALSE),MATCH(PROSPECT!N$11,'Enter (Vac BFs TrCl MB'!$F$6:$AU$6,FALSE))))</f>
        <v>0</v>
      </c>
      <c r="O15" s="153">
        <f>IF(ISERROR(INDEX('Enter (Vac BFs TrCl MB'!$F$7:$AU$37,MATCH(PROSPECT!$B15,'Enter (Vac BFs TrCl MB'!$D$7:$D$37,FALSE),MATCH(PROSPECT!O$11,'Enter (Vac BFs TrCl MB'!$F$6:$AU$6,FALSE))),"",(INDEX('Enter (Vac BFs TrCl MB'!$F$7:$AU$37,MATCH(PROSPECT!$B15,'Enter (Vac BFs TrCl MB'!$D$7:$D$37,FALSE),MATCH(PROSPECT!O$11,'Enter (Vac BFs TrCl MB'!$F$6:$AU$6,FALSE))))</f>
        <v>0</v>
      </c>
      <c r="P15" s="153">
        <f>IF(ISERROR(INDEX('Enter (Vac BFs TrCl MB'!$F$7:$AU$37,MATCH(PROSPECT!$B15,'Enter (Vac BFs TrCl MB'!$D$7:$D$37,FALSE),MATCH(PROSPECT!P$11,'Enter (Vac BFs TrCl MB'!$F$6:$AU$6,FALSE))),"",(INDEX('Enter (Vac BFs TrCl MB'!$F$7:$AU$37,MATCH(PROSPECT!$B15,'Enter (Vac BFs TrCl MB'!$D$7:$D$37,FALSE),MATCH(PROSPECT!P$11,'Enter (Vac BFs TrCl MB'!$F$6:$AU$6,FALSE))))</f>
        <v>0</v>
      </c>
      <c r="Q15" s="153">
        <f>IF(ISERROR(INDEX('Enter (Vac BFs TrCl MB'!$F$7:$AU$37,MATCH(PROSPECT!$B15,'Enter (Vac BFs TrCl MB'!$D$7:$D$37,FALSE),MATCH(PROSPECT!Q$11,'Enter (Vac BFs TrCl MB'!$F$6:$AU$6,FALSE))),"",(INDEX('Enter (Vac BFs TrCl MB'!$F$7:$AU$37,MATCH(PROSPECT!$B15,'Enter (Vac BFs TrCl MB'!$D$7:$D$37,FALSE),MATCH(PROSPECT!Q$11,'Enter (Vac BFs TrCl MB'!$F$6:$AU$6,FALSE))))</f>
        <v>0</v>
      </c>
      <c r="R15" s="154">
        <f>IF(ISERROR(INDEX('Enter (Vac BFs TrCl MB'!$F$7:$AU$37,MATCH(PROSPECT!$B15,'Enter (Vac BFs TrCl MB'!$D$7:$D$37,FALSE),MATCH(PROSPECT!R$11,'Enter (Vac BFs TrCl MB'!$F$6:$AU$6,FALSE))),"",(INDEX('Enter (Vac BFs TrCl MB'!$F$7:$AU$37,MATCH(PROSPECT!$B15,'Enter (Vac BFs TrCl MB'!$D$7:$D$37,FALSE),MATCH(PROSPECT!R$11,'Enter (Vac BFs TrCl MB'!$F$6:$AU$6,FALSE))))</f>
        <v>0</v>
      </c>
      <c r="S15" s="810"/>
      <c r="T15" s="112" t="str">
        <f>IF('Enter (Vac BFs TrCl MB'!$D9=0,"",'Enter (Vac BFs TrCl MB'!$D9)</f>
        <v>Harkaml</v>
      </c>
      <c r="U15" s="153">
        <f>IF(ISERROR(INDEX('Enter (Vac BFs TrCl MB'!$F$7:$AU$37,MATCH(PROSPECT!$B15,'Enter (Vac BFs TrCl MB'!$D$7:$D$37,FALSE),MATCH(PROSPECT!U$11,'Enter (Vac BFs TrCl MB'!$F$6:$AU$6,FALSE))),"",(INDEX('Enter (Vac BFs TrCl MB'!$F$7:$AU$37,MATCH(PROSPECT!$B15,'Enter (Vac BFs TrCl MB'!$D$7:$D$37,FALSE),MATCH(PROSPECT!U$11,'Enter (Vac BFs TrCl MB'!$F$6:$AU$6,FALSE))))</f>
        <v>0</v>
      </c>
      <c r="V15" s="153">
        <f>IF(ISERROR(INDEX('Enter (Vac BFs TrCl MB'!$F$7:$AU$37,MATCH(PROSPECT!$B15,'Enter (Vac BFs TrCl MB'!$D$7:$D$37,FALSE),MATCH(PROSPECT!V$11,'Enter (Vac BFs TrCl MB'!$F$6:$AU$6,FALSE))),"",(INDEX('Enter (Vac BFs TrCl MB'!$F$7:$AU$37,MATCH(PROSPECT!$B15,'Enter (Vac BFs TrCl MB'!$D$7:$D$37,FALSE),MATCH(PROSPECT!V$11,'Enter (Vac BFs TrCl MB'!$F$6:$AU$6,FALSE))))</f>
        <v>0</v>
      </c>
      <c r="W15" s="153">
        <f>IF(ISERROR(INDEX('Enter (Vac BFs TrCl MB'!$F$7:$AU$37,MATCH(PROSPECT!$B15,'Enter (Vac BFs TrCl MB'!$D$7:$D$37,FALSE),MATCH(PROSPECT!W$11,'Enter (Vac BFs TrCl MB'!$F$6:$AU$6,FALSE))),"",(INDEX('Enter (Vac BFs TrCl MB'!$F$7:$AU$37,MATCH(PROSPECT!$B15,'Enter (Vac BFs TrCl MB'!$D$7:$D$37,FALSE),MATCH(PROSPECT!W$11,'Enter (Vac BFs TrCl MB'!$F$6:$AU$6,FALSE))))</f>
        <v>0</v>
      </c>
      <c r="X15" s="153">
        <f>IF(ISERROR(INDEX('Enter (Vac BFs TrCl MB'!$F$7:$AU$37,MATCH(PROSPECT!$B15,'Enter (Vac BFs TrCl MB'!$D$7:$D$37,FALSE),MATCH(PROSPECT!X$11,'Enter (Vac BFs TrCl MB'!$F$6:$AU$6,FALSE))),"",(INDEX('Enter (Vac BFs TrCl MB'!$F$7:$AU$37,MATCH(PROSPECT!$B15,'Enter (Vac BFs TrCl MB'!$D$7:$D$37,FALSE),MATCH(PROSPECT!X$11,'Enter (Vac BFs TrCl MB'!$F$6:$AU$6,FALSE))))</f>
        <v>0</v>
      </c>
      <c r="Y15" s="153">
        <f>IF(ISERROR(INDEX('Enter (Vac BFs TrCl MB'!$F$7:$AU$37,MATCH(PROSPECT!$B15,'Enter (Vac BFs TrCl MB'!$D$7:$D$37,FALSE),MATCH(PROSPECT!Y$11,'Enter (Vac BFs TrCl MB'!$F$6:$AU$6,FALSE))),"",(INDEX('Enter (Vac BFs TrCl MB'!$F$7:$AU$37,MATCH(PROSPECT!$B15,'Enter (Vac BFs TrCl MB'!$D$7:$D$37,FALSE),MATCH(PROSPECT!Y$11,'Enter (Vac BFs TrCl MB'!$F$6:$AU$6,FALSE))))</f>
        <v>0</v>
      </c>
      <c r="Z15" s="153">
        <f>IF(ISERROR(INDEX('Enter (Vac BFs TrCl MB'!$F$7:$AU$37,MATCH(PROSPECT!$B15,'Enter (Vac BFs TrCl MB'!$D$7:$D$37,FALSE),MATCH(PROSPECT!Z$11,'Enter (Vac BFs TrCl MB'!$F$6:$AU$6,FALSE))),"",(INDEX('Enter (Vac BFs TrCl MB'!$F$7:$AU$37,MATCH(PROSPECT!$B15,'Enter (Vac BFs TrCl MB'!$D$7:$D$37,FALSE),MATCH(PROSPECT!Z$11,'Enter (Vac BFs TrCl MB'!$F$6:$AU$6,FALSE))))</f>
        <v>0</v>
      </c>
      <c r="AA15" s="154">
        <f>IF(ISERROR(INDEX('Enter (Vac BFs TrCl MB'!$F$7:$AU$37,MATCH(PROSPECT!$B15,'Enter (Vac BFs TrCl MB'!$D$7:$D$37,FALSE),MATCH(PROSPECT!AA$11,'Enter (Vac BFs TrCl MB'!$F$6:$AU$6,FALSE))),"",(INDEX('Enter (Vac BFs TrCl MB'!$F$7:$AU$37,MATCH(PROSPECT!$B15,'Enter (Vac BFs TrCl MB'!$D$7:$D$37,FALSE),MATCH(PROSPECT!AA$11,'Enter (Vac BFs TrCl MB'!$F$6:$AU$6,FALSE))))</f>
        <v>0</v>
      </c>
    </row>
    <row r="16" spans="1:27" ht="15">
      <c r="B16" s="111" t="str">
        <f>IF('Enter (Vac BFs TrCl MB'!$D10=0,"",'Enter (Vac BFs TrCl MB'!$D10)</f>
        <v>Chehal</v>
      </c>
      <c r="C16" s="153">
        <f>IF(ISERROR(INDEX('Enter (Vac BFs TrCl MB'!$F$7:$AU$37,MATCH(PROSPECT!$B16,'Enter (Vac BFs TrCl MB'!$D$7:$D$37,FALSE),MATCH(PROSPECT!C$11,'Enter (Vac BFs TrCl MB'!$F$6:$AU$6,FALSE))),"",(INDEX('Enter (Vac BFs TrCl MB'!$F$7:$AU$37,MATCH(PROSPECT!$B16,'Enter (Vac BFs TrCl MB'!$D$7:$D$37,FALSE),MATCH(PROSPECT!C$11,'Enter (Vac BFs TrCl MB'!$F$6:$AU$6,FALSE))))</f>
        <v>0</v>
      </c>
      <c r="D16" s="153">
        <f>IF(ISERROR(INDEX('Enter (Vac BFs TrCl MB'!$F$7:$AU$37,MATCH(PROSPECT!$B16,'Enter (Vac BFs TrCl MB'!$D$7:$D$37,FALSE),MATCH(PROSPECT!D$11,'Enter (Vac BFs TrCl MB'!$F$6:$AU$6,FALSE))),"",(INDEX('Enter (Vac BFs TrCl MB'!$F$7:$AU$37,MATCH(PROSPECT!$B16,'Enter (Vac BFs TrCl MB'!$D$7:$D$37,FALSE),MATCH(PROSPECT!D$11,'Enter (Vac BFs TrCl MB'!$F$6:$AU$6,FALSE))))</f>
        <v>0</v>
      </c>
      <c r="E16" s="153">
        <f>IF(ISERROR(INDEX('Enter (Vac BFs TrCl MB'!$F$7:$AU$37,MATCH(PROSPECT!$B16,'Enter (Vac BFs TrCl MB'!$D$7:$D$37,FALSE),MATCH(PROSPECT!E$11,'Enter (Vac BFs TrCl MB'!$F$6:$AU$6,FALSE))),"",(INDEX('Enter (Vac BFs TrCl MB'!$F$7:$AU$37,MATCH(PROSPECT!$B16,'Enter (Vac BFs TrCl MB'!$D$7:$D$37,FALSE),MATCH(PROSPECT!E$11,'Enter (Vac BFs TrCl MB'!$F$6:$AU$6,FALSE))))</f>
        <v>0</v>
      </c>
      <c r="F16" s="153">
        <f>IF(ISERROR(INDEX('Enter (Vac BFs TrCl MB'!$F$7:$AU$37,MATCH(PROSPECT!$B16,'Enter (Vac BFs TrCl MB'!$D$7:$D$37,FALSE),MATCH(PROSPECT!F$11,'Enter (Vac BFs TrCl MB'!$F$6:$AU$6,FALSE))),"",(INDEX('Enter (Vac BFs TrCl MB'!$F$7:$AU$37,MATCH(PROSPECT!$B16,'Enter (Vac BFs TrCl MB'!$D$7:$D$37,FALSE),MATCH(PROSPECT!F$11,'Enter (Vac BFs TrCl MB'!$F$6:$AU$6,FALSE))))</f>
        <v>0</v>
      </c>
      <c r="G16" s="153">
        <f>IF(ISERROR(INDEX('Enter (Vac BFs TrCl MB'!$F$7:$AU$37,MATCH(PROSPECT!$B16,'Enter (Vac BFs TrCl MB'!$D$7:$D$37,FALSE),MATCH(PROSPECT!G$11,'Enter (Vac BFs TrCl MB'!$F$6:$AU$6,FALSE))),"",(INDEX('Enter (Vac BFs TrCl MB'!$F$7:$AU$37,MATCH(PROSPECT!$B16,'Enter (Vac BFs TrCl MB'!$D$7:$D$37,FALSE),MATCH(PROSPECT!G$11,'Enter (Vac BFs TrCl MB'!$F$6:$AU$6,FALSE))))</f>
        <v>0</v>
      </c>
      <c r="H16" s="153">
        <f>IF(ISERROR(INDEX('Enter (Vac BFs TrCl MB'!$F$7:$AU$37,MATCH(PROSPECT!$B16,'Enter (Vac BFs TrCl MB'!$D$7:$D$37,FALSE),MATCH(PROSPECT!H$11,'Enter (Vac BFs TrCl MB'!$F$6:$AU$6,FALSE))),"",(INDEX('Enter (Vac BFs TrCl MB'!$F$7:$AU$37,MATCH(PROSPECT!$B16,'Enter (Vac BFs TrCl MB'!$D$7:$D$37,FALSE),MATCH(PROSPECT!H$11,'Enter (Vac BFs TrCl MB'!$F$6:$AU$6,FALSE))))</f>
        <v>0</v>
      </c>
      <c r="I16" s="154">
        <f>IF(ISERROR(INDEX('Enter (Vac BFs TrCl MB'!$F$7:$AU$37,MATCH(PROSPECT!$B16,'Enter (Vac BFs TrCl MB'!$D$7:$D$37,FALSE),MATCH(PROSPECT!I$11,'Enter (Vac BFs TrCl MB'!$F$6:$AU$6,FALSE))),"",(INDEX('Enter (Vac BFs TrCl MB'!$F$7:$AU$37,MATCH(PROSPECT!$B16,'Enter (Vac BFs TrCl MB'!$D$7:$D$37,FALSE),MATCH(PROSPECT!I$11,'Enter (Vac BFs TrCl MB'!$F$6:$AU$6,FALSE))))</f>
        <v>0</v>
      </c>
      <c r="J16" s="810"/>
      <c r="K16" s="112" t="str">
        <f>IF('Enter (Vac BFs TrCl MB'!$D10=0,"",'Enter (Vac BFs TrCl MB'!$D10)</f>
        <v>Chehal</v>
      </c>
      <c r="L16" s="153">
        <f>IF(ISERROR(INDEX('Enter (Vac BFs TrCl MB'!$F$7:$AU$37,MATCH(PROSPECT!$B16,'Enter (Vac BFs TrCl MB'!$D$7:$D$37,FALSE),MATCH(PROSPECT!L$11,'Enter (Vac BFs TrCl MB'!$F$6:$AU$6,FALSE))),"",(INDEX('Enter (Vac BFs TrCl MB'!$F$7:$AU$37,MATCH(PROSPECT!$B16,'Enter (Vac BFs TrCl MB'!$D$7:$D$37,FALSE),MATCH(PROSPECT!L$11,'Enter (Vac BFs TrCl MB'!$F$6:$AU$6,FALSE))))</f>
        <v>0</v>
      </c>
      <c r="M16" s="153">
        <f>IF(ISERROR(INDEX('Enter (Vac BFs TrCl MB'!$F$7:$AU$37,MATCH(PROSPECT!$B16,'Enter (Vac BFs TrCl MB'!$D$7:$D$37,FALSE),MATCH(PROSPECT!M$11,'Enter (Vac BFs TrCl MB'!$F$6:$AU$6,FALSE))),"",(INDEX('Enter (Vac BFs TrCl MB'!$F$7:$AU$37,MATCH(PROSPECT!$B16,'Enter (Vac BFs TrCl MB'!$D$7:$D$37,FALSE),MATCH(PROSPECT!M$11,'Enter (Vac BFs TrCl MB'!$F$6:$AU$6,FALSE))))</f>
        <v>0</v>
      </c>
      <c r="N16" s="153">
        <f>IF(ISERROR(INDEX('Enter (Vac BFs TrCl MB'!$F$7:$AU$37,MATCH(PROSPECT!$B16,'Enter (Vac BFs TrCl MB'!$D$7:$D$37,FALSE),MATCH(PROSPECT!N$11,'Enter (Vac BFs TrCl MB'!$F$6:$AU$6,FALSE))),"",(INDEX('Enter (Vac BFs TrCl MB'!$F$7:$AU$37,MATCH(PROSPECT!$B16,'Enter (Vac BFs TrCl MB'!$D$7:$D$37,FALSE),MATCH(PROSPECT!N$11,'Enter (Vac BFs TrCl MB'!$F$6:$AU$6,FALSE))))</f>
        <v>0</v>
      </c>
      <c r="O16" s="153">
        <f>IF(ISERROR(INDEX('Enter (Vac BFs TrCl MB'!$F$7:$AU$37,MATCH(PROSPECT!$B16,'Enter (Vac BFs TrCl MB'!$D$7:$D$37,FALSE),MATCH(PROSPECT!O$11,'Enter (Vac BFs TrCl MB'!$F$6:$AU$6,FALSE))),"",(INDEX('Enter (Vac BFs TrCl MB'!$F$7:$AU$37,MATCH(PROSPECT!$B16,'Enter (Vac BFs TrCl MB'!$D$7:$D$37,FALSE),MATCH(PROSPECT!O$11,'Enter (Vac BFs TrCl MB'!$F$6:$AU$6,FALSE))))</f>
        <v>0</v>
      </c>
      <c r="P16" s="153">
        <f>IF(ISERROR(INDEX('Enter (Vac BFs TrCl MB'!$F$7:$AU$37,MATCH(PROSPECT!$B16,'Enter (Vac BFs TrCl MB'!$D$7:$D$37,FALSE),MATCH(PROSPECT!P$11,'Enter (Vac BFs TrCl MB'!$F$6:$AU$6,FALSE))),"",(INDEX('Enter (Vac BFs TrCl MB'!$F$7:$AU$37,MATCH(PROSPECT!$B16,'Enter (Vac BFs TrCl MB'!$D$7:$D$37,FALSE),MATCH(PROSPECT!P$11,'Enter (Vac BFs TrCl MB'!$F$6:$AU$6,FALSE))))</f>
        <v>0</v>
      </c>
      <c r="Q16" s="153">
        <f>IF(ISERROR(INDEX('Enter (Vac BFs TrCl MB'!$F$7:$AU$37,MATCH(PROSPECT!$B16,'Enter (Vac BFs TrCl MB'!$D$7:$D$37,FALSE),MATCH(PROSPECT!Q$11,'Enter (Vac BFs TrCl MB'!$F$6:$AU$6,FALSE))),"",(INDEX('Enter (Vac BFs TrCl MB'!$F$7:$AU$37,MATCH(PROSPECT!$B16,'Enter (Vac BFs TrCl MB'!$D$7:$D$37,FALSE),MATCH(PROSPECT!Q$11,'Enter (Vac BFs TrCl MB'!$F$6:$AU$6,FALSE))))</f>
        <v>0</v>
      </c>
      <c r="R16" s="154">
        <f>IF(ISERROR(INDEX('Enter (Vac BFs TrCl MB'!$F$7:$AU$37,MATCH(PROSPECT!$B16,'Enter (Vac BFs TrCl MB'!$D$7:$D$37,FALSE),MATCH(PROSPECT!R$11,'Enter (Vac BFs TrCl MB'!$F$6:$AU$6,FALSE))),"",(INDEX('Enter (Vac BFs TrCl MB'!$F$7:$AU$37,MATCH(PROSPECT!$B16,'Enter (Vac BFs TrCl MB'!$D$7:$D$37,FALSE),MATCH(PROSPECT!R$11,'Enter (Vac BFs TrCl MB'!$F$6:$AU$6,FALSE))))</f>
        <v>0</v>
      </c>
      <c r="S16" s="810"/>
      <c r="T16" s="112" t="str">
        <f>IF('Enter (Vac BFs TrCl MB'!$D10=0,"",'Enter (Vac BFs TrCl MB'!$D10)</f>
        <v>Chehal</v>
      </c>
      <c r="U16" s="153">
        <f>IF(ISERROR(INDEX('Enter (Vac BFs TrCl MB'!$F$7:$AU$37,MATCH(PROSPECT!$B16,'Enter (Vac BFs TrCl MB'!$D$7:$D$37,FALSE),MATCH(PROSPECT!U$11,'Enter (Vac BFs TrCl MB'!$F$6:$AU$6,FALSE))),"",(INDEX('Enter (Vac BFs TrCl MB'!$F$7:$AU$37,MATCH(PROSPECT!$B16,'Enter (Vac BFs TrCl MB'!$D$7:$D$37,FALSE),MATCH(PROSPECT!U$11,'Enter (Vac BFs TrCl MB'!$F$6:$AU$6,FALSE))))</f>
        <v>0</v>
      </c>
      <c r="V16" s="153">
        <f>IF(ISERROR(INDEX('Enter (Vac BFs TrCl MB'!$F$7:$AU$37,MATCH(PROSPECT!$B16,'Enter (Vac BFs TrCl MB'!$D$7:$D$37,FALSE),MATCH(PROSPECT!V$11,'Enter (Vac BFs TrCl MB'!$F$6:$AU$6,FALSE))),"",(INDEX('Enter (Vac BFs TrCl MB'!$F$7:$AU$37,MATCH(PROSPECT!$B16,'Enter (Vac BFs TrCl MB'!$D$7:$D$37,FALSE),MATCH(PROSPECT!V$11,'Enter (Vac BFs TrCl MB'!$F$6:$AU$6,FALSE))))</f>
        <v>0</v>
      </c>
      <c r="W16" s="153">
        <f>IF(ISERROR(INDEX('Enter (Vac BFs TrCl MB'!$F$7:$AU$37,MATCH(PROSPECT!$B16,'Enter (Vac BFs TrCl MB'!$D$7:$D$37,FALSE),MATCH(PROSPECT!W$11,'Enter (Vac BFs TrCl MB'!$F$6:$AU$6,FALSE))),"",(INDEX('Enter (Vac BFs TrCl MB'!$F$7:$AU$37,MATCH(PROSPECT!$B16,'Enter (Vac BFs TrCl MB'!$D$7:$D$37,FALSE),MATCH(PROSPECT!W$11,'Enter (Vac BFs TrCl MB'!$F$6:$AU$6,FALSE))))</f>
        <v>0</v>
      </c>
      <c r="X16" s="153">
        <f>IF(ISERROR(INDEX('Enter (Vac BFs TrCl MB'!$F$7:$AU$37,MATCH(PROSPECT!$B16,'Enter (Vac BFs TrCl MB'!$D$7:$D$37,FALSE),MATCH(PROSPECT!X$11,'Enter (Vac BFs TrCl MB'!$F$6:$AU$6,FALSE))),"",(INDEX('Enter (Vac BFs TrCl MB'!$F$7:$AU$37,MATCH(PROSPECT!$B16,'Enter (Vac BFs TrCl MB'!$D$7:$D$37,FALSE),MATCH(PROSPECT!X$11,'Enter (Vac BFs TrCl MB'!$F$6:$AU$6,FALSE))))</f>
        <v>0</v>
      </c>
      <c r="Y16" s="153">
        <f>IF(ISERROR(INDEX('Enter (Vac BFs TrCl MB'!$F$7:$AU$37,MATCH(PROSPECT!$B16,'Enter (Vac BFs TrCl MB'!$D$7:$D$37,FALSE),MATCH(PROSPECT!Y$11,'Enter (Vac BFs TrCl MB'!$F$6:$AU$6,FALSE))),"",(INDEX('Enter (Vac BFs TrCl MB'!$F$7:$AU$37,MATCH(PROSPECT!$B16,'Enter (Vac BFs TrCl MB'!$D$7:$D$37,FALSE),MATCH(PROSPECT!Y$11,'Enter (Vac BFs TrCl MB'!$F$6:$AU$6,FALSE))))</f>
        <v>0</v>
      </c>
      <c r="Z16" s="153">
        <f>IF(ISERROR(INDEX('Enter (Vac BFs TrCl MB'!$F$7:$AU$37,MATCH(PROSPECT!$B16,'Enter (Vac BFs TrCl MB'!$D$7:$D$37,FALSE),MATCH(PROSPECT!Z$11,'Enter (Vac BFs TrCl MB'!$F$6:$AU$6,FALSE))),"",(INDEX('Enter (Vac BFs TrCl MB'!$F$7:$AU$37,MATCH(PROSPECT!$B16,'Enter (Vac BFs TrCl MB'!$D$7:$D$37,FALSE),MATCH(PROSPECT!Z$11,'Enter (Vac BFs TrCl MB'!$F$6:$AU$6,FALSE))))</f>
        <v>0</v>
      </c>
      <c r="AA16" s="154">
        <f>IF(ISERROR(INDEX('Enter (Vac BFs TrCl MB'!$F$7:$AU$37,MATCH(PROSPECT!$B16,'Enter (Vac BFs TrCl MB'!$D$7:$D$37,FALSE),MATCH(PROSPECT!AA$11,'Enter (Vac BFs TrCl MB'!$F$6:$AU$6,FALSE))),"",(INDEX('Enter (Vac BFs TrCl MB'!$F$7:$AU$37,MATCH(PROSPECT!$B16,'Enter (Vac BFs TrCl MB'!$D$7:$D$37,FALSE),MATCH(PROSPECT!AA$11,'Enter (Vac BFs TrCl MB'!$F$6:$AU$6,FALSE))))</f>
        <v>0</v>
      </c>
    </row>
    <row r="17" spans="2:30" ht="15">
      <c r="B17" s="111" t="str">
        <f>IF('Enter (Vac BFs TrCl MB'!$D11=0,"",'Enter (Vac BFs TrCl MB'!$D11)</f>
        <v>Alex</v>
      </c>
      <c r="C17" s="153">
        <f>IF(ISERROR(INDEX('Enter (Vac BFs TrCl MB'!$F$7:$AU$37,MATCH(PROSPECT!$B17,'Enter (Vac BFs TrCl MB'!$D$7:$D$37,FALSE),MATCH(PROSPECT!C$11,'Enter (Vac BFs TrCl MB'!$F$6:$AU$6,FALSE))),"",(INDEX('Enter (Vac BFs TrCl MB'!$F$7:$AU$37,MATCH(PROSPECT!$B17,'Enter (Vac BFs TrCl MB'!$D$7:$D$37,FALSE),MATCH(PROSPECT!C$11,'Enter (Vac BFs TrCl MB'!$F$6:$AU$6,FALSE))))</f>
        <v>0</v>
      </c>
      <c r="D17" s="153">
        <f>IF(ISERROR(INDEX('Enter (Vac BFs TrCl MB'!$F$7:$AU$37,MATCH(PROSPECT!$B17,'Enter (Vac BFs TrCl MB'!$D$7:$D$37,FALSE),MATCH(PROSPECT!D$11,'Enter (Vac BFs TrCl MB'!$F$6:$AU$6,FALSE))),"",(INDEX('Enter (Vac BFs TrCl MB'!$F$7:$AU$37,MATCH(PROSPECT!$B17,'Enter (Vac BFs TrCl MB'!$D$7:$D$37,FALSE),MATCH(PROSPECT!D$11,'Enter (Vac BFs TrCl MB'!$F$6:$AU$6,FALSE))))</f>
        <v>0</v>
      </c>
      <c r="E17" s="153">
        <f>IF(ISERROR(INDEX('Enter (Vac BFs TrCl MB'!$F$7:$AU$37,MATCH(PROSPECT!$B17,'Enter (Vac BFs TrCl MB'!$D$7:$D$37,FALSE),MATCH(PROSPECT!E$11,'Enter (Vac BFs TrCl MB'!$F$6:$AU$6,FALSE))),"",(INDEX('Enter (Vac BFs TrCl MB'!$F$7:$AU$37,MATCH(PROSPECT!$B17,'Enter (Vac BFs TrCl MB'!$D$7:$D$37,FALSE),MATCH(PROSPECT!E$11,'Enter (Vac BFs TrCl MB'!$F$6:$AU$6,FALSE))))</f>
        <v>0</v>
      </c>
      <c r="F17" s="153">
        <f>IF(ISERROR(INDEX('Enter (Vac BFs TrCl MB'!$F$7:$AU$37,MATCH(PROSPECT!$B17,'Enter (Vac BFs TrCl MB'!$D$7:$D$37,FALSE),MATCH(PROSPECT!F$11,'Enter (Vac BFs TrCl MB'!$F$6:$AU$6,FALSE))),"",(INDEX('Enter (Vac BFs TrCl MB'!$F$7:$AU$37,MATCH(PROSPECT!$B17,'Enter (Vac BFs TrCl MB'!$D$7:$D$37,FALSE),MATCH(PROSPECT!F$11,'Enter (Vac BFs TrCl MB'!$F$6:$AU$6,FALSE))))</f>
        <v>0</v>
      </c>
      <c r="G17" s="153">
        <f>IF(ISERROR(INDEX('Enter (Vac BFs TrCl MB'!$F$7:$AU$37,MATCH(PROSPECT!$B17,'Enter (Vac BFs TrCl MB'!$D$7:$D$37,FALSE),MATCH(PROSPECT!G$11,'Enter (Vac BFs TrCl MB'!$F$6:$AU$6,FALSE))),"",(INDEX('Enter (Vac BFs TrCl MB'!$F$7:$AU$37,MATCH(PROSPECT!$B17,'Enter (Vac BFs TrCl MB'!$D$7:$D$37,FALSE),MATCH(PROSPECT!G$11,'Enter (Vac BFs TrCl MB'!$F$6:$AU$6,FALSE))))</f>
        <v>0</v>
      </c>
      <c r="H17" s="153">
        <f>IF(ISERROR(INDEX('Enter (Vac BFs TrCl MB'!$F$7:$AU$37,MATCH(PROSPECT!$B17,'Enter (Vac BFs TrCl MB'!$D$7:$D$37,FALSE),MATCH(PROSPECT!H$11,'Enter (Vac BFs TrCl MB'!$F$6:$AU$6,FALSE))),"",(INDEX('Enter (Vac BFs TrCl MB'!$F$7:$AU$37,MATCH(PROSPECT!$B17,'Enter (Vac BFs TrCl MB'!$D$7:$D$37,FALSE),MATCH(PROSPECT!H$11,'Enter (Vac BFs TrCl MB'!$F$6:$AU$6,FALSE))))</f>
        <v>0</v>
      </c>
      <c r="I17" s="154">
        <f>IF(ISERROR(INDEX('Enter (Vac BFs TrCl MB'!$F$7:$AU$37,MATCH(PROSPECT!$B17,'Enter (Vac BFs TrCl MB'!$D$7:$D$37,FALSE),MATCH(PROSPECT!I$11,'Enter (Vac BFs TrCl MB'!$F$6:$AU$6,FALSE))),"",(INDEX('Enter (Vac BFs TrCl MB'!$F$7:$AU$37,MATCH(PROSPECT!$B17,'Enter (Vac BFs TrCl MB'!$D$7:$D$37,FALSE),MATCH(PROSPECT!I$11,'Enter (Vac BFs TrCl MB'!$F$6:$AU$6,FALSE))))</f>
        <v>0</v>
      </c>
      <c r="J17" s="810"/>
      <c r="K17" s="112" t="str">
        <f>IF('Enter (Vac BFs TrCl MB'!$D11=0,"",'Enter (Vac BFs TrCl MB'!$D11)</f>
        <v>Alex</v>
      </c>
      <c r="L17" s="153" t="str">
        <f>IF(ISERROR(INDEX('Enter (Vac BFs TrCl MB'!$F$7:$AU$37,MATCH(PROSPECT!$B17,'Enter (Vac BFs TrCl MB'!$D$7:$D$37,FALSE),MATCH(PROSPECT!L$11,'Enter (Vac BFs TrCl MB'!$F$6:$AU$6,FALSE))),"",(INDEX('Enter (Vac BFs TrCl MB'!$F$7:$AU$37,MATCH(PROSPECT!$B17,'Enter (Vac BFs TrCl MB'!$D$7:$D$37,FALSE),MATCH(PROSPECT!L$11,'Enter (Vac BFs TrCl MB'!$F$6:$AU$6,FALSE))))</f>
        <v>XX</v>
      </c>
      <c r="M17" s="153">
        <f>IF(ISERROR(INDEX('Enter (Vac BFs TrCl MB'!$F$7:$AU$37,MATCH(PROSPECT!$B17,'Enter (Vac BFs TrCl MB'!$D$7:$D$37,FALSE),MATCH(PROSPECT!M$11,'Enter (Vac BFs TrCl MB'!$F$6:$AU$6,FALSE))),"",(INDEX('Enter (Vac BFs TrCl MB'!$F$7:$AU$37,MATCH(PROSPECT!$B17,'Enter (Vac BFs TrCl MB'!$D$7:$D$37,FALSE),MATCH(PROSPECT!M$11,'Enter (Vac BFs TrCl MB'!$F$6:$AU$6,FALSE))))</f>
        <v>0</v>
      </c>
      <c r="N17" s="153">
        <f>IF(ISERROR(INDEX('Enter (Vac BFs TrCl MB'!$F$7:$AU$37,MATCH(PROSPECT!$B17,'Enter (Vac BFs TrCl MB'!$D$7:$D$37,FALSE),MATCH(PROSPECT!N$11,'Enter (Vac BFs TrCl MB'!$F$6:$AU$6,FALSE))),"",(INDEX('Enter (Vac BFs TrCl MB'!$F$7:$AU$37,MATCH(PROSPECT!$B17,'Enter (Vac BFs TrCl MB'!$D$7:$D$37,FALSE),MATCH(PROSPECT!N$11,'Enter (Vac BFs TrCl MB'!$F$6:$AU$6,FALSE))))</f>
        <v>0</v>
      </c>
      <c r="O17" s="153">
        <f>IF(ISERROR(INDEX('Enter (Vac BFs TrCl MB'!$F$7:$AU$37,MATCH(PROSPECT!$B17,'Enter (Vac BFs TrCl MB'!$D$7:$D$37,FALSE),MATCH(PROSPECT!O$11,'Enter (Vac BFs TrCl MB'!$F$6:$AU$6,FALSE))),"",(INDEX('Enter (Vac BFs TrCl MB'!$F$7:$AU$37,MATCH(PROSPECT!$B17,'Enter (Vac BFs TrCl MB'!$D$7:$D$37,FALSE),MATCH(PROSPECT!O$11,'Enter (Vac BFs TrCl MB'!$F$6:$AU$6,FALSE))))</f>
        <v>0</v>
      </c>
      <c r="P17" s="153">
        <f>IF(ISERROR(INDEX('Enter (Vac BFs TrCl MB'!$F$7:$AU$37,MATCH(PROSPECT!$B17,'Enter (Vac BFs TrCl MB'!$D$7:$D$37,FALSE),MATCH(PROSPECT!P$11,'Enter (Vac BFs TrCl MB'!$F$6:$AU$6,FALSE))),"",(INDEX('Enter (Vac BFs TrCl MB'!$F$7:$AU$37,MATCH(PROSPECT!$B17,'Enter (Vac BFs TrCl MB'!$D$7:$D$37,FALSE),MATCH(PROSPECT!P$11,'Enter (Vac BFs TrCl MB'!$F$6:$AU$6,FALSE))))</f>
        <v>0</v>
      </c>
      <c r="Q17" s="153">
        <f>IF(ISERROR(INDEX('Enter (Vac BFs TrCl MB'!$F$7:$AU$37,MATCH(PROSPECT!$B17,'Enter (Vac BFs TrCl MB'!$D$7:$D$37,FALSE),MATCH(PROSPECT!Q$11,'Enter (Vac BFs TrCl MB'!$F$6:$AU$6,FALSE))),"",(INDEX('Enter (Vac BFs TrCl MB'!$F$7:$AU$37,MATCH(PROSPECT!$B17,'Enter (Vac BFs TrCl MB'!$D$7:$D$37,FALSE),MATCH(PROSPECT!Q$11,'Enter (Vac BFs TrCl MB'!$F$6:$AU$6,FALSE))))</f>
        <v>0</v>
      </c>
      <c r="R17" s="154">
        <f>IF(ISERROR(INDEX('Enter (Vac BFs TrCl MB'!$F$7:$AU$37,MATCH(PROSPECT!$B17,'Enter (Vac BFs TrCl MB'!$D$7:$D$37,FALSE),MATCH(PROSPECT!R$11,'Enter (Vac BFs TrCl MB'!$F$6:$AU$6,FALSE))),"",(INDEX('Enter (Vac BFs TrCl MB'!$F$7:$AU$37,MATCH(PROSPECT!$B17,'Enter (Vac BFs TrCl MB'!$D$7:$D$37,FALSE),MATCH(PROSPECT!R$11,'Enter (Vac BFs TrCl MB'!$F$6:$AU$6,FALSE))))</f>
        <v>0</v>
      </c>
      <c r="S17" s="810"/>
      <c r="T17" s="112" t="str">
        <f>IF('Enter (Vac BFs TrCl MB'!$D11=0,"",'Enter (Vac BFs TrCl MB'!$D11)</f>
        <v>Alex</v>
      </c>
      <c r="U17" s="153">
        <f>IF(ISERROR(INDEX('Enter (Vac BFs TrCl MB'!$F$7:$AU$37,MATCH(PROSPECT!$B17,'Enter (Vac BFs TrCl MB'!$D$7:$D$37,FALSE),MATCH(PROSPECT!U$11,'Enter (Vac BFs TrCl MB'!$F$6:$AU$6,FALSE))),"",(INDEX('Enter (Vac BFs TrCl MB'!$F$7:$AU$37,MATCH(PROSPECT!$B17,'Enter (Vac BFs TrCl MB'!$D$7:$D$37,FALSE),MATCH(PROSPECT!U$11,'Enter (Vac BFs TrCl MB'!$F$6:$AU$6,FALSE))))</f>
        <v>0</v>
      </c>
      <c r="V17" s="153">
        <f>IF(ISERROR(INDEX('Enter (Vac BFs TrCl MB'!$F$7:$AU$37,MATCH(PROSPECT!$B17,'Enter (Vac BFs TrCl MB'!$D$7:$D$37,FALSE),MATCH(PROSPECT!V$11,'Enter (Vac BFs TrCl MB'!$F$6:$AU$6,FALSE))),"",(INDEX('Enter (Vac BFs TrCl MB'!$F$7:$AU$37,MATCH(PROSPECT!$B17,'Enter (Vac BFs TrCl MB'!$D$7:$D$37,FALSE),MATCH(PROSPECT!V$11,'Enter (Vac BFs TrCl MB'!$F$6:$AU$6,FALSE))))</f>
        <v>0</v>
      </c>
      <c r="W17" s="153">
        <f>IF(ISERROR(INDEX('Enter (Vac BFs TrCl MB'!$F$7:$AU$37,MATCH(PROSPECT!$B17,'Enter (Vac BFs TrCl MB'!$D$7:$D$37,FALSE),MATCH(PROSPECT!W$11,'Enter (Vac BFs TrCl MB'!$F$6:$AU$6,FALSE))),"",(INDEX('Enter (Vac BFs TrCl MB'!$F$7:$AU$37,MATCH(PROSPECT!$B17,'Enter (Vac BFs TrCl MB'!$D$7:$D$37,FALSE),MATCH(PROSPECT!W$11,'Enter (Vac BFs TrCl MB'!$F$6:$AU$6,FALSE))))</f>
        <v>0</v>
      </c>
      <c r="X17" s="153">
        <f>IF(ISERROR(INDEX('Enter (Vac BFs TrCl MB'!$F$7:$AU$37,MATCH(PROSPECT!$B17,'Enter (Vac BFs TrCl MB'!$D$7:$D$37,FALSE),MATCH(PROSPECT!X$11,'Enter (Vac BFs TrCl MB'!$F$6:$AU$6,FALSE))),"",(INDEX('Enter (Vac BFs TrCl MB'!$F$7:$AU$37,MATCH(PROSPECT!$B17,'Enter (Vac BFs TrCl MB'!$D$7:$D$37,FALSE),MATCH(PROSPECT!X$11,'Enter (Vac BFs TrCl MB'!$F$6:$AU$6,FALSE))))</f>
        <v>0</v>
      </c>
      <c r="Y17" s="153">
        <f>IF(ISERROR(INDEX('Enter (Vac BFs TrCl MB'!$F$7:$AU$37,MATCH(PROSPECT!$B17,'Enter (Vac BFs TrCl MB'!$D$7:$D$37,FALSE),MATCH(PROSPECT!Y$11,'Enter (Vac BFs TrCl MB'!$F$6:$AU$6,FALSE))),"",(INDEX('Enter (Vac BFs TrCl MB'!$F$7:$AU$37,MATCH(PROSPECT!$B17,'Enter (Vac BFs TrCl MB'!$D$7:$D$37,FALSE),MATCH(PROSPECT!Y$11,'Enter (Vac BFs TrCl MB'!$F$6:$AU$6,FALSE))))</f>
        <v>0</v>
      </c>
      <c r="Z17" s="153">
        <f>IF(ISERROR(INDEX('Enter (Vac BFs TrCl MB'!$F$7:$AU$37,MATCH(PROSPECT!$B17,'Enter (Vac BFs TrCl MB'!$D$7:$D$37,FALSE),MATCH(PROSPECT!Z$11,'Enter (Vac BFs TrCl MB'!$F$6:$AU$6,FALSE))),"",(INDEX('Enter (Vac BFs TrCl MB'!$F$7:$AU$37,MATCH(PROSPECT!$B17,'Enter (Vac BFs TrCl MB'!$D$7:$D$37,FALSE),MATCH(PROSPECT!Z$11,'Enter (Vac BFs TrCl MB'!$F$6:$AU$6,FALSE))))</f>
        <v>0</v>
      </c>
      <c r="AA17" s="154">
        <f>IF(ISERROR(INDEX('Enter (Vac BFs TrCl MB'!$F$7:$AU$37,MATCH(PROSPECT!$B17,'Enter (Vac BFs TrCl MB'!$D$7:$D$37,FALSE),MATCH(PROSPECT!AA$11,'Enter (Vac BFs TrCl MB'!$F$6:$AU$6,FALSE))),"",(INDEX('Enter (Vac BFs TrCl MB'!$F$7:$AU$37,MATCH(PROSPECT!$B17,'Enter (Vac BFs TrCl MB'!$D$7:$D$37,FALSE),MATCH(PROSPECT!AA$11,'Enter (Vac BFs TrCl MB'!$F$6:$AU$6,FALSE))))</f>
        <v>0</v>
      </c>
    </row>
    <row r="18" spans="2:30" ht="15">
      <c r="B18" s="111" t="str">
        <f>IF('Enter (Vac BFs TrCl MB'!$D12=0,"",'Enter (Vac BFs TrCl MB'!$D12)</f>
        <v>Akansha</v>
      </c>
      <c r="C18" s="153">
        <f>IF(ISERROR(INDEX('Enter (Vac BFs TrCl MB'!$F$7:$AU$37,MATCH(PROSPECT!$B18,'Enter (Vac BFs TrCl MB'!$D$7:$D$37,FALSE),MATCH(PROSPECT!C$11,'Enter (Vac BFs TrCl MB'!$F$6:$AU$6,FALSE))),"",(INDEX('Enter (Vac BFs TrCl MB'!$F$7:$AU$37,MATCH(PROSPECT!$B18,'Enter (Vac BFs TrCl MB'!$D$7:$D$37,FALSE),MATCH(PROSPECT!C$11,'Enter (Vac BFs TrCl MB'!$F$6:$AU$6,FALSE))))</f>
        <v>0</v>
      </c>
      <c r="D18" s="153">
        <f>IF(ISERROR(INDEX('Enter (Vac BFs TrCl MB'!$F$7:$AU$37,MATCH(PROSPECT!$B18,'Enter (Vac BFs TrCl MB'!$D$7:$D$37,FALSE),MATCH(PROSPECT!D$11,'Enter (Vac BFs TrCl MB'!$F$6:$AU$6,FALSE))),"",(INDEX('Enter (Vac BFs TrCl MB'!$F$7:$AU$37,MATCH(PROSPECT!$B18,'Enter (Vac BFs TrCl MB'!$D$7:$D$37,FALSE),MATCH(PROSPECT!D$11,'Enter (Vac BFs TrCl MB'!$F$6:$AU$6,FALSE))))</f>
        <v>0</v>
      </c>
      <c r="E18" s="153">
        <f>IF(ISERROR(INDEX('Enter (Vac BFs TrCl MB'!$F$7:$AU$37,MATCH(PROSPECT!$B18,'Enter (Vac BFs TrCl MB'!$D$7:$D$37,FALSE),MATCH(PROSPECT!E$11,'Enter (Vac BFs TrCl MB'!$F$6:$AU$6,FALSE))),"",(INDEX('Enter (Vac BFs TrCl MB'!$F$7:$AU$37,MATCH(PROSPECT!$B18,'Enter (Vac BFs TrCl MB'!$D$7:$D$37,FALSE),MATCH(PROSPECT!E$11,'Enter (Vac BFs TrCl MB'!$F$6:$AU$6,FALSE))))</f>
        <v>0</v>
      </c>
      <c r="F18" s="153">
        <f>IF(ISERROR(INDEX('Enter (Vac BFs TrCl MB'!$F$7:$AU$37,MATCH(PROSPECT!$B18,'Enter (Vac BFs TrCl MB'!$D$7:$D$37,FALSE),MATCH(PROSPECT!F$11,'Enter (Vac BFs TrCl MB'!$F$6:$AU$6,FALSE))),"",(INDEX('Enter (Vac BFs TrCl MB'!$F$7:$AU$37,MATCH(PROSPECT!$B18,'Enter (Vac BFs TrCl MB'!$D$7:$D$37,FALSE),MATCH(PROSPECT!F$11,'Enter (Vac BFs TrCl MB'!$F$6:$AU$6,FALSE))))</f>
        <v>0</v>
      </c>
      <c r="G18" s="153">
        <f>IF(ISERROR(INDEX('Enter (Vac BFs TrCl MB'!$F$7:$AU$37,MATCH(PROSPECT!$B18,'Enter (Vac BFs TrCl MB'!$D$7:$D$37,FALSE),MATCH(PROSPECT!G$11,'Enter (Vac BFs TrCl MB'!$F$6:$AU$6,FALSE))),"",(INDEX('Enter (Vac BFs TrCl MB'!$F$7:$AU$37,MATCH(PROSPECT!$B18,'Enter (Vac BFs TrCl MB'!$D$7:$D$37,FALSE),MATCH(PROSPECT!G$11,'Enter (Vac BFs TrCl MB'!$F$6:$AU$6,FALSE))))</f>
        <v>0</v>
      </c>
      <c r="H18" s="153">
        <f>IF(ISERROR(INDEX('Enter (Vac BFs TrCl MB'!$F$7:$AU$37,MATCH(PROSPECT!$B18,'Enter (Vac BFs TrCl MB'!$D$7:$D$37,FALSE),MATCH(PROSPECT!H$11,'Enter (Vac BFs TrCl MB'!$F$6:$AU$6,FALSE))),"",(INDEX('Enter (Vac BFs TrCl MB'!$F$7:$AU$37,MATCH(PROSPECT!$B18,'Enter (Vac BFs TrCl MB'!$D$7:$D$37,FALSE),MATCH(PROSPECT!H$11,'Enter (Vac BFs TrCl MB'!$F$6:$AU$6,FALSE))))</f>
        <v>0</v>
      </c>
      <c r="I18" s="154">
        <f>IF(ISERROR(INDEX('Enter (Vac BFs TrCl MB'!$F$7:$AU$37,MATCH(PROSPECT!$B18,'Enter (Vac BFs TrCl MB'!$D$7:$D$37,FALSE),MATCH(PROSPECT!I$11,'Enter (Vac BFs TrCl MB'!$F$6:$AU$6,FALSE))),"",(INDEX('Enter (Vac BFs TrCl MB'!$F$7:$AU$37,MATCH(PROSPECT!$B18,'Enter (Vac BFs TrCl MB'!$D$7:$D$37,FALSE),MATCH(PROSPECT!I$11,'Enter (Vac BFs TrCl MB'!$F$6:$AU$6,FALSE))))</f>
        <v>0</v>
      </c>
      <c r="J18" s="810"/>
      <c r="K18" s="112" t="str">
        <f>IF('Enter (Vac BFs TrCl MB'!$D12=0,"",'Enter (Vac BFs TrCl MB'!$D12)</f>
        <v>Akansha</v>
      </c>
      <c r="L18" s="153">
        <f>IF(ISERROR(INDEX('Enter (Vac BFs TrCl MB'!$F$7:$AU$37,MATCH(PROSPECT!$B18,'Enter (Vac BFs TrCl MB'!$D$7:$D$37,FALSE),MATCH(PROSPECT!L$11,'Enter (Vac BFs TrCl MB'!$F$6:$AU$6,FALSE))),"",(INDEX('Enter (Vac BFs TrCl MB'!$F$7:$AU$37,MATCH(PROSPECT!$B18,'Enter (Vac BFs TrCl MB'!$D$7:$D$37,FALSE),MATCH(PROSPECT!L$11,'Enter (Vac BFs TrCl MB'!$F$6:$AU$6,FALSE))))</f>
        <v>0</v>
      </c>
      <c r="M18" s="153">
        <f>IF(ISERROR(INDEX('Enter (Vac BFs TrCl MB'!$F$7:$AU$37,MATCH(PROSPECT!$B18,'Enter (Vac BFs TrCl MB'!$D$7:$D$37,FALSE),MATCH(PROSPECT!M$11,'Enter (Vac BFs TrCl MB'!$F$6:$AU$6,FALSE))),"",(INDEX('Enter (Vac BFs TrCl MB'!$F$7:$AU$37,MATCH(PROSPECT!$B18,'Enter (Vac BFs TrCl MB'!$D$7:$D$37,FALSE),MATCH(PROSPECT!M$11,'Enter (Vac BFs TrCl MB'!$F$6:$AU$6,FALSE))))</f>
        <v>0</v>
      </c>
      <c r="N18" s="153">
        <f>IF(ISERROR(INDEX('Enter (Vac BFs TrCl MB'!$F$7:$AU$37,MATCH(PROSPECT!$B18,'Enter (Vac BFs TrCl MB'!$D$7:$D$37,FALSE),MATCH(PROSPECT!N$11,'Enter (Vac BFs TrCl MB'!$F$6:$AU$6,FALSE))),"",(INDEX('Enter (Vac BFs TrCl MB'!$F$7:$AU$37,MATCH(PROSPECT!$B18,'Enter (Vac BFs TrCl MB'!$D$7:$D$37,FALSE),MATCH(PROSPECT!N$11,'Enter (Vac BFs TrCl MB'!$F$6:$AU$6,FALSE))))</f>
        <v>0</v>
      </c>
      <c r="O18" s="153">
        <f>IF(ISERROR(INDEX('Enter (Vac BFs TrCl MB'!$F$7:$AU$37,MATCH(PROSPECT!$B18,'Enter (Vac BFs TrCl MB'!$D$7:$D$37,FALSE),MATCH(PROSPECT!O$11,'Enter (Vac BFs TrCl MB'!$F$6:$AU$6,FALSE))),"",(INDEX('Enter (Vac BFs TrCl MB'!$F$7:$AU$37,MATCH(PROSPECT!$B18,'Enter (Vac BFs TrCl MB'!$D$7:$D$37,FALSE),MATCH(PROSPECT!O$11,'Enter (Vac BFs TrCl MB'!$F$6:$AU$6,FALSE))))</f>
        <v>0</v>
      </c>
      <c r="P18" s="153">
        <f>IF(ISERROR(INDEX('Enter (Vac BFs TrCl MB'!$F$7:$AU$37,MATCH(PROSPECT!$B18,'Enter (Vac BFs TrCl MB'!$D$7:$D$37,FALSE),MATCH(PROSPECT!P$11,'Enter (Vac BFs TrCl MB'!$F$6:$AU$6,FALSE))),"",(INDEX('Enter (Vac BFs TrCl MB'!$F$7:$AU$37,MATCH(PROSPECT!$B18,'Enter (Vac BFs TrCl MB'!$D$7:$D$37,FALSE),MATCH(PROSPECT!P$11,'Enter (Vac BFs TrCl MB'!$F$6:$AU$6,FALSE))))</f>
        <v>0</v>
      </c>
      <c r="Q18" s="153">
        <f>IF(ISERROR(INDEX('Enter (Vac BFs TrCl MB'!$F$7:$AU$37,MATCH(PROSPECT!$B18,'Enter (Vac BFs TrCl MB'!$D$7:$D$37,FALSE),MATCH(PROSPECT!Q$11,'Enter (Vac BFs TrCl MB'!$F$6:$AU$6,FALSE))),"",(INDEX('Enter (Vac BFs TrCl MB'!$F$7:$AU$37,MATCH(PROSPECT!$B18,'Enter (Vac BFs TrCl MB'!$D$7:$D$37,FALSE),MATCH(PROSPECT!Q$11,'Enter (Vac BFs TrCl MB'!$F$6:$AU$6,FALSE))))</f>
        <v>0</v>
      </c>
      <c r="R18" s="154">
        <f>IF(ISERROR(INDEX('Enter (Vac BFs TrCl MB'!$F$7:$AU$37,MATCH(PROSPECT!$B18,'Enter (Vac BFs TrCl MB'!$D$7:$D$37,FALSE),MATCH(PROSPECT!R$11,'Enter (Vac BFs TrCl MB'!$F$6:$AU$6,FALSE))),"",(INDEX('Enter (Vac BFs TrCl MB'!$F$7:$AU$37,MATCH(PROSPECT!$B18,'Enter (Vac BFs TrCl MB'!$D$7:$D$37,FALSE),MATCH(PROSPECT!R$11,'Enter (Vac BFs TrCl MB'!$F$6:$AU$6,FALSE))))</f>
        <v>0</v>
      </c>
      <c r="S18" s="810"/>
      <c r="T18" s="112" t="str">
        <f>IF('Enter (Vac BFs TrCl MB'!$D12=0,"",'Enter (Vac BFs TrCl MB'!$D12)</f>
        <v>Akansha</v>
      </c>
      <c r="U18" s="153">
        <f>IF(ISERROR(INDEX('Enter (Vac BFs TrCl MB'!$F$7:$AU$37,MATCH(PROSPECT!$B18,'Enter (Vac BFs TrCl MB'!$D$7:$D$37,FALSE),MATCH(PROSPECT!U$11,'Enter (Vac BFs TrCl MB'!$F$6:$AU$6,FALSE))),"",(INDEX('Enter (Vac BFs TrCl MB'!$F$7:$AU$37,MATCH(PROSPECT!$B18,'Enter (Vac BFs TrCl MB'!$D$7:$D$37,FALSE),MATCH(PROSPECT!U$11,'Enter (Vac BFs TrCl MB'!$F$6:$AU$6,FALSE))))</f>
        <v>0</v>
      </c>
      <c r="V18" s="153">
        <f>IF(ISERROR(INDEX('Enter (Vac BFs TrCl MB'!$F$7:$AU$37,MATCH(PROSPECT!$B18,'Enter (Vac BFs TrCl MB'!$D$7:$D$37,FALSE),MATCH(PROSPECT!V$11,'Enter (Vac BFs TrCl MB'!$F$6:$AU$6,FALSE))),"",(INDEX('Enter (Vac BFs TrCl MB'!$F$7:$AU$37,MATCH(PROSPECT!$B18,'Enter (Vac BFs TrCl MB'!$D$7:$D$37,FALSE),MATCH(PROSPECT!V$11,'Enter (Vac BFs TrCl MB'!$F$6:$AU$6,FALSE))))</f>
        <v>0</v>
      </c>
      <c r="W18" s="153">
        <f>IF(ISERROR(INDEX('Enter (Vac BFs TrCl MB'!$F$7:$AU$37,MATCH(PROSPECT!$B18,'Enter (Vac BFs TrCl MB'!$D$7:$D$37,FALSE),MATCH(PROSPECT!W$11,'Enter (Vac BFs TrCl MB'!$F$6:$AU$6,FALSE))),"",(INDEX('Enter (Vac BFs TrCl MB'!$F$7:$AU$37,MATCH(PROSPECT!$B18,'Enter (Vac BFs TrCl MB'!$D$7:$D$37,FALSE),MATCH(PROSPECT!W$11,'Enter (Vac BFs TrCl MB'!$F$6:$AU$6,FALSE))))</f>
        <v>0</v>
      </c>
      <c r="X18" s="153">
        <f>IF(ISERROR(INDEX('Enter (Vac BFs TrCl MB'!$F$7:$AU$37,MATCH(PROSPECT!$B18,'Enter (Vac BFs TrCl MB'!$D$7:$D$37,FALSE),MATCH(PROSPECT!X$11,'Enter (Vac BFs TrCl MB'!$F$6:$AU$6,FALSE))),"",(INDEX('Enter (Vac BFs TrCl MB'!$F$7:$AU$37,MATCH(PROSPECT!$B18,'Enter (Vac BFs TrCl MB'!$D$7:$D$37,FALSE),MATCH(PROSPECT!X$11,'Enter (Vac BFs TrCl MB'!$F$6:$AU$6,FALSE))))</f>
        <v>0</v>
      </c>
      <c r="Y18" s="153">
        <f>IF(ISERROR(INDEX('Enter (Vac BFs TrCl MB'!$F$7:$AU$37,MATCH(PROSPECT!$B18,'Enter (Vac BFs TrCl MB'!$D$7:$D$37,FALSE),MATCH(PROSPECT!Y$11,'Enter (Vac BFs TrCl MB'!$F$6:$AU$6,FALSE))),"",(INDEX('Enter (Vac BFs TrCl MB'!$F$7:$AU$37,MATCH(PROSPECT!$B18,'Enter (Vac BFs TrCl MB'!$D$7:$D$37,FALSE),MATCH(PROSPECT!Y$11,'Enter (Vac BFs TrCl MB'!$F$6:$AU$6,FALSE))))</f>
        <v>0</v>
      </c>
      <c r="Z18" s="153">
        <f>IF(ISERROR(INDEX('Enter (Vac BFs TrCl MB'!$F$7:$AU$37,MATCH(PROSPECT!$B18,'Enter (Vac BFs TrCl MB'!$D$7:$D$37,FALSE),MATCH(PROSPECT!Z$11,'Enter (Vac BFs TrCl MB'!$F$6:$AU$6,FALSE))),"",(INDEX('Enter (Vac BFs TrCl MB'!$F$7:$AU$37,MATCH(PROSPECT!$B18,'Enter (Vac BFs TrCl MB'!$D$7:$D$37,FALSE),MATCH(PROSPECT!Z$11,'Enter (Vac BFs TrCl MB'!$F$6:$AU$6,FALSE))))</f>
        <v>0</v>
      </c>
      <c r="AA18" s="154">
        <f>IF(ISERROR(INDEX('Enter (Vac BFs TrCl MB'!$F$7:$AU$37,MATCH(PROSPECT!$B18,'Enter (Vac BFs TrCl MB'!$D$7:$D$37,FALSE),MATCH(PROSPECT!AA$11,'Enter (Vac BFs TrCl MB'!$F$6:$AU$6,FALSE))),"",(INDEX('Enter (Vac BFs TrCl MB'!$F$7:$AU$37,MATCH(PROSPECT!$B18,'Enter (Vac BFs TrCl MB'!$D$7:$D$37,FALSE),MATCH(PROSPECT!AA$11,'Enter (Vac BFs TrCl MB'!$F$6:$AU$6,FALSE))))</f>
        <v>0</v>
      </c>
    </row>
    <row r="19" spans="2:30" ht="15">
      <c r="B19" s="111" t="str">
        <f>IF('Enter (Vac BFs TrCl MB'!$D13=0,"",'Enter (Vac BFs TrCl MB'!$D13)</f>
        <v>Kiran</v>
      </c>
      <c r="C19" s="153">
        <f>IF(ISERROR(INDEX('Enter (Vac BFs TrCl MB'!$F$7:$AU$37,MATCH(PROSPECT!$B19,'Enter (Vac BFs TrCl MB'!$D$7:$D$37,FALSE),MATCH(PROSPECT!C$11,'Enter (Vac BFs TrCl MB'!$F$6:$AU$6,FALSE))),"",(INDEX('Enter (Vac BFs TrCl MB'!$F$7:$AU$37,MATCH(PROSPECT!$B19,'Enter (Vac BFs TrCl MB'!$D$7:$D$37,FALSE),MATCH(PROSPECT!C$11,'Enter (Vac BFs TrCl MB'!$F$6:$AU$6,FALSE))))</f>
        <v>0</v>
      </c>
      <c r="D19" s="153">
        <f>IF(ISERROR(INDEX('Enter (Vac BFs TrCl MB'!$F$7:$AU$37,MATCH(PROSPECT!$B19,'Enter (Vac BFs TrCl MB'!$D$7:$D$37,FALSE),MATCH(PROSPECT!D$11,'Enter (Vac BFs TrCl MB'!$F$6:$AU$6,FALSE))),"",(INDEX('Enter (Vac BFs TrCl MB'!$F$7:$AU$37,MATCH(PROSPECT!$B19,'Enter (Vac BFs TrCl MB'!$D$7:$D$37,FALSE),MATCH(PROSPECT!D$11,'Enter (Vac BFs TrCl MB'!$F$6:$AU$6,FALSE))))</f>
        <v>0</v>
      </c>
      <c r="E19" s="153">
        <f>IF(ISERROR(INDEX('Enter (Vac BFs TrCl MB'!$F$7:$AU$37,MATCH(PROSPECT!$B19,'Enter (Vac BFs TrCl MB'!$D$7:$D$37,FALSE),MATCH(PROSPECT!E$11,'Enter (Vac BFs TrCl MB'!$F$6:$AU$6,FALSE))),"",(INDEX('Enter (Vac BFs TrCl MB'!$F$7:$AU$37,MATCH(PROSPECT!$B19,'Enter (Vac BFs TrCl MB'!$D$7:$D$37,FALSE),MATCH(PROSPECT!E$11,'Enter (Vac BFs TrCl MB'!$F$6:$AU$6,FALSE))))</f>
        <v>0</v>
      </c>
      <c r="F19" s="153">
        <f>IF(ISERROR(INDEX('Enter (Vac BFs TrCl MB'!$F$7:$AU$37,MATCH(PROSPECT!$B19,'Enter (Vac BFs TrCl MB'!$D$7:$D$37,FALSE),MATCH(PROSPECT!F$11,'Enter (Vac BFs TrCl MB'!$F$6:$AU$6,FALSE))),"",(INDEX('Enter (Vac BFs TrCl MB'!$F$7:$AU$37,MATCH(PROSPECT!$B19,'Enter (Vac BFs TrCl MB'!$D$7:$D$37,FALSE),MATCH(PROSPECT!F$11,'Enter (Vac BFs TrCl MB'!$F$6:$AU$6,FALSE))))</f>
        <v>0</v>
      </c>
      <c r="G19" s="153">
        <f>IF(ISERROR(INDEX('Enter (Vac BFs TrCl MB'!$F$7:$AU$37,MATCH(PROSPECT!$B19,'Enter (Vac BFs TrCl MB'!$D$7:$D$37,FALSE),MATCH(PROSPECT!G$11,'Enter (Vac BFs TrCl MB'!$F$6:$AU$6,FALSE))),"",(INDEX('Enter (Vac BFs TrCl MB'!$F$7:$AU$37,MATCH(PROSPECT!$B19,'Enter (Vac BFs TrCl MB'!$D$7:$D$37,FALSE),MATCH(PROSPECT!G$11,'Enter (Vac BFs TrCl MB'!$F$6:$AU$6,FALSE))))</f>
        <v>0</v>
      </c>
      <c r="H19" s="153">
        <f>IF(ISERROR(INDEX('Enter (Vac BFs TrCl MB'!$F$7:$AU$37,MATCH(PROSPECT!$B19,'Enter (Vac BFs TrCl MB'!$D$7:$D$37,FALSE),MATCH(PROSPECT!H$11,'Enter (Vac BFs TrCl MB'!$F$6:$AU$6,FALSE))),"",(INDEX('Enter (Vac BFs TrCl MB'!$F$7:$AU$37,MATCH(PROSPECT!$B19,'Enter (Vac BFs TrCl MB'!$D$7:$D$37,FALSE),MATCH(PROSPECT!H$11,'Enter (Vac BFs TrCl MB'!$F$6:$AU$6,FALSE))))</f>
        <v>0</v>
      </c>
      <c r="I19" s="154">
        <f>IF(ISERROR(INDEX('Enter (Vac BFs TrCl MB'!$F$7:$AU$37,MATCH(PROSPECT!$B19,'Enter (Vac BFs TrCl MB'!$D$7:$D$37,FALSE),MATCH(PROSPECT!I$11,'Enter (Vac BFs TrCl MB'!$F$6:$AU$6,FALSE))),"",(INDEX('Enter (Vac BFs TrCl MB'!$F$7:$AU$37,MATCH(PROSPECT!$B19,'Enter (Vac BFs TrCl MB'!$D$7:$D$37,FALSE),MATCH(PROSPECT!I$11,'Enter (Vac BFs TrCl MB'!$F$6:$AU$6,FALSE))))</f>
        <v>0</v>
      </c>
      <c r="J19" s="810"/>
      <c r="K19" s="112" t="str">
        <f>IF('Enter (Vac BFs TrCl MB'!$D13=0,"",'Enter (Vac BFs TrCl MB'!$D13)</f>
        <v>Kiran</v>
      </c>
      <c r="L19" s="153">
        <f>IF(ISERROR(INDEX('Enter (Vac BFs TrCl MB'!$F$7:$AU$37,MATCH(PROSPECT!$B19,'Enter (Vac BFs TrCl MB'!$D$7:$D$37,FALSE),MATCH(PROSPECT!L$11,'Enter (Vac BFs TrCl MB'!$F$6:$AU$6,FALSE))),"",(INDEX('Enter (Vac BFs TrCl MB'!$F$7:$AU$37,MATCH(PROSPECT!$B19,'Enter (Vac BFs TrCl MB'!$D$7:$D$37,FALSE),MATCH(PROSPECT!L$11,'Enter (Vac BFs TrCl MB'!$F$6:$AU$6,FALSE))))</f>
        <v>0</v>
      </c>
      <c r="M19" s="153">
        <f>IF(ISERROR(INDEX('Enter (Vac BFs TrCl MB'!$F$7:$AU$37,MATCH(PROSPECT!$B19,'Enter (Vac BFs TrCl MB'!$D$7:$D$37,FALSE),MATCH(PROSPECT!M$11,'Enter (Vac BFs TrCl MB'!$F$6:$AU$6,FALSE))),"",(INDEX('Enter (Vac BFs TrCl MB'!$F$7:$AU$37,MATCH(PROSPECT!$B19,'Enter (Vac BFs TrCl MB'!$D$7:$D$37,FALSE),MATCH(PROSPECT!M$11,'Enter (Vac BFs TrCl MB'!$F$6:$AU$6,FALSE))))</f>
        <v>0</v>
      </c>
      <c r="N19" s="153">
        <f>IF(ISERROR(INDEX('Enter (Vac BFs TrCl MB'!$F$7:$AU$37,MATCH(PROSPECT!$B19,'Enter (Vac BFs TrCl MB'!$D$7:$D$37,FALSE),MATCH(PROSPECT!N$11,'Enter (Vac BFs TrCl MB'!$F$6:$AU$6,FALSE))),"",(INDEX('Enter (Vac BFs TrCl MB'!$F$7:$AU$37,MATCH(PROSPECT!$B19,'Enter (Vac BFs TrCl MB'!$D$7:$D$37,FALSE),MATCH(PROSPECT!N$11,'Enter (Vac BFs TrCl MB'!$F$6:$AU$6,FALSE))))</f>
        <v>0</v>
      </c>
      <c r="O19" s="153">
        <f>IF(ISERROR(INDEX('Enter (Vac BFs TrCl MB'!$F$7:$AU$37,MATCH(PROSPECT!$B19,'Enter (Vac BFs TrCl MB'!$D$7:$D$37,FALSE),MATCH(PROSPECT!O$11,'Enter (Vac BFs TrCl MB'!$F$6:$AU$6,FALSE))),"",(INDEX('Enter (Vac BFs TrCl MB'!$F$7:$AU$37,MATCH(PROSPECT!$B19,'Enter (Vac BFs TrCl MB'!$D$7:$D$37,FALSE),MATCH(PROSPECT!O$11,'Enter (Vac BFs TrCl MB'!$F$6:$AU$6,FALSE))))</f>
        <v>0</v>
      </c>
      <c r="P19" s="153">
        <f>IF(ISERROR(INDEX('Enter (Vac BFs TrCl MB'!$F$7:$AU$37,MATCH(PROSPECT!$B19,'Enter (Vac BFs TrCl MB'!$D$7:$D$37,FALSE),MATCH(PROSPECT!P$11,'Enter (Vac BFs TrCl MB'!$F$6:$AU$6,FALSE))),"",(INDEX('Enter (Vac BFs TrCl MB'!$F$7:$AU$37,MATCH(PROSPECT!$B19,'Enter (Vac BFs TrCl MB'!$D$7:$D$37,FALSE),MATCH(PROSPECT!P$11,'Enter (Vac BFs TrCl MB'!$F$6:$AU$6,FALSE))))</f>
        <v>0</v>
      </c>
      <c r="Q19" s="153">
        <f>IF(ISERROR(INDEX('Enter (Vac BFs TrCl MB'!$F$7:$AU$37,MATCH(PROSPECT!$B19,'Enter (Vac BFs TrCl MB'!$D$7:$D$37,FALSE),MATCH(PROSPECT!Q$11,'Enter (Vac BFs TrCl MB'!$F$6:$AU$6,FALSE))),"",(INDEX('Enter (Vac BFs TrCl MB'!$F$7:$AU$37,MATCH(PROSPECT!$B19,'Enter (Vac BFs TrCl MB'!$D$7:$D$37,FALSE),MATCH(PROSPECT!Q$11,'Enter (Vac BFs TrCl MB'!$F$6:$AU$6,FALSE))))</f>
        <v>0</v>
      </c>
      <c r="R19" s="154">
        <f>IF(ISERROR(INDEX('Enter (Vac BFs TrCl MB'!$F$7:$AU$37,MATCH(PROSPECT!$B19,'Enter (Vac BFs TrCl MB'!$D$7:$D$37,FALSE),MATCH(PROSPECT!R$11,'Enter (Vac BFs TrCl MB'!$F$6:$AU$6,FALSE))),"",(INDEX('Enter (Vac BFs TrCl MB'!$F$7:$AU$37,MATCH(PROSPECT!$B19,'Enter (Vac BFs TrCl MB'!$D$7:$D$37,FALSE),MATCH(PROSPECT!R$11,'Enter (Vac BFs TrCl MB'!$F$6:$AU$6,FALSE))))</f>
        <v>0</v>
      </c>
      <c r="S19" s="810"/>
      <c r="T19" s="112" t="str">
        <f>IF('Enter (Vac BFs TrCl MB'!$D13=0,"",'Enter (Vac BFs TrCl MB'!$D13)</f>
        <v>Kiran</v>
      </c>
      <c r="U19" s="153">
        <f>IF(ISERROR(INDEX('Enter (Vac BFs TrCl MB'!$F$7:$AU$37,MATCH(PROSPECT!$B19,'Enter (Vac BFs TrCl MB'!$D$7:$D$37,FALSE),MATCH(PROSPECT!U$11,'Enter (Vac BFs TrCl MB'!$F$6:$AU$6,FALSE))),"",(INDEX('Enter (Vac BFs TrCl MB'!$F$7:$AU$37,MATCH(PROSPECT!$B19,'Enter (Vac BFs TrCl MB'!$D$7:$D$37,FALSE),MATCH(PROSPECT!U$11,'Enter (Vac BFs TrCl MB'!$F$6:$AU$6,FALSE))))</f>
        <v>0</v>
      </c>
      <c r="V19" s="153">
        <f>IF(ISERROR(INDEX('Enter (Vac BFs TrCl MB'!$F$7:$AU$37,MATCH(PROSPECT!$B19,'Enter (Vac BFs TrCl MB'!$D$7:$D$37,FALSE),MATCH(PROSPECT!V$11,'Enter (Vac BFs TrCl MB'!$F$6:$AU$6,FALSE))),"",(INDEX('Enter (Vac BFs TrCl MB'!$F$7:$AU$37,MATCH(PROSPECT!$B19,'Enter (Vac BFs TrCl MB'!$D$7:$D$37,FALSE),MATCH(PROSPECT!V$11,'Enter (Vac BFs TrCl MB'!$F$6:$AU$6,FALSE))))</f>
        <v>0</v>
      </c>
      <c r="W19" s="153">
        <f>IF(ISERROR(INDEX('Enter (Vac BFs TrCl MB'!$F$7:$AU$37,MATCH(PROSPECT!$B19,'Enter (Vac BFs TrCl MB'!$D$7:$D$37,FALSE),MATCH(PROSPECT!W$11,'Enter (Vac BFs TrCl MB'!$F$6:$AU$6,FALSE))),"",(INDEX('Enter (Vac BFs TrCl MB'!$F$7:$AU$37,MATCH(PROSPECT!$B19,'Enter (Vac BFs TrCl MB'!$D$7:$D$37,FALSE),MATCH(PROSPECT!W$11,'Enter (Vac BFs TrCl MB'!$F$6:$AU$6,FALSE))))</f>
        <v>0</v>
      </c>
      <c r="X19" s="153">
        <f>IF(ISERROR(INDEX('Enter (Vac BFs TrCl MB'!$F$7:$AU$37,MATCH(PROSPECT!$B19,'Enter (Vac BFs TrCl MB'!$D$7:$D$37,FALSE),MATCH(PROSPECT!X$11,'Enter (Vac BFs TrCl MB'!$F$6:$AU$6,FALSE))),"",(INDEX('Enter (Vac BFs TrCl MB'!$F$7:$AU$37,MATCH(PROSPECT!$B19,'Enter (Vac BFs TrCl MB'!$D$7:$D$37,FALSE),MATCH(PROSPECT!X$11,'Enter (Vac BFs TrCl MB'!$F$6:$AU$6,FALSE))))</f>
        <v>0</v>
      </c>
      <c r="Y19" s="153">
        <f>IF(ISERROR(INDEX('Enter (Vac BFs TrCl MB'!$F$7:$AU$37,MATCH(PROSPECT!$B19,'Enter (Vac BFs TrCl MB'!$D$7:$D$37,FALSE),MATCH(PROSPECT!Y$11,'Enter (Vac BFs TrCl MB'!$F$6:$AU$6,FALSE))),"",(INDEX('Enter (Vac BFs TrCl MB'!$F$7:$AU$37,MATCH(PROSPECT!$B19,'Enter (Vac BFs TrCl MB'!$D$7:$D$37,FALSE),MATCH(PROSPECT!Y$11,'Enter (Vac BFs TrCl MB'!$F$6:$AU$6,FALSE))))</f>
        <v>0</v>
      </c>
      <c r="Z19" s="153">
        <f>IF(ISERROR(INDEX('Enter (Vac BFs TrCl MB'!$F$7:$AU$37,MATCH(PROSPECT!$B19,'Enter (Vac BFs TrCl MB'!$D$7:$D$37,FALSE),MATCH(PROSPECT!Z$11,'Enter (Vac BFs TrCl MB'!$F$6:$AU$6,FALSE))),"",(INDEX('Enter (Vac BFs TrCl MB'!$F$7:$AU$37,MATCH(PROSPECT!$B19,'Enter (Vac BFs TrCl MB'!$D$7:$D$37,FALSE),MATCH(PROSPECT!Z$11,'Enter (Vac BFs TrCl MB'!$F$6:$AU$6,FALSE))))</f>
        <v>0</v>
      </c>
      <c r="AA19" s="154">
        <f>IF(ISERROR(INDEX('Enter (Vac BFs TrCl MB'!$F$7:$AU$37,MATCH(PROSPECT!$B19,'Enter (Vac BFs TrCl MB'!$D$7:$D$37,FALSE),MATCH(PROSPECT!AA$11,'Enter (Vac BFs TrCl MB'!$F$6:$AU$6,FALSE))),"",(INDEX('Enter (Vac BFs TrCl MB'!$F$7:$AU$37,MATCH(PROSPECT!$B19,'Enter (Vac BFs TrCl MB'!$D$7:$D$37,FALSE),MATCH(PROSPECT!AA$11,'Enter (Vac BFs TrCl MB'!$F$6:$AU$6,FALSE))))</f>
        <v>0</v>
      </c>
    </row>
    <row r="20" spans="2:30" ht="15">
      <c r="B20" s="111" t="str">
        <f>IF('Enter (Vac BFs TrCl MB'!$D14=0,"",'Enter (Vac BFs TrCl MB'!$D14)</f>
        <v>Mahshid</v>
      </c>
      <c r="C20" s="153">
        <f>IF(ISERROR(INDEX('Enter (Vac BFs TrCl MB'!$F$7:$AU$37,MATCH(PROSPECT!$B20,'Enter (Vac BFs TrCl MB'!$D$7:$D$37,FALSE),MATCH(PROSPECT!C$11,'Enter (Vac BFs TrCl MB'!$F$6:$AU$6,FALSE))),"",(INDEX('Enter (Vac BFs TrCl MB'!$F$7:$AU$37,MATCH(PROSPECT!$B20,'Enter (Vac BFs TrCl MB'!$D$7:$D$37,FALSE),MATCH(PROSPECT!C$11,'Enter (Vac BFs TrCl MB'!$F$6:$AU$6,FALSE))))</f>
        <v>0</v>
      </c>
      <c r="D20" s="153">
        <f>IF(ISERROR(INDEX('Enter (Vac BFs TrCl MB'!$F$7:$AU$37,MATCH(PROSPECT!$B20,'Enter (Vac BFs TrCl MB'!$D$7:$D$37,FALSE),MATCH(PROSPECT!D$11,'Enter (Vac BFs TrCl MB'!$F$6:$AU$6,FALSE))),"",(INDEX('Enter (Vac BFs TrCl MB'!$F$7:$AU$37,MATCH(PROSPECT!$B20,'Enter (Vac BFs TrCl MB'!$D$7:$D$37,FALSE),MATCH(PROSPECT!D$11,'Enter (Vac BFs TrCl MB'!$F$6:$AU$6,FALSE))))</f>
        <v>0</v>
      </c>
      <c r="E20" s="153">
        <f>IF(ISERROR(INDEX('Enter (Vac BFs TrCl MB'!$F$7:$AU$37,MATCH(PROSPECT!$B20,'Enter (Vac BFs TrCl MB'!$D$7:$D$37,FALSE),MATCH(PROSPECT!E$11,'Enter (Vac BFs TrCl MB'!$F$6:$AU$6,FALSE))),"",(INDEX('Enter (Vac BFs TrCl MB'!$F$7:$AU$37,MATCH(PROSPECT!$B20,'Enter (Vac BFs TrCl MB'!$D$7:$D$37,FALSE),MATCH(PROSPECT!E$11,'Enter (Vac BFs TrCl MB'!$F$6:$AU$6,FALSE))))</f>
        <v>0</v>
      </c>
      <c r="F20" s="153">
        <f>IF(ISERROR(INDEX('Enter (Vac BFs TrCl MB'!$F$7:$AU$37,MATCH(PROSPECT!$B20,'Enter (Vac BFs TrCl MB'!$D$7:$D$37,FALSE),MATCH(PROSPECT!F$11,'Enter (Vac BFs TrCl MB'!$F$6:$AU$6,FALSE))),"",(INDEX('Enter (Vac BFs TrCl MB'!$F$7:$AU$37,MATCH(PROSPECT!$B20,'Enter (Vac BFs TrCl MB'!$D$7:$D$37,FALSE),MATCH(PROSPECT!F$11,'Enter (Vac BFs TrCl MB'!$F$6:$AU$6,FALSE))))</f>
        <v>0</v>
      </c>
      <c r="G20" s="153">
        <f>IF(ISERROR(INDEX('Enter (Vac BFs TrCl MB'!$F$7:$AU$37,MATCH(PROSPECT!$B20,'Enter (Vac BFs TrCl MB'!$D$7:$D$37,FALSE),MATCH(PROSPECT!G$11,'Enter (Vac BFs TrCl MB'!$F$6:$AU$6,FALSE))),"",(INDEX('Enter (Vac BFs TrCl MB'!$F$7:$AU$37,MATCH(PROSPECT!$B20,'Enter (Vac BFs TrCl MB'!$D$7:$D$37,FALSE),MATCH(PROSPECT!G$11,'Enter (Vac BFs TrCl MB'!$F$6:$AU$6,FALSE))))</f>
        <v>0</v>
      </c>
      <c r="H20" s="153">
        <f>IF(ISERROR(INDEX('Enter (Vac BFs TrCl MB'!$F$7:$AU$37,MATCH(PROSPECT!$B20,'Enter (Vac BFs TrCl MB'!$D$7:$D$37,FALSE),MATCH(PROSPECT!H$11,'Enter (Vac BFs TrCl MB'!$F$6:$AU$6,FALSE))),"",(INDEX('Enter (Vac BFs TrCl MB'!$F$7:$AU$37,MATCH(PROSPECT!$B20,'Enter (Vac BFs TrCl MB'!$D$7:$D$37,FALSE),MATCH(PROSPECT!H$11,'Enter (Vac BFs TrCl MB'!$F$6:$AU$6,FALSE))))</f>
        <v>0</v>
      </c>
      <c r="I20" s="154">
        <f>IF(ISERROR(INDEX('Enter (Vac BFs TrCl MB'!$F$7:$AU$37,MATCH(PROSPECT!$B20,'Enter (Vac BFs TrCl MB'!$D$7:$D$37,FALSE),MATCH(PROSPECT!I$11,'Enter (Vac BFs TrCl MB'!$F$6:$AU$6,FALSE))),"",(INDEX('Enter (Vac BFs TrCl MB'!$F$7:$AU$37,MATCH(PROSPECT!$B20,'Enter (Vac BFs TrCl MB'!$D$7:$D$37,FALSE),MATCH(PROSPECT!I$11,'Enter (Vac BFs TrCl MB'!$F$6:$AU$6,FALSE))))</f>
        <v>0</v>
      </c>
      <c r="J20" s="810"/>
      <c r="K20" s="112" t="str">
        <f>IF('Enter (Vac BFs TrCl MB'!$D14=0,"",'Enter (Vac BFs TrCl MB'!$D14)</f>
        <v>Mahshid</v>
      </c>
      <c r="L20" s="153">
        <f>IF(ISERROR(INDEX('Enter (Vac BFs TrCl MB'!$F$7:$AU$37,MATCH(PROSPECT!$B20,'Enter (Vac BFs TrCl MB'!$D$7:$D$37,FALSE),MATCH(PROSPECT!L$11,'Enter (Vac BFs TrCl MB'!$F$6:$AU$6,FALSE))),"",(INDEX('Enter (Vac BFs TrCl MB'!$F$7:$AU$37,MATCH(PROSPECT!$B20,'Enter (Vac BFs TrCl MB'!$D$7:$D$37,FALSE),MATCH(PROSPECT!L$11,'Enter (Vac BFs TrCl MB'!$F$6:$AU$6,FALSE))))</f>
        <v>0</v>
      </c>
      <c r="M20" s="153">
        <f>IF(ISERROR(INDEX('Enter (Vac BFs TrCl MB'!$F$7:$AU$37,MATCH(PROSPECT!$B20,'Enter (Vac BFs TrCl MB'!$D$7:$D$37,FALSE),MATCH(PROSPECT!M$11,'Enter (Vac BFs TrCl MB'!$F$6:$AU$6,FALSE))),"",(INDEX('Enter (Vac BFs TrCl MB'!$F$7:$AU$37,MATCH(PROSPECT!$B20,'Enter (Vac BFs TrCl MB'!$D$7:$D$37,FALSE),MATCH(PROSPECT!M$11,'Enter (Vac BFs TrCl MB'!$F$6:$AU$6,FALSE))))</f>
        <v>0</v>
      </c>
      <c r="N20" s="153">
        <f>IF(ISERROR(INDEX('Enter (Vac BFs TrCl MB'!$F$7:$AU$37,MATCH(PROSPECT!$B20,'Enter (Vac BFs TrCl MB'!$D$7:$D$37,FALSE),MATCH(PROSPECT!N$11,'Enter (Vac BFs TrCl MB'!$F$6:$AU$6,FALSE))),"",(INDEX('Enter (Vac BFs TrCl MB'!$F$7:$AU$37,MATCH(PROSPECT!$B20,'Enter (Vac BFs TrCl MB'!$D$7:$D$37,FALSE),MATCH(PROSPECT!N$11,'Enter (Vac BFs TrCl MB'!$F$6:$AU$6,FALSE))))</f>
        <v>0</v>
      </c>
      <c r="O20" s="153">
        <f>IF(ISERROR(INDEX('Enter (Vac BFs TrCl MB'!$F$7:$AU$37,MATCH(PROSPECT!$B20,'Enter (Vac BFs TrCl MB'!$D$7:$D$37,FALSE),MATCH(PROSPECT!O$11,'Enter (Vac BFs TrCl MB'!$F$6:$AU$6,FALSE))),"",(INDEX('Enter (Vac BFs TrCl MB'!$F$7:$AU$37,MATCH(PROSPECT!$B20,'Enter (Vac BFs TrCl MB'!$D$7:$D$37,FALSE),MATCH(PROSPECT!O$11,'Enter (Vac BFs TrCl MB'!$F$6:$AU$6,FALSE))))</f>
        <v>0</v>
      </c>
      <c r="P20" s="153">
        <f>IF(ISERROR(INDEX('Enter (Vac BFs TrCl MB'!$F$7:$AU$37,MATCH(PROSPECT!$B20,'Enter (Vac BFs TrCl MB'!$D$7:$D$37,FALSE),MATCH(PROSPECT!P$11,'Enter (Vac BFs TrCl MB'!$F$6:$AU$6,FALSE))),"",(INDEX('Enter (Vac BFs TrCl MB'!$F$7:$AU$37,MATCH(PROSPECT!$B20,'Enter (Vac BFs TrCl MB'!$D$7:$D$37,FALSE),MATCH(PROSPECT!P$11,'Enter (Vac BFs TrCl MB'!$F$6:$AU$6,FALSE))))</f>
        <v>0</v>
      </c>
      <c r="Q20" s="153" t="str">
        <f>IF(ISERROR(INDEX('Enter (Vac BFs TrCl MB'!$F$7:$AU$37,MATCH(PROSPECT!$B20,'Enter (Vac BFs TrCl MB'!$D$7:$D$37,FALSE),MATCH(PROSPECT!Q$11,'Enter (Vac BFs TrCl MB'!$F$6:$AU$6,FALSE))),"",(INDEX('Enter (Vac BFs TrCl MB'!$F$7:$AU$37,MATCH(PROSPECT!$B20,'Enter (Vac BFs TrCl MB'!$D$7:$D$37,FALSE),MATCH(PROSPECT!Q$11,'Enter (Vac BFs TrCl MB'!$F$6:$AU$6,FALSE))))</f>
        <v>XX</v>
      </c>
      <c r="R20" s="154" t="str">
        <f>IF(ISERROR(INDEX('Enter (Vac BFs TrCl MB'!$F$7:$AU$37,MATCH(PROSPECT!$B20,'Enter (Vac BFs TrCl MB'!$D$7:$D$37,FALSE),MATCH(PROSPECT!R$11,'Enter (Vac BFs TrCl MB'!$F$6:$AU$6,FALSE))),"",(INDEX('Enter (Vac BFs TrCl MB'!$F$7:$AU$37,MATCH(PROSPECT!$B20,'Enter (Vac BFs TrCl MB'!$D$7:$D$37,FALSE),MATCH(PROSPECT!R$11,'Enter (Vac BFs TrCl MB'!$F$6:$AU$6,FALSE))))</f>
        <v>XX</v>
      </c>
      <c r="S20" s="810"/>
      <c r="T20" s="112" t="str">
        <f>IF('Enter (Vac BFs TrCl MB'!$D14=0,"",'Enter (Vac BFs TrCl MB'!$D14)</f>
        <v>Mahshid</v>
      </c>
      <c r="U20" s="153">
        <f>IF(ISERROR(INDEX('Enter (Vac BFs TrCl MB'!$F$7:$AU$37,MATCH(PROSPECT!$B20,'Enter (Vac BFs TrCl MB'!$D$7:$D$37,FALSE),MATCH(PROSPECT!U$11,'Enter (Vac BFs TrCl MB'!$F$6:$AU$6,FALSE))),"",(INDEX('Enter (Vac BFs TrCl MB'!$F$7:$AU$37,MATCH(PROSPECT!$B20,'Enter (Vac BFs TrCl MB'!$D$7:$D$37,FALSE),MATCH(PROSPECT!U$11,'Enter (Vac BFs TrCl MB'!$F$6:$AU$6,FALSE))))</f>
        <v>0</v>
      </c>
      <c r="V20" s="153">
        <f>IF(ISERROR(INDEX('Enter (Vac BFs TrCl MB'!$F$7:$AU$37,MATCH(PROSPECT!$B20,'Enter (Vac BFs TrCl MB'!$D$7:$D$37,FALSE),MATCH(PROSPECT!V$11,'Enter (Vac BFs TrCl MB'!$F$6:$AU$6,FALSE))),"",(INDEX('Enter (Vac BFs TrCl MB'!$F$7:$AU$37,MATCH(PROSPECT!$B20,'Enter (Vac BFs TrCl MB'!$D$7:$D$37,FALSE),MATCH(PROSPECT!V$11,'Enter (Vac BFs TrCl MB'!$F$6:$AU$6,FALSE))))</f>
        <v>0</v>
      </c>
      <c r="W20" s="153">
        <f>IF(ISERROR(INDEX('Enter (Vac BFs TrCl MB'!$F$7:$AU$37,MATCH(PROSPECT!$B20,'Enter (Vac BFs TrCl MB'!$D$7:$D$37,FALSE),MATCH(PROSPECT!W$11,'Enter (Vac BFs TrCl MB'!$F$6:$AU$6,FALSE))),"",(INDEX('Enter (Vac BFs TrCl MB'!$F$7:$AU$37,MATCH(PROSPECT!$B20,'Enter (Vac BFs TrCl MB'!$D$7:$D$37,FALSE),MATCH(PROSPECT!W$11,'Enter (Vac BFs TrCl MB'!$F$6:$AU$6,FALSE))))</f>
        <v>0</v>
      </c>
      <c r="X20" s="153">
        <f>IF(ISERROR(INDEX('Enter (Vac BFs TrCl MB'!$F$7:$AU$37,MATCH(PROSPECT!$B20,'Enter (Vac BFs TrCl MB'!$D$7:$D$37,FALSE),MATCH(PROSPECT!X$11,'Enter (Vac BFs TrCl MB'!$F$6:$AU$6,FALSE))),"",(INDEX('Enter (Vac BFs TrCl MB'!$F$7:$AU$37,MATCH(PROSPECT!$B20,'Enter (Vac BFs TrCl MB'!$D$7:$D$37,FALSE),MATCH(PROSPECT!X$11,'Enter (Vac BFs TrCl MB'!$F$6:$AU$6,FALSE))))</f>
        <v>0</v>
      </c>
      <c r="Y20" s="153">
        <f>IF(ISERROR(INDEX('Enter (Vac BFs TrCl MB'!$F$7:$AU$37,MATCH(PROSPECT!$B20,'Enter (Vac BFs TrCl MB'!$D$7:$D$37,FALSE),MATCH(PROSPECT!Y$11,'Enter (Vac BFs TrCl MB'!$F$6:$AU$6,FALSE))),"",(INDEX('Enter (Vac BFs TrCl MB'!$F$7:$AU$37,MATCH(PROSPECT!$B20,'Enter (Vac BFs TrCl MB'!$D$7:$D$37,FALSE),MATCH(PROSPECT!Y$11,'Enter (Vac BFs TrCl MB'!$F$6:$AU$6,FALSE))))</f>
        <v>0</v>
      </c>
      <c r="Z20" s="153">
        <f>IF(ISERROR(INDEX('Enter (Vac BFs TrCl MB'!$F$7:$AU$37,MATCH(PROSPECT!$B20,'Enter (Vac BFs TrCl MB'!$D$7:$D$37,FALSE),MATCH(PROSPECT!Z$11,'Enter (Vac BFs TrCl MB'!$F$6:$AU$6,FALSE))),"",(INDEX('Enter (Vac BFs TrCl MB'!$F$7:$AU$37,MATCH(PROSPECT!$B20,'Enter (Vac BFs TrCl MB'!$D$7:$D$37,FALSE),MATCH(PROSPECT!Z$11,'Enter (Vac BFs TrCl MB'!$F$6:$AU$6,FALSE))))</f>
        <v>0</v>
      </c>
      <c r="AA20" s="154">
        <f>IF(ISERROR(INDEX('Enter (Vac BFs TrCl MB'!$F$7:$AU$37,MATCH(PROSPECT!$B20,'Enter (Vac BFs TrCl MB'!$D$7:$D$37,FALSE),MATCH(PROSPECT!AA$11,'Enter (Vac BFs TrCl MB'!$F$6:$AU$6,FALSE))),"",(INDEX('Enter (Vac BFs TrCl MB'!$F$7:$AU$37,MATCH(PROSPECT!$B20,'Enter (Vac BFs TrCl MB'!$D$7:$D$37,FALSE),MATCH(PROSPECT!AA$11,'Enter (Vac BFs TrCl MB'!$F$6:$AU$6,FALSE))))</f>
        <v>0</v>
      </c>
    </row>
    <row r="21" spans="2:30" ht="15">
      <c r="B21" s="111" t="str">
        <f>IF('Enter (Vac BFs TrCl MB'!$D15=0,"",'Enter (Vac BFs TrCl MB'!$D15)</f>
        <v>Harry</v>
      </c>
      <c r="C21" s="153">
        <f>IF(ISERROR(INDEX('Enter (Vac BFs TrCl MB'!$F$7:$AU$37,MATCH(PROSPECT!$B21,'Enter (Vac BFs TrCl MB'!$D$7:$D$37,FALSE),MATCH(PROSPECT!C$11,'Enter (Vac BFs TrCl MB'!$F$6:$AU$6,FALSE))),"",(INDEX('Enter (Vac BFs TrCl MB'!$F$7:$AU$37,MATCH(PROSPECT!$B21,'Enter (Vac BFs TrCl MB'!$D$7:$D$37,FALSE),MATCH(PROSPECT!C$11,'Enter (Vac BFs TrCl MB'!$F$6:$AU$6,FALSE))))</f>
        <v>0</v>
      </c>
      <c r="D21" s="153">
        <f>IF(ISERROR(INDEX('Enter (Vac BFs TrCl MB'!$F$7:$AU$37,MATCH(PROSPECT!$B21,'Enter (Vac BFs TrCl MB'!$D$7:$D$37,FALSE),MATCH(PROSPECT!D$11,'Enter (Vac BFs TrCl MB'!$F$6:$AU$6,FALSE))),"",(INDEX('Enter (Vac BFs TrCl MB'!$F$7:$AU$37,MATCH(PROSPECT!$B21,'Enter (Vac BFs TrCl MB'!$D$7:$D$37,FALSE),MATCH(PROSPECT!D$11,'Enter (Vac BFs TrCl MB'!$F$6:$AU$6,FALSE))))</f>
        <v>0</v>
      </c>
      <c r="E21" s="153">
        <f>IF(ISERROR(INDEX('Enter (Vac BFs TrCl MB'!$F$7:$AU$37,MATCH(PROSPECT!$B21,'Enter (Vac BFs TrCl MB'!$D$7:$D$37,FALSE),MATCH(PROSPECT!E$11,'Enter (Vac BFs TrCl MB'!$F$6:$AU$6,FALSE))),"",(INDEX('Enter (Vac BFs TrCl MB'!$F$7:$AU$37,MATCH(PROSPECT!$B21,'Enter (Vac BFs TrCl MB'!$D$7:$D$37,FALSE),MATCH(PROSPECT!E$11,'Enter (Vac BFs TrCl MB'!$F$6:$AU$6,FALSE))))</f>
        <v>0</v>
      </c>
      <c r="F21" s="153">
        <f>IF(ISERROR(INDEX('Enter (Vac BFs TrCl MB'!$F$7:$AU$37,MATCH(PROSPECT!$B21,'Enter (Vac BFs TrCl MB'!$D$7:$D$37,FALSE),MATCH(PROSPECT!F$11,'Enter (Vac BFs TrCl MB'!$F$6:$AU$6,FALSE))),"",(INDEX('Enter (Vac BFs TrCl MB'!$F$7:$AU$37,MATCH(PROSPECT!$B21,'Enter (Vac BFs TrCl MB'!$D$7:$D$37,FALSE),MATCH(PROSPECT!F$11,'Enter (Vac BFs TrCl MB'!$F$6:$AU$6,FALSE))))</f>
        <v>0</v>
      </c>
      <c r="G21" s="153">
        <f>IF(ISERROR(INDEX('Enter (Vac BFs TrCl MB'!$F$7:$AU$37,MATCH(PROSPECT!$B21,'Enter (Vac BFs TrCl MB'!$D$7:$D$37,FALSE),MATCH(PROSPECT!G$11,'Enter (Vac BFs TrCl MB'!$F$6:$AU$6,FALSE))),"",(INDEX('Enter (Vac BFs TrCl MB'!$F$7:$AU$37,MATCH(PROSPECT!$B21,'Enter (Vac BFs TrCl MB'!$D$7:$D$37,FALSE),MATCH(PROSPECT!G$11,'Enter (Vac BFs TrCl MB'!$F$6:$AU$6,FALSE))))</f>
        <v>0</v>
      </c>
      <c r="H21" s="153">
        <f>IF(ISERROR(INDEX('Enter (Vac BFs TrCl MB'!$F$7:$AU$37,MATCH(PROSPECT!$B21,'Enter (Vac BFs TrCl MB'!$D$7:$D$37,FALSE),MATCH(PROSPECT!H$11,'Enter (Vac BFs TrCl MB'!$F$6:$AU$6,FALSE))),"",(INDEX('Enter (Vac BFs TrCl MB'!$F$7:$AU$37,MATCH(PROSPECT!$B21,'Enter (Vac BFs TrCl MB'!$D$7:$D$37,FALSE),MATCH(PROSPECT!H$11,'Enter (Vac BFs TrCl MB'!$F$6:$AU$6,FALSE))))</f>
        <v>0</v>
      </c>
      <c r="I21" s="154">
        <f>IF(ISERROR(INDEX('Enter (Vac BFs TrCl MB'!$F$7:$AU$37,MATCH(PROSPECT!$B21,'Enter (Vac BFs TrCl MB'!$D$7:$D$37,FALSE),MATCH(PROSPECT!I$11,'Enter (Vac BFs TrCl MB'!$F$6:$AU$6,FALSE))),"",(INDEX('Enter (Vac BFs TrCl MB'!$F$7:$AU$37,MATCH(PROSPECT!$B21,'Enter (Vac BFs TrCl MB'!$D$7:$D$37,FALSE),MATCH(PROSPECT!I$11,'Enter (Vac BFs TrCl MB'!$F$6:$AU$6,FALSE))))</f>
        <v>0</v>
      </c>
      <c r="J21" s="810"/>
      <c r="K21" s="112" t="str">
        <f>IF('Enter (Vac BFs TrCl MB'!$D15=0,"",'Enter (Vac BFs TrCl MB'!$D15)</f>
        <v>Harry</v>
      </c>
      <c r="L21" s="153">
        <f>IF(ISERROR(INDEX('Enter (Vac BFs TrCl MB'!$F$7:$AU$37,MATCH(PROSPECT!$B21,'Enter (Vac BFs TrCl MB'!$D$7:$D$37,FALSE),MATCH(PROSPECT!L$11,'Enter (Vac BFs TrCl MB'!$F$6:$AU$6,FALSE))),"",(INDEX('Enter (Vac BFs TrCl MB'!$F$7:$AU$37,MATCH(PROSPECT!$B21,'Enter (Vac BFs TrCl MB'!$D$7:$D$37,FALSE),MATCH(PROSPECT!L$11,'Enter (Vac BFs TrCl MB'!$F$6:$AU$6,FALSE))))</f>
        <v>0</v>
      </c>
      <c r="M21" s="153">
        <f>IF(ISERROR(INDEX('Enter (Vac BFs TrCl MB'!$F$7:$AU$37,MATCH(PROSPECT!$B21,'Enter (Vac BFs TrCl MB'!$D$7:$D$37,FALSE),MATCH(PROSPECT!M$11,'Enter (Vac BFs TrCl MB'!$F$6:$AU$6,FALSE))),"",(INDEX('Enter (Vac BFs TrCl MB'!$F$7:$AU$37,MATCH(PROSPECT!$B21,'Enter (Vac BFs TrCl MB'!$D$7:$D$37,FALSE),MATCH(PROSPECT!M$11,'Enter (Vac BFs TrCl MB'!$F$6:$AU$6,FALSE))))</f>
        <v>0</v>
      </c>
      <c r="N21" s="153">
        <f>IF(ISERROR(INDEX('Enter (Vac BFs TrCl MB'!$F$7:$AU$37,MATCH(PROSPECT!$B21,'Enter (Vac BFs TrCl MB'!$D$7:$D$37,FALSE),MATCH(PROSPECT!N$11,'Enter (Vac BFs TrCl MB'!$F$6:$AU$6,FALSE))),"",(INDEX('Enter (Vac BFs TrCl MB'!$F$7:$AU$37,MATCH(PROSPECT!$B21,'Enter (Vac BFs TrCl MB'!$D$7:$D$37,FALSE),MATCH(PROSPECT!N$11,'Enter (Vac BFs TrCl MB'!$F$6:$AU$6,FALSE))))</f>
        <v>0</v>
      </c>
      <c r="O21" s="153">
        <f>IF(ISERROR(INDEX('Enter (Vac BFs TrCl MB'!$F$7:$AU$37,MATCH(PROSPECT!$B21,'Enter (Vac BFs TrCl MB'!$D$7:$D$37,FALSE),MATCH(PROSPECT!O$11,'Enter (Vac BFs TrCl MB'!$F$6:$AU$6,FALSE))),"",(INDEX('Enter (Vac BFs TrCl MB'!$F$7:$AU$37,MATCH(PROSPECT!$B21,'Enter (Vac BFs TrCl MB'!$D$7:$D$37,FALSE),MATCH(PROSPECT!O$11,'Enter (Vac BFs TrCl MB'!$F$6:$AU$6,FALSE))))</f>
        <v>0</v>
      </c>
      <c r="P21" s="153">
        <f>IF(ISERROR(INDEX('Enter (Vac BFs TrCl MB'!$F$7:$AU$37,MATCH(PROSPECT!$B21,'Enter (Vac BFs TrCl MB'!$D$7:$D$37,FALSE),MATCH(PROSPECT!P$11,'Enter (Vac BFs TrCl MB'!$F$6:$AU$6,FALSE))),"",(INDEX('Enter (Vac BFs TrCl MB'!$F$7:$AU$37,MATCH(PROSPECT!$B21,'Enter (Vac BFs TrCl MB'!$D$7:$D$37,FALSE),MATCH(PROSPECT!P$11,'Enter (Vac BFs TrCl MB'!$F$6:$AU$6,FALSE))))</f>
        <v>0</v>
      </c>
      <c r="Q21" s="153">
        <f>IF(ISERROR(INDEX('Enter (Vac BFs TrCl MB'!$F$7:$AU$37,MATCH(PROSPECT!$B21,'Enter (Vac BFs TrCl MB'!$D$7:$D$37,FALSE),MATCH(PROSPECT!Q$11,'Enter (Vac BFs TrCl MB'!$F$6:$AU$6,FALSE))),"",(INDEX('Enter (Vac BFs TrCl MB'!$F$7:$AU$37,MATCH(PROSPECT!$B21,'Enter (Vac BFs TrCl MB'!$D$7:$D$37,FALSE),MATCH(PROSPECT!Q$11,'Enter (Vac BFs TrCl MB'!$F$6:$AU$6,FALSE))))</f>
        <v>0</v>
      </c>
      <c r="R21" s="154">
        <f>IF(ISERROR(INDEX('Enter (Vac BFs TrCl MB'!$F$7:$AU$37,MATCH(PROSPECT!$B21,'Enter (Vac BFs TrCl MB'!$D$7:$D$37,FALSE),MATCH(PROSPECT!R$11,'Enter (Vac BFs TrCl MB'!$F$6:$AU$6,FALSE))),"",(INDEX('Enter (Vac BFs TrCl MB'!$F$7:$AU$37,MATCH(PROSPECT!$B21,'Enter (Vac BFs TrCl MB'!$D$7:$D$37,FALSE),MATCH(PROSPECT!R$11,'Enter (Vac BFs TrCl MB'!$F$6:$AU$6,FALSE))))</f>
        <v>0</v>
      </c>
      <c r="S21" s="810"/>
      <c r="T21" s="112" t="str">
        <f>IF('Enter (Vac BFs TrCl MB'!$D15=0,"",'Enter (Vac BFs TrCl MB'!$D15)</f>
        <v>Harry</v>
      </c>
      <c r="U21" s="153">
        <f>IF(ISERROR(INDEX('Enter (Vac BFs TrCl MB'!$F$7:$AU$37,MATCH(PROSPECT!$B21,'Enter (Vac BFs TrCl MB'!$D$7:$D$37,FALSE),MATCH(PROSPECT!U$11,'Enter (Vac BFs TrCl MB'!$F$6:$AU$6,FALSE))),"",(INDEX('Enter (Vac BFs TrCl MB'!$F$7:$AU$37,MATCH(PROSPECT!$B21,'Enter (Vac BFs TrCl MB'!$D$7:$D$37,FALSE),MATCH(PROSPECT!U$11,'Enter (Vac BFs TrCl MB'!$F$6:$AU$6,FALSE))))</f>
        <v>0</v>
      </c>
      <c r="V21" s="153">
        <f>IF(ISERROR(INDEX('Enter (Vac BFs TrCl MB'!$F$7:$AU$37,MATCH(PROSPECT!$B21,'Enter (Vac BFs TrCl MB'!$D$7:$D$37,FALSE),MATCH(PROSPECT!V$11,'Enter (Vac BFs TrCl MB'!$F$6:$AU$6,FALSE))),"",(INDEX('Enter (Vac BFs TrCl MB'!$F$7:$AU$37,MATCH(PROSPECT!$B21,'Enter (Vac BFs TrCl MB'!$D$7:$D$37,FALSE),MATCH(PROSPECT!V$11,'Enter (Vac BFs TrCl MB'!$F$6:$AU$6,FALSE))))</f>
        <v>0</v>
      </c>
      <c r="W21" s="153">
        <f>IF(ISERROR(INDEX('Enter (Vac BFs TrCl MB'!$F$7:$AU$37,MATCH(PROSPECT!$B21,'Enter (Vac BFs TrCl MB'!$D$7:$D$37,FALSE),MATCH(PROSPECT!W$11,'Enter (Vac BFs TrCl MB'!$F$6:$AU$6,FALSE))),"",(INDEX('Enter (Vac BFs TrCl MB'!$F$7:$AU$37,MATCH(PROSPECT!$B21,'Enter (Vac BFs TrCl MB'!$D$7:$D$37,FALSE),MATCH(PROSPECT!W$11,'Enter (Vac BFs TrCl MB'!$F$6:$AU$6,FALSE))))</f>
        <v>0</v>
      </c>
      <c r="X21" s="153">
        <f>IF(ISERROR(INDEX('Enter (Vac BFs TrCl MB'!$F$7:$AU$37,MATCH(PROSPECT!$B21,'Enter (Vac BFs TrCl MB'!$D$7:$D$37,FALSE),MATCH(PROSPECT!X$11,'Enter (Vac BFs TrCl MB'!$F$6:$AU$6,FALSE))),"",(INDEX('Enter (Vac BFs TrCl MB'!$F$7:$AU$37,MATCH(PROSPECT!$B21,'Enter (Vac BFs TrCl MB'!$D$7:$D$37,FALSE),MATCH(PROSPECT!X$11,'Enter (Vac BFs TrCl MB'!$F$6:$AU$6,FALSE))))</f>
        <v>0</v>
      </c>
      <c r="Y21" s="153">
        <f>IF(ISERROR(INDEX('Enter (Vac BFs TrCl MB'!$F$7:$AU$37,MATCH(PROSPECT!$B21,'Enter (Vac BFs TrCl MB'!$D$7:$D$37,FALSE),MATCH(PROSPECT!Y$11,'Enter (Vac BFs TrCl MB'!$F$6:$AU$6,FALSE))),"",(INDEX('Enter (Vac BFs TrCl MB'!$F$7:$AU$37,MATCH(PROSPECT!$B21,'Enter (Vac BFs TrCl MB'!$D$7:$D$37,FALSE),MATCH(PROSPECT!Y$11,'Enter (Vac BFs TrCl MB'!$F$6:$AU$6,FALSE))))</f>
        <v>0</v>
      </c>
      <c r="Z21" s="153" t="str">
        <f>IF(ISERROR(INDEX('Enter (Vac BFs TrCl MB'!$F$7:$AU$37,MATCH(PROSPECT!$B21,'Enter (Vac BFs TrCl MB'!$D$7:$D$37,FALSE),MATCH(PROSPECT!Z$11,'Enter (Vac BFs TrCl MB'!$F$6:$AU$6,FALSE))),"",(INDEX('Enter (Vac BFs TrCl MB'!$F$7:$AU$37,MATCH(PROSPECT!$B21,'Enter (Vac BFs TrCl MB'!$D$7:$D$37,FALSE),MATCH(PROSPECT!Z$11,'Enter (Vac BFs TrCl MB'!$F$6:$AU$6,FALSE))))</f>
        <v>XX</v>
      </c>
      <c r="AA21" s="154" t="str">
        <f>IF(ISERROR(INDEX('Enter (Vac BFs TrCl MB'!$F$7:$AU$37,MATCH(PROSPECT!$B21,'Enter (Vac BFs TrCl MB'!$D$7:$D$37,FALSE),MATCH(PROSPECT!AA$11,'Enter (Vac BFs TrCl MB'!$F$6:$AU$6,FALSE))),"",(INDEX('Enter (Vac BFs TrCl MB'!$F$7:$AU$37,MATCH(PROSPECT!$B21,'Enter (Vac BFs TrCl MB'!$D$7:$D$37,FALSE),MATCH(PROSPECT!AA$11,'Enter (Vac BFs TrCl MB'!$F$6:$AU$6,FALSE))))</f>
        <v>XX</v>
      </c>
    </row>
    <row r="22" spans="2:30" ht="15">
      <c r="B22" s="111" t="str">
        <f>IF('Enter (Vac BFs TrCl MB'!$D16=0,"",'Enter (Vac BFs TrCl MB'!$D16)</f>
        <v>Parm</v>
      </c>
      <c r="C22" s="153">
        <f>IF(ISERROR(INDEX('Enter (Vac BFs TrCl MB'!$F$7:$AU$37,MATCH(PROSPECT!$B22,'Enter (Vac BFs TrCl MB'!$D$7:$D$37,FALSE),MATCH(PROSPECT!C$11,'Enter (Vac BFs TrCl MB'!$F$6:$AU$6,FALSE))),"",(INDEX('Enter (Vac BFs TrCl MB'!$F$7:$AU$37,MATCH(PROSPECT!$B22,'Enter (Vac BFs TrCl MB'!$D$7:$D$37,FALSE),MATCH(PROSPECT!C$11,'Enter (Vac BFs TrCl MB'!$F$6:$AU$6,FALSE))))</f>
        <v>0</v>
      </c>
      <c r="D22" s="153">
        <f>IF(ISERROR(INDEX('Enter (Vac BFs TrCl MB'!$F$7:$AU$37,MATCH(PROSPECT!$B22,'Enter (Vac BFs TrCl MB'!$D$7:$D$37,FALSE),MATCH(PROSPECT!D$11,'Enter (Vac BFs TrCl MB'!$F$6:$AU$6,FALSE))),"",(INDEX('Enter (Vac BFs TrCl MB'!$F$7:$AU$37,MATCH(PROSPECT!$B22,'Enter (Vac BFs TrCl MB'!$D$7:$D$37,FALSE),MATCH(PROSPECT!D$11,'Enter (Vac BFs TrCl MB'!$F$6:$AU$6,FALSE))))</f>
        <v>0</v>
      </c>
      <c r="E22" s="153">
        <f>IF(ISERROR(INDEX('Enter (Vac BFs TrCl MB'!$F$7:$AU$37,MATCH(PROSPECT!$B22,'Enter (Vac BFs TrCl MB'!$D$7:$D$37,FALSE),MATCH(PROSPECT!E$11,'Enter (Vac BFs TrCl MB'!$F$6:$AU$6,FALSE))),"",(INDEX('Enter (Vac BFs TrCl MB'!$F$7:$AU$37,MATCH(PROSPECT!$B22,'Enter (Vac BFs TrCl MB'!$D$7:$D$37,FALSE),MATCH(PROSPECT!E$11,'Enter (Vac BFs TrCl MB'!$F$6:$AU$6,FALSE))))</f>
        <v>0</v>
      </c>
      <c r="F22" s="153">
        <f>IF(ISERROR(INDEX('Enter (Vac BFs TrCl MB'!$F$7:$AU$37,MATCH(PROSPECT!$B22,'Enter (Vac BFs TrCl MB'!$D$7:$D$37,FALSE),MATCH(PROSPECT!F$11,'Enter (Vac BFs TrCl MB'!$F$6:$AU$6,FALSE))),"",(INDEX('Enter (Vac BFs TrCl MB'!$F$7:$AU$37,MATCH(PROSPECT!$B22,'Enter (Vac BFs TrCl MB'!$D$7:$D$37,FALSE),MATCH(PROSPECT!F$11,'Enter (Vac BFs TrCl MB'!$F$6:$AU$6,FALSE))))</f>
        <v>0</v>
      </c>
      <c r="G22" s="153">
        <f>IF(ISERROR(INDEX('Enter (Vac BFs TrCl MB'!$F$7:$AU$37,MATCH(PROSPECT!$B22,'Enter (Vac BFs TrCl MB'!$D$7:$D$37,FALSE),MATCH(PROSPECT!G$11,'Enter (Vac BFs TrCl MB'!$F$6:$AU$6,FALSE))),"",(INDEX('Enter (Vac BFs TrCl MB'!$F$7:$AU$37,MATCH(PROSPECT!$B22,'Enter (Vac BFs TrCl MB'!$D$7:$D$37,FALSE),MATCH(PROSPECT!G$11,'Enter (Vac BFs TrCl MB'!$F$6:$AU$6,FALSE))))</f>
        <v>0</v>
      </c>
      <c r="H22" s="153">
        <f>IF(ISERROR(INDEX('Enter (Vac BFs TrCl MB'!$F$7:$AU$37,MATCH(PROSPECT!$B22,'Enter (Vac BFs TrCl MB'!$D$7:$D$37,FALSE),MATCH(PROSPECT!H$11,'Enter (Vac BFs TrCl MB'!$F$6:$AU$6,FALSE))),"",(INDEX('Enter (Vac BFs TrCl MB'!$F$7:$AU$37,MATCH(PROSPECT!$B22,'Enter (Vac BFs TrCl MB'!$D$7:$D$37,FALSE),MATCH(PROSPECT!H$11,'Enter (Vac BFs TrCl MB'!$F$6:$AU$6,FALSE))))</f>
        <v>0</v>
      </c>
      <c r="I22" s="154">
        <f>IF(ISERROR(INDEX('Enter (Vac BFs TrCl MB'!$F$7:$AU$37,MATCH(PROSPECT!$B22,'Enter (Vac BFs TrCl MB'!$D$7:$D$37,FALSE),MATCH(PROSPECT!I$11,'Enter (Vac BFs TrCl MB'!$F$6:$AU$6,FALSE))),"",(INDEX('Enter (Vac BFs TrCl MB'!$F$7:$AU$37,MATCH(PROSPECT!$B22,'Enter (Vac BFs TrCl MB'!$D$7:$D$37,FALSE),MATCH(PROSPECT!I$11,'Enter (Vac BFs TrCl MB'!$F$6:$AU$6,FALSE))))</f>
        <v>0</v>
      </c>
      <c r="J22" s="810"/>
      <c r="K22" s="112" t="str">
        <f>IF('Enter (Vac BFs TrCl MB'!$D16=0,"",'Enter (Vac BFs TrCl MB'!$D16)</f>
        <v>Parm</v>
      </c>
      <c r="L22" s="153">
        <f>IF(ISERROR(INDEX('Enter (Vac BFs TrCl MB'!$F$7:$AU$37,MATCH(PROSPECT!$B22,'Enter (Vac BFs TrCl MB'!$D$7:$D$37,FALSE),MATCH(PROSPECT!L$11,'Enter (Vac BFs TrCl MB'!$F$6:$AU$6,FALSE))),"",(INDEX('Enter (Vac BFs TrCl MB'!$F$7:$AU$37,MATCH(PROSPECT!$B22,'Enter (Vac BFs TrCl MB'!$D$7:$D$37,FALSE),MATCH(PROSPECT!L$11,'Enter (Vac BFs TrCl MB'!$F$6:$AU$6,FALSE))))</f>
        <v>0</v>
      </c>
      <c r="M22" s="153">
        <f>IF(ISERROR(INDEX('Enter (Vac BFs TrCl MB'!$F$7:$AU$37,MATCH(PROSPECT!$B22,'Enter (Vac BFs TrCl MB'!$D$7:$D$37,FALSE),MATCH(PROSPECT!M$11,'Enter (Vac BFs TrCl MB'!$F$6:$AU$6,FALSE))),"",(INDEX('Enter (Vac BFs TrCl MB'!$F$7:$AU$37,MATCH(PROSPECT!$B22,'Enter (Vac BFs TrCl MB'!$D$7:$D$37,FALSE),MATCH(PROSPECT!M$11,'Enter (Vac BFs TrCl MB'!$F$6:$AU$6,FALSE))))</f>
        <v>0</v>
      </c>
      <c r="N22" s="153">
        <f>IF(ISERROR(INDEX('Enter (Vac BFs TrCl MB'!$F$7:$AU$37,MATCH(PROSPECT!$B22,'Enter (Vac BFs TrCl MB'!$D$7:$D$37,FALSE),MATCH(PROSPECT!N$11,'Enter (Vac BFs TrCl MB'!$F$6:$AU$6,FALSE))),"",(INDEX('Enter (Vac BFs TrCl MB'!$F$7:$AU$37,MATCH(PROSPECT!$B22,'Enter (Vac BFs TrCl MB'!$D$7:$D$37,FALSE),MATCH(PROSPECT!N$11,'Enter (Vac BFs TrCl MB'!$F$6:$AU$6,FALSE))))</f>
        <v>0</v>
      </c>
      <c r="O22" s="153" t="str">
        <f>IF(ISERROR(INDEX('Enter (Vac BFs TrCl MB'!$F$7:$AU$37,MATCH(PROSPECT!$B22,'Enter (Vac BFs TrCl MB'!$D$7:$D$37,FALSE),MATCH(PROSPECT!O$11,'Enter (Vac BFs TrCl MB'!$F$6:$AU$6,FALSE))),"",(INDEX('Enter (Vac BFs TrCl MB'!$F$7:$AU$37,MATCH(PROSPECT!$B22,'Enter (Vac BFs TrCl MB'!$D$7:$D$37,FALSE),MATCH(PROSPECT!O$11,'Enter (Vac BFs TrCl MB'!$F$6:$AU$6,FALSE))))</f>
        <v>XX</v>
      </c>
      <c r="P22" s="153">
        <f>IF(ISERROR(INDEX('Enter (Vac BFs TrCl MB'!$F$7:$AU$37,MATCH(PROSPECT!$B22,'Enter (Vac BFs TrCl MB'!$D$7:$D$37,FALSE),MATCH(PROSPECT!P$11,'Enter (Vac BFs TrCl MB'!$F$6:$AU$6,FALSE))),"",(INDEX('Enter (Vac BFs TrCl MB'!$F$7:$AU$37,MATCH(PROSPECT!$B22,'Enter (Vac BFs TrCl MB'!$D$7:$D$37,FALSE),MATCH(PROSPECT!P$11,'Enter (Vac BFs TrCl MB'!$F$6:$AU$6,FALSE))))</f>
        <v>0</v>
      </c>
      <c r="Q22" s="153">
        <f>IF(ISERROR(INDEX('Enter (Vac BFs TrCl MB'!$F$7:$AU$37,MATCH(PROSPECT!$B22,'Enter (Vac BFs TrCl MB'!$D$7:$D$37,FALSE),MATCH(PROSPECT!Q$11,'Enter (Vac BFs TrCl MB'!$F$6:$AU$6,FALSE))),"",(INDEX('Enter (Vac BFs TrCl MB'!$F$7:$AU$37,MATCH(PROSPECT!$B22,'Enter (Vac BFs TrCl MB'!$D$7:$D$37,FALSE),MATCH(PROSPECT!Q$11,'Enter (Vac BFs TrCl MB'!$F$6:$AU$6,FALSE))))</f>
        <v>0</v>
      </c>
      <c r="R22" s="154">
        <f>IF(ISERROR(INDEX('Enter (Vac BFs TrCl MB'!$F$7:$AU$37,MATCH(PROSPECT!$B22,'Enter (Vac BFs TrCl MB'!$D$7:$D$37,FALSE),MATCH(PROSPECT!R$11,'Enter (Vac BFs TrCl MB'!$F$6:$AU$6,FALSE))),"",(INDEX('Enter (Vac BFs TrCl MB'!$F$7:$AU$37,MATCH(PROSPECT!$B22,'Enter (Vac BFs TrCl MB'!$D$7:$D$37,FALSE),MATCH(PROSPECT!R$11,'Enter (Vac BFs TrCl MB'!$F$6:$AU$6,FALSE))))</f>
        <v>0</v>
      </c>
      <c r="S22" s="810"/>
      <c r="T22" s="112" t="str">
        <f>IF('Enter (Vac BFs TrCl MB'!$D16=0,"",'Enter (Vac BFs TrCl MB'!$D16)</f>
        <v>Parm</v>
      </c>
      <c r="U22" s="153">
        <f>IF(ISERROR(INDEX('Enter (Vac BFs TrCl MB'!$F$7:$AU$37,MATCH(PROSPECT!$B22,'Enter (Vac BFs TrCl MB'!$D$7:$D$37,FALSE),MATCH(PROSPECT!U$11,'Enter (Vac BFs TrCl MB'!$F$6:$AU$6,FALSE))),"",(INDEX('Enter (Vac BFs TrCl MB'!$F$7:$AU$37,MATCH(PROSPECT!$B22,'Enter (Vac BFs TrCl MB'!$D$7:$D$37,FALSE),MATCH(PROSPECT!U$11,'Enter (Vac BFs TrCl MB'!$F$6:$AU$6,FALSE))))</f>
        <v>0</v>
      </c>
      <c r="V22" s="153">
        <f>IF(ISERROR(INDEX('Enter (Vac BFs TrCl MB'!$F$7:$AU$37,MATCH(PROSPECT!$B22,'Enter (Vac BFs TrCl MB'!$D$7:$D$37,FALSE),MATCH(PROSPECT!V$11,'Enter (Vac BFs TrCl MB'!$F$6:$AU$6,FALSE))),"",(INDEX('Enter (Vac BFs TrCl MB'!$F$7:$AU$37,MATCH(PROSPECT!$B22,'Enter (Vac BFs TrCl MB'!$D$7:$D$37,FALSE),MATCH(PROSPECT!V$11,'Enter (Vac BFs TrCl MB'!$F$6:$AU$6,FALSE))))</f>
        <v>0</v>
      </c>
      <c r="W22" s="153">
        <f>IF(ISERROR(INDEX('Enter (Vac BFs TrCl MB'!$F$7:$AU$37,MATCH(PROSPECT!$B22,'Enter (Vac BFs TrCl MB'!$D$7:$D$37,FALSE),MATCH(PROSPECT!W$11,'Enter (Vac BFs TrCl MB'!$F$6:$AU$6,FALSE))),"",(INDEX('Enter (Vac BFs TrCl MB'!$F$7:$AU$37,MATCH(PROSPECT!$B22,'Enter (Vac BFs TrCl MB'!$D$7:$D$37,FALSE),MATCH(PROSPECT!W$11,'Enter (Vac BFs TrCl MB'!$F$6:$AU$6,FALSE))))</f>
        <v>0</v>
      </c>
      <c r="X22" s="153">
        <f>IF(ISERROR(INDEX('Enter (Vac BFs TrCl MB'!$F$7:$AU$37,MATCH(PROSPECT!$B22,'Enter (Vac BFs TrCl MB'!$D$7:$D$37,FALSE),MATCH(PROSPECT!X$11,'Enter (Vac BFs TrCl MB'!$F$6:$AU$6,FALSE))),"",(INDEX('Enter (Vac BFs TrCl MB'!$F$7:$AU$37,MATCH(PROSPECT!$B22,'Enter (Vac BFs TrCl MB'!$D$7:$D$37,FALSE),MATCH(PROSPECT!X$11,'Enter (Vac BFs TrCl MB'!$F$6:$AU$6,FALSE))))</f>
        <v>0</v>
      </c>
      <c r="Y22" s="153">
        <f>IF(ISERROR(INDEX('Enter (Vac BFs TrCl MB'!$F$7:$AU$37,MATCH(PROSPECT!$B22,'Enter (Vac BFs TrCl MB'!$D$7:$D$37,FALSE),MATCH(PROSPECT!Y$11,'Enter (Vac BFs TrCl MB'!$F$6:$AU$6,FALSE))),"",(INDEX('Enter (Vac BFs TrCl MB'!$F$7:$AU$37,MATCH(PROSPECT!$B22,'Enter (Vac BFs TrCl MB'!$D$7:$D$37,FALSE),MATCH(PROSPECT!Y$11,'Enter (Vac BFs TrCl MB'!$F$6:$AU$6,FALSE))))</f>
        <v>0</v>
      </c>
      <c r="Z22" s="153">
        <f>IF(ISERROR(INDEX('Enter (Vac BFs TrCl MB'!$F$7:$AU$37,MATCH(PROSPECT!$B22,'Enter (Vac BFs TrCl MB'!$D$7:$D$37,FALSE),MATCH(PROSPECT!Z$11,'Enter (Vac BFs TrCl MB'!$F$6:$AU$6,FALSE))),"",(INDEX('Enter (Vac BFs TrCl MB'!$F$7:$AU$37,MATCH(PROSPECT!$B22,'Enter (Vac BFs TrCl MB'!$D$7:$D$37,FALSE),MATCH(PROSPECT!Z$11,'Enter (Vac BFs TrCl MB'!$F$6:$AU$6,FALSE))))</f>
        <v>0</v>
      </c>
      <c r="AA22" s="154">
        <f>IF(ISERROR(INDEX('Enter (Vac BFs TrCl MB'!$F$7:$AU$37,MATCH(PROSPECT!$B22,'Enter (Vac BFs TrCl MB'!$D$7:$D$37,FALSE),MATCH(PROSPECT!AA$11,'Enter (Vac BFs TrCl MB'!$F$6:$AU$6,FALSE))),"",(INDEX('Enter (Vac BFs TrCl MB'!$F$7:$AU$37,MATCH(PROSPECT!$B22,'Enter (Vac BFs TrCl MB'!$D$7:$D$37,FALSE),MATCH(PROSPECT!AA$11,'Enter (Vac BFs TrCl MB'!$F$6:$AU$6,FALSE))))</f>
        <v>0</v>
      </c>
    </row>
    <row r="23" spans="2:30" ht="15">
      <c r="B23" s="111" t="str">
        <f>IF('Enter (Vac BFs TrCl MB'!$D17=0,"",'Enter (Vac BFs TrCl MB'!$D17)</f>
        <v>Harmik</v>
      </c>
      <c r="C23" s="153">
        <f>IF(ISERROR(INDEX('Enter (Vac BFs TrCl MB'!$F$7:$AU$37,MATCH(PROSPECT!$B23,'Enter (Vac BFs TrCl MB'!$D$7:$D$37,FALSE),MATCH(PROSPECT!C$11,'Enter (Vac BFs TrCl MB'!$F$6:$AU$6,FALSE))),"",(INDEX('Enter (Vac BFs TrCl MB'!$F$7:$AU$37,MATCH(PROSPECT!$B23,'Enter (Vac BFs TrCl MB'!$D$7:$D$37,FALSE),MATCH(PROSPECT!C$11,'Enter (Vac BFs TrCl MB'!$F$6:$AU$6,FALSE))))</f>
        <v>0</v>
      </c>
      <c r="D23" s="153">
        <f>IF(ISERROR(INDEX('Enter (Vac BFs TrCl MB'!$F$7:$AU$37,MATCH(PROSPECT!$B23,'Enter (Vac BFs TrCl MB'!$D$7:$D$37,FALSE),MATCH(PROSPECT!D$11,'Enter (Vac BFs TrCl MB'!$F$6:$AU$6,FALSE))),"",(INDEX('Enter (Vac BFs TrCl MB'!$F$7:$AU$37,MATCH(PROSPECT!$B23,'Enter (Vac BFs TrCl MB'!$D$7:$D$37,FALSE),MATCH(PROSPECT!D$11,'Enter (Vac BFs TrCl MB'!$F$6:$AU$6,FALSE))))</f>
        <v>0</v>
      </c>
      <c r="E23" s="153">
        <f>IF(ISERROR(INDEX('Enter (Vac BFs TrCl MB'!$F$7:$AU$37,MATCH(PROSPECT!$B23,'Enter (Vac BFs TrCl MB'!$D$7:$D$37,FALSE),MATCH(PROSPECT!E$11,'Enter (Vac BFs TrCl MB'!$F$6:$AU$6,FALSE))),"",(INDEX('Enter (Vac BFs TrCl MB'!$F$7:$AU$37,MATCH(PROSPECT!$B23,'Enter (Vac BFs TrCl MB'!$D$7:$D$37,FALSE),MATCH(PROSPECT!E$11,'Enter (Vac BFs TrCl MB'!$F$6:$AU$6,FALSE))))</f>
        <v>0</v>
      </c>
      <c r="F23" s="153">
        <f>IF(ISERROR(INDEX('Enter (Vac BFs TrCl MB'!$F$7:$AU$37,MATCH(PROSPECT!$B23,'Enter (Vac BFs TrCl MB'!$D$7:$D$37,FALSE),MATCH(PROSPECT!F$11,'Enter (Vac BFs TrCl MB'!$F$6:$AU$6,FALSE))),"",(INDEX('Enter (Vac BFs TrCl MB'!$F$7:$AU$37,MATCH(PROSPECT!$B23,'Enter (Vac BFs TrCl MB'!$D$7:$D$37,FALSE),MATCH(PROSPECT!F$11,'Enter (Vac BFs TrCl MB'!$F$6:$AU$6,FALSE))))</f>
        <v>0</v>
      </c>
      <c r="G23" s="153">
        <f>IF(ISERROR(INDEX('Enter (Vac BFs TrCl MB'!$F$7:$AU$37,MATCH(PROSPECT!$B23,'Enter (Vac BFs TrCl MB'!$D$7:$D$37,FALSE),MATCH(PROSPECT!G$11,'Enter (Vac BFs TrCl MB'!$F$6:$AU$6,FALSE))),"",(INDEX('Enter (Vac BFs TrCl MB'!$F$7:$AU$37,MATCH(PROSPECT!$B23,'Enter (Vac BFs TrCl MB'!$D$7:$D$37,FALSE),MATCH(PROSPECT!G$11,'Enter (Vac BFs TrCl MB'!$F$6:$AU$6,FALSE))))</f>
        <v>0</v>
      </c>
      <c r="H23" s="153">
        <f>IF(ISERROR(INDEX('Enter (Vac BFs TrCl MB'!$F$7:$AU$37,MATCH(PROSPECT!$B23,'Enter (Vac BFs TrCl MB'!$D$7:$D$37,FALSE),MATCH(PROSPECT!H$11,'Enter (Vac BFs TrCl MB'!$F$6:$AU$6,FALSE))),"",(INDEX('Enter (Vac BFs TrCl MB'!$F$7:$AU$37,MATCH(PROSPECT!$B23,'Enter (Vac BFs TrCl MB'!$D$7:$D$37,FALSE),MATCH(PROSPECT!H$11,'Enter (Vac BFs TrCl MB'!$F$6:$AU$6,FALSE))))</f>
        <v>0</v>
      </c>
      <c r="I23" s="154">
        <f>IF(ISERROR(INDEX('Enter (Vac BFs TrCl MB'!$F$7:$AU$37,MATCH(PROSPECT!$B23,'Enter (Vac BFs TrCl MB'!$D$7:$D$37,FALSE),MATCH(PROSPECT!I$11,'Enter (Vac BFs TrCl MB'!$F$6:$AU$6,FALSE))),"",(INDEX('Enter (Vac BFs TrCl MB'!$F$7:$AU$37,MATCH(PROSPECT!$B23,'Enter (Vac BFs TrCl MB'!$D$7:$D$37,FALSE),MATCH(PROSPECT!I$11,'Enter (Vac BFs TrCl MB'!$F$6:$AU$6,FALSE))))</f>
        <v>0</v>
      </c>
      <c r="J23" s="810"/>
      <c r="K23" s="112" t="str">
        <f>IF('Enter (Vac BFs TrCl MB'!$D17=0,"",'Enter (Vac BFs TrCl MB'!$D17)</f>
        <v>Harmik</v>
      </c>
      <c r="L23" s="153">
        <f>IF(ISERROR(INDEX('Enter (Vac BFs TrCl MB'!$F$7:$AU$37,MATCH(PROSPECT!$B23,'Enter (Vac BFs TrCl MB'!$D$7:$D$37,FALSE),MATCH(PROSPECT!L$11,'Enter (Vac BFs TrCl MB'!$F$6:$AU$6,FALSE))),"",(INDEX('Enter (Vac BFs TrCl MB'!$F$7:$AU$37,MATCH(PROSPECT!$B23,'Enter (Vac BFs TrCl MB'!$D$7:$D$37,FALSE),MATCH(PROSPECT!L$11,'Enter (Vac BFs TrCl MB'!$F$6:$AU$6,FALSE))))</f>
        <v>0</v>
      </c>
      <c r="M23" s="153">
        <f>IF(ISERROR(INDEX('Enter (Vac BFs TrCl MB'!$F$7:$AU$37,MATCH(PROSPECT!$B23,'Enter (Vac BFs TrCl MB'!$D$7:$D$37,FALSE),MATCH(PROSPECT!M$11,'Enter (Vac BFs TrCl MB'!$F$6:$AU$6,FALSE))),"",(INDEX('Enter (Vac BFs TrCl MB'!$F$7:$AU$37,MATCH(PROSPECT!$B23,'Enter (Vac BFs TrCl MB'!$D$7:$D$37,FALSE),MATCH(PROSPECT!M$11,'Enter (Vac BFs TrCl MB'!$F$6:$AU$6,FALSE))))</f>
        <v>0</v>
      </c>
      <c r="N23" s="153">
        <f>IF(ISERROR(INDEX('Enter (Vac BFs TrCl MB'!$F$7:$AU$37,MATCH(PROSPECT!$B23,'Enter (Vac BFs TrCl MB'!$D$7:$D$37,FALSE),MATCH(PROSPECT!N$11,'Enter (Vac BFs TrCl MB'!$F$6:$AU$6,FALSE))),"",(INDEX('Enter (Vac BFs TrCl MB'!$F$7:$AU$37,MATCH(PROSPECT!$B23,'Enter (Vac BFs TrCl MB'!$D$7:$D$37,FALSE),MATCH(PROSPECT!N$11,'Enter (Vac BFs TrCl MB'!$F$6:$AU$6,FALSE))))</f>
        <v>0</v>
      </c>
      <c r="O23" s="153">
        <f>IF(ISERROR(INDEX('Enter (Vac BFs TrCl MB'!$F$7:$AU$37,MATCH(PROSPECT!$B23,'Enter (Vac BFs TrCl MB'!$D$7:$D$37,FALSE),MATCH(PROSPECT!O$11,'Enter (Vac BFs TrCl MB'!$F$6:$AU$6,FALSE))),"",(INDEX('Enter (Vac BFs TrCl MB'!$F$7:$AU$37,MATCH(PROSPECT!$B23,'Enter (Vac BFs TrCl MB'!$D$7:$D$37,FALSE),MATCH(PROSPECT!O$11,'Enter (Vac BFs TrCl MB'!$F$6:$AU$6,FALSE))))</f>
        <v>0</v>
      </c>
      <c r="P23" s="153">
        <f>IF(ISERROR(INDEX('Enter (Vac BFs TrCl MB'!$F$7:$AU$37,MATCH(PROSPECT!$B23,'Enter (Vac BFs TrCl MB'!$D$7:$D$37,FALSE),MATCH(PROSPECT!P$11,'Enter (Vac BFs TrCl MB'!$F$6:$AU$6,FALSE))),"",(INDEX('Enter (Vac BFs TrCl MB'!$F$7:$AU$37,MATCH(PROSPECT!$B23,'Enter (Vac BFs TrCl MB'!$D$7:$D$37,FALSE),MATCH(PROSPECT!P$11,'Enter (Vac BFs TrCl MB'!$F$6:$AU$6,FALSE))))</f>
        <v>0</v>
      </c>
      <c r="Q23" s="153">
        <f>IF(ISERROR(INDEX('Enter (Vac BFs TrCl MB'!$F$7:$AU$37,MATCH(PROSPECT!$B23,'Enter (Vac BFs TrCl MB'!$D$7:$D$37,FALSE),MATCH(PROSPECT!Q$11,'Enter (Vac BFs TrCl MB'!$F$6:$AU$6,FALSE))),"",(INDEX('Enter (Vac BFs TrCl MB'!$F$7:$AU$37,MATCH(PROSPECT!$B23,'Enter (Vac BFs TrCl MB'!$D$7:$D$37,FALSE),MATCH(PROSPECT!Q$11,'Enter (Vac BFs TrCl MB'!$F$6:$AU$6,FALSE))))</f>
        <v>0</v>
      </c>
      <c r="R23" s="154">
        <f>IF(ISERROR(INDEX('Enter (Vac BFs TrCl MB'!$F$7:$AU$37,MATCH(PROSPECT!$B23,'Enter (Vac BFs TrCl MB'!$D$7:$D$37,FALSE),MATCH(PROSPECT!R$11,'Enter (Vac BFs TrCl MB'!$F$6:$AU$6,FALSE))),"",(INDEX('Enter (Vac BFs TrCl MB'!$F$7:$AU$37,MATCH(PROSPECT!$B23,'Enter (Vac BFs TrCl MB'!$D$7:$D$37,FALSE),MATCH(PROSPECT!R$11,'Enter (Vac BFs TrCl MB'!$F$6:$AU$6,FALSE))))</f>
        <v>0</v>
      </c>
      <c r="S23" s="810"/>
      <c r="T23" s="112" t="str">
        <f>IF('Enter (Vac BFs TrCl MB'!$D17=0,"",'Enter (Vac BFs TrCl MB'!$D17)</f>
        <v>Harmik</v>
      </c>
      <c r="U23" s="153">
        <f>IF(ISERROR(INDEX('Enter (Vac BFs TrCl MB'!$F$7:$AU$37,MATCH(PROSPECT!$B23,'Enter (Vac BFs TrCl MB'!$D$7:$D$37,FALSE),MATCH(PROSPECT!U$11,'Enter (Vac BFs TrCl MB'!$F$6:$AU$6,FALSE))),"",(INDEX('Enter (Vac BFs TrCl MB'!$F$7:$AU$37,MATCH(PROSPECT!$B23,'Enter (Vac BFs TrCl MB'!$D$7:$D$37,FALSE),MATCH(PROSPECT!U$11,'Enter (Vac BFs TrCl MB'!$F$6:$AU$6,FALSE))))</f>
        <v>0</v>
      </c>
      <c r="V23" s="153">
        <f>IF(ISERROR(INDEX('Enter (Vac BFs TrCl MB'!$F$7:$AU$37,MATCH(PROSPECT!$B23,'Enter (Vac BFs TrCl MB'!$D$7:$D$37,FALSE),MATCH(PROSPECT!V$11,'Enter (Vac BFs TrCl MB'!$F$6:$AU$6,FALSE))),"",(INDEX('Enter (Vac BFs TrCl MB'!$F$7:$AU$37,MATCH(PROSPECT!$B23,'Enter (Vac BFs TrCl MB'!$D$7:$D$37,FALSE),MATCH(PROSPECT!V$11,'Enter (Vac BFs TrCl MB'!$F$6:$AU$6,FALSE))))</f>
        <v>0</v>
      </c>
      <c r="W23" s="153">
        <f>IF(ISERROR(INDEX('Enter (Vac BFs TrCl MB'!$F$7:$AU$37,MATCH(PROSPECT!$B23,'Enter (Vac BFs TrCl MB'!$D$7:$D$37,FALSE),MATCH(PROSPECT!W$11,'Enter (Vac BFs TrCl MB'!$F$6:$AU$6,FALSE))),"",(INDEX('Enter (Vac BFs TrCl MB'!$F$7:$AU$37,MATCH(PROSPECT!$B23,'Enter (Vac BFs TrCl MB'!$D$7:$D$37,FALSE),MATCH(PROSPECT!W$11,'Enter (Vac BFs TrCl MB'!$F$6:$AU$6,FALSE))))</f>
        <v>0</v>
      </c>
      <c r="X23" s="153">
        <f>IF(ISERROR(INDEX('Enter (Vac BFs TrCl MB'!$F$7:$AU$37,MATCH(PROSPECT!$B23,'Enter (Vac BFs TrCl MB'!$D$7:$D$37,FALSE),MATCH(PROSPECT!X$11,'Enter (Vac BFs TrCl MB'!$F$6:$AU$6,FALSE))),"",(INDEX('Enter (Vac BFs TrCl MB'!$F$7:$AU$37,MATCH(PROSPECT!$B23,'Enter (Vac BFs TrCl MB'!$D$7:$D$37,FALSE),MATCH(PROSPECT!X$11,'Enter (Vac BFs TrCl MB'!$F$6:$AU$6,FALSE))))</f>
        <v>0</v>
      </c>
      <c r="Y23" s="153">
        <f>IF(ISERROR(INDEX('Enter (Vac BFs TrCl MB'!$F$7:$AU$37,MATCH(PROSPECT!$B23,'Enter (Vac BFs TrCl MB'!$D$7:$D$37,FALSE),MATCH(PROSPECT!Y$11,'Enter (Vac BFs TrCl MB'!$F$6:$AU$6,FALSE))),"",(INDEX('Enter (Vac BFs TrCl MB'!$F$7:$AU$37,MATCH(PROSPECT!$B23,'Enter (Vac BFs TrCl MB'!$D$7:$D$37,FALSE),MATCH(PROSPECT!Y$11,'Enter (Vac BFs TrCl MB'!$F$6:$AU$6,FALSE))))</f>
        <v>0</v>
      </c>
      <c r="Z23" s="153">
        <f>IF(ISERROR(INDEX('Enter (Vac BFs TrCl MB'!$F$7:$AU$37,MATCH(PROSPECT!$B23,'Enter (Vac BFs TrCl MB'!$D$7:$D$37,FALSE),MATCH(PROSPECT!Z$11,'Enter (Vac BFs TrCl MB'!$F$6:$AU$6,FALSE))),"",(INDEX('Enter (Vac BFs TrCl MB'!$F$7:$AU$37,MATCH(PROSPECT!$B23,'Enter (Vac BFs TrCl MB'!$D$7:$D$37,FALSE),MATCH(PROSPECT!Z$11,'Enter (Vac BFs TrCl MB'!$F$6:$AU$6,FALSE))))</f>
        <v>0</v>
      </c>
      <c r="AA23" s="154">
        <f>IF(ISERROR(INDEX('Enter (Vac BFs TrCl MB'!$F$7:$AU$37,MATCH(PROSPECT!$B23,'Enter (Vac BFs TrCl MB'!$D$7:$D$37,FALSE),MATCH(PROSPECT!AA$11,'Enter (Vac BFs TrCl MB'!$F$6:$AU$6,FALSE))),"",(INDEX('Enter (Vac BFs TrCl MB'!$F$7:$AU$37,MATCH(PROSPECT!$B23,'Enter (Vac BFs TrCl MB'!$D$7:$D$37,FALSE),MATCH(PROSPECT!AA$11,'Enter (Vac BFs TrCl MB'!$F$6:$AU$6,FALSE))))</f>
        <v>0</v>
      </c>
    </row>
    <row r="24" spans="2:30" ht="18">
      <c r="B24" s="111" t="str">
        <f>IF('Enter (Vac BFs TrCl MB'!$D18=0,"",'Enter (Vac BFs TrCl MB'!$D18)</f>
        <v>Ruby</v>
      </c>
      <c r="C24" s="153">
        <f>IF(ISERROR(INDEX('Enter (Vac BFs TrCl MB'!$F$7:$AU$37,MATCH(PROSPECT!$B24,'Enter (Vac BFs TrCl MB'!$D$7:$D$37,FALSE),MATCH(PROSPECT!C$11,'Enter (Vac BFs TrCl MB'!$F$6:$AU$6,FALSE))),"",(INDEX('Enter (Vac BFs TrCl MB'!$F$7:$AU$37,MATCH(PROSPECT!$B24,'Enter (Vac BFs TrCl MB'!$D$7:$D$37,FALSE),MATCH(PROSPECT!C$11,'Enter (Vac BFs TrCl MB'!$F$6:$AU$6,FALSE))))</f>
        <v>0</v>
      </c>
      <c r="D24" s="153">
        <f>IF(ISERROR(INDEX('Enter (Vac BFs TrCl MB'!$F$7:$AU$37,MATCH(PROSPECT!$B24,'Enter (Vac BFs TrCl MB'!$D$7:$D$37,FALSE),MATCH(PROSPECT!D$11,'Enter (Vac BFs TrCl MB'!$F$6:$AU$6,FALSE))),"",(INDEX('Enter (Vac BFs TrCl MB'!$F$7:$AU$37,MATCH(PROSPECT!$B24,'Enter (Vac BFs TrCl MB'!$D$7:$D$37,FALSE),MATCH(PROSPECT!D$11,'Enter (Vac BFs TrCl MB'!$F$6:$AU$6,FALSE))))</f>
        <v>0</v>
      </c>
      <c r="E24" s="153">
        <f>IF(ISERROR(INDEX('Enter (Vac BFs TrCl MB'!$F$7:$AU$37,MATCH(PROSPECT!$B24,'Enter (Vac BFs TrCl MB'!$D$7:$D$37,FALSE),MATCH(PROSPECT!E$11,'Enter (Vac BFs TrCl MB'!$F$6:$AU$6,FALSE))),"",(INDEX('Enter (Vac BFs TrCl MB'!$F$7:$AU$37,MATCH(PROSPECT!$B24,'Enter (Vac BFs TrCl MB'!$D$7:$D$37,FALSE),MATCH(PROSPECT!E$11,'Enter (Vac BFs TrCl MB'!$F$6:$AU$6,FALSE))))</f>
        <v>0</v>
      </c>
      <c r="F24" s="153">
        <f>IF(ISERROR(INDEX('Enter (Vac BFs TrCl MB'!$F$7:$AU$37,MATCH(PROSPECT!$B24,'Enter (Vac BFs TrCl MB'!$D$7:$D$37,FALSE),MATCH(PROSPECT!F$11,'Enter (Vac BFs TrCl MB'!$F$6:$AU$6,FALSE))),"",(INDEX('Enter (Vac BFs TrCl MB'!$F$7:$AU$37,MATCH(PROSPECT!$B24,'Enter (Vac BFs TrCl MB'!$D$7:$D$37,FALSE),MATCH(PROSPECT!F$11,'Enter (Vac BFs TrCl MB'!$F$6:$AU$6,FALSE))))</f>
        <v>0</v>
      </c>
      <c r="G24" s="153">
        <f>IF(ISERROR(INDEX('Enter (Vac BFs TrCl MB'!$F$7:$AU$37,MATCH(PROSPECT!$B24,'Enter (Vac BFs TrCl MB'!$D$7:$D$37,FALSE),MATCH(PROSPECT!G$11,'Enter (Vac BFs TrCl MB'!$F$6:$AU$6,FALSE))),"",(INDEX('Enter (Vac BFs TrCl MB'!$F$7:$AU$37,MATCH(PROSPECT!$B24,'Enter (Vac BFs TrCl MB'!$D$7:$D$37,FALSE),MATCH(PROSPECT!G$11,'Enter (Vac BFs TrCl MB'!$F$6:$AU$6,FALSE))))</f>
        <v>0</v>
      </c>
      <c r="H24" s="153">
        <f>IF(ISERROR(INDEX('Enter (Vac BFs TrCl MB'!$F$7:$AU$37,MATCH(PROSPECT!$B24,'Enter (Vac BFs TrCl MB'!$D$7:$D$37,FALSE),MATCH(PROSPECT!H$11,'Enter (Vac BFs TrCl MB'!$F$6:$AU$6,FALSE))),"",(INDEX('Enter (Vac BFs TrCl MB'!$F$7:$AU$37,MATCH(PROSPECT!$B24,'Enter (Vac BFs TrCl MB'!$D$7:$D$37,FALSE),MATCH(PROSPECT!H$11,'Enter (Vac BFs TrCl MB'!$F$6:$AU$6,FALSE))))</f>
        <v>0</v>
      </c>
      <c r="I24" s="154">
        <f>IF(ISERROR(INDEX('Enter (Vac BFs TrCl MB'!$F$7:$AU$37,MATCH(PROSPECT!$B24,'Enter (Vac BFs TrCl MB'!$D$7:$D$37,FALSE),MATCH(PROSPECT!I$11,'Enter (Vac BFs TrCl MB'!$F$6:$AU$6,FALSE))),"",(INDEX('Enter (Vac BFs TrCl MB'!$F$7:$AU$37,MATCH(PROSPECT!$B24,'Enter (Vac BFs TrCl MB'!$D$7:$D$37,FALSE),MATCH(PROSPECT!I$11,'Enter (Vac BFs TrCl MB'!$F$6:$AU$6,FALSE))))</f>
        <v>0</v>
      </c>
      <c r="J24" s="810"/>
      <c r="K24" s="112" t="str">
        <f>IF('Enter (Vac BFs TrCl MB'!$D18=0,"",'Enter (Vac BFs TrCl MB'!$D18)</f>
        <v>Ruby</v>
      </c>
      <c r="L24" s="153">
        <f>IF(ISERROR(INDEX('Enter (Vac BFs TrCl MB'!$F$7:$AU$37,MATCH(PROSPECT!$B24,'Enter (Vac BFs TrCl MB'!$D$7:$D$37,FALSE),MATCH(PROSPECT!L$11,'Enter (Vac BFs TrCl MB'!$F$6:$AU$6,FALSE))),"",(INDEX('Enter (Vac BFs TrCl MB'!$F$7:$AU$37,MATCH(PROSPECT!$B24,'Enter (Vac BFs TrCl MB'!$D$7:$D$37,FALSE),MATCH(PROSPECT!L$11,'Enter (Vac BFs TrCl MB'!$F$6:$AU$6,FALSE))))</f>
        <v>0</v>
      </c>
      <c r="M24" s="153">
        <f>IF(ISERROR(INDEX('Enter (Vac BFs TrCl MB'!$F$7:$AU$37,MATCH(PROSPECT!$B24,'Enter (Vac BFs TrCl MB'!$D$7:$D$37,FALSE),MATCH(PROSPECT!M$11,'Enter (Vac BFs TrCl MB'!$F$6:$AU$6,FALSE))),"",(INDEX('Enter (Vac BFs TrCl MB'!$F$7:$AU$37,MATCH(PROSPECT!$B24,'Enter (Vac BFs TrCl MB'!$D$7:$D$37,FALSE),MATCH(PROSPECT!M$11,'Enter (Vac BFs TrCl MB'!$F$6:$AU$6,FALSE))))</f>
        <v>0</v>
      </c>
      <c r="N24" s="153">
        <f>IF(ISERROR(INDEX('Enter (Vac BFs TrCl MB'!$F$7:$AU$37,MATCH(PROSPECT!$B24,'Enter (Vac BFs TrCl MB'!$D$7:$D$37,FALSE),MATCH(PROSPECT!N$11,'Enter (Vac BFs TrCl MB'!$F$6:$AU$6,FALSE))),"",(INDEX('Enter (Vac BFs TrCl MB'!$F$7:$AU$37,MATCH(PROSPECT!$B24,'Enter (Vac BFs TrCl MB'!$D$7:$D$37,FALSE),MATCH(PROSPECT!N$11,'Enter (Vac BFs TrCl MB'!$F$6:$AU$6,FALSE))))</f>
        <v>0</v>
      </c>
      <c r="O24" s="153">
        <f>IF(ISERROR(INDEX('Enter (Vac BFs TrCl MB'!$F$7:$AU$37,MATCH(PROSPECT!$B24,'Enter (Vac BFs TrCl MB'!$D$7:$D$37,FALSE),MATCH(PROSPECT!O$11,'Enter (Vac BFs TrCl MB'!$F$6:$AU$6,FALSE))),"",(INDEX('Enter (Vac BFs TrCl MB'!$F$7:$AU$37,MATCH(PROSPECT!$B24,'Enter (Vac BFs TrCl MB'!$D$7:$D$37,FALSE),MATCH(PROSPECT!O$11,'Enter (Vac BFs TrCl MB'!$F$6:$AU$6,FALSE))))</f>
        <v>0</v>
      </c>
      <c r="P24" s="153">
        <f>IF(ISERROR(INDEX('Enter (Vac BFs TrCl MB'!$F$7:$AU$37,MATCH(PROSPECT!$B24,'Enter (Vac BFs TrCl MB'!$D$7:$D$37,FALSE),MATCH(PROSPECT!P$11,'Enter (Vac BFs TrCl MB'!$F$6:$AU$6,FALSE))),"",(INDEX('Enter (Vac BFs TrCl MB'!$F$7:$AU$37,MATCH(PROSPECT!$B24,'Enter (Vac BFs TrCl MB'!$D$7:$D$37,FALSE),MATCH(PROSPECT!P$11,'Enter (Vac BFs TrCl MB'!$F$6:$AU$6,FALSE))))</f>
        <v>0</v>
      </c>
      <c r="Q24" s="153">
        <f>IF(ISERROR(INDEX('Enter (Vac BFs TrCl MB'!$F$7:$AU$37,MATCH(PROSPECT!$B24,'Enter (Vac BFs TrCl MB'!$D$7:$D$37,FALSE),MATCH(PROSPECT!Q$11,'Enter (Vac BFs TrCl MB'!$F$6:$AU$6,FALSE))),"",(INDEX('Enter (Vac BFs TrCl MB'!$F$7:$AU$37,MATCH(PROSPECT!$B24,'Enter (Vac BFs TrCl MB'!$D$7:$D$37,FALSE),MATCH(PROSPECT!Q$11,'Enter (Vac BFs TrCl MB'!$F$6:$AU$6,FALSE))))</f>
        <v>0</v>
      </c>
      <c r="R24" s="154">
        <f>IF(ISERROR(INDEX('Enter (Vac BFs TrCl MB'!$F$7:$AU$37,MATCH(PROSPECT!$B24,'Enter (Vac BFs TrCl MB'!$D$7:$D$37,FALSE),MATCH(PROSPECT!R$11,'Enter (Vac BFs TrCl MB'!$F$6:$AU$6,FALSE))),"",(INDEX('Enter (Vac BFs TrCl MB'!$F$7:$AU$37,MATCH(PROSPECT!$B24,'Enter (Vac BFs TrCl MB'!$D$7:$D$37,FALSE),MATCH(PROSPECT!R$11,'Enter (Vac BFs TrCl MB'!$F$6:$AU$6,FALSE))))</f>
        <v>0</v>
      </c>
      <c r="S24" s="810"/>
      <c r="T24" s="112" t="str">
        <f>IF('Enter (Vac BFs TrCl MB'!$D18=0,"",'Enter (Vac BFs TrCl MB'!$D18)</f>
        <v>Ruby</v>
      </c>
      <c r="U24" s="153">
        <f>IF(ISERROR(INDEX('Enter (Vac BFs TrCl MB'!$F$7:$AU$37,MATCH(PROSPECT!$B24,'Enter (Vac BFs TrCl MB'!$D$7:$D$37,FALSE),MATCH(PROSPECT!U$11,'Enter (Vac BFs TrCl MB'!$F$6:$AU$6,FALSE))),"",(INDEX('Enter (Vac BFs TrCl MB'!$F$7:$AU$37,MATCH(PROSPECT!$B24,'Enter (Vac BFs TrCl MB'!$D$7:$D$37,FALSE),MATCH(PROSPECT!U$11,'Enter (Vac BFs TrCl MB'!$F$6:$AU$6,FALSE))))</f>
        <v>0</v>
      </c>
      <c r="V24" s="153">
        <f>IF(ISERROR(INDEX('Enter (Vac BFs TrCl MB'!$F$7:$AU$37,MATCH(PROSPECT!$B24,'Enter (Vac BFs TrCl MB'!$D$7:$D$37,FALSE),MATCH(PROSPECT!V$11,'Enter (Vac BFs TrCl MB'!$F$6:$AU$6,FALSE))),"",(INDEX('Enter (Vac BFs TrCl MB'!$F$7:$AU$37,MATCH(PROSPECT!$B24,'Enter (Vac BFs TrCl MB'!$D$7:$D$37,FALSE),MATCH(PROSPECT!V$11,'Enter (Vac BFs TrCl MB'!$F$6:$AU$6,FALSE))))</f>
        <v>0</v>
      </c>
      <c r="W24" s="153">
        <f>IF(ISERROR(INDEX('Enter (Vac BFs TrCl MB'!$F$7:$AU$37,MATCH(PROSPECT!$B24,'Enter (Vac BFs TrCl MB'!$D$7:$D$37,FALSE),MATCH(PROSPECT!W$11,'Enter (Vac BFs TrCl MB'!$F$6:$AU$6,FALSE))),"",(INDEX('Enter (Vac BFs TrCl MB'!$F$7:$AU$37,MATCH(PROSPECT!$B24,'Enter (Vac BFs TrCl MB'!$D$7:$D$37,FALSE),MATCH(PROSPECT!W$11,'Enter (Vac BFs TrCl MB'!$F$6:$AU$6,FALSE))))</f>
        <v>0</v>
      </c>
      <c r="X24" s="153">
        <f>IF(ISERROR(INDEX('Enter (Vac BFs TrCl MB'!$F$7:$AU$37,MATCH(PROSPECT!$B24,'Enter (Vac BFs TrCl MB'!$D$7:$D$37,FALSE),MATCH(PROSPECT!X$11,'Enter (Vac BFs TrCl MB'!$F$6:$AU$6,FALSE))),"",(INDEX('Enter (Vac BFs TrCl MB'!$F$7:$AU$37,MATCH(PROSPECT!$B24,'Enter (Vac BFs TrCl MB'!$D$7:$D$37,FALSE),MATCH(PROSPECT!X$11,'Enter (Vac BFs TrCl MB'!$F$6:$AU$6,FALSE))))</f>
        <v>0</v>
      </c>
      <c r="Y24" s="153">
        <f>IF(ISERROR(INDEX('Enter (Vac BFs TrCl MB'!$F$7:$AU$37,MATCH(PROSPECT!$B24,'Enter (Vac BFs TrCl MB'!$D$7:$D$37,FALSE),MATCH(PROSPECT!Y$11,'Enter (Vac BFs TrCl MB'!$F$6:$AU$6,FALSE))),"",(INDEX('Enter (Vac BFs TrCl MB'!$F$7:$AU$37,MATCH(PROSPECT!$B24,'Enter (Vac BFs TrCl MB'!$D$7:$D$37,FALSE),MATCH(PROSPECT!Y$11,'Enter (Vac BFs TrCl MB'!$F$6:$AU$6,FALSE))))</f>
        <v>0</v>
      </c>
      <c r="Z24" s="153">
        <f>IF(ISERROR(INDEX('Enter (Vac BFs TrCl MB'!$F$7:$AU$37,MATCH(PROSPECT!$B24,'Enter (Vac BFs TrCl MB'!$D$7:$D$37,FALSE),MATCH(PROSPECT!Z$11,'Enter (Vac BFs TrCl MB'!$F$6:$AU$6,FALSE))),"",(INDEX('Enter (Vac BFs TrCl MB'!$F$7:$AU$37,MATCH(PROSPECT!$B24,'Enter (Vac BFs TrCl MB'!$D$7:$D$37,FALSE),MATCH(PROSPECT!Z$11,'Enter (Vac BFs TrCl MB'!$F$6:$AU$6,FALSE))))</f>
        <v>0</v>
      </c>
      <c r="AA24" s="154">
        <f>IF(ISERROR(INDEX('Enter (Vac BFs TrCl MB'!$F$7:$AU$37,MATCH(PROSPECT!$B24,'Enter (Vac BFs TrCl MB'!$D$7:$D$37,FALSE),MATCH(PROSPECT!AA$11,'Enter (Vac BFs TrCl MB'!$F$6:$AU$6,FALSE))),"",(INDEX('Enter (Vac BFs TrCl MB'!$F$7:$AU$37,MATCH(PROSPECT!$B24,'Enter (Vac BFs TrCl MB'!$D$7:$D$37,FALSE),MATCH(PROSPECT!AA$11,'Enter (Vac BFs TrCl MB'!$F$6:$AU$6,FALSE))))</f>
        <v>0</v>
      </c>
      <c r="AD24" s="45"/>
    </row>
    <row r="25" spans="2:30" ht="15">
      <c r="B25" s="111" t="str">
        <f>IF('Enter (Vac BFs TrCl MB'!$D19=0,"",'Enter (Vac BFs TrCl MB'!$D19)</f>
        <v>Taran</v>
      </c>
      <c r="C25" s="153">
        <f>IF(ISERROR(INDEX('Enter (Vac BFs TrCl MB'!$F$7:$AU$37,MATCH(PROSPECT!$B25,'Enter (Vac BFs TrCl MB'!$D$7:$D$37,FALSE),MATCH(PROSPECT!C$11,'Enter (Vac BFs TrCl MB'!$F$6:$AU$6,FALSE))),"",(INDEX('Enter (Vac BFs TrCl MB'!$F$7:$AU$37,MATCH(PROSPECT!$B25,'Enter (Vac BFs TrCl MB'!$D$7:$D$37,FALSE),MATCH(PROSPECT!C$11,'Enter (Vac BFs TrCl MB'!$F$6:$AU$6,FALSE))))</f>
        <v>0</v>
      </c>
      <c r="D25" s="153">
        <f>IF(ISERROR(INDEX('Enter (Vac BFs TrCl MB'!$F$7:$AU$37,MATCH(PROSPECT!$B25,'Enter (Vac BFs TrCl MB'!$D$7:$D$37,FALSE),MATCH(PROSPECT!D$11,'Enter (Vac BFs TrCl MB'!$F$6:$AU$6,FALSE))),"",(INDEX('Enter (Vac BFs TrCl MB'!$F$7:$AU$37,MATCH(PROSPECT!$B25,'Enter (Vac BFs TrCl MB'!$D$7:$D$37,FALSE),MATCH(PROSPECT!D$11,'Enter (Vac BFs TrCl MB'!$F$6:$AU$6,FALSE))))</f>
        <v>0</v>
      </c>
      <c r="E25" s="153">
        <f>IF(ISERROR(INDEX('Enter (Vac BFs TrCl MB'!$F$7:$AU$37,MATCH(PROSPECT!$B25,'Enter (Vac BFs TrCl MB'!$D$7:$D$37,FALSE),MATCH(PROSPECT!E$11,'Enter (Vac BFs TrCl MB'!$F$6:$AU$6,FALSE))),"",(INDEX('Enter (Vac BFs TrCl MB'!$F$7:$AU$37,MATCH(PROSPECT!$B25,'Enter (Vac BFs TrCl MB'!$D$7:$D$37,FALSE),MATCH(PROSPECT!E$11,'Enter (Vac BFs TrCl MB'!$F$6:$AU$6,FALSE))))</f>
        <v>0</v>
      </c>
      <c r="F25" s="153">
        <f>IF(ISERROR(INDEX('Enter (Vac BFs TrCl MB'!$F$7:$AU$37,MATCH(PROSPECT!$B25,'Enter (Vac BFs TrCl MB'!$D$7:$D$37,FALSE),MATCH(PROSPECT!F$11,'Enter (Vac BFs TrCl MB'!$F$6:$AU$6,FALSE))),"",(INDEX('Enter (Vac BFs TrCl MB'!$F$7:$AU$37,MATCH(PROSPECT!$B25,'Enter (Vac BFs TrCl MB'!$D$7:$D$37,FALSE),MATCH(PROSPECT!F$11,'Enter (Vac BFs TrCl MB'!$F$6:$AU$6,FALSE))))</f>
        <v>0</v>
      </c>
      <c r="G25" s="153">
        <f>IF(ISERROR(INDEX('Enter (Vac BFs TrCl MB'!$F$7:$AU$37,MATCH(PROSPECT!$B25,'Enter (Vac BFs TrCl MB'!$D$7:$D$37,FALSE),MATCH(PROSPECT!G$11,'Enter (Vac BFs TrCl MB'!$F$6:$AU$6,FALSE))),"",(INDEX('Enter (Vac BFs TrCl MB'!$F$7:$AU$37,MATCH(PROSPECT!$B25,'Enter (Vac BFs TrCl MB'!$D$7:$D$37,FALSE),MATCH(PROSPECT!G$11,'Enter (Vac BFs TrCl MB'!$F$6:$AU$6,FALSE))))</f>
        <v>0</v>
      </c>
      <c r="H25" s="153">
        <f>IF(ISERROR(INDEX('Enter (Vac BFs TrCl MB'!$F$7:$AU$37,MATCH(PROSPECT!$B25,'Enter (Vac BFs TrCl MB'!$D$7:$D$37,FALSE),MATCH(PROSPECT!H$11,'Enter (Vac BFs TrCl MB'!$F$6:$AU$6,FALSE))),"",(INDEX('Enter (Vac BFs TrCl MB'!$F$7:$AU$37,MATCH(PROSPECT!$B25,'Enter (Vac BFs TrCl MB'!$D$7:$D$37,FALSE),MATCH(PROSPECT!H$11,'Enter (Vac BFs TrCl MB'!$F$6:$AU$6,FALSE))))</f>
        <v>0</v>
      </c>
      <c r="I25" s="154">
        <f>IF(ISERROR(INDEX('Enter (Vac BFs TrCl MB'!$F$7:$AU$37,MATCH(PROSPECT!$B25,'Enter (Vac BFs TrCl MB'!$D$7:$D$37,FALSE),MATCH(PROSPECT!I$11,'Enter (Vac BFs TrCl MB'!$F$6:$AU$6,FALSE))),"",(INDEX('Enter (Vac BFs TrCl MB'!$F$7:$AU$37,MATCH(PROSPECT!$B25,'Enter (Vac BFs TrCl MB'!$D$7:$D$37,FALSE),MATCH(PROSPECT!I$11,'Enter (Vac BFs TrCl MB'!$F$6:$AU$6,FALSE))))</f>
        <v>0</v>
      </c>
      <c r="J25" s="810"/>
      <c r="K25" s="112" t="str">
        <f>IF('Enter (Vac BFs TrCl MB'!$D19=0,"",'Enter (Vac BFs TrCl MB'!$D19)</f>
        <v>Taran</v>
      </c>
      <c r="L25" s="153">
        <f>IF(ISERROR(INDEX('Enter (Vac BFs TrCl MB'!$F$7:$AU$37,MATCH(PROSPECT!$B25,'Enter (Vac BFs TrCl MB'!$D$7:$D$37,FALSE),MATCH(PROSPECT!L$11,'Enter (Vac BFs TrCl MB'!$F$6:$AU$6,FALSE))),"",(INDEX('Enter (Vac BFs TrCl MB'!$F$7:$AU$37,MATCH(PROSPECT!$B25,'Enter (Vac BFs TrCl MB'!$D$7:$D$37,FALSE),MATCH(PROSPECT!L$11,'Enter (Vac BFs TrCl MB'!$F$6:$AU$6,FALSE))))</f>
        <v>0</v>
      </c>
      <c r="M25" s="153">
        <f>IF(ISERROR(INDEX('Enter (Vac BFs TrCl MB'!$F$7:$AU$37,MATCH(PROSPECT!$B25,'Enter (Vac BFs TrCl MB'!$D$7:$D$37,FALSE),MATCH(PROSPECT!M$11,'Enter (Vac BFs TrCl MB'!$F$6:$AU$6,FALSE))),"",(INDEX('Enter (Vac BFs TrCl MB'!$F$7:$AU$37,MATCH(PROSPECT!$B25,'Enter (Vac BFs TrCl MB'!$D$7:$D$37,FALSE),MATCH(PROSPECT!M$11,'Enter (Vac BFs TrCl MB'!$F$6:$AU$6,FALSE))))</f>
        <v>0</v>
      </c>
      <c r="N25" s="153">
        <f>IF(ISERROR(INDEX('Enter (Vac BFs TrCl MB'!$F$7:$AU$37,MATCH(PROSPECT!$B25,'Enter (Vac BFs TrCl MB'!$D$7:$D$37,FALSE),MATCH(PROSPECT!N$11,'Enter (Vac BFs TrCl MB'!$F$6:$AU$6,FALSE))),"",(INDEX('Enter (Vac BFs TrCl MB'!$F$7:$AU$37,MATCH(PROSPECT!$B25,'Enter (Vac BFs TrCl MB'!$D$7:$D$37,FALSE),MATCH(PROSPECT!N$11,'Enter (Vac BFs TrCl MB'!$F$6:$AU$6,FALSE))))</f>
        <v>0</v>
      </c>
      <c r="O25" s="153">
        <f>IF(ISERROR(INDEX('Enter (Vac BFs TrCl MB'!$F$7:$AU$37,MATCH(PROSPECT!$B25,'Enter (Vac BFs TrCl MB'!$D$7:$D$37,FALSE),MATCH(PROSPECT!O$11,'Enter (Vac BFs TrCl MB'!$F$6:$AU$6,FALSE))),"",(INDEX('Enter (Vac BFs TrCl MB'!$F$7:$AU$37,MATCH(PROSPECT!$B25,'Enter (Vac BFs TrCl MB'!$D$7:$D$37,FALSE),MATCH(PROSPECT!O$11,'Enter (Vac BFs TrCl MB'!$F$6:$AU$6,FALSE))))</f>
        <v>0</v>
      </c>
      <c r="P25" s="153">
        <f>IF(ISERROR(INDEX('Enter (Vac BFs TrCl MB'!$F$7:$AU$37,MATCH(PROSPECT!$B25,'Enter (Vac BFs TrCl MB'!$D$7:$D$37,FALSE),MATCH(PROSPECT!P$11,'Enter (Vac BFs TrCl MB'!$F$6:$AU$6,FALSE))),"",(INDEX('Enter (Vac BFs TrCl MB'!$F$7:$AU$37,MATCH(PROSPECT!$B25,'Enter (Vac BFs TrCl MB'!$D$7:$D$37,FALSE),MATCH(PROSPECT!P$11,'Enter (Vac BFs TrCl MB'!$F$6:$AU$6,FALSE))))</f>
        <v>0</v>
      </c>
      <c r="Q25" s="153">
        <f>IF(ISERROR(INDEX('Enter (Vac BFs TrCl MB'!$F$7:$AU$37,MATCH(PROSPECT!$B25,'Enter (Vac BFs TrCl MB'!$D$7:$D$37,FALSE),MATCH(PROSPECT!Q$11,'Enter (Vac BFs TrCl MB'!$F$6:$AU$6,FALSE))),"",(INDEX('Enter (Vac BFs TrCl MB'!$F$7:$AU$37,MATCH(PROSPECT!$B25,'Enter (Vac BFs TrCl MB'!$D$7:$D$37,FALSE),MATCH(PROSPECT!Q$11,'Enter (Vac BFs TrCl MB'!$F$6:$AU$6,FALSE))))</f>
        <v>0</v>
      </c>
      <c r="R25" s="154">
        <f>IF(ISERROR(INDEX('Enter (Vac BFs TrCl MB'!$F$7:$AU$37,MATCH(PROSPECT!$B25,'Enter (Vac BFs TrCl MB'!$D$7:$D$37,FALSE),MATCH(PROSPECT!R$11,'Enter (Vac BFs TrCl MB'!$F$6:$AU$6,FALSE))),"",(INDEX('Enter (Vac BFs TrCl MB'!$F$7:$AU$37,MATCH(PROSPECT!$B25,'Enter (Vac BFs TrCl MB'!$D$7:$D$37,FALSE),MATCH(PROSPECT!R$11,'Enter (Vac BFs TrCl MB'!$F$6:$AU$6,FALSE))))</f>
        <v>0</v>
      </c>
      <c r="S25" s="810"/>
      <c r="T25" s="112" t="str">
        <f>IF('Enter (Vac BFs TrCl MB'!$D19=0,"",'Enter (Vac BFs TrCl MB'!$D19)</f>
        <v>Taran</v>
      </c>
      <c r="U25" s="153">
        <f>IF(ISERROR(INDEX('Enter (Vac BFs TrCl MB'!$F$7:$AU$37,MATCH(PROSPECT!$B25,'Enter (Vac BFs TrCl MB'!$D$7:$D$37,FALSE),MATCH(PROSPECT!U$11,'Enter (Vac BFs TrCl MB'!$F$6:$AU$6,FALSE))),"",(INDEX('Enter (Vac BFs TrCl MB'!$F$7:$AU$37,MATCH(PROSPECT!$B25,'Enter (Vac BFs TrCl MB'!$D$7:$D$37,FALSE),MATCH(PROSPECT!U$11,'Enter (Vac BFs TrCl MB'!$F$6:$AU$6,FALSE))))</f>
        <v>0</v>
      </c>
      <c r="V25" s="153">
        <f>IF(ISERROR(INDEX('Enter (Vac BFs TrCl MB'!$F$7:$AU$37,MATCH(PROSPECT!$B25,'Enter (Vac BFs TrCl MB'!$D$7:$D$37,FALSE),MATCH(PROSPECT!V$11,'Enter (Vac BFs TrCl MB'!$F$6:$AU$6,FALSE))),"",(INDEX('Enter (Vac BFs TrCl MB'!$F$7:$AU$37,MATCH(PROSPECT!$B25,'Enter (Vac BFs TrCl MB'!$D$7:$D$37,FALSE),MATCH(PROSPECT!V$11,'Enter (Vac BFs TrCl MB'!$F$6:$AU$6,FALSE))))</f>
        <v>0</v>
      </c>
      <c r="W25" s="153">
        <f>IF(ISERROR(INDEX('Enter (Vac BFs TrCl MB'!$F$7:$AU$37,MATCH(PROSPECT!$B25,'Enter (Vac BFs TrCl MB'!$D$7:$D$37,FALSE),MATCH(PROSPECT!W$11,'Enter (Vac BFs TrCl MB'!$F$6:$AU$6,FALSE))),"",(INDEX('Enter (Vac BFs TrCl MB'!$F$7:$AU$37,MATCH(PROSPECT!$B25,'Enter (Vac BFs TrCl MB'!$D$7:$D$37,FALSE),MATCH(PROSPECT!W$11,'Enter (Vac BFs TrCl MB'!$F$6:$AU$6,FALSE))))</f>
        <v>0</v>
      </c>
      <c r="X25" s="153">
        <f>IF(ISERROR(INDEX('Enter (Vac BFs TrCl MB'!$F$7:$AU$37,MATCH(PROSPECT!$B25,'Enter (Vac BFs TrCl MB'!$D$7:$D$37,FALSE),MATCH(PROSPECT!X$11,'Enter (Vac BFs TrCl MB'!$F$6:$AU$6,FALSE))),"",(INDEX('Enter (Vac BFs TrCl MB'!$F$7:$AU$37,MATCH(PROSPECT!$B25,'Enter (Vac BFs TrCl MB'!$D$7:$D$37,FALSE),MATCH(PROSPECT!X$11,'Enter (Vac BFs TrCl MB'!$F$6:$AU$6,FALSE))))</f>
        <v>0</v>
      </c>
      <c r="Y25" s="153">
        <f>IF(ISERROR(INDEX('Enter (Vac BFs TrCl MB'!$F$7:$AU$37,MATCH(PROSPECT!$B25,'Enter (Vac BFs TrCl MB'!$D$7:$D$37,FALSE),MATCH(PROSPECT!Y$11,'Enter (Vac BFs TrCl MB'!$F$6:$AU$6,FALSE))),"",(INDEX('Enter (Vac BFs TrCl MB'!$F$7:$AU$37,MATCH(PROSPECT!$B25,'Enter (Vac BFs TrCl MB'!$D$7:$D$37,FALSE),MATCH(PROSPECT!Y$11,'Enter (Vac BFs TrCl MB'!$F$6:$AU$6,FALSE))))</f>
        <v>0</v>
      </c>
      <c r="Z25" s="153">
        <f>IF(ISERROR(INDEX('Enter (Vac BFs TrCl MB'!$F$7:$AU$37,MATCH(PROSPECT!$B25,'Enter (Vac BFs TrCl MB'!$D$7:$D$37,FALSE),MATCH(PROSPECT!Z$11,'Enter (Vac BFs TrCl MB'!$F$6:$AU$6,FALSE))),"",(INDEX('Enter (Vac BFs TrCl MB'!$F$7:$AU$37,MATCH(PROSPECT!$B25,'Enter (Vac BFs TrCl MB'!$D$7:$D$37,FALSE),MATCH(PROSPECT!Z$11,'Enter (Vac BFs TrCl MB'!$F$6:$AU$6,FALSE))))</f>
        <v>0</v>
      </c>
      <c r="AA25" s="154">
        <f>IF(ISERROR(INDEX('Enter (Vac BFs TrCl MB'!$F$7:$AU$37,MATCH(PROSPECT!$B25,'Enter (Vac BFs TrCl MB'!$D$7:$D$37,FALSE),MATCH(PROSPECT!AA$11,'Enter (Vac BFs TrCl MB'!$F$6:$AU$6,FALSE))),"",(INDEX('Enter (Vac BFs TrCl MB'!$F$7:$AU$37,MATCH(PROSPECT!$B25,'Enter (Vac BFs TrCl MB'!$D$7:$D$37,FALSE),MATCH(PROSPECT!AA$11,'Enter (Vac BFs TrCl MB'!$F$6:$AU$6,FALSE))))</f>
        <v>0</v>
      </c>
    </row>
    <row r="26" spans="2:30" ht="15">
      <c r="B26" s="111" t="str">
        <f>IF('Enter (Vac BFs TrCl MB'!$D20=0,"",'Enter (Vac BFs TrCl MB'!$D20)</f>
        <v>Jinse</v>
      </c>
      <c r="C26" s="153">
        <f>IF(ISERROR(INDEX('Enter (Vac BFs TrCl MB'!$F$7:$AU$37,MATCH(PROSPECT!$B26,'Enter (Vac BFs TrCl MB'!$D$7:$D$37,FALSE),MATCH(PROSPECT!C$11,'Enter (Vac BFs TrCl MB'!$F$6:$AU$6,FALSE))),"",(INDEX('Enter (Vac BFs TrCl MB'!$F$7:$AU$37,MATCH(PROSPECT!$B26,'Enter (Vac BFs TrCl MB'!$D$7:$D$37,FALSE),MATCH(PROSPECT!C$11,'Enter (Vac BFs TrCl MB'!$F$6:$AU$6,FALSE))))</f>
        <v>0</v>
      </c>
      <c r="D26" s="153">
        <f>IF(ISERROR(INDEX('Enter (Vac BFs TrCl MB'!$F$7:$AU$37,MATCH(PROSPECT!$B26,'Enter (Vac BFs TrCl MB'!$D$7:$D$37,FALSE),MATCH(PROSPECT!D$11,'Enter (Vac BFs TrCl MB'!$F$6:$AU$6,FALSE))),"",(INDEX('Enter (Vac BFs TrCl MB'!$F$7:$AU$37,MATCH(PROSPECT!$B26,'Enter (Vac BFs TrCl MB'!$D$7:$D$37,FALSE),MATCH(PROSPECT!D$11,'Enter (Vac BFs TrCl MB'!$F$6:$AU$6,FALSE))))</f>
        <v>0</v>
      </c>
      <c r="E26" s="153">
        <f>IF(ISERROR(INDEX('Enter (Vac BFs TrCl MB'!$F$7:$AU$37,MATCH(PROSPECT!$B26,'Enter (Vac BFs TrCl MB'!$D$7:$D$37,FALSE),MATCH(PROSPECT!E$11,'Enter (Vac BFs TrCl MB'!$F$6:$AU$6,FALSE))),"",(INDEX('Enter (Vac BFs TrCl MB'!$F$7:$AU$37,MATCH(PROSPECT!$B26,'Enter (Vac BFs TrCl MB'!$D$7:$D$37,FALSE),MATCH(PROSPECT!E$11,'Enter (Vac BFs TrCl MB'!$F$6:$AU$6,FALSE))))</f>
        <v>0</v>
      </c>
      <c r="F26" s="153">
        <f>IF(ISERROR(INDEX('Enter (Vac BFs TrCl MB'!$F$7:$AU$37,MATCH(PROSPECT!$B26,'Enter (Vac BFs TrCl MB'!$D$7:$D$37,FALSE),MATCH(PROSPECT!F$11,'Enter (Vac BFs TrCl MB'!$F$6:$AU$6,FALSE))),"",(INDEX('Enter (Vac BFs TrCl MB'!$F$7:$AU$37,MATCH(PROSPECT!$B26,'Enter (Vac BFs TrCl MB'!$D$7:$D$37,FALSE),MATCH(PROSPECT!F$11,'Enter (Vac BFs TrCl MB'!$F$6:$AU$6,FALSE))))</f>
        <v>0</v>
      </c>
      <c r="G26" s="153">
        <f>IF(ISERROR(INDEX('Enter (Vac BFs TrCl MB'!$F$7:$AU$37,MATCH(PROSPECT!$B26,'Enter (Vac BFs TrCl MB'!$D$7:$D$37,FALSE),MATCH(PROSPECT!G$11,'Enter (Vac BFs TrCl MB'!$F$6:$AU$6,FALSE))),"",(INDEX('Enter (Vac BFs TrCl MB'!$F$7:$AU$37,MATCH(PROSPECT!$B26,'Enter (Vac BFs TrCl MB'!$D$7:$D$37,FALSE),MATCH(PROSPECT!G$11,'Enter (Vac BFs TrCl MB'!$F$6:$AU$6,FALSE))))</f>
        <v>0</v>
      </c>
      <c r="H26" s="153">
        <f>IF(ISERROR(INDEX('Enter (Vac BFs TrCl MB'!$F$7:$AU$37,MATCH(PROSPECT!$B26,'Enter (Vac BFs TrCl MB'!$D$7:$D$37,FALSE),MATCH(PROSPECT!H$11,'Enter (Vac BFs TrCl MB'!$F$6:$AU$6,FALSE))),"",(INDEX('Enter (Vac BFs TrCl MB'!$F$7:$AU$37,MATCH(PROSPECT!$B26,'Enter (Vac BFs TrCl MB'!$D$7:$D$37,FALSE),MATCH(PROSPECT!H$11,'Enter (Vac BFs TrCl MB'!$F$6:$AU$6,FALSE))))</f>
        <v>0</v>
      </c>
      <c r="I26" s="154">
        <f>IF(ISERROR(INDEX('Enter (Vac BFs TrCl MB'!$F$7:$AU$37,MATCH(PROSPECT!$B26,'Enter (Vac BFs TrCl MB'!$D$7:$D$37,FALSE),MATCH(PROSPECT!I$11,'Enter (Vac BFs TrCl MB'!$F$6:$AU$6,FALSE))),"",(INDEX('Enter (Vac BFs TrCl MB'!$F$7:$AU$37,MATCH(PROSPECT!$B26,'Enter (Vac BFs TrCl MB'!$D$7:$D$37,FALSE),MATCH(PROSPECT!I$11,'Enter (Vac BFs TrCl MB'!$F$6:$AU$6,FALSE))))</f>
        <v>0</v>
      </c>
      <c r="J26" s="810"/>
      <c r="K26" s="112" t="str">
        <f>IF('Enter (Vac BFs TrCl MB'!$D20=0,"",'Enter (Vac BFs TrCl MB'!$D20)</f>
        <v>Jinse</v>
      </c>
      <c r="L26" s="153">
        <f>IF(ISERROR(INDEX('Enter (Vac BFs TrCl MB'!$F$7:$AU$37,MATCH(PROSPECT!$B26,'Enter (Vac BFs TrCl MB'!$D$7:$D$37,FALSE),MATCH(PROSPECT!L$11,'Enter (Vac BFs TrCl MB'!$F$6:$AU$6,FALSE))),"",(INDEX('Enter (Vac BFs TrCl MB'!$F$7:$AU$37,MATCH(PROSPECT!$B26,'Enter (Vac BFs TrCl MB'!$D$7:$D$37,FALSE),MATCH(PROSPECT!L$11,'Enter (Vac BFs TrCl MB'!$F$6:$AU$6,FALSE))))</f>
        <v>0</v>
      </c>
      <c r="M26" s="153">
        <f>IF(ISERROR(INDEX('Enter (Vac BFs TrCl MB'!$F$7:$AU$37,MATCH(PROSPECT!$B26,'Enter (Vac BFs TrCl MB'!$D$7:$D$37,FALSE),MATCH(PROSPECT!M$11,'Enter (Vac BFs TrCl MB'!$F$6:$AU$6,FALSE))),"",(INDEX('Enter (Vac BFs TrCl MB'!$F$7:$AU$37,MATCH(PROSPECT!$B26,'Enter (Vac BFs TrCl MB'!$D$7:$D$37,FALSE),MATCH(PROSPECT!M$11,'Enter (Vac BFs TrCl MB'!$F$6:$AU$6,FALSE))))</f>
        <v>0</v>
      </c>
      <c r="N26" s="153">
        <f>IF(ISERROR(INDEX('Enter (Vac BFs TrCl MB'!$F$7:$AU$37,MATCH(PROSPECT!$B26,'Enter (Vac BFs TrCl MB'!$D$7:$D$37,FALSE),MATCH(PROSPECT!N$11,'Enter (Vac BFs TrCl MB'!$F$6:$AU$6,FALSE))),"",(INDEX('Enter (Vac BFs TrCl MB'!$F$7:$AU$37,MATCH(PROSPECT!$B26,'Enter (Vac BFs TrCl MB'!$D$7:$D$37,FALSE),MATCH(PROSPECT!N$11,'Enter (Vac BFs TrCl MB'!$F$6:$AU$6,FALSE))))</f>
        <v>0</v>
      </c>
      <c r="O26" s="153">
        <f>IF(ISERROR(INDEX('Enter (Vac BFs TrCl MB'!$F$7:$AU$37,MATCH(PROSPECT!$B26,'Enter (Vac BFs TrCl MB'!$D$7:$D$37,FALSE),MATCH(PROSPECT!O$11,'Enter (Vac BFs TrCl MB'!$F$6:$AU$6,FALSE))),"",(INDEX('Enter (Vac BFs TrCl MB'!$F$7:$AU$37,MATCH(PROSPECT!$B26,'Enter (Vac BFs TrCl MB'!$D$7:$D$37,FALSE),MATCH(PROSPECT!O$11,'Enter (Vac BFs TrCl MB'!$F$6:$AU$6,FALSE))))</f>
        <v>0</v>
      </c>
      <c r="P26" s="153">
        <f>IF(ISERROR(INDEX('Enter (Vac BFs TrCl MB'!$F$7:$AU$37,MATCH(PROSPECT!$B26,'Enter (Vac BFs TrCl MB'!$D$7:$D$37,FALSE),MATCH(PROSPECT!P$11,'Enter (Vac BFs TrCl MB'!$F$6:$AU$6,FALSE))),"",(INDEX('Enter (Vac BFs TrCl MB'!$F$7:$AU$37,MATCH(PROSPECT!$B26,'Enter (Vac BFs TrCl MB'!$D$7:$D$37,FALSE),MATCH(PROSPECT!P$11,'Enter (Vac BFs TrCl MB'!$F$6:$AU$6,FALSE))))</f>
        <v>0</v>
      </c>
      <c r="Q26" s="153">
        <f>IF(ISERROR(INDEX('Enter (Vac BFs TrCl MB'!$F$7:$AU$37,MATCH(PROSPECT!$B26,'Enter (Vac BFs TrCl MB'!$D$7:$D$37,FALSE),MATCH(PROSPECT!Q$11,'Enter (Vac BFs TrCl MB'!$F$6:$AU$6,FALSE))),"",(INDEX('Enter (Vac BFs TrCl MB'!$F$7:$AU$37,MATCH(PROSPECT!$B26,'Enter (Vac BFs TrCl MB'!$D$7:$D$37,FALSE),MATCH(PROSPECT!Q$11,'Enter (Vac BFs TrCl MB'!$F$6:$AU$6,FALSE))))</f>
        <v>0</v>
      </c>
      <c r="R26" s="154">
        <f>IF(ISERROR(INDEX('Enter (Vac BFs TrCl MB'!$F$7:$AU$37,MATCH(PROSPECT!$B26,'Enter (Vac BFs TrCl MB'!$D$7:$D$37,FALSE),MATCH(PROSPECT!R$11,'Enter (Vac BFs TrCl MB'!$F$6:$AU$6,FALSE))),"",(INDEX('Enter (Vac BFs TrCl MB'!$F$7:$AU$37,MATCH(PROSPECT!$B26,'Enter (Vac BFs TrCl MB'!$D$7:$D$37,FALSE),MATCH(PROSPECT!R$11,'Enter (Vac BFs TrCl MB'!$F$6:$AU$6,FALSE))))</f>
        <v>0</v>
      </c>
      <c r="S26" s="810"/>
      <c r="T26" s="112" t="str">
        <f>IF('Enter (Vac BFs TrCl MB'!$D20=0,"",'Enter (Vac BFs TrCl MB'!$D20)</f>
        <v>Jinse</v>
      </c>
      <c r="U26" s="153">
        <f>IF(ISERROR(INDEX('Enter (Vac BFs TrCl MB'!$F$7:$AU$37,MATCH(PROSPECT!$B26,'Enter (Vac BFs TrCl MB'!$D$7:$D$37,FALSE),MATCH(PROSPECT!U$11,'Enter (Vac BFs TrCl MB'!$F$6:$AU$6,FALSE))),"",(INDEX('Enter (Vac BFs TrCl MB'!$F$7:$AU$37,MATCH(PROSPECT!$B26,'Enter (Vac BFs TrCl MB'!$D$7:$D$37,FALSE),MATCH(PROSPECT!U$11,'Enter (Vac BFs TrCl MB'!$F$6:$AU$6,FALSE))))</f>
        <v>0</v>
      </c>
      <c r="V26" s="153">
        <f>IF(ISERROR(INDEX('Enter (Vac BFs TrCl MB'!$F$7:$AU$37,MATCH(PROSPECT!$B26,'Enter (Vac BFs TrCl MB'!$D$7:$D$37,FALSE),MATCH(PROSPECT!V$11,'Enter (Vac BFs TrCl MB'!$F$6:$AU$6,FALSE))),"",(INDEX('Enter (Vac BFs TrCl MB'!$F$7:$AU$37,MATCH(PROSPECT!$B26,'Enter (Vac BFs TrCl MB'!$D$7:$D$37,FALSE),MATCH(PROSPECT!V$11,'Enter (Vac BFs TrCl MB'!$F$6:$AU$6,FALSE))))</f>
        <v>0</v>
      </c>
      <c r="W26" s="153">
        <f>IF(ISERROR(INDEX('Enter (Vac BFs TrCl MB'!$F$7:$AU$37,MATCH(PROSPECT!$B26,'Enter (Vac BFs TrCl MB'!$D$7:$D$37,FALSE),MATCH(PROSPECT!W$11,'Enter (Vac BFs TrCl MB'!$F$6:$AU$6,FALSE))),"",(INDEX('Enter (Vac BFs TrCl MB'!$F$7:$AU$37,MATCH(PROSPECT!$B26,'Enter (Vac BFs TrCl MB'!$D$7:$D$37,FALSE),MATCH(PROSPECT!W$11,'Enter (Vac BFs TrCl MB'!$F$6:$AU$6,FALSE))))</f>
        <v>0</v>
      </c>
      <c r="X26" s="153">
        <f>IF(ISERROR(INDEX('Enter (Vac BFs TrCl MB'!$F$7:$AU$37,MATCH(PROSPECT!$B26,'Enter (Vac BFs TrCl MB'!$D$7:$D$37,FALSE),MATCH(PROSPECT!X$11,'Enter (Vac BFs TrCl MB'!$F$6:$AU$6,FALSE))),"",(INDEX('Enter (Vac BFs TrCl MB'!$F$7:$AU$37,MATCH(PROSPECT!$B26,'Enter (Vac BFs TrCl MB'!$D$7:$D$37,FALSE),MATCH(PROSPECT!X$11,'Enter (Vac BFs TrCl MB'!$F$6:$AU$6,FALSE))))</f>
        <v>0</v>
      </c>
      <c r="Y26" s="153">
        <f>IF(ISERROR(INDEX('Enter (Vac BFs TrCl MB'!$F$7:$AU$37,MATCH(PROSPECT!$B26,'Enter (Vac BFs TrCl MB'!$D$7:$D$37,FALSE),MATCH(PROSPECT!Y$11,'Enter (Vac BFs TrCl MB'!$F$6:$AU$6,FALSE))),"",(INDEX('Enter (Vac BFs TrCl MB'!$F$7:$AU$37,MATCH(PROSPECT!$B26,'Enter (Vac BFs TrCl MB'!$D$7:$D$37,FALSE),MATCH(PROSPECT!Y$11,'Enter (Vac BFs TrCl MB'!$F$6:$AU$6,FALSE))))</f>
        <v>0</v>
      </c>
      <c r="Z26" s="153">
        <f>IF(ISERROR(INDEX('Enter (Vac BFs TrCl MB'!$F$7:$AU$37,MATCH(PROSPECT!$B26,'Enter (Vac BFs TrCl MB'!$D$7:$D$37,FALSE),MATCH(PROSPECT!Z$11,'Enter (Vac BFs TrCl MB'!$F$6:$AU$6,FALSE))),"",(INDEX('Enter (Vac BFs TrCl MB'!$F$7:$AU$37,MATCH(PROSPECT!$B26,'Enter (Vac BFs TrCl MB'!$D$7:$D$37,FALSE),MATCH(PROSPECT!Z$11,'Enter (Vac BFs TrCl MB'!$F$6:$AU$6,FALSE))))</f>
        <v>0</v>
      </c>
      <c r="AA26" s="154">
        <f>IF(ISERROR(INDEX('Enter (Vac BFs TrCl MB'!$F$7:$AU$37,MATCH(PROSPECT!$B26,'Enter (Vac BFs TrCl MB'!$D$7:$D$37,FALSE),MATCH(PROSPECT!AA$11,'Enter (Vac BFs TrCl MB'!$F$6:$AU$6,FALSE))),"",(INDEX('Enter (Vac BFs TrCl MB'!$F$7:$AU$37,MATCH(PROSPECT!$B26,'Enter (Vac BFs TrCl MB'!$D$7:$D$37,FALSE),MATCH(PROSPECT!AA$11,'Enter (Vac BFs TrCl MB'!$F$6:$AU$6,FALSE))))</f>
        <v>0</v>
      </c>
    </row>
    <row r="27" spans="2:30" ht="15">
      <c r="B27" s="111" t="str">
        <f>IF('Enter (Vac BFs TrCl MB'!$D21=0,"",'Enter (Vac BFs TrCl MB'!$D21)</f>
        <v>Marija</v>
      </c>
      <c r="C27" s="153">
        <f>IF(ISERROR(INDEX('Enter (Vac BFs TrCl MB'!$F$7:$AU$37,MATCH(PROSPECT!$B27,'Enter (Vac BFs TrCl MB'!$D$7:$D$37,FALSE),MATCH(PROSPECT!C$11,'Enter (Vac BFs TrCl MB'!$F$6:$AU$6,FALSE))),"",(INDEX('Enter (Vac BFs TrCl MB'!$F$7:$AU$37,MATCH(PROSPECT!$B27,'Enter (Vac BFs TrCl MB'!$D$7:$D$37,FALSE),MATCH(PROSPECT!C$11,'Enter (Vac BFs TrCl MB'!$F$6:$AU$6,FALSE))))</f>
        <v>0</v>
      </c>
      <c r="D27" s="153">
        <f>IF(ISERROR(INDEX('Enter (Vac BFs TrCl MB'!$F$7:$AU$37,MATCH(PROSPECT!$B27,'Enter (Vac BFs TrCl MB'!$D$7:$D$37,FALSE),MATCH(PROSPECT!D$11,'Enter (Vac BFs TrCl MB'!$F$6:$AU$6,FALSE))),"",(INDEX('Enter (Vac BFs TrCl MB'!$F$7:$AU$37,MATCH(PROSPECT!$B27,'Enter (Vac BFs TrCl MB'!$D$7:$D$37,FALSE),MATCH(PROSPECT!D$11,'Enter (Vac BFs TrCl MB'!$F$6:$AU$6,FALSE))))</f>
        <v>0</v>
      </c>
      <c r="E27" s="153">
        <f>IF(ISERROR(INDEX('Enter (Vac BFs TrCl MB'!$F$7:$AU$37,MATCH(PROSPECT!$B27,'Enter (Vac BFs TrCl MB'!$D$7:$D$37,FALSE),MATCH(PROSPECT!E$11,'Enter (Vac BFs TrCl MB'!$F$6:$AU$6,FALSE))),"",(INDEX('Enter (Vac BFs TrCl MB'!$F$7:$AU$37,MATCH(PROSPECT!$B27,'Enter (Vac BFs TrCl MB'!$D$7:$D$37,FALSE),MATCH(PROSPECT!E$11,'Enter (Vac BFs TrCl MB'!$F$6:$AU$6,FALSE))))</f>
        <v>0</v>
      </c>
      <c r="F27" s="153">
        <f>IF(ISERROR(INDEX('Enter (Vac BFs TrCl MB'!$F$7:$AU$37,MATCH(PROSPECT!$B27,'Enter (Vac BFs TrCl MB'!$D$7:$D$37,FALSE),MATCH(PROSPECT!F$11,'Enter (Vac BFs TrCl MB'!$F$6:$AU$6,FALSE))),"",(INDEX('Enter (Vac BFs TrCl MB'!$F$7:$AU$37,MATCH(PROSPECT!$B27,'Enter (Vac BFs TrCl MB'!$D$7:$D$37,FALSE),MATCH(PROSPECT!F$11,'Enter (Vac BFs TrCl MB'!$F$6:$AU$6,FALSE))))</f>
        <v>0</v>
      </c>
      <c r="G27" s="153">
        <f>IF(ISERROR(INDEX('Enter (Vac BFs TrCl MB'!$F$7:$AU$37,MATCH(PROSPECT!$B27,'Enter (Vac BFs TrCl MB'!$D$7:$D$37,FALSE),MATCH(PROSPECT!G$11,'Enter (Vac BFs TrCl MB'!$F$6:$AU$6,FALSE))),"",(INDEX('Enter (Vac BFs TrCl MB'!$F$7:$AU$37,MATCH(PROSPECT!$B27,'Enter (Vac BFs TrCl MB'!$D$7:$D$37,FALSE),MATCH(PROSPECT!G$11,'Enter (Vac BFs TrCl MB'!$F$6:$AU$6,FALSE))))</f>
        <v>0</v>
      </c>
      <c r="H27" s="153">
        <f>IF(ISERROR(INDEX('Enter (Vac BFs TrCl MB'!$F$7:$AU$37,MATCH(PROSPECT!$B27,'Enter (Vac BFs TrCl MB'!$D$7:$D$37,FALSE),MATCH(PROSPECT!H$11,'Enter (Vac BFs TrCl MB'!$F$6:$AU$6,FALSE))),"",(INDEX('Enter (Vac BFs TrCl MB'!$F$7:$AU$37,MATCH(PROSPECT!$B27,'Enter (Vac BFs TrCl MB'!$D$7:$D$37,FALSE),MATCH(PROSPECT!H$11,'Enter (Vac BFs TrCl MB'!$F$6:$AU$6,FALSE))))</f>
        <v>0</v>
      </c>
      <c r="I27" s="154">
        <f>IF(ISERROR(INDEX('Enter (Vac BFs TrCl MB'!$F$7:$AU$37,MATCH(PROSPECT!$B27,'Enter (Vac BFs TrCl MB'!$D$7:$D$37,FALSE),MATCH(PROSPECT!I$11,'Enter (Vac BFs TrCl MB'!$F$6:$AU$6,FALSE))),"",(INDEX('Enter (Vac BFs TrCl MB'!$F$7:$AU$37,MATCH(PROSPECT!$B27,'Enter (Vac BFs TrCl MB'!$D$7:$D$37,FALSE),MATCH(PROSPECT!I$11,'Enter (Vac BFs TrCl MB'!$F$6:$AU$6,FALSE))))</f>
        <v>0</v>
      </c>
      <c r="J27" s="810"/>
      <c r="K27" s="112" t="str">
        <f>IF('Enter (Vac BFs TrCl MB'!$D21=0,"",'Enter (Vac BFs TrCl MB'!$D21)</f>
        <v>Marija</v>
      </c>
      <c r="L27" s="153">
        <f>IF(ISERROR(INDEX('Enter (Vac BFs TrCl MB'!$F$7:$AU$37,MATCH(PROSPECT!$B27,'Enter (Vac BFs TrCl MB'!$D$7:$D$37,FALSE),MATCH(PROSPECT!L$11,'Enter (Vac BFs TrCl MB'!$F$6:$AU$6,FALSE))),"",(INDEX('Enter (Vac BFs TrCl MB'!$F$7:$AU$37,MATCH(PROSPECT!$B27,'Enter (Vac BFs TrCl MB'!$D$7:$D$37,FALSE),MATCH(PROSPECT!L$11,'Enter (Vac BFs TrCl MB'!$F$6:$AU$6,FALSE))))</f>
        <v>0</v>
      </c>
      <c r="M27" s="153">
        <f>IF(ISERROR(INDEX('Enter (Vac BFs TrCl MB'!$F$7:$AU$37,MATCH(PROSPECT!$B27,'Enter (Vac BFs TrCl MB'!$D$7:$D$37,FALSE),MATCH(PROSPECT!M$11,'Enter (Vac BFs TrCl MB'!$F$6:$AU$6,FALSE))),"",(INDEX('Enter (Vac BFs TrCl MB'!$F$7:$AU$37,MATCH(PROSPECT!$B27,'Enter (Vac BFs TrCl MB'!$D$7:$D$37,FALSE),MATCH(PROSPECT!M$11,'Enter (Vac BFs TrCl MB'!$F$6:$AU$6,FALSE))))</f>
        <v>0</v>
      </c>
      <c r="N27" s="153">
        <f>IF(ISERROR(INDEX('Enter (Vac BFs TrCl MB'!$F$7:$AU$37,MATCH(PROSPECT!$B27,'Enter (Vac BFs TrCl MB'!$D$7:$D$37,FALSE),MATCH(PROSPECT!N$11,'Enter (Vac BFs TrCl MB'!$F$6:$AU$6,FALSE))),"",(INDEX('Enter (Vac BFs TrCl MB'!$F$7:$AU$37,MATCH(PROSPECT!$B27,'Enter (Vac BFs TrCl MB'!$D$7:$D$37,FALSE),MATCH(PROSPECT!N$11,'Enter (Vac BFs TrCl MB'!$F$6:$AU$6,FALSE))))</f>
        <v>0</v>
      </c>
      <c r="O27" s="153">
        <f>IF(ISERROR(INDEX('Enter (Vac BFs TrCl MB'!$F$7:$AU$37,MATCH(PROSPECT!$B27,'Enter (Vac BFs TrCl MB'!$D$7:$D$37,FALSE),MATCH(PROSPECT!O$11,'Enter (Vac BFs TrCl MB'!$F$6:$AU$6,FALSE))),"",(INDEX('Enter (Vac BFs TrCl MB'!$F$7:$AU$37,MATCH(PROSPECT!$B27,'Enter (Vac BFs TrCl MB'!$D$7:$D$37,FALSE),MATCH(PROSPECT!O$11,'Enter (Vac BFs TrCl MB'!$F$6:$AU$6,FALSE))))</f>
        <v>0</v>
      </c>
      <c r="P27" s="153">
        <f>IF(ISERROR(INDEX('Enter (Vac BFs TrCl MB'!$F$7:$AU$37,MATCH(PROSPECT!$B27,'Enter (Vac BFs TrCl MB'!$D$7:$D$37,FALSE),MATCH(PROSPECT!P$11,'Enter (Vac BFs TrCl MB'!$F$6:$AU$6,FALSE))),"",(INDEX('Enter (Vac BFs TrCl MB'!$F$7:$AU$37,MATCH(PROSPECT!$B27,'Enter (Vac BFs TrCl MB'!$D$7:$D$37,FALSE),MATCH(PROSPECT!P$11,'Enter (Vac BFs TrCl MB'!$F$6:$AU$6,FALSE))))</f>
        <v>0</v>
      </c>
      <c r="Q27" s="153">
        <f>IF(ISERROR(INDEX('Enter (Vac BFs TrCl MB'!$F$7:$AU$37,MATCH(PROSPECT!$B27,'Enter (Vac BFs TrCl MB'!$D$7:$D$37,FALSE),MATCH(PROSPECT!Q$11,'Enter (Vac BFs TrCl MB'!$F$6:$AU$6,FALSE))),"",(INDEX('Enter (Vac BFs TrCl MB'!$F$7:$AU$37,MATCH(PROSPECT!$B27,'Enter (Vac BFs TrCl MB'!$D$7:$D$37,FALSE),MATCH(PROSPECT!Q$11,'Enter (Vac BFs TrCl MB'!$F$6:$AU$6,FALSE))))</f>
        <v>0</v>
      </c>
      <c r="R27" s="154">
        <f>IF(ISERROR(INDEX('Enter (Vac BFs TrCl MB'!$F$7:$AU$37,MATCH(PROSPECT!$B27,'Enter (Vac BFs TrCl MB'!$D$7:$D$37,FALSE),MATCH(PROSPECT!R$11,'Enter (Vac BFs TrCl MB'!$F$6:$AU$6,FALSE))),"",(INDEX('Enter (Vac BFs TrCl MB'!$F$7:$AU$37,MATCH(PROSPECT!$B27,'Enter (Vac BFs TrCl MB'!$D$7:$D$37,FALSE),MATCH(PROSPECT!R$11,'Enter (Vac BFs TrCl MB'!$F$6:$AU$6,FALSE))))</f>
        <v>0</v>
      </c>
      <c r="S27" s="810"/>
      <c r="T27" s="112" t="str">
        <f>IF('Enter (Vac BFs TrCl MB'!$D21=0,"",'Enter (Vac BFs TrCl MB'!$D21)</f>
        <v>Marija</v>
      </c>
      <c r="U27" s="153">
        <f>IF(ISERROR(INDEX('Enter (Vac BFs TrCl MB'!$F$7:$AU$37,MATCH(PROSPECT!$B27,'Enter (Vac BFs TrCl MB'!$D$7:$D$37,FALSE),MATCH(PROSPECT!U$11,'Enter (Vac BFs TrCl MB'!$F$6:$AU$6,FALSE))),"",(INDEX('Enter (Vac BFs TrCl MB'!$F$7:$AU$37,MATCH(PROSPECT!$B27,'Enter (Vac BFs TrCl MB'!$D$7:$D$37,FALSE),MATCH(PROSPECT!U$11,'Enter (Vac BFs TrCl MB'!$F$6:$AU$6,FALSE))))</f>
        <v>0</v>
      </c>
      <c r="V27" s="153">
        <f>IF(ISERROR(INDEX('Enter (Vac BFs TrCl MB'!$F$7:$AU$37,MATCH(PROSPECT!$B27,'Enter (Vac BFs TrCl MB'!$D$7:$D$37,FALSE),MATCH(PROSPECT!V$11,'Enter (Vac BFs TrCl MB'!$F$6:$AU$6,FALSE))),"",(INDEX('Enter (Vac BFs TrCl MB'!$F$7:$AU$37,MATCH(PROSPECT!$B27,'Enter (Vac BFs TrCl MB'!$D$7:$D$37,FALSE),MATCH(PROSPECT!V$11,'Enter (Vac BFs TrCl MB'!$F$6:$AU$6,FALSE))))</f>
        <v>0</v>
      </c>
      <c r="W27" s="153">
        <f>IF(ISERROR(INDEX('Enter (Vac BFs TrCl MB'!$F$7:$AU$37,MATCH(PROSPECT!$B27,'Enter (Vac BFs TrCl MB'!$D$7:$D$37,FALSE),MATCH(PROSPECT!W$11,'Enter (Vac BFs TrCl MB'!$F$6:$AU$6,FALSE))),"",(INDEX('Enter (Vac BFs TrCl MB'!$F$7:$AU$37,MATCH(PROSPECT!$B27,'Enter (Vac BFs TrCl MB'!$D$7:$D$37,FALSE),MATCH(PROSPECT!W$11,'Enter (Vac BFs TrCl MB'!$F$6:$AU$6,FALSE))))</f>
        <v>0</v>
      </c>
      <c r="X27" s="153">
        <f>IF(ISERROR(INDEX('Enter (Vac BFs TrCl MB'!$F$7:$AU$37,MATCH(PROSPECT!$B27,'Enter (Vac BFs TrCl MB'!$D$7:$D$37,FALSE),MATCH(PROSPECT!X$11,'Enter (Vac BFs TrCl MB'!$F$6:$AU$6,FALSE))),"",(INDEX('Enter (Vac BFs TrCl MB'!$F$7:$AU$37,MATCH(PROSPECT!$B27,'Enter (Vac BFs TrCl MB'!$D$7:$D$37,FALSE),MATCH(PROSPECT!X$11,'Enter (Vac BFs TrCl MB'!$F$6:$AU$6,FALSE))))</f>
        <v>0</v>
      </c>
      <c r="Y27" s="153">
        <f>IF(ISERROR(INDEX('Enter (Vac BFs TrCl MB'!$F$7:$AU$37,MATCH(PROSPECT!$B27,'Enter (Vac BFs TrCl MB'!$D$7:$D$37,FALSE),MATCH(PROSPECT!Y$11,'Enter (Vac BFs TrCl MB'!$F$6:$AU$6,FALSE))),"",(INDEX('Enter (Vac BFs TrCl MB'!$F$7:$AU$37,MATCH(PROSPECT!$B27,'Enter (Vac BFs TrCl MB'!$D$7:$D$37,FALSE),MATCH(PROSPECT!Y$11,'Enter (Vac BFs TrCl MB'!$F$6:$AU$6,FALSE))))</f>
        <v>0</v>
      </c>
      <c r="Z27" s="153">
        <f>IF(ISERROR(INDEX('Enter (Vac BFs TrCl MB'!$F$7:$AU$37,MATCH(PROSPECT!$B27,'Enter (Vac BFs TrCl MB'!$D$7:$D$37,FALSE),MATCH(PROSPECT!Z$11,'Enter (Vac BFs TrCl MB'!$F$6:$AU$6,FALSE))),"",(INDEX('Enter (Vac BFs TrCl MB'!$F$7:$AU$37,MATCH(PROSPECT!$B27,'Enter (Vac BFs TrCl MB'!$D$7:$D$37,FALSE),MATCH(PROSPECT!Z$11,'Enter (Vac BFs TrCl MB'!$F$6:$AU$6,FALSE))))</f>
        <v>0</v>
      </c>
      <c r="AA27" s="154">
        <f>IF(ISERROR(INDEX('Enter (Vac BFs TrCl MB'!$F$7:$AU$37,MATCH(PROSPECT!$B27,'Enter (Vac BFs TrCl MB'!$D$7:$D$37,FALSE),MATCH(PROSPECT!AA$11,'Enter (Vac BFs TrCl MB'!$F$6:$AU$6,FALSE))),"",(INDEX('Enter (Vac BFs TrCl MB'!$F$7:$AU$37,MATCH(PROSPECT!$B27,'Enter (Vac BFs TrCl MB'!$D$7:$D$37,FALSE),MATCH(PROSPECT!AA$11,'Enter (Vac BFs TrCl MB'!$F$6:$AU$6,FALSE))))</f>
        <v>0</v>
      </c>
    </row>
    <row r="28" spans="2:30" ht="15">
      <c r="B28" s="111" t="str">
        <f>IF('Enter (Vac BFs TrCl MB'!$D22=0,"",'Enter (Vac BFs TrCl MB'!$D22)</f>
        <v>Ravneet</v>
      </c>
      <c r="C28" s="153" t="str">
        <f>IF(ISERROR(INDEX('Enter (Vac BFs TrCl MB'!$F$7:$AU$37,MATCH(PROSPECT!$B28,'Enter (Vac BFs TrCl MB'!$D$7:$D$37,FALSE),MATCH(PROSPECT!C$11,'Enter (Vac BFs TrCl MB'!$F$6:$AU$6,FALSE))),"",(INDEX('Enter (Vac BFs TrCl MB'!$F$7:$AU$37,MATCH(PROSPECT!$B28,'Enter (Vac BFs TrCl MB'!$D$7:$D$37,FALSE),MATCH(PROSPECT!C$11,'Enter (Vac BFs TrCl MB'!$F$6:$AU$6,FALSE))))</f>
        <v/>
      </c>
      <c r="D28" s="153" t="str">
        <f>IF(ISERROR(INDEX('Enter (Vac BFs TrCl MB'!$F$7:$AU$37,MATCH(PROSPECT!$B28,'Enter (Vac BFs TrCl MB'!$D$7:$D$37,FALSE),MATCH(PROSPECT!D$11,'Enter (Vac BFs TrCl MB'!$F$6:$AU$6,FALSE))),"",(INDEX('Enter (Vac BFs TrCl MB'!$F$7:$AU$37,MATCH(PROSPECT!$B28,'Enter (Vac BFs TrCl MB'!$D$7:$D$37,FALSE),MATCH(PROSPECT!D$11,'Enter (Vac BFs TrCl MB'!$F$6:$AU$6,FALSE))))</f>
        <v/>
      </c>
      <c r="E28" s="153" t="str">
        <f>IF(ISERROR(INDEX('Enter (Vac BFs TrCl MB'!$F$7:$AU$37,MATCH(PROSPECT!$B28,'Enter (Vac BFs TrCl MB'!$D$7:$D$37,FALSE),MATCH(PROSPECT!E$11,'Enter (Vac BFs TrCl MB'!$F$6:$AU$6,FALSE))),"",(INDEX('Enter (Vac BFs TrCl MB'!$F$7:$AU$37,MATCH(PROSPECT!$B28,'Enter (Vac BFs TrCl MB'!$D$7:$D$37,FALSE),MATCH(PROSPECT!E$11,'Enter (Vac BFs TrCl MB'!$F$6:$AU$6,FALSE))))</f>
        <v/>
      </c>
      <c r="F28" s="153" t="str">
        <f>IF(ISERROR(INDEX('Enter (Vac BFs TrCl MB'!$F$7:$AU$37,MATCH(PROSPECT!$B28,'Enter (Vac BFs TrCl MB'!$D$7:$D$37,FALSE),MATCH(PROSPECT!F$11,'Enter (Vac BFs TrCl MB'!$F$6:$AU$6,FALSE))),"",(INDEX('Enter (Vac BFs TrCl MB'!$F$7:$AU$37,MATCH(PROSPECT!$B28,'Enter (Vac BFs TrCl MB'!$D$7:$D$37,FALSE),MATCH(PROSPECT!F$11,'Enter (Vac BFs TrCl MB'!$F$6:$AU$6,FALSE))))</f>
        <v/>
      </c>
      <c r="G28" s="153" t="str">
        <f>IF(ISERROR(INDEX('Enter (Vac BFs TrCl MB'!$F$7:$AU$37,MATCH(PROSPECT!$B28,'Enter (Vac BFs TrCl MB'!$D$7:$D$37,FALSE),MATCH(PROSPECT!G$11,'Enter (Vac BFs TrCl MB'!$F$6:$AU$6,FALSE))),"",(INDEX('Enter (Vac BFs TrCl MB'!$F$7:$AU$37,MATCH(PROSPECT!$B28,'Enter (Vac BFs TrCl MB'!$D$7:$D$37,FALSE),MATCH(PROSPECT!G$11,'Enter (Vac BFs TrCl MB'!$F$6:$AU$6,FALSE))))</f>
        <v/>
      </c>
      <c r="H28" s="153" t="str">
        <f>IF(ISERROR(INDEX('Enter (Vac BFs TrCl MB'!$F$7:$AU$37,MATCH(PROSPECT!$B28,'Enter (Vac BFs TrCl MB'!$D$7:$D$37,FALSE),MATCH(PROSPECT!H$11,'Enter (Vac BFs TrCl MB'!$F$6:$AU$6,FALSE))),"",(INDEX('Enter (Vac BFs TrCl MB'!$F$7:$AU$37,MATCH(PROSPECT!$B28,'Enter (Vac BFs TrCl MB'!$D$7:$D$37,FALSE),MATCH(PROSPECT!H$11,'Enter (Vac BFs TrCl MB'!$F$6:$AU$6,FALSE))))</f>
        <v/>
      </c>
      <c r="I28" s="154" t="str">
        <f>IF(ISERROR(INDEX('Enter (Vac BFs TrCl MB'!$F$7:$AU$37,MATCH(PROSPECT!$B28,'Enter (Vac BFs TrCl MB'!$D$7:$D$37,FALSE),MATCH(PROSPECT!I$11,'Enter (Vac BFs TrCl MB'!$F$6:$AU$6,FALSE))),"",(INDEX('Enter (Vac BFs TrCl MB'!$F$7:$AU$37,MATCH(PROSPECT!$B28,'Enter (Vac BFs TrCl MB'!$D$7:$D$37,FALSE),MATCH(PROSPECT!I$11,'Enter (Vac BFs TrCl MB'!$F$6:$AU$6,FALSE))))</f>
        <v/>
      </c>
      <c r="J28" s="810"/>
      <c r="K28" s="112" t="str">
        <f>IF('Enter (Vac BFs TrCl MB'!$D22=0,"",'Enter (Vac BFs TrCl MB'!$D22)</f>
        <v>Ravneet</v>
      </c>
      <c r="L28" s="153" t="str">
        <f>IF(ISERROR(INDEX('Enter (Vac BFs TrCl MB'!$F$7:$AU$37,MATCH(PROSPECT!$B28,'Enter (Vac BFs TrCl MB'!$D$7:$D$37,FALSE),MATCH(PROSPECT!L$11,'Enter (Vac BFs TrCl MB'!$F$6:$AU$6,FALSE))),"",(INDEX('Enter (Vac BFs TrCl MB'!$F$7:$AU$37,MATCH(PROSPECT!$B28,'Enter (Vac BFs TrCl MB'!$D$7:$D$37,FALSE),MATCH(PROSPECT!L$11,'Enter (Vac BFs TrCl MB'!$F$6:$AU$6,FALSE))))</f>
        <v/>
      </c>
      <c r="M28" s="153" t="str">
        <f>IF(ISERROR(INDEX('Enter (Vac BFs TrCl MB'!$F$7:$AU$37,MATCH(PROSPECT!$B28,'Enter (Vac BFs TrCl MB'!$D$7:$D$37,FALSE),MATCH(PROSPECT!M$11,'Enter (Vac BFs TrCl MB'!$F$6:$AU$6,FALSE))),"",(INDEX('Enter (Vac BFs TrCl MB'!$F$7:$AU$37,MATCH(PROSPECT!$B28,'Enter (Vac BFs TrCl MB'!$D$7:$D$37,FALSE),MATCH(PROSPECT!M$11,'Enter (Vac BFs TrCl MB'!$F$6:$AU$6,FALSE))))</f>
        <v/>
      </c>
      <c r="N28" s="153" t="str">
        <f>IF(ISERROR(INDEX('Enter (Vac BFs TrCl MB'!$F$7:$AU$37,MATCH(PROSPECT!$B28,'Enter (Vac BFs TrCl MB'!$D$7:$D$37,FALSE),MATCH(PROSPECT!N$11,'Enter (Vac BFs TrCl MB'!$F$6:$AU$6,FALSE))),"",(INDEX('Enter (Vac BFs TrCl MB'!$F$7:$AU$37,MATCH(PROSPECT!$B28,'Enter (Vac BFs TrCl MB'!$D$7:$D$37,FALSE),MATCH(PROSPECT!N$11,'Enter (Vac BFs TrCl MB'!$F$6:$AU$6,FALSE))))</f>
        <v/>
      </c>
      <c r="O28" s="153" t="str">
        <f>IF(ISERROR(INDEX('Enter (Vac BFs TrCl MB'!$F$7:$AU$37,MATCH(PROSPECT!$B28,'Enter (Vac BFs TrCl MB'!$D$7:$D$37,FALSE),MATCH(PROSPECT!O$11,'Enter (Vac BFs TrCl MB'!$F$6:$AU$6,FALSE))),"",(INDEX('Enter (Vac BFs TrCl MB'!$F$7:$AU$37,MATCH(PROSPECT!$B28,'Enter (Vac BFs TrCl MB'!$D$7:$D$37,FALSE),MATCH(PROSPECT!O$11,'Enter (Vac BFs TrCl MB'!$F$6:$AU$6,FALSE))))</f>
        <v/>
      </c>
      <c r="P28" s="153" t="str">
        <f>IF(ISERROR(INDEX('Enter (Vac BFs TrCl MB'!$F$7:$AU$37,MATCH(PROSPECT!$B28,'Enter (Vac BFs TrCl MB'!$D$7:$D$37,FALSE),MATCH(PROSPECT!P$11,'Enter (Vac BFs TrCl MB'!$F$6:$AU$6,FALSE))),"",(INDEX('Enter (Vac BFs TrCl MB'!$F$7:$AU$37,MATCH(PROSPECT!$B28,'Enter (Vac BFs TrCl MB'!$D$7:$D$37,FALSE),MATCH(PROSPECT!P$11,'Enter (Vac BFs TrCl MB'!$F$6:$AU$6,FALSE))))</f>
        <v/>
      </c>
      <c r="Q28" s="153" t="str">
        <f>IF(ISERROR(INDEX('Enter (Vac BFs TrCl MB'!$F$7:$AU$37,MATCH(PROSPECT!$B28,'Enter (Vac BFs TrCl MB'!$D$7:$D$37,FALSE),MATCH(PROSPECT!Q$11,'Enter (Vac BFs TrCl MB'!$F$6:$AU$6,FALSE))),"",(INDEX('Enter (Vac BFs TrCl MB'!$F$7:$AU$37,MATCH(PROSPECT!$B28,'Enter (Vac BFs TrCl MB'!$D$7:$D$37,FALSE),MATCH(PROSPECT!Q$11,'Enter (Vac BFs TrCl MB'!$F$6:$AU$6,FALSE))))</f>
        <v/>
      </c>
      <c r="R28" s="154" t="str">
        <f>IF(ISERROR(INDEX('Enter (Vac BFs TrCl MB'!$F$7:$AU$37,MATCH(PROSPECT!$B28,'Enter (Vac BFs TrCl MB'!$D$7:$D$37,FALSE),MATCH(PROSPECT!R$11,'Enter (Vac BFs TrCl MB'!$F$6:$AU$6,FALSE))),"",(INDEX('Enter (Vac BFs TrCl MB'!$F$7:$AU$37,MATCH(PROSPECT!$B28,'Enter (Vac BFs TrCl MB'!$D$7:$D$37,FALSE),MATCH(PROSPECT!R$11,'Enter (Vac BFs TrCl MB'!$F$6:$AU$6,FALSE))))</f>
        <v/>
      </c>
      <c r="S28" s="810"/>
      <c r="T28" s="112" t="str">
        <f>IF('Enter (Vac BFs TrCl MB'!$D22=0,"",'Enter (Vac BFs TrCl MB'!$D22)</f>
        <v>Ravneet</v>
      </c>
      <c r="U28" s="153" t="str">
        <f>IF(ISERROR(INDEX('Enter (Vac BFs TrCl MB'!$F$7:$AU$37,MATCH(PROSPECT!$B28,'Enter (Vac BFs TrCl MB'!$D$7:$D$37,FALSE),MATCH(PROSPECT!U$11,'Enter (Vac BFs TrCl MB'!$F$6:$AU$6,FALSE))),"",(INDEX('Enter (Vac BFs TrCl MB'!$F$7:$AU$37,MATCH(PROSPECT!$B28,'Enter (Vac BFs TrCl MB'!$D$7:$D$37,FALSE),MATCH(PROSPECT!U$11,'Enter (Vac BFs TrCl MB'!$F$6:$AU$6,FALSE))))</f>
        <v/>
      </c>
      <c r="V28" s="153" t="str">
        <f>IF(ISERROR(INDEX('Enter (Vac BFs TrCl MB'!$F$7:$AU$37,MATCH(PROSPECT!$B28,'Enter (Vac BFs TrCl MB'!$D$7:$D$37,FALSE),MATCH(PROSPECT!V$11,'Enter (Vac BFs TrCl MB'!$F$6:$AU$6,FALSE))),"",(INDEX('Enter (Vac BFs TrCl MB'!$F$7:$AU$37,MATCH(PROSPECT!$B28,'Enter (Vac BFs TrCl MB'!$D$7:$D$37,FALSE),MATCH(PROSPECT!V$11,'Enter (Vac BFs TrCl MB'!$F$6:$AU$6,FALSE))))</f>
        <v/>
      </c>
      <c r="W28" s="153" t="str">
        <f>IF(ISERROR(INDEX('Enter (Vac BFs TrCl MB'!$F$7:$AU$37,MATCH(PROSPECT!$B28,'Enter (Vac BFs TrCl MB'!$D$7:$D$37,FALSE),MATCH(PROSPECT!W$11,'Enter (Vac BFs TrCl MB'!$F$6:$AU$6,FALSE))),"",(INDEX('Enter (Vac BFs TrCl MB'!$F$7:$AU$37,MATCH(PROSPECT!$B28,'Enter (Vac BFs TrCl MB'!$D$7:$D$37,FALSE),MATCH(PROSPECT!W$11,'Enter (Vac BFs TrCl MB'!$F$6:$AU$6,FALSE))))</f>
        <v/>
      </c>
      <c r="X28" s="153" t="str">
        <f>IF(ISERROR(INDEX('Enter (Vac BFs TrCl MB'!$F$7:$AU$37,MATCH(PROSPECT!$B28,'Enter (Vac BFs TrCl MB'!$D$7:$D$37,FALSE),MATCH(PROSPECT!X$11,'Enter (Vac BFs TrCl MB'!$F$6:$AU$6,FALSE))),"",(INDEX('Enter (Vac BFs TrCl MB'!$F$7:$AU$37,MATCH(PROSPECT!$B28,'Enter (Vac BFs TrCl MB'!$D$7:$D$37,FALSE),MATCH(PROSPECT!X$11,'Enter (Vac BFs TrCl MB'!$F$6:$AU$6,FALSE))))</f>
        <v/>
      </c>
      <c r="Y28" s="153" t="str">
        <f>IF(ISERROR(INDEX('Enter (Vac BFs TrCl MB'!$F$7:$AU$37,MATCH(PROSPECT!$B28,'Enter (Vac BFs TrCl MB'!$D$7:$D$37,FALSE),MATCH(PROSPECT!Y$11,'Enter (Vac BFs TrCl MB'!$F$6:$AU$6,FALSE))),"",(INDEX('Enter (Vac BFs TrCl MB'!$F$7:$AU$37,MATCH(PROSPECT!$B28,'Enter (Vac BFs TrCl MB'!$D$7:$D$37,FALSE),MATCH(PROSPECT!Y$11,'Enter (Vac BFs TrCl MB'!$F$6:$AU$6,FALSE))))</f>
        <v/>
      </c>
      <c r="Z28" s="153" t="str">
        <f>IF(ISERROR(INDEX('Enter (Vac BFs TrCl MB'!$F$7:$AU$37,MATCH(PROSPECT!$B28,'Enter (Vac BFs TrCl MB'!$D$7:$D$37,FALSE),MATCH(PROSPECT!Z$11,'Enter (Vac BFs TrCl MB'!$F$6:$AU$6,FALSE))),"",(INDEX('Enter (Vac BFs TrCl MB'!$F$7:$AU$37,MATCH(PROSPECT!$B28,'Enter (Vac BFs TrCl MB'!$D$7:$D$37,FALSE),MATCH(PROSPECT!Z$11,'Enter (Vac BFs TrCl MB'!$F$6:$AU$6,FALSE))))</f>
        <v/>
      </c>
      <c r="AA28" s="154" t="str">
        <f>IF(ISERROR(INDEX('Enter (Vac BFs TrCl MB'!$F$7:$AU$37,MATCH(PROSPECT!$B28,'Enter (Vac BFs TrCl MB'!$D$7:$D$37,FALSE),MATCH(PROSPECT!AA$11,'Enter (Vac BFs TrCl MB'!$F$6:$AU$6,FALSE))),"",(INDEX('Enter (Vac BFs TrCl MB'!$F$7:$AU$37,MATCH(PROSPECT!$B28,'Enter (Vac BFs TrCl MB'!$D$7:$D$37,FALSE),MATCH(PROSPECT!AA$11,'Enter (Vac BFs TrCl MB'!$F$6:$AU$6,FALSE))))</f>
        <v/>
      </c>
    </row>
    <row r="29" spans="2:30" ht="15">
      <c r="B29" s="111" t="str">
        <f>IF('Enter (Vac BFs TrCl MB'!$D23=0,"",'Enter (Vac BFs TrCl MB'!$D23)</f>
        <v/>
      </c>
      <c r="C29" s="153" t="str">
        <f>IF(ISERROR(INDEX('Enter (Vac BFs TrCl MB'!$F$7:$AU$37,MATCH(PROSPECT!$B29,'Enter (Vac BFs TrCl MB'!$D$7:$D$37,FALSE),MATCH(PROSPECT!C$11,'Enter (Vac BFs TrCl MB'!$F$6:$AU$6,FALSE))),"",(INDEX('Enter (Vac BFs TrCl MB'!$F$7:$AU$37,MATCH(PROSPECT!$B29,'Enter (Vac BFs TrCl MB'!$D$7:$D$37,FALSE),MATCH(PROSPECT!C$11,'Enter (Vac BFs TrCl MB'!$F$6:$AU$6,FALSE))))</f>
        <v/>
      </c>
      <c r="D29" s="153" t="str">
        <f>IF(ISERROR(INDEX('Enter (Vac BFs TrCl MB'!$F$7:$AU$37,MATCH(PROSPECT!$B29,'Enter (Vac BFs TrCl MB'!$D$7:$D$37,FALSE),MATCH(PROSPECT!D$11,'Enter (Vac BFs TrCl MB'!$F$6:$AU$6,FALSE))),"",(INDEX('Enter (Vac BFs TrCl MB'!$F$7:$AU$37,MATCH(PROSPECT!$B29,'Enter (Vac BFs TrCl MB'!$D$7:$D$37,FALSE),MATCH(PROSPECT!D$11,'Enter (Vac BFs TrCl MB'!$F$6:$AU$6,FALSE))))</f>
        <v/>
      </c>
      <c r="E29" s="153" t="str">
        <f>IF(ISERROR(INDEX('Enter (Vac BFs TrCl MB'!$F$7:$AU$37,MATCH(PROSPECT!$B29,'Enter (Vac BFs TrCl MB'!$D$7:$D$37,FALSE),MATCH(PROSPECT!E$11,'Enter (Vac BFs TrCl MB'!$F$6:$AU$6,FALSE))),"",(INDEX('Enter (Vac BFs TrCl MB'!$F$7:$AU$37,MATCH(PROSPECT!$B29,'Enter (Vac BFs TrCl MB'!$D$7:$D$37,FALSE),MATCH(PROSPECT!E$11,'Enter (Vac BFs TrCl MB'!$F$6:$AU$6,FALSE))))</f>
        <v/>
      </c>
      <c r="F29" s="153" t="str">
        <f>IF(ISERROR(INDEX('Enter (Vac BFs TrCl MB'!$F$7:$AU$37,MATCH(PROSPECT!$B29,'Enter (Vac BFs TrCl MB'!$D$7:$D$37,FALSE),MATCH(PROSPECT!F$11,'Enter (Vac BFs TrCl MB'!$F$6:$AU$6,FALSE))),"",(INDEX('Enter (Vac BFs TrCl MB'!$F$7:$AU$37,MATCH(PROSPECT!$B29,'Enter (Vac BFs TrCl MB'!$D$7:$D$37,FALSE),MATCH(PROSPECT!F$11,'Enter (Vac BFs TrCl MB'!$F$6:$AU$6,FALSE))))</f>
        <v/>
      </c>
      <c r="G29" s="153" t="str">
        <f>IF(ISERROR(INDEX('Enter (Vac BFs TrCl MB'!$F$7:$AU$37,MATCH(PROSPECT!$B29,'Enter (Vac BFs TrCl MB'!$D$7:$D$37,FALSE),MATCH(PROSPECT!G$11,'Enter (Vac BFs TrCl MB'!$F$6:$AU$6,FALSE))),"",(INDEX('Enter (Vac BFs TrCl MB'!$F$7:$AU$37,MATCH(PROSPECT!$B29,'Enter (Vac BFs TrCl MB'!$D$7:$D$37,FALSE),MATCH(PROSPECT!G$11,'Enter (Vac BFs TrCl MB'!$F$6:$AU$6,FALSE))))</f>
        <v/>
      </c>
      <c r="H29" s="153" t="str">
        <f>IF(ISERROR(INDEX('Enter (Vac BFs TrCl MB'!$F$7:$AU$37,MATCH(PROSPECT!$B29,'Enter (Vac BFs TrCl MB'!$D$7:$D$37,FALSE),MATCH(PROSPECT!H$11,'Enter (Vac BFs TrCl MB'!$F$6:$AU$6,FALSE))),"",(INDEX('Enter (Vac BFs TrCl MB'!$F$7:$AU$37,MATCH(PROSPECT!$B29,'Enter (Vac BFs TrCl MB'!$D$7:$D$37,FALSE),MATCH(PROSPECT!H$11,'Enter (Vac BFs TrCl MB'!$F$6:$AU$6,FALSE))))</f>
        <v/>
      </c>
      <c r="I29" s="154" t="str">
        <f>IF(ISERROR(INDEX('Enter (Vac BFs TrCl MB'!$F$7:$AU$37,MATCH(PROSPECT!$B29,'Enter (Vac BFs TrCl MB'!$D$7:$D$37,FALSE),MATCH(PROSPECT!I$11,'Enter (Vac BFs TrCl MB'!$F$6:$AU$6,FALSE))),"",(INDEX('Enter (Vac BFs TrCl MB'!$F$7:$AU$37,MATCH(PROSPECT!$B29,'Enter (Vac BFs TrCl MB'!$D$7:$D$37,FALSE),MATCH(PROSPECT!I$11,'Enter (Vac BFs TrCl MB'!$F$6:$AU$6,FALSE))))</f>
        <v/>
      </c>
      <c r="J29" s="810"/>
      <c r="K29" s="112" t="str">
        <f>IF('Enter (Vac BFs TrCl MB'!$D23=0,"",'Enter (Vac BFs TrCl MB'!$D23)</f>
        <v/>
      </c>
      <c r="L29" s="153" t="str">
        <f>IF(ISERROR(INDEX('Enter (Vac BFs TrCl MB'!$F$7:$AU$37,MATCH(PROSPECT!$B29,'Enter (Vac BFs TrCl MB'!$D$7:$D$37,FALSE),MATCH(PROSPECT!L$11,'Enter (Vac BFs TrCl MB'!$F$6:$AU$6,FALSE))),"",(INDEX('Enter (Vac BFs TrCl MB'!$F$7:$AU$37,MATCH(PROSPECT!$B29,'Enter (Vac BFs TrCl MB'!$D$7:$D$37,FALSE),MATCH(PROSPECT!L$11,'Enter (Vac BFs TrCl MB'!$F$6:$AU$6,FALSE))))</f>
        <v/>
      </c>
      <c r="M29" s="153" t="str">
        <f>IF(ISERROR(INDEX('Enter (Vac BFs TrCl MB'!$F$7:$AU$37,MATCH(PROSPECT!$B29,'Enter (Vac BFs TrCl MB'!$D$7:$D$37,FALSE),MATCH(PROSPECT!M$11,'Enter (Vac BFs TrCl MB'!$F$6:$AU$6,FALSE))),"",(INDEX('Enter (Vac BFs TrCl MB'!$F$7:$AU$37,MATCH(PROSPECT!$B29,'Enter (Vac BFs TrCl MB'!$D$7:$D$37,FALSE),MATCH(PROSPECT!M$11,'Enter (Vac BFs TrCl MB'!$F$6:$AU$6,FALSE))))</f>
        <v/>
      </c>
      <c r="N29" s="153" t="str">
        <f>IF(ISERROR(INDEX('Enter (Vac BFs TrCl MB'!$F$7:$AU$37,MATCH(PROSPECT!$B29,'Enter (Vac BFs TrCl MB'!$D$7:$D$37,FALSE),MATCH(PROSPECT!N$11,'Enter (Vac BFs TrCl MB'!$F$6:$AU$6,FALSE))),"",(INDEX('Enter (Vac BFs TrCl MB'!$F$7:$AU$37,MATCH(PROSPECT!$B29,'Enter (Vac BFs TrCl MB'!$D$7:$D$37,FALSE),MATCH(PROSPECT!N$11,'Enter (Vac BFs TrCl MB'!$F$6:$AU$6,FALSE))))</f>
        <v/>
      </c>
      <c r="O29" s="153" t="str">
        <f>IF(ISERROR(INDEX('Enter (Vac BFs TrCl MB'!$F$7:$AU$37,MATCH(PROSPECT!$B29,'Enter (Vac BFs TrCl MB'!$D$7:$D$37,FALSE),MATCH(PROSPECT!O$11,'Enter (Vac BFs TrCl MB'!$F$6:$AU$6,FALSE))),"",(INDEX('Enter (Vac BFs TrCl MB'!$F$7:$AU$37,MATCH(PROSPECT!$B29,'Enter (Vac BFs TrCl MB'!$D$7:$D$37,FALSE),MATCH(PROSPECT!O$11,'Enter (Vac BFs TrCl MB'!$F$6:$AU$6,FALSE))))</f>
        <v/>
      </c>
      <c r="P29" s="153" t="str">
        <f>IF(ISERROR(INDEX('Enter (Vac BFs TrCl MB'!$F$7:$AU$37,MATCH(PROSPECT!$B29,'Enter (Vac BFs TrCl MB'!$D$7:$D$37,FALSE),MATCH(PROSPECT!P$11,'Enter (Vac BFs TrCl MB'!$F$6:$AU$6,FALSE))),"",(INDEX('Enter (Vac BFs TrCl MB'!$F$7:$AU$37,MATCH(PROSPECT!$B29,'Enter (Vac BFs TrCl MB'!$D$7:$D$37,FALSE),MATCH(PROSPECT!P$11,'Enter (Vac BFs TrCl MB'!$F$6:$AU$6,FALSE))))</f>
        <v/>
      </c>
      <c r="Q29" s="153" t="str">
        <f>IF(ISERROR(INDEX('Enter (Vac BFs TrCl MB'!$F$7:$AU$37,MATCH(PROSPECT!$B29,'Enter (Vac BFs TrCl MB'!$D$7:$D$37,FALSE),MATCH(PROSPECT!Q$11,'Enter (Vac BFs TrCl MB'!$F$6:$AU$6,FALSE))),"",(INDEX('Enter (Vac BFs TrCl MB'!$F$7:$AU$37,MATCH(PROSPECT!$B29,'Enter (Vac BFs TrCl MB'!$D$7:$D$37,FALSE),MATCH(PROSPECT!Q$11,'Enter (Vac BFs TrCl MB'!$F$6:$AU$6,FALSE))))</f>
        <v/>
      </c>
      <c r="R29" s="154" t="str">
        <f>IF(ISERROR(INDEX('Enter (Vac BFs TrCl MB'!$F$7:$AU$37,MATCH(PROSPECT!$B29,'Enter (Vac BFs TrCl MB'!$D$7:$D$37,FALSE),MATCH(PROSPECT!R$11,'Enter (Vac BFs TrCl MB'!$F$6:$AU$6,FALSE))),"",(INDEX('Enter (Vac BFs TrCl MB'!$F$7:$AU$37,MATCH(PROSPECT!$B29,'Enter (Vac BFs TrCl MB'!$D$7:$D$37,FALSE),MATCH(PROSPECT!R$11,'Enter (Vac BFs TrCl MB'!$F$6:$AU$6,FALSE))))</f>
        <v/>
      </c>
      <c r="S29" s="810"/>
      <c r="T29" s="112" t="str">
        <f>IF('Enter (Vac BFs TrCl MB'!$D23=0,"",'Enter (Vac BFs TrCl MB'!$D23)</f>
        <v/>
      </c>
      <c r="U29" s="153" t="str">
        <f>IF(ISERROR(INDEX('Enter (Vac BFs TrCl MB'!$F$7:$AU$37,MATCH(PROSPECT!$B29,'Enter (Vac BFs TrCl MB'!$D$7:$D$37,FALSE),MATCH(PROSPECT!U$11,'Enter (Vac BFs TrCl MB'!$F$6:$AU$6,FALSE))),"",(INDEX('Enter (Vac BFs TrCl MB'!$F$7:$AU$37,MATCH(PROSPECT!$B29,'Enter (Vac BFs TrCl MB'!$D$7:$D$37,FALSE),MATCH(PROSPECT!U$11,'Enter (Vac BFs TrCl MB'!$F$6:$AU$6,FALSE))))</f>
        <v/>
      </c>
      <c r="V29" s="153" t="str">
        <f>IF(ISERROR(INDEX('Enter (Vac BFs TrCl MB'!$F$7:$AU$37,MATCH(PROSPECT!$B29,'Enter (Vac BFs TrCl MB'!$D$7:$D$37,FALSE),MATCH(PROSPECT!V$11,'Enter (Vac BFs TrCl MB'!$F$6:$AU$6,FALSE))),"",(INDEX('Enter (Vac BFs TrCl MB'!$F$7:$AU$37,MATCH(PROSPECT!$B29,'Enter (Vac BFs TrCl MB'!$D$7:$D$37,FALSE),MATCH(PROSPECT!V$11,'Enter (Vac BFs TrCl MB'!$F$6:$AU$6,FALSE))))</f>
        <v/>
      </c>
      <c r="W29" s="153" t="str">
        <f>IF(ISERROR(INDEX('Enter (Vac BFs TrCl MB'!$F$7:$AU$37,MATCH(PROSPECT!$B29,'Enter (Vac BFs TrCl MB'!$D$7:$D$37,FALSE),MATCH(PROSPECT!W$11,'Enter (Vac BFs TrCl MB'!$F$6:$AU$6,FALSE))),"",(INDEX('Enter (Vac BFs TrCl MB'!$F$7:$AU$37,MATCH(PROSPECT!$B29,'Enter (Vac BFs TrCl MB'!$D$7:$D$37,FALSE),MATCH(PROSPECT!W$11,'Enter (Vac BFs TrCl MB'!$F$6:$AU$6,FALSE))))</f>
        <v/>
      </c>
      <c r="X29" s="153" t="str">
        <f>IF(ISERROR(INDEX('Enter (Vac BFs TrCl MB'!$F$7:$AU$37,MATCH(PROSPECT!$B29,'Enter (Vac BFs TrCl MB'!$D$7:$D$37,FALSE),MATCH(PROSPECT!X$11,'Enter (Vac BFs TrCl MB'!$F$6:$AU$6,FALSE))),"",(INDEX('Enter (Vac BFs TrCl MB'!$F$7:$AU$37,MATCH(PROSPECT!$B29,'Enter (Vac BFs TrCl MB'!$D$7:$D$37,FALSE),MATCH(PROSPECT!X$11,'Enter (Vac BFs TrCl MB'!$F$6:$AU$6,FALSE))))</f>
        <v/>
      </c>
      <c r="Y29" s="153" t="str">
        <f>IF(ISERROR(INDEX('Enter (Vac BFs TrCl MB'!$F$7:$AU$37,MATCH(PROSPECT!$B29,'Enter (Vac BFs TrCl MB'!$D$7:$D$37,FALSE),MATCH(PROSPECT!Y$11,'Enter (Vac BFs TrCl MB'!$F$6:$AU$6,FALSE))),"",(INDEX('Enter (Vac BFs TrCl MB'!$F$7:$AU$37,MATCH(PROSPECT!$B29,'Enter (Vac BFs TrCl MB'!$D$7:$D$37,FALSE),MATCH(PROSPECT!Y$11,'Enter (Vac BFs TrCl MB'!$F$6:$AU$6,FALSE))))</f>
        <v/>
      </c>
      <c r="Z29" s="153" t="str">
        <f>IF(ISERROR(INDEX('Enter (Vac BFs TrCl MB'!$F$7:$AU$37,MATCH(PROSPECT!$B29,'Enter (Vac BFs TrCl MB'!$D$7:$D$37,FALSE),MATCH(PROSPECT!Z$11,'Enter (Vac BFs TrCl MB'!$F$6:$AU$6,FALSE))),"",(INDEX('Enter (Vac BFs TrCl MB'!$F$7:$AU$37,MATCH(PROSPECT!$B29,'Enter (Vac BFs TrCl MB'!$D$7:$D$37,FALSE),MATCH(PROSPECT!Z$11,'Enter (Vac BFs TrCl MB'!$F$6:$AU$6,FALSE))))</f>
        <v/>
      </c>
      <c r="AA29" s="154" t="str">
        <f>IF(ISERROR(INDEX('Enter (Vac BFs TrCl MB'!$F$7:$AU$37,MATCH(PROSPECT!$B29,'Enter (Vac BFs TrCl MB'!$D$7:$D$37,FALSE),MATCH(PROSPECT!AA$11,'Enter (Vac BFs TrCl MB'!$F$6:$AU$6,FALSE))),"",(INDEX('Enter (Vac BFs TrCl MB'!$F$7:$AU$37,MATCH(PROSPECT!$B29,'Enter (Vac BFs TrCl MB'!$D$7:$D$37,FALSE),MATCH(PROSPECT!AA$11,'Enter (Vac BFs TrCl MB'!$F$6:$AU$6,FALSE))))</f>
        <v/>
      </c>
    </row>
    <row r="30" spans="2:30" ht="15">
      <c r="B30" s="111" t="str">
        <f>IF('Enter (Vac BFs TrCl MB'!$D24=0,"",'Enter (Vac BFs TrCl MB'!$D24)</f>
        <v>Open/close</v>
      </c>
      <c r="C30" s="153">
        <f>IF(ISERROR(INDEX('Enter (Vac BFs TrCl MB'!$F$7:$AU$37,MATCH(PROSPECT!$B30,'Enter (Vac BFs TrCl MB'!$D$7:$D$37,FALSE),MATCH(PROSPECT!C$11,'Enter (Vac BFs TrCl MB'!$F$6:$AU$6,FALSE))),"",(INDEX('Enter (Vac BFs TrCl MB'!$F$7:$AU$37,MATCH(PROSPECT!$B30,'Enter (Vac BFs TrCl MB'!$D$7:$D$37,FALSE),MATCH(PROSPECT!C$11,'Enter (Vac BFs TrCl MB'!$F$6:$AU$6,FALSE))))</f>
        <v>0</v>
      </c>
      <c r="D30" s="153">
        <f>IF(ISERROR(INDEX('Enter (Vac BFs TrCl MB'!$F$7:$AU$37,MATCH(PROSPECT!$B30,'Enter (Vac BFs TrCl MB'!$D$7:$D$37,FALSE),MATCH(PROSPECT!D$11,'Enter (Vac BFs TrCl MB'!$F$6:$AU$6,FALSE))),"",(INDEX('Enter (Vac BFs TrCl MB'!$F$7:$AU$37,MATCH(PROSPECT!$B30,'Enter (Vac BFs TrCl MB'!$D$7:$D$37,FALSE),MATCH(PROSPECT!D$11,'Enter (Vac BFs TrCl MB'!$F$6:$AU$6,FALSE))))</f>
        <v>0</v>
      </c>
      <c r="E30" s="153">
        <f>IF(ISERROR(INDEX('Enter (Vac BFs TrCl MB'!$F$7:$AU$37,MATCH(PROSPECT!$B30,'Enter (Vac BFs TrCl MB'!$D$7:$D$37,FALSE),MATCH(PROSPECT!E$11,'Enter (Vac BFs TrCl MB'!$F$6:$AU$6,FALSE))),"",(INDEX('Enter (Vac BFs TrCl MB'!$F$7:$AU$37,MATCH(PROSPECT!$B30,'Enter (Vac BFs TrCl MB'!$D$7:$D$37,FALSE),MATCH(PROSPECT!E$11,'Enter (Vac BFs TrCl MB'!$F$6:$AU$6,FALSE))))</f>
        <v>0</v>
      </c>
      <c r="F30" s="153">
        <f>IF(ISERROR(INDEX('Enter (Vac BFs TrCl MB'!$F$7:$AU$37,MATCH(PROSPECT!$B30,'Enter (Vac BFs TrCl MB'!$D$7:$D$37,FALSE),MATCH(PROSPECT!F$11,'Enter (Vac BFs TrCl MB'!$F$6:$AU$6,FALSE))),"",(INDEX('Enter (Vac BFs TrCl MB'!$F$7:$AU$37,MATCH(PROSPECT!$B30,'Enter (Vac BFs TrCl MB'!$D$7:$D$37,FALSE),MATCH(PROSPECT!F$11,'Enter (Vac BFs TrCl MB'!$F$6:$AU$6,FALSE))))</f>
        <v>0</v>
      </c>
      <c r="G30" s="153">
        <f>IF(ISERROR(INDEX('Enter (Vac BFs TrCl MB'!$F$7:$AU$37,MATCH(PROSPECT!$B30,'Enter (Vac BFs TrCl MB'!$D$7:$D$37,FALSE),MATCH(PROSPECT!G$11,'Enter (Vac BFs TrCl MB'!$F$6:$AU$6,FALSE))),"",(INDEX('Enter (Vac BFs TrCl MB'!$F$7:$AU$37,MATCH(PROSPECT!$B30,'Enter (Vac BFs TrCl MB'!$D$7:$D$37,FALSE),MATCH(PROSPECT!G$11,'Enter (Vac BFs TrCl MB'!$F$6:$AU$6,FALSE))))</f>
        <v>0</v>
      </c>
      <c r="H30" s="153">
        <f>IF(ISERROR(INDEX('Enter (Vac BFs TrCl MB'!$F$7:$AU$37,MATCH(PROSPECT!$B30,'Enter (Vac BFs TrCl MB'!$D$7:$D$37,FALSE),MATCH(PROSPECT!H$11,'Enter (Vac BFs TrCl MB'!$F$6:$AU$6,FALSE))),"",(INDEX('Enter (Vac BFs TrCl MB'!$F$7:$AU$37,MATCH(PROSPECT!$B30,'Enter (Vac BFs TrCl MB'!$D$7:$D$37,FALSE),MATCH(PROSPECT!H$11,'Enter (Vac BFs TrCl MB'!$F$6:$AU$6,FALSE))))</f>
        <v>0</v>
      </c>
      <c r="I30" s="154">
        <f>IF(ISERROR(INDEX('Enter (Vac BFs TrCl MB'!$F$7:$AU$37,MATCH(PROSPECT!$B30,'Enter (Vac BFs TrCl MB'!$D$7:$D$37,FALSE),MATCH(PROSPECT!I$11,'Enter (Vac BFs TrCl MB'!$F$6:$AU$6,FALSE))),"",(INDEX('Enter (Vac BFs TrCl MB'!$F$7:$AU$37,MATCH(PROSPECT!$B30,'Enter (Vac BFs TrCl MB'!$D$7:$D$37,FALSE),MATCH(PROSPECT!I$11,'Enter (Vac BFs TrCl MB'!$F$6:$AU$6,FALSE))))</f>
        <v>0</v>
      </c>
      <c r="J30" s="810"/>
      <c r="K30" s="112" t="str">
        <f>IF('Enter (Vac BFs TrCl MB'!$D24=0,"",'Enter (Vac BFs TrCl MB'!$D24)</f>
        <v>Open/close</v>
      </c>
      <c r="L30" s="153">
        <f>IF(ISERROR(INDEX('Enter (Vac BFs TrCl MB'!$F$7:$AU$37,MATCH(PROSPECT!$B30,'Enter (Vac BFs TrCl MB'!$D$7:$D$37,FALSE),MATCH(PROSPECT!L$11,'Enter (Vac BFs TrCl MB'!$F$6:$AU$6,FALSE))),"",(INDEX('Enter (Vac BFs TrCl MB'!$F$7:$AU$37,MATCH(PROSPECT!$B30,'Enter (Vac BFs TrCl MB'!$D$7:$D$37,FALSE),MATCH(PROSPECT!L$11,'Enter (Vac BFs TrCl MB'!$F$6:$AU$6,FALSE))))</f>
        <v>0</v>
      </c>
      <c r="M30" s="153">
        <f>IF(ISERROR(INDEX('Enter (Vac BFs TrCl MB'!$F$7:$AU$37,MATCH(PROSPECT!$B30,'Enter (Vac BFs TrCl MB'!$D$7:$D$37,FALSE),MATCH(PROSPECT!M$11,'Enter (Vac BFs TrCl MB'!$F$6:$AU$6,FALSE))),"",(INDEX('Enter (Vac BFs TrCl MB'!$F$7:$AU$37,MATCH(PROSPECT!$B30,'Enter (Vac BFs TrCl MB'!$D$7:$D$37,FALSE),MATCH(PROSPECT!M$11,'Enter (Vac BFs TrCl MB'!$F$6:$AU$6,FALSE))))</f>
        <v>0</v>
      </c>
      <c r="N30" s="153">
        <f>IF(ISERROR(INDEX('Enter (Vac BFs TrCl MB'!$F$7:$AU$37,MATCH(PROSPECT!$B30,'Enter (Vac BFs TrCl MB'!$D$7:$D$37,FALSE),MATCH(PROSPECT!N$11,'Enter (Vac BFs TrCl MB'!$F$6:$AU$6,FALSE))),"",(INDEX('Enter (Vac BFs TrCl MB'!$F$7:$AU$37,MATCH(PROSPECT!$B30,'Enter (Vac BFs TrCl MB'!$D$7:$D$37,FALSE),MATCH(PROSPECT!N$11,'Enter (Vac BFs TrCl MB'!$F$6:$AU$6,FALSE))))</f>
        <v>0</v>
      </c>
      <c r="O30" s="153">
        <f>IF(ISERROR(INDEX('Enter (Vac BFs TrCl MB'!$F$7:$AU$37,MATCH(PROSPECT!$B30,'Enter (Vac BFs TrCl MB'!$D$7:$D$37,FALSE),MATCH(PROSPECT!O$11,'Enter (Vac BFs TrCl MB'!$F$6:$AU$6,FALSE))),"",(INDEX('Enter (Vac BFs TrCl MB'!$F$7:$AU$37,MATCH(PROSPECT!$B30,'Enter (Vac BFs TrCl MB'!$D$7:$D$37,FALSE),MATCH(PROSPECT!O$11,'Enter (Vac BFs TrCl MB'!$F$6:$AU$6,FALSE))))</f>
        <v>0</v>
      </c>
      <c r="P30" s="153">
        <f>IF(ISERROR(INDEX('Enter (Vac BFs TrCl MB'!$F$7:$AU$37,MATCH(PROSPECT!$B30,'Enter (Vac BFs TrCl MB'!$D$7:$D$37,FALSE),MATCH(PROSPECT!P$11,'Enter (Vac BFs TrCl MB'!$F$6:$AU$6,FALSE))),"",(INDEX('Enter (Vac BFs TrCl MB'!$F$7:$AU$37,MATCH(PROSPECT!$B30,'Enter (Vac BFs TrCl MB'!$D$7:$D$37,FALSE),MATCH(PROSPECT!P$11,'Enter (Vac BFs TrCl MB'!$F$6:$AU$6,FALSE))))</f>
        <v>0</v>
      </c>
      <c r="Q30" s="153">
        <f>IF(ISERROR(INDEX('Enter (Vac BFs TrCl MB'!$F$7:$AU$37,MATCH(PROSPECT!$B30,'Enter (Vac BFs TrCl MB'!$D$7:$D$37,FALSE),MATCH(PROSPECT!Q$11,'Enter (Vac BFs TrCl MB'!$F$6:$AU$6,FALSE))),"",(INDEX('Enter (Vac BFs TrCl MB'!$F$7:$AU$37,MATCH(PROSPECT!$B30,'Enter (Vac BFs TrCl MB'!$D$7:$D$37,FALSE),MATCH(PROSPECT!Q$11,'Enter (Vac BFs TrCl MB'!$F$6:$AU$6,FALSE))))</f>
        <v>0</v>
      </c>
      <c r="R30" s="154">
        <f>IF(ISERROR(INDEX('Enter (Vac BFs TrCl MB'!$F$7:$AU$37,MATCH(PROSPECT!$B30,'Enter (Vac BFs TrCl MB'!$D$7:$D$37,FALSE),MATCH(PROSPECT!R$11,'Enter (Vac BFs TrCl MB'!$F$6:$AU$6,FALSE))),"",(INDEX('Enter (Vac BFs TrCl MB'!$F$7:$AU$37,MATCH(PROSPECT!$B30,'Enter (Vac BFs TrCl MB'!$D$7:$D$37,FALSE),MATCH(PROSPECT!R$11,'Enter (Vac BFs TrCl MB'!$F$6:$AU$6,FALSE))))</f>
        <v>0</v>
      </c>
      <c r="S30" s="810"/>
      <c r="T30" s="112" t="str">
        <f>IF('Enter (Vac BFs TrCl MB'!$D24=0,"",'Enter (Vac BFs TrCl MB'!$D24)</f>
        <v>Open/close</v>
      </c>
      <c r="U30" s="153">
        <f>IF(ISERROR(INDEX('Enter (Vac BFs TrCl MB'!$F$7:$AU$37,MATCH(PROSPECT!$B30,'Enter (Vac BFs TrCl MB'!$D$7:$D$37,FALSE),MATCH(PROSPECT!U$11,'Enter (Vac BFs TrCl MB'!$F$6:$AU$6,FALSE))),"",(INDEX('Enter (Vac BFs TrCl MB'!$F$7:$AU$37,MATCH(PROSPECT!$B30,'Enter (Vac BFs TrCl MB'!$D$7:$D$37,FALSE),MATCH(PROSPECT!U$11,'Enter (Vac BFs TrCl MB'!$F$6:$AU$6,FALSE))))</f>
        <v>0</v>
      </c>
      <c r="V30" s="153">
        <f>IF(ISERROR(INDEX('Enter (Vac BFs TrCl MB'!$F$7:$AU$37,MATCH(PROSPECT!$B30,'Enter (Vac BFs TrCl MB'!$D$7:$D$37,FALSE),MATCH(PROSPECT!V$11,'Enter (Vac BFs TrCl MB'!$F$6:$AU$6,FALSE))),"",(INDEX('Enter (Vac BFs TrCl MB'!$F$7:$AU$37,MATCH(PROSPECT!$B30,'Enter (Vac BFs TrCl MB'!$D$7:$D$37,FALSE),MATCH(PROSPECT!V$11,'Enter (Vac BFs TrCl MB'!$F$6:$AU$6,FALSE))))</f>
        <v>0</v>
      </c>
      <c r="W30" s="153">
        <f>IF(ISERROR(INDEX('Enter (Vac BFs TrCl MB'!$F$7:$AU$37,MATCH(PROSPECT!$B30,'Enter (Vac BFs TrCl MB'!$D$7:$D$37,FALSE),MATCH(PROSPECT!W$11,'Enter (Vac BFs TrCl MB'!$F$6:$AU$6,FALSE))),"",(INDEX('Enter (Vac BFs TrCl MB'!$F$7:$AU$37,MATCH(PROSPECT!$B30,'Enter (Vac BFs TrCl MB'!$D$7:$D$37,FALSE),MATCH(PROSPECT!W$11,'Enter (Vac BFs TrCl MB'!$F$6:$AU$6,FALSE))))</f>
        <v>0</v>
      </c>
      <c r="X30" s="153">
        <f>IF(ISERROR(INDEX('Enter (Vac BFs TrCl MB'!$F$7:$AU$37,MATCH(PROSPECT!$B30,'Enter (Vac BFs TrCl MB'!$D$7:$D$37,FALSE),MATCH(PROSPECT!X$11,'Enter (Vac BFs TrCl MB'!$F$6:$AU$6,FALSE))),"",(INDEX('Enter (Vac BFs TrCl MB'!$F$7:$AU$37,MATCH(PROSPECT!$B30,'Enter (Vac BFs TrCl MB'!$D$7:$D$37,FALSE),MATCH(PROSPECT!X$11,'Enter (Vac BFs TrCl MB'!$F$6:$AU$6,FALSE))))</f>
        <v>0</v>
      </c>
      <c r="Y30" s="153">
        <f>IF(ISERROR(INDEX('Enter (Vac BFs TrCl MB'!$F$7:$AU$37,MATCH(PROSPECT!$B30,'Enter (Vac BFs TrCl MB'!$D$7:$D$37,FALSE),MATCH(PROSPECT!Y$11,'Enter (Vac BFs TrCl MB'!$F$6:$AU$6,FALSE))),"",(INDEX('Enter (Vac BFs TrCl MB'!$F$7:$AU$37,MATCH(PROSPECT!$B30,'Enter (Vac BFs TrCl MB'!$D$7:$D$37,FALSE),MATCH(PROSPECT!Y$11,'Enter (Vac BFs TrCl MB'!$F$6:$AU$6,FALSE))))</f>
        <v>0</v>
      </c>
      <c r="Z30" s="153">
        <f>IF(ISERROR(INDEX('Enter (Vac BFs TrCl MB'!$F$7:$AU$37,MATCH(PROSPECT!$B30,'Enter (Vac BFs TrCl MB'!$D$7:$D$37,FALSE),MATCH(PROSPECT!Z$11,'Enter (Vac BFs TrCl MB'!$F$6:$AU$6,FALSE))),"",(INDEX('Enter (Vac BFs TrCl MB'!$F$7:$AU$37,MATCH(PROSPECT!$B30,'Enter (Vac BFs TrCl MB'!$D$7:$D$37,FALSE),MATCH(PROSPECT!Z$11,'Enter (Vac BFs TrCl MB'!$F$6:$AU$6,FALSE))))</f>
        <v>0</v>
      </c>
      <c r="AA30" s="154">
        <f>IF(ISERROR(INDEX('Enter (Vac BFs TrCl MB'!$F$7:$AU$37,MATCH(PROSPECT!$B30,'Enter (Vac BFs TrCl MB'!$D$7:$D$37,FALSE),MATCH(PROSPECT!AA$11,'Enter (Vac BFs TrCl MB'!$F$6:$AU$6,FALSE))),"",(INDEX('Enter (Vac BFs TrCl MB'!$F$7:$AU$37,MATCH(PROSPECT!$B30,'Enter (Vac BFs TrCl MB'!$D$7:$D$37,FALSE),MATCH(PROSPECT!AA$11,'Enter (Vac BFs TrCl MB'!$F$6:$AU$6,FALSE))))</f>
        <v>0</v>
      </c>
    </row>
    <row r="31" spans="2:30" ht="15">
      <c r="B31" s="111" t="str">
        <f>IF('Enter (Vac BFs TrCl MB'!$D25=0,"",'Enter (Vac BFs TrCl MB'!$D25)</f>
        <v>Jinse</v>
      </c>
      <c r="C31" s="153" t="str">
        <f>IF(ISERROR(INDEX('Enter (Vac BFs TrCl MB'!$F$7:$AU$37,MATCH(PROSPECT!$B31,'Enter (Vac BFs TrCl MB'!$D$7:$D$37,FALSE),MATCH(PROSPECT!C$11,'Enter (Vac BFs TrCl MB'!$F$6:$AU$6,FALSE))),"",(INDEX('Enter (Vac BFs TrCl MB'!$F$7:$AU$37,MATCH(PROSPECT!$B31,'Enter (Vac BFs TrCl MB'!$D$7:$D$37,FALSE),MATCH(PROSPECT!C$11,'Enter (Vac BFs TrCl MB'!$F$6:$AU$6,FALSE))))</f>
        <v/>
      </c>
      <c r="D31" s="153" t="str">
        <f>IF(ISERROR(INDEX('Enter (Vac BFs TrCl MB'!$F$7:$AU$37,MATCH(PROSPECT!$B31,'Enter (Vac BFs TrCl MB'!$D$7:$D$37,FALSE),MATCH(PROSPECT!D$11,'Enter (Vac BFs TrCl MB'!$F$6:$AU$6,FALSE))),"",(INDEX('Enter (Vac BFs TrCl MB'!$F$7:$AU$37,MATCH(PROSPECT!$B31,'Enter (Vac BFs TrCl MB'!$D$7:$D$37,FALSE),MATCH(PROSPECT!D$11,'Enter (Vac BFs TrCl MB'!$F$6:$AU$6,FALSE))))</f>
        <v/>
      </c>
      <c r="E31" s="153" t="str">
        <f>IF(ISERROR(INDEX('Enter (Vac BFs TrCl MB'!$F$7:$AU$37,MATCH(PROSPECT!$B31,'Enter (Vac BFs TrCl MB'!$D$7:$D$37,FALSE),MATCH(PROSPECT!E$11,'Enter (Vac BFs TrCl MB'!$F$6:$AU$6,FALSE))),"",(INDEX('Enter (Vac BFs TrCl MB'!$F$7:$AU$37,MATCH(PROSPECT!$B31,'Enter (Vac BFs TrCl MB'!$D$7:$D$37,FALSE),MATCH(PROSPECT!E$11,'Enter (Vac BFs TrCl MB'!$F$6:$AU$6,FALSE))))</f>
        <v/>
      </c>
      <c r="F31" s="153" t="str">
        <f>IF(ISERROR(INDEX('Enter (Vac BFs TrCl MB'!$F$7:$AU$37,MATCH(PROSPECT!$B31,'Enter (Vac BFs TrCl MB'!$D$7:$D$37,FALSE),MATCH(PROSPECT!F$11,'Enter (Vac BFs TrCl MB'!$F$6:$AU$6,FALSE))),"",(INDEX('Enter (Vac BFs TrCl MB'!$F$7:$AU$37,MATCH(PROSPECT!$B31,'Enter (Vac BFs TrCl MB'!$D$7:$D$37,FALSE),MATCH(PROSPECT!F$11,'Enter (Vac BFs TrCl MB'!$F$6:$AU$6,FALSE))))</f>
        <v/>
      </c>
      <c r="G31" s="153" t="str">
        <f>IF(ISERROR(INDEX('Enter (Vac BFs TrCl MB'!$F$7:$AU$37,MATCH(PROSPECT!$B31,'Enter (Vac BFs TrCl MB'!$D$7:$D$37,FALSE),MATCH(PROSPECT!G$11,'Enter (Vac BFs TrCl MB'!$F$6:$AU$6,FALSE))),"",(INDEX('Enter (Vac BFs TrCl MB'!$F$7:$AU$37,MATCH(PROSPECT!$B31,'Enter (Vac BFs TrCl MB'!$D$7:$D$37,FALSE),MATCH(PROSPECT!G$11,'Enter (Vac BFs TrCl MB'!$F$6:$AU$6,FALSE))))</f>
        <v/>
      </c>
      <c r="H31" s="153" t="str">
        <f>IF(ISERROR(INDEX('Enter (Vac BFs TrCl MB'!$F$7:$AU$37,MATCH(PROSPECT!$B31,'Enter (Vac BFs TrCl MB'!$D$7:$D$37,FALSE),MATCH(PROSPECT!H$11,'Enter (Vac BFs TrCl MB'!$F$6:$AU$6,FALSE))),"",(INDEX('Enter (Vac BFs TrCl MB'!$F$7:$AU$37,MATCH(PROSPECT!$B31,'Enter (Vac BFs TrCl MB'!$D$7:$D$37,FALSE),MATCH(PROSPECT!H$11,'Enter (Vac BFs TrCl MB'!$F$6:$AU$6,FALSE))))</f>
        <v/>
      </c>
      <c r="I31" s="154" t="str">
        <f>IF(ISERROR(INDEX('Enter (Vac BFs TrCl MB'!$F$7:$AU$37,MATCH(PROSPECT!$B31,'Enter (Vac BFs TrCl MB'!$D$7:$D$37,FALSE),MATCH(PROSPECT!I$11,'Enter (Vac BFs TrCl MB'!$F$6:$AU$6,FALSE))),"",(INDEX('Enter (Vac BFs TrCl MB'!$F$7:$AU$37,MATCH(PROSPECT!$B31,'Enter (Vac BFs TrCl MB'!$D$7:$D$37,FALSE),MATCH(PROSPECT!I$11,'Enter (Vac BFs TrCl MB'!$F$6:$AU$6,FALSE))))</f>
        <v/>
      </c>
      <c r="J31" s="810"/>
      <c r="K31" s="112" t="str">
        <f>IF('Enter (Vac BFs TrCl MB'!$D25=0,"",'Enter (Vac BFs TrCl MB'!$D25)</f>
        <v>Jinse</v>
      </c>
      <c r="L31" s="153" t="str">
        <f>IF(ISERROR(INDEX('Enter (Vac BFs TrCl MB'!$F$7:$AU$37,MATCH(PROSPECT!$B31,'Enter (Vac BFs TrCl MB'!$D$7:$D$37,FALSE),MATCH(PROSPECT!L$11,'Enter (Vac BFs TrCl MB'!$F$6:$AU$6,FALSE))),"",(INDEX('Enter (Vac BFs TrCl MB'!$F$7:$AU$37,MATCH(PROSPECT!$B31,'Enter (Vac BFs TrCl MB'!$D$7:$D$37,FALSE),MATCH(PROSPECT!L$11,'Enter (Vac BFs TrCl MB'!$F$6:$AU$6,FALSE))))</f>
        <v/>
      </c>
      <c r="M31" s="153" t="str">
        <f>IF(ISERROR(INDEX('Enter (Vac BFs TrCl MB'!$F$7:$AU$37,MATCH(PROSPECT!$B31,'Enter (Vac BFs TrCl MB'!$D$7:$D$37,FALSE),MATCH(PROSPECT!M$11,'Enter (Vac BFs TrCl MB'!$F$6:$AU$6,FALSE))),"",(INDEX('Enter (Vac BFs TrCl MB'!$F$7:$AU$37,MATCH(PROSPECT!$B31,'Enter (Vac BFs TrCl MB'!$D$7:$D$37,FALSE),MATCH(PROSPECT!M$11,'Enter (Vac BFs TrCl MB'!$F$6:$AU$6,FALSE))))</f>
        <v/>
      </c>
      <c r="N31" s="153" t="str">
        <f>IF(ISERROR(INDEX('Enter (Vac BFs TrCl MB'!$F$7:$AU$37,MATCH(PROSPECT!$B31,'Enter (Vac BFs TrCl MB'!$D$7:$D$37,FALSE),MATCH(PROSPECT!N$11,'Enter (Vac BFs TrCl MB'!$F$6:$AU$6,FALSE))),"",(INDEX('Enter (Vac BFs TrCl MB'!$F$7:$AU$37,MATCH(PROSPECT!$B31,'Enter (Vac BFs TrCl MB'!$D$7:$D$37,FALSE),MATCH(PROSPECT!N$11,'Enter (Vac BFs TrCl MB'!$F$6:$AU$6,FALSE))))</f>
        <v/>
      </c>
      <c r="O31" s="153" t="str">
        <f>IF(ISERROR(INDEX('Enter (Vac BFs TrCl MB'!$F$7:$AU$37,MATCH(PROSPECT!$B31,'Enter (Vac BFs TrCl MB'!$D$7:$D$37,FALSE),MATCH(PROSPECT!O$11,'Enter (Vac BFs TrCl MB'!$F$6:$AU$6,FALSE))),"",(INDEX('Enter (Vac BFs TrCl MB'!$F$7:$AU$37,MATCH(PROSPECT!$B31,'Enter (Vac BFs TrCl MB'!$D$7:$D$37,FALSE),MATCH(PROSPECT!O$11,'Enter (Vac BFs TrCl MB'!$F$6:$AU$6,FALSE))))</f>
        <v/>
      </c>
      <c r="P31" s="153" t="str">
        <f>IF(ISERROR(INDEX('Enter (Vac BFs TrCl MB'!$F$7:$AU$37,MATCH(PROSPECT!$B31,'Enter (Vac BFs TrCl MB'!$D$7:$D$37,FALSE),MATCH(PROSPECT!P$11,'Enter (Vac BFs TrCl MB'!$F$6:$AU$6,FALSE))),"",(INDEX('Enter (Vac BFs TrCl MB'!$F$7:$AU$37,MATCH(PROSPECT!$B31,'Enter (Vac BFs TrCl MB'!$D$7:$D$37,FALSE),MATCH(PROSPECT!P$11,'Enter (Vac BFs TrCl MB'!$F$6:$AU$6,FALSE))))</f>
        <v/>
      </c>
      <c r="Q31" s="153" t="str">
        <f>IF(ISERROR(INDEX('Enter (Vac BFs TrCl MB'!$F$7:$AU$37,MATCH(PROSPECT!$B31,'Enter (Vac BFs TrCl MB'!$D$7:$D$37,FALSE),MATCH(PROSPECT!Q$11,'Enter (Vac BFs TrCl MB'!$F$6:$AU$6,FALSE))),"",(INDEX('Enter (Vac BFs TrCl MB'!$F$7:$AU$37,MATCH(PROSPECT!$B31,'Enter (Vac BFs TrCl MB'!$D$7:$D$37,FALSE),MATCH(PROSPECT!Q$11,'Enter (Vac BFs TrCl MB'!$F$6:$AU$6,FALSE))))</f>
        <v/>
      </c>
      <c r="R31" s="154" t="str">
        <f>IF(ISERROR(INDEX('Enter (Vac BFs TrCl MB'!$F$7:$AU$37,MATCH(PROSPECT!$B31,'Enter (Vac BFs TrCl MB'!$D$7:$D$37,FALSE),MATCH(PROSPECT!R$11,'Enter (Vac BFs TrCl MB'!$F$6:$AU$6,FALSE))),"",(INDEX('Enter (Vac BFs TrCl MB'!$F$7:$AU$37,MATCH(PROSPECT!$B31,'Enter (Vac BFs TrCl MB'!$D$7:$D$37,FALSE),MATCH(PROSPECT!R$11,'Enter (Vac BFs TrCl MB'!$F$6:$AU$6,FALSE))))</f>
        <v/>
      </c>
      <c r="S31" s="810"/>
      <c r="T31" s="112" t="str">
        <f>IF('Enter (Vac BFs TrCl MB'!$D25=0,"",'Enter (Vac BFs TrCl MB'!$D25)</f>
        <v>Jinse</v>
      </c>
      <c r="U31" s="153" t="str">
        <f>IF(ISERROR(INDEX('Enter (Vac BFs TrCl MB'!$F$7:$AU$37,MATCH(PROSPECT!$B31,'Enter (Vac BFs TrCl MB'!$D$7:$D$37,FALSE),MATCH(PROSPECT!U$11,'Enter (Vac BFs TrCl MB'!$F$6:$AU$6,FALSE))),"",(INDEX('Enter (Vac BFs TrCl MB'!$F$7:$AU$37,MATCH(PROSPECT!$B31,'Enter (Vac BFs TrCl MB'!$D$7:$D$37,FALSE),MATCH(PROSPECT!U$11,'Enter (Vac BFs TrCl MB'!$F$6:$AU$6,FALSE))))</f>
        <v/>
      </c>
      <c r="V31" s="153" t="str">
        <f>IF(ISERROR(INDEX('Enter (Vac BFs TrCl MB'!$F$7:$AU$37,MATCH(PROSPECT!$B31,'Enter (Vac BFs TrCl MB'!$D$7:$D$37,FALSE),MATCH(PROSPECT!V$11,'Enter (Vac BFs TrCl MB'!$F$6:$AU$6,FALSE))),"",(INDEX('Enter (Vac BFs TrCl MB'!$F$7:$AU$37,MATCH(PROSPECT!$B31,'Enter (Vac BFs TrCl MB'!$D$7:$D$37,FALSE),MATCH(PROSPECT!V$11,'Enter (Vac BFs TrCl MB'!$F$6:$AU$6,FALSE))))</f>
        <v/>
      </c>
      <c r="W31" s="153" t="str">
        <f>IF(ISERROR(INDEX('Enter (Vac BFs TrCl MB'!$F$7:$AU$37,MATCH(PROSPECT!$B31,'Enter (Vac BFs TrCl MB'!$D$7:$D$37,FALSE),MATCH(PROSPECT!W$11,'Enter (Vac BFs TrCl MB'!$F$6:$AU$6,FALSE))),"",(INDEX('Enter (Vac BFs TrCl MB'!$F$7:$AU$37,MATCH(PROSPECT!$B31,'Enter (Vac BFs TrCl MB'!$D$7:$D$37,FALSE),MATCH(PROSPECT!W$11,'Enter (Vac BFs TrCl MB'!$F$6:$AU$6,FALSE))))</f>
        <v/>
      </c>
      <c r="X31" s="153" t="str">
        <f>IF(ISERROR(INDEX('Enter (Vac BFs TrCl MB'!$F$7:$AU$37,MATCH(PROSPECT!$B31,'Enter (Vac BFs TrCl MB'!$D$7:$D$37,FALSE),MATCH(PROSPECT!X$11,'Enter (Vac BFs TrCl MB'!$F$6:$AU$6,FALSE))),"",(INDEX('Enter (Vac BFs TrCl MB'!$F$7:$AU$37,MATCH(PROSPECT!$B31,'Enter (Vac BFs TrCl MB'!$D$7:$D$37,FALSE),MATCH(PROSPECT!X$11,'Enter (Vac BFs TrCl MB'!$F$6:$AU$6,FALSE))))</f>
        <v/>
      </c>
      <c r="Y31" s="153" t="str">
        <f>IF(ISERROR(INDEX('Enter (Vac BFs TrCl MB'!$F$7:$AU$37,MATCH(PROSPECT!$B31,'Enter (Vac BFs TrCl MB'!$D$7:$D$37,FALSE),MATCH(PROSPECT!Y$11,'Enter (Vac BFs TrCl MB'!$F$6:$AU$6,FALSE))),"",(INDEX('Enter (Vac BFs TrCl MB'!$F$7:$AU$37,MATCH(PROSPECT!$B31,'Enter (Vac BFs TrCl MB'!$D$7:$D$37,FALSE),MATCH(PROSPECT!Y$11,'Enter (Vac BFs TrCl MB'!$F$6:$AU$6,FALSE))))</f>
        <v/>
      </c>
      <c r="Z31" s="153" t="str">
        <f>IF(ISERROR(INDEX('Enter (Vac BFs TrCl MB'!$F$7:$AU$37,MATCH(PROSPECT!$B31,'Enter (Vac BFs TrCl MB'!$D$7:$D$37,FALSE),MATCH(PROSPECT!Z$11,'Enter (Vac BFs TrCl MB'!$F$6:$AU$6,FALSE))),"",(INDEX('Enter (Vac BFs TrCl MB'!$F$7:$AU$37,MATCH(PROSPECT!$B31,'Enter (Vac BFs TrCl MB'!$D$7:$D$37,FALSE),MATCH(PROSPECT!Z$11,'Enter (Vac BFs TrCl MB'!$F$6:$AU$6,FALSE))))</f>
        <v/>
      </c>
      <c r="AA31" s="154" t="str">
        <f>IF(ISERROR(INDEX('Enter (Vac BFs TrCl MB'!$F$7:$AU$37,MATCH(PROSPECT!$B31,'Enter (Vac BFs TrCl MB'!$D$7:$D$37,FALSE),MATCH(PROSPECT!AA$11,'Enter (Vac BFs TrCl MB'!$F$6:$AU$6,FALSE))),"",(INDEX('Enter (Vac BFs TrCl MB'!$F$7:$AU$37,MATCH(PROSPECT!$B31,'Enter (Vac BFs TrCl MB'!$D$7:$D$37,FALSE),MATCH(PROSPECT!AA$11,'Enter (Vac BFs TrCl MB'!$F$6:$AU$6,FALSE))))</f>
        <v/>
      </c>
    </row>
    <row r="32" spans="2:30" ht="15">
      <c r="B32" s="111" t="str">
        <f>IF('Enter (Vac BFs TrCl MB'!$D26=0,"",'Enter (Vac BFs TrCl MB'!$D26)</f>
        <v/>
      </c>
      <c r="C32" s="153" t="str">
        <f>IF(ISERROR(INDEX('Enter (Vac BFs TrCl MB'!$F$7:$AU$37,MATCH(PROSPECT!$B32,'Enter (Vac BFs TrCl MB'!$D$7:$D$37,FALSE),MATCH(PROSPECT!C$11,'Enter (Vac BFs TrCl MB'!$F$6:$AU$6,FALSE))),"",(INDEX('Enter (Vac BFs TrCl MB'!$F$7:$AU$37,MATCH(PROSPECT!$B32,'Enter (Vac BFs TrCl MB'!$D$7:$D$37,FALSE),MATCH(PROSPECT!C$11,'Enter (Vac BFs TrCl MB'!$F$6:$AU$6,FALSE))))</f>
        <v/>
      </c>
      <c r="D32" s="153" t="str">
        <f>IF(ISERROR(INDEX('Enter (Vac BFs TrCl MB'!$F$7:$AU$37,MATCH(PROSPECT!$B32,'Enter (Vac BFs TrCl MB'!$D$7:$D$37,FALSE),MATCH(PROSPECT!D$11,'Enter (Vac BFs TrCl MB'!$F$6:$AU$6,FALSE))),"",(INDEX('Enter (Vac BFs TrCl MB'!$F$7:$AU$37,MATCH(PROSPECT!$B32,'Enter (Vac BFs TrCl MB'!$D$7:$D$37,FALSE),MATCH(PROSPECT!D$11,'Enter (Vac BFs TrCl MB'!$F$6:$AU$6,FALSE))))</f>
        <v/>
      </c>
      <c r="E32" s="153" t="str">
        <f>IF(ISERROR(INDEX('Enter (Vac BFs TrCl MB'!$F$7:$AU$37,MATCH(PROSPECT!$B32,'Enter (Vac BFs TrCl MB'!$D$7:$D$37,FALSE),MATCH(PROSPECT!E$11,'Enter (Vac BFs TrCl MB'!$F$6:$AU$6,FALSE))),"",(INDEX('Enter (Vac BFs TrCl MB'!$F$7:$AU$37,MATCH(PROSPECT!$B32,'Enter (Vac BFs TrCl MB'!$D$7:$D$37,FALSE),MATCH(PROSPECT!E$11,'Enter (Vac BFs TrCl MB'!$F$6:$AU$6,FALSE))))</f>
        <v/>
      </c>
      <c r="F32" s="153" t="str">
        <f>IF(ISERROR(INDEX('Enter (Vac BFs TrCl MB'!$F$7:$AU$37,MATCH(PROSPECT!$B32,'Enter (Vac BFs TrCl MB'!$D$7:$D$37,FALSE),MATCH(PROSPECT!F$11,'Enter (Vac BFs TrCl MB'!$F$6:$AU$6,FALSE))),"",(INDEX('Enter (Vac BFs TrCl MB'!$F$7:$AU$37,MATCH(PROSPECT!$B32,'Enter (Vac BFs TrCl MB'!$D$7:$D$37,FALSE),MATCH(PROSPECT!F$11,'Enter (Vac BFs TrCl MB'!$F$6:$AU$6,FALSE))))</f>
        <v/>
      </c>
      <c r="G32" s="153" t="str">
        <f>IF(ISERROR(INDEX('Enter (Vac BFs TrCl MB'!$F$7:$AU$37,MATCH(PROSPECT!$B32,'Enter (Vac BFs TrCl MB'!$D$7:$D$37,FALSE),MATCH(PROSPECT!G$11,'Enter (Vac BFs TrCl MB'!$F$6:$AU$6,FALSE))),"",(INDEX('Enter (Vac BFs TrCl MB'!$F$7:$AU$37,MATCH(PROSPECT!$B32,'Enter (Vac BFs TrCl MB'!$D$7:$D$37,FALSE),MATCH(PROSPECT!G$11,'Enter (Vac BFs TrCl MB'!$F$6:$AU$6,FALSE))))</f>
        <v/>
      </c>
      <c r="H32" s="153" t="str">
        <f>IF(ISERROR(INDEX('Enter (Vac BFs TrCl MB'!$F$7:$AU$37,MATCH(PROSPECT!$B32,'Enter (Vac BFs TrCl MB'!$D$7:$D$37,FALSE),MATCH(PROSPECT!H$11,'Enter (Vac BFs TrCl MB'!$F$6:$AU$6,FALSE))),"",(INDEX('Enter (Vac BFs TrCl MB'!$F$7:$AU$37,MATCH(PROSPECT!$B32,'Enter (Vac BFs TrCl MB'!$D$7:$D$37,FALSE),MATCH(PROSPECT!H$11,'Enter (Vac BFs TrCl MB'!$F$6:$AU$6,FALSE))))</f>
        <v/>
      </c>
      <c r="I32" s="154" t="str">
        <f>IF(ISERROR(INDEX('Enter (Vac BFs TrCl MB'!$F$7:$AU$37,MATCH(PROSPECT!$B32,'Enter (Vac BFs TrCl MB'!$D$7:$D$37,FALSE),MATCH(PROSPECT!I$11,'Enter (Vac BFs TrCl MB'!$F$6:$AU$6,FALSE))),"",(INDEX('Enter (Vac BFs TrCl MB'!$F$7:$AU$37,MATCH(PROSPECT!$B32,'Enter (Vac BFs TrCl MB'!$D$7:$D$37,FALSE),MATCH(PROSPECT!I$11,'Enter (Vac BFs TrCl MB'!$F$6:$AU$6,FALSE))))</f>
        <v/>
      </c>
      <c r="J32" s="810"/>
      <c r="K32" s="112" t="str">
        <f>IF('Enter (Vac BFs TrCl MB'!$D26=0,"",'Enter (Vac BFs TrCl MB'!$D26)</f>
        <v/>
      </c>
      <c r="L32" s="153" t="str">
        <f>IF(ISERROR(INDEX('Enter (Vac BFs TrCl MB'!$F$7:$AU$37,MATCH(PROSPECT!$B32,'Enter (Vac BFs TrCl MB'!$D$7:$D$37,FALSE),MATCH(PROSPECT!L$11,'Enter (Vac BFs TrCl MB'!$F$6:$AU$6,FALSE))),"",(INDEX('Enter (Vac BFs TrCl MB'!$F$7:$AU$37,MATCH(PROSPECT!$B32,'Enter (Vac BFs TrCl MB'!$D$7:$D$37,FALSE),MATCH(PROSPECT!L$11,'Enter (Vac BFs TrCl MB'!$F$6:$AU$6,FALSE))))</f>
        <v/>
      </c>
      <c r="M32" s="153" t="str">
        <f>IF(ISERROR(INDEX('Enter (Vac BFs TrCl MB'!$F$7:$AU$37,MATCH(PROSPECT!$B32,'Enter (Vac BFs TrCl MB'!$D$7:$D$37,FALSE),MATCH(PROSPECT!M$11,'Enter (Vac BFs TrCl MB'!$F$6:$AU$6,FALSE))),"",(INDEX('Enter (Vac BFs TrCl MB'!$F$7:$AU$37,MATCH(PROSPECT!$B32,'Enter (Vac BFs TrCl MB'!$D$7:$D$37,FALSE),MATCH(PROSPECT!M$11,'Enter (Vac BFs TrCl MB'!$F$6:$AU$6,FALSE))))</f>
        <v/>
      </c>
      <c r="N32" s="153" t="str">
        <f>IF(ISERROR(INDEX('Enter (Vac BFs TrCl MB'!$F$7:$AU$37,MATCH(PROSPECT!$B32,'Enter (Vac BFs TrCl MB'!$D$7:$D$37,FALSE),MATCH(PROSPECT!N$11,'Enter (Vac BFs TrCl MB'!$F$6:$AU$6,FALSE))),"",(INDEX('Enter (Vac BFs TrCl MB'!$F$7:$AU$37,MATCH(PROSPECT!$B32,'Enter (Vac BFs TrCl MB'!$D$7:$D$37,FALSE),MATCH(PROSPECT!N$11,'Enter (Vac BFs TrCl MB'!$F$6:$AU$6,FALSE))))</f>
        <v/>
      </c>
      <c r="O32" s="153" t="str">
        <f>IF(ISERROR(INDEX('Enter (Vac BFs TrCl MB'!$F$7:$AU$37,MATCH(PROSPECT!$B32,'Enter (Vac BFs TrCl MB'!$D$7:$D$37,FALSE),MATCH(PROSPECT!O$11,'Enter (Vac BFs TrCl MB'!$F$6:$AU$6,FALSE))),"",(INDEX('Enter (Vac BFs TrCl MB'!$F$7:$AU$37,MATCH(PROSPECT!$B32,'Enter (Vac BFs TrCl MB'!$D$7:$D$37,FALSE),MATCH(PROSPECT!O$11,'Enter (Vac BFs TrCl MB'!$F$6:$AU$6,FALSE))))</f>
        <v/>
      </c>
      <c r="P32" s="153" t="str">
        <f>IF(ISERROR(INDEX('Enter (Vac BFs TrCl MB'!$F$7:$AU$37,MATCH(PROSPECT!$B32,'Enter (Vac BFs TrCl MB'!$D$7:$D$37,FALSE),MATCH(PROSPECT!P$11,'Enter (Vac BFs TrCl MB'!$F$6:$AU$6,FALSE))),"",(INDEX('Enter (Vac BFs TrCl MB'!$F$7:$AU$37,MATCH(PROSPECT!$B32,'Enter (Vac BFs TrCl MB'!$D$7:$D$37,FALSE),MATCH(PROSPECT!P$11,'Enter (Vac BFs TrCl MB'!$F$6:$AU$6,FALSE))))</f>
        <v/>
      </c>
      <c r="Q32" s="153" t="str">
        <f>IF(ISERROR(INDEX('Enter (Vac BFs TrCl MB'!$F$7:$AU$37,MATCH(PROSPECT!$B32,'Enter (Vac BFs TrCl MB'!$D$7:$D$37,FALSE),MATCH(PROSPECT!Q$11,'Enter (Vac BFs TrCl MB'!$F$6:$AU$6,FALSE))),"",(INDEX('Enter (Vac BFs TrCl MB'!$F$7:$AU$37,MATCH(PROSPECT!$B32,'Enter (Vac BFs TrCl MB'!$D$7:$D$37,FALSE),MATCH(PROSPECT!Q$11,'Enter (Vac BFs TrCl MB'!$F$6:$AU$6,FALSE))))</f>
        <v/>
      </c>
      <c r="R32" s="154" t="str">
        <f>IF(ISERROR(INDEX('Enter (Vac BFs TrCl MB'!$F$7:$AU$37,MATCH(PROSPECT!$B32,'Enter (Vac BFs TrCl MB'!$D$7:$D$37,FALSE),MATCH(PROSPECT!R$11,'Enter (Vac BFs TrCl MB'!$F$6:$AU$6,FALSE))),"",(INDEX('Enter (Vac BFs TrCl MB'!$F$7:$AU$37,MATCH(PROSPECT!$B32,'Enter (Vac BFs TrCl MB'!$D$7:$D$37,FALSE),MATCH(PROSPECT!R$11,'Enter (Vac BFs TrCl MB'!$F$6:$AU$6,FALSE))))</f>
        <v/>
      </c>
      <c r="S32" s="810"/>
      <c r="T32" s="112" t="str">
        <f>IF('Enter (Vac BFs TrCl MB'!$D26=0,"",'Enter (Vac BFs TrCl MB'!$D26)</f>
        <v/>
      </c>
      <c r="U32" s="153" t="str">
        <f>IF(ISERROR(INDEX('Enter (Vac BFs TrCl MB'!$F$7:$AU$37,MATCH(PROSPECT!$B32,'Enter (Vac BFs TrCl MB'!$D$7:$D$37,FALSE),MATCH(PROSPECT!U$11,'Enter (Vac BFs TrCl MB'!$F$6:$AU$6,FALSE))),"",(INDEX('Enter (Vac BFs TrCl MB'!$F$7:$AU$37,MATCH(PROSPECT!$B32,'Enter (Vac BFs TrCl MB'!$D$7:$D$37,FALSE),MATCH(PROSPECT!U$11,'Enter (Vac BFs TrCl MB'!$F$6:$AU$6,FALSE))))</f>
        <v/>
      </c>
      <c r="V32" s="153" t="str">
        <f>IF(ISERROR(INDEX('Enter (Vac BFs TrCl MB'!$F$7:$AU$37,MATCH(PROSPECT!$B32,'Enter (Vac BFs TrCl MB'!$D$7:$D$37,FALSE),MATCH(PROSPECT!V$11,'Enter (Vac BFs TrCl MB'!$F$6:$AU$6,FALSE))),"",(INDEX('Enter (Vac BFs TrCl MB'!$F$7:$AU$37,MATCH(PROSPECT!$B32,'Enter (Vac BFs TrCl MB'!$D$7:$D$37,FALSE),MATCH(PROSPECT!V$11,'Enter (Vac BFs TrCl MB'!$F$6:$AU$6,FALSE))))</f>
        <v/>
      </c>
      <c r="W32" s="153" t="str">
        <f>IF(ISERROR(INDEX('Enter (Vac BFs TrCl MB'!$F$7:$AU$37,MATCH(PROSPECT!$B32,'Enter (Vac BFs TrCl MB'!$D$7:$D$37,FALSE),MATCH(PROSPECT!W$11,'Enter (Vac BFs TrCl MB'!$F$6:$AU$6,FALSE))),"",(INDEX('Enter (Vac BFs TrCl MB'!$F$7:$AU$37,MATCH(PROSPECT!$B32,'Enter (Vac BFs TrCl MB'!$D$7:$D$37,FALSE),MATCH(PROSPECT!W$11,'Enter (Vac BFs TrCl MB'!$F$6:$AU$6,FALSE))))</f>
        <v/>
      </c>
      <c r="X32" s="153" t="str">
        <f>IF(ISERROR(INDEX('Enter (Vac BFs TrCl MB'!$F$7:$AU$37,MATCH(PROSPECT!$B32,'Enter (Vac BFs TrCl MB'!$D$7:$D$37,FALSE),MATCH(PROSPECT!X$11,'Enter (Vac BFs TrCl MB'!$F$6:$AU$6,FALSE))),"",(INDEX('Enter (Vac BFs TrCl MB'!$F$7:$AU$37,MATCH(PROSPECT!$B32,'Enter (Vac BFs TrCl MB'!$D$7:$D$37,FALSE),MATCH(PROSPECT!X$11,'Enter (Vac BFs TrCl MB'!$F$6:$AU$6,FALSE))))</f>
        <v/>
      </c>
      <c r="Y32" s="153" t="str">
        <f>IF(ISERROR(INDEX('Enter (Vac BFs TrCl MB'!$F$7:$AU$37,MATCH(PROSPECT!$B32,'Enter (Vac BFs TrCl MB'!$D$7:$D$37,FALSE),MATCH(PROSPECT!Y$11,'Enter (Vac BFs TrCl MB'!$F$6:$AU$6,FALSE))),"",(INDEX('Enter (Vac BFs TrCl MB'!$F$7:$AU$37,MATCH(PROSPECT!$B32,'Enter (Vac BFs TrCl MB'!$D$7:$D$37,FALSE),MATCH(PROSPECT!Y$11,'Enter (Vac BFs TrCl MB'!$F$6:$AU$6,FALSE))))</f>
        <v/>
      </c>
      <c r="Z32" s="153" t="str">
        <f>IF(ISERROR(INDEX('Enter (Vac BFs TrCl MB'!$F$7:$AU$37,MATCH(PROSPECT!$B32,'Enter (Vac BFs TrCl MB'!$D$7:$D$37,FALSE),MATCH(PROSPECT!Z$11,'Enter (Vac BFs TrCl MB'!$F$6:$AU$6,FALSE))),"",(INDEX('Enter (Vac BFs TrCl MB'!$F$7:$AU$37,MATCH(PROSPECT!$B32,'Enter (Vac BFs TrCl MB'!$D$7:$D$37,FALSE),MATCH(PROSPECT!Z$11,'Enter (Vac BFs TrCl MB'!$F$6:$AU$6,FALSE))))</f>
        <v/>
      </c>
      <c r="AA32" s="154" t="str">
        <f>IF(ISERROR(INDEX('Enter (Vac BFs TrCl MB'!$F$7:$AU$37,MATCH(PROSPECT!$B32,'Enter (Vac BFs TrCl MB'!$D$7:$D$37,FALSE),MATCH(PROSPECT!AA$11,'Enter (Vac BFs TrCl MB'!$F$6:$AU$6,FALSE))),"",(INDEX('Enter (Vac BFs TrCl MB'!$F$7:$AU$37,MATCH(PROSPECT!$B32,'Enter (Vac BFs TrCl MB'!$D$7:$D$37,FALSE),MATCH(PROSPECT!AA$11,'Enter (Vac BFs TrCl MB'!$F$6:$AU$6,FALSE))))</f>
        <v/>
      </c>
    </row>
    <row r="33" spans="2:27" ht="15">
      <c r="B33" s="111" t="str">
        <f>IF('Enter (Vac BFs TrCl MB'!$D27=0,"",'Enter (Vac BFs TrCl MB'!$D27)</f>
        <v xml:space="preserve">TL </v>
      </c>
      <c r="C33" s="153">
        <f>IF(ISERROR(INDEX('Enter (Vac BFs TrCl MB'!$F$7:$AU$37,MATCH(PROSPECT!$B33,'Enter (Vac BFs TrCl MB'!$D$7:$D$37,FALSE),MATCH(PROSPECT!C$11,'Enter (Vac BFs TrCl MB'!$F$6:$AU$6,FALSE))),"",(INDEX('Enter (Vac BFs TrCl MB'!$F$7:$AU$37,MATCH(PROSPECT!$B33,'Enter (Vac BFs TrCl MB'!$D$7:$D$37,FALSE),MATCH(PROSPECT!C$11,'Enter (Vac BFs TrCl MB'!$F$6:$AU$6,FALSE))))</f>
        <v>0</v>
      </c>
      <c r="D33" s="153">
        <f>IF(ISERROR(INDEX('Enter (Vac BFs TrCl MB'!$F$7:$AU$37,MATCH(PROSPECT!$B33,'Enter (Vac BFs TrCl MB'!$D$7:$D$37,FALSE),MATCH(PROSPECT!D$11,'Enter (Vac BFs TrCl MB'!$F$6:$AU$6,FALSE))),"",(INDEX('Enter (Vac BFs TrCl MB'!$F$7:$AU$37,MATCH(PROSPECT!$B33,'Enter (Vac BFs TrCl MB'!$D$7:$D$37,FALSE),MATCH(PROSPECT!D$11,'Enter (Vac BFs TrCl MB'!$F$6:$AU$6,FALSE))))</f>
        <v>0</v>
      </c>
      <c r="E33" s="153">
        <f>IF(ISERROR(INDEX('Enter (Vac BFs TrCl MB'!$F$7:$AU$37,MATCH(PROSPECT!$B33,'Enter (Vac BFs TrCl MB'!$D$7:$D$37,FALSE),MATCH(PROSPECT!E$11,'Enter (Vac BFs TrCl MB'!$F$6:$AU$6,FALSE))),"",(INDEX('Enter (Vac BFs TrCl MB'!$F$7:$AU$37,MATCH(PROSPECT!$B33,'Enter (Vac BFs TrCl MB'!$D$7:$D$37,FALSE),MATCH(PROSPECT!E$11,'Enter (Vac BFs TrCl MB'!$F$6:$AU$6,FALSE))))</f>
        <v>0</v>
      </c>
      <c r="F33" s="153">
        <f>IF(ISERROR(INDEX('Enter (Vac BFs TrCl MB'!$F$7:$AU$37,MATCH(PROSPECT!$B33,'Enter (Vac BFs TrCl MB'!$D$7:$D$37,FALSE),MATCH(PROSPECT!F$11,'Enter (Vac BFs TrCl MB'!$F$6:$AU$6,FALSE))),"",(INDEX('Enter (Vac BFs TrCl MB'!$F$7:$AU$37,MATCH(PROSPECT!$B33,'Enter (Vac BFs TrCl MB'!$D$7:$D$37,FALSE),MATCH(PROSPECT!F$11,'Enter (Vac BFs TrCl MB'!$F$6:$AU$6,FALSE))))</f>
        <v>0</v>
      </c>
      <c r="G33" s="153">
        <f>IF(ISERROR(INDEX('Enter (Vac BFs TrCl MB'!$F$7:$AU$37,MATCH(PROSPECT!$B33,'Enter (Vac BFs TrCl MB'!$D$7:$D$37,FALSE),MATCH(PROSPECT!G$11,'Enter (Vac BFs TrCl MB'!$F$6:$AU$6,FALSE))),"",(INDEX('Enter (Vac BFs TrCl MB'!$F$7:$AU$37,MATCH(PROSPECT!$B33,'Enter (Vac BFs TrCl MB'!$D$7:$D$37,FALSE),MATCH(PROSPECT!G$11,'Enter (Vac BFs TrCl MB'!$F$6:$AU$6,FALSE))))</f>
        <v>0</v>
      </c>
      <c r="H33" s="153">
        <f>IF(ISERROR(INDEX('Enter (Vac BFs TrCl MB'!$F$7:$AU$37,MATCH(PROSPECT!$B33,'Enter (Vac BFs TrCl MB'!$D$7:$D$37,FALSE),MATCH(PROSPECT!H$11,'Enter (Vac BFs TrCl MB'!$F$6:$AU$6,FALSE))),"",(INDEX('Enter (Vac BFs TrCl MB'!$F$7:$AU$37,MATCH(PROSPECT!$B33,'Enter (Vac BFs TrCl MB'!$D$7:$D$37,FALSE),MATCH(PROSPECT!H$11,'Enter (Vac BFs TrCl MB'!$F$6:$AU$6,FALSE))))</f>
        <v>0</v>
      </c>
      <c r="I33" s="154">
        <f>IF(ISERROR(INDEX('Enter (Vac BFs TrCl MB'!$F$7:$AU$37,MATCH(PROSPECT!$B33,'Enter (Vac BFs TrCl MB'!$D$7:$D$37,FALSE),MATCH(PROSPECT!I$11,'Enter (Vac BFs TrCl MB'!$F$6:$AU$6,FALSE))),"",(INDEX('Enter (Vac BFs TrCl MB'!$F$7:$AU$37,MATCH(PROSPECT!$B33,'Enter (Vac BFs TrCl MB'!$D$7:$D$37,FALSE),MATCH(PROSPECT!I$11,'Enter (Vac BFs TrCl MB'!$F$6:$AU$6,FALSE))))</f>
        <v>0</v>
      </c>
      <c r="J33" s="810"/>
      <c r="K33" s="112" t="str">
        <f>IF('Enter (Vac BFs TrCl MB'!$D27=0,"",'Enter (Vac BFs TrCl MB'!$D27)</f>
        <v xml:space="preserve">TL </v>
      </c>
      <c r="L33" s="153">
        <f>IF(ISERROR(INDEX('Enter (Vac BFs TrCl MB'!$F$7:$AU$37,MATCH(PROSPECT!$B33,'Enter (Vac BFs TrCl MB'!$D$7:$D$37,FALSE),MATCH(PROSPECT!L$11,'Enter (Vac BFs TrCl MB'!$F$6:$AU$6,FALSE))),"",(INDEX('Enter (Vac BFs TrCl MB'!$F$7:$AU$37,MATCH(PROSPECT!$B33,'Enter (Vac BFs TrCl MB'!$D$7:$D$37,FALSE),MATCH(PROSPECT!L$11,'Enter (Vac BFs TrCl MB'!$F$6:$AU$6,FALSE))))</f>
        <v>0</v>
      </c>
      <c r="M33" s="153">
        <f>IF(ISERROR(INDEX('Enter (Vac BFs TrCl MB'!$F$7:$AU$37,MATCH(PROSPECT!$B33,'Enter (Vac BFs TrCl MB'!$D$7:$D$37,FALSE),MATCH(PROSPECT!M$11,'Enter (Vac BFs TrCl MB'!$F$6:$AU$6,FALSE))),"",(INDEX('Enter (Vac BFs TrCl MB'!$F$7:$AU$37,MATCH(PROSPECT!$B33,'Enter (Vac BFs TrCl MB'!$D$7:$D$37,FALSE),MATCH(PROSPECT!M$11,'Enter (Vac BFs TrCl MB'!$F$6:$AU$6,FALSE))))</f>
        <v>0</v>
      </c>
      <c r="N33" s="153">
        <f>IF(ISERROR(INDEX('Enter (Vac BFs TrCl MB'!$F$7:$AU$37,MATCH(PROSPECT!$B33,'Enter (Vac BFs TrCl MB'!$D$7:$D$37,FALSE),MATCH(PROSPECT!N$11,'Enter (Vac BFs TrCl MB'!$F$6:$AU$6,FALSE))),"",(INDEX('Enter (Vac BFs TrCl MB'!$F$7:$AU$37,MATCH(PROSPECT!$B33,'Enter (Vac BFs TrCl MB'!$D$7:$D$37,FALSE),MATCH(PROSPECT!N$11,'Enter (Vac BFs TrCl MB'!$F$6:$AU$6,FALSE))))</f>
        <v>0</v>
      </c>
      <c r="O33" s="153">
        <f>IF(ISERROR(INDEX('Enter (Vac BFs TrCl MB'!$F$7:$AU$37,MATCH(PROSPECT!$B33,'Enter (Vac BFs TrCl MB'!$D$7:$D$37,FALSE),MATCH(PROSPECT!O$11,'Enter (Vac BFs TrCl MB'!$F$6:$AU$6,FALSE))),"",(INDEX('Enter (Vac BFs TrCl MB'!$F$7:$AU$37,MATCH(PROSPECT!$B33,'Enter (Vac BFs TrCl MB'!$D$7:$D$37,FALSE),MATCH(PROSPECT!O$11,'Enter (Vac BFs TrCl MB'!$F$6:$AU$6,FALSE))))</f>
        <v>0</v>
      </c>
      <c r="P33" s="153">
        <f>IF(ISERROR(INDEX('Enter (Vac BFs TrCl MB'!$F$7:$AU$37,MATCH(PROSPECT!$B33,'Enter (Vac BFs TrCl MB'!$D$7:$D$37,FALSE),MATCH(PROSPECT!P$11,'Enter (Vac BFs TrCl MB'!$F$6:$AU$6,FALSE))),"",(INDEX('Enter (Vac BFs TrCl MB'!$F$7:$AU$37,MATCH(PROSPECT!$B33,'Enter (Vac BFs TrCl MB'!$D$7:$D$37,FALSE),MATCH(PROSPECT!P$11,'Enter (Vac BFs TrCl MB'!$F$6:$AU$6,FALSE))))</f>
        <v>0</v>
      </c>
      <c r="Q33" s="153">
        <f>IF(ISERROR(INDEX('Enter (Vac BFs TrCl MB'!$F$7:$AU$37,MATCH(PROSPECT!$B33,'Enter (Vac BFs TrCl MB'!$D$7:$D$37,FALSE),MATCH(PROSPECT!Q$11,'Enter (Vac BFs TrCl MB'!$F$6:$AU$6,FALSE))),"",(INDEX('Enter (Vac BFs TrCl MB'!$F$7:$AU$37,MATCH(PROSPECT!$B33,'Enter (Vac BFs TrCl MB'!$D$7:$D$37,FALSE),MATCH(PROSPECT!Q$11,'Enter (Vac BFs TrCl MB'!$F$6:$AU$6,FALSE))))</f>
        <v>0</v>
      </c>
      <c r="R33" s="154">
        <f>IF(ISERROR(INDEX('Enter (Vac BFs TrCl MB'!$F$7:$AU$37,MATCH(PROSPECT!$B33,'Enter (Vac BFs TrCl MB'!$D$7:$D$37,FALSE),MATCH(PROSPECT!R$11,'Enter (Vac BFs TrCl MB'!$F$6:$AU$6,FALSE))),"",(INDEX('Enter (Vac BFs TrCl MB'!$F$7:$AU$37,MATCH(PROSPECT!$B33,'Enter (Vac BFs TrCl MB'!$D$7:$D$37,FALSE),MATCH(PROSPECT!R$11,'Enter (Vac BFs TrCl MB'!$F$6:$AU$6,FALSE))))</f>
        <v>0</v>
      </c>
      <c r="S33" s="810"/>
      <c r="T33" s="112" t="str">
        <f>IF('Enter (Vac BFs TrCl MB'!$D27=0,"",'Enter (Vac BFs TrCl MB'!$D27)</f>
        <v xml:space="preserve">TL </v>
      </c>
      <c r="U33" s="153">
        <f>IF(ISERROR(INDEX('Enter (Vac BFs TrCl MB'!$F$7:$AU$37,MATCH(PROSPECT!$B33,'Enter (Vac BFs TrCl MB'!$D$7:$D$37,FALSE),MATCH(PROSPECT!U$11,'Enter (Vac BFs TrCl MB'!$F$6:$AU$6,FALSE))),"",(INDEX('Enter (Vac BFs TrCl MB'!$F$7:$AU$37,MATCH(PROSPECT!$B33,'Enter (Vac BFs TrCl MB'!$D$7:$D$37,FALSE),MATCH(PROSPECT!U$11,'Enter (Vac BFs TrCl MB'!$F$6:$AU$6,FALSE))))</f>
        <v>0</v>
      </c>
      <c r="V33" s="153">
        <f>IF(ISERROR(INDEX('Enter (Vac BFs TrCl MB'!$F$7:$AU$37,MATCH(PROSPECT!$B33,'Enter (Vac BFs TrCl MB'!$D$7:$D$37,FALSE),MATCH(PROSPECT!V$11,'Enter (Vac BFs TrCl MB'!$F$6:$AU$6,FALSE))),"",(INDEX('Enter (Vac BFs TrCl MB'!$F$7:$AU$37,MATCH(PROSPECT!$B33,'Enter (Vac BFs TrCl MB'!$D$7:$D$37,FALSE),MATCH(PROSPECT!V$11,'Enter (Vac BFs TrCl MB'!$F$6:$AU$6,FALSE))))</f>
        <v>0</v>
      </c>
      <c r="W33" s="153">
        <f>IF(ISERROR(INDEX('Enter (Vac BFs TrCl MB'!$F$7:$AU$37,MATCH(PROSPECT!$B33,'Enter (Vac BFs TrCl MB'!$D$7:$D$37,FALSE),MATCH(PROSPECT!W$11,'Enter (Vac BFs TrCl MB'!$F$6:$AU$6,FALSE))),"",(INDEX('Enter (Vac BFs TrCl MB'!$F$7:$AU$37,MATCH(PROSPECT!$B33,'Enter (Vac BFs TrCl MB'!$D$7:$D$37,FALSE),MATCH(PROSPECT!W$11,'Enter (Vac BFs TrCl MB'!$F$6:$AU$6,FALSE))))</f>
        <v>0</v>
      </c>
      <c r="X33" s="153">
        <f>IF(ISERROR(INDEX('Enter (Vac BFs TrCl MB'!$F$7:$AU$37,MATCH(PROSPECT!$B33,'Enter (Vac BFs TrCl MB'!$D$7:$D$37,FALSE),MATCH(PROSPECT!X$11,'Enter (Vac BFs TrCl MB'!$F$6:$AU$6,FALSE))),"",(INDEX('Enter (Vac BFs TrCl MB'!$F$7:$AU$37,MATCH(PROSPECT!$B33,'Enter (Vac BFs TrCl MB'!$D$7:$D$37,FALSE),MATCH(PROSPECT!X$11,'Enter (Vac BFs TrCl MB'!$F$6:$AU$6,FALSE))))</f>
        <v>0</v>
      </c>
      <c r="Y33" s="153">
        <f>IF(ISERROR(INDEX('Enter (Vac BFs TrCl MB'!$F$7:$AU$37,MATCH(PROSPECT!$B33,'Enter (Vac BFs TrCl MB'!$D$7:$D$37,FALSE),MATCH(PROSPECT!Y$11,'Enter (Vac BFs TrCl MB'!$F$6:$AU$6,FALSE))),"",(INDEX('Enter (Vac BFs TrCl MB'!$F$7:$AU$37,MATCH(PROSPECT!$B33,'Enter (Vac BFs TrCl MB'!$D$7:$D$37,FALSE),MATCH(PROSPECT!Y$11,'Enter (Vac BFs TrCl MB'!$F$6:$AU$6,FALSE))))</f>
        <v>0</v>
      </c>
      <c r="Z33" s="153">
        <f>IF(ISERROR(INDEX('Enter (Vac BFs TrCl MB'!$F$7:$AU$37,MATCH(PROSPECT!$B33,'Enter (Vac BFs TrCl MB'!$D$7:$D$37,FALSE),MATCH(PROSPECT!Z$11,'Enter (Vac BFs TrCl MB'!$F$6:$AU$6,FALSE))),"",(INDEX('Enter (Vac BFs TrCl MB'!$F$7:$AU$37,MATCH(PROSPECT!$B33,'Enter (Vac BFs TrCl MB'!$D$7:$D$37,FALSE),MATCH(PROSPECT!Z$11,'Enter (Vac BFs TrCl MB'!$F$6:$AU$6,FALSE))))</f>
        <v>0</v>
      </c>
      <c r="AA33" s="154">
        <f>IF(ISERROR(INDEX('Enter (Vac BFs TrCl MB'!$F$7:$AU$37,MATCH(PROSPECT!$B33,'Enter (Vac BFs TrCl MB'!$D$7:$D$37,FALSE),MATCH(PROSPECT!AA$11,'Enter (Vac BFs TrCl MB'!$F$6:$AU$6,FALSE))),"",(INDEX('Enter (Vac BFs TrCl MB'!$F$7:$AU$37,MATCH(PROSPECT!$B33,'Enter (Vac BFs TrCl MB'!$D$7:$D$37,FALSE),MATCH(PROSPECT!AA$11,'Enter (Vac BFs TrCl MB'!$F$6:$AU$6,FALSE))))</f>
        <v>0</v>
      </c>
    </row>
    <row r="34" spans="2:27" ht="15.4" thickBot="1">
      <c r="B34" s="144" t="str">
        <f>IF('Enter (Vac BFs TrCl MB'!$D28=0,"",'Enter (Vac BFs TrCl MB'!$D28)</f>
        <v>Lakshay</v>
      </c>
      <c r="C34" s="155">
        <f>IF(ISERROR(INDEX('Enter (Vac BFs TrCl MB'!$F$7:$AU$37,MATCH(PROSPECT!$B34,'Enter (Vac BFs TrCl MB'!$D$7:$D$37,FALSE),MATCH(PROSPECT!C$11,'Enter (Vac BFs TrCl MB'!$F$6:$AU$6,FALSE))),"",(INDEX('Enter (Vac BFs TrCl MB'!$F$7:$AU$37,MATCH(PROSPECT!$B34,'Enter (Vac BFs TrCl MB'!$D$7:$D$37,FALSE),MATCH(PROSPECT!C$11,'Enter (Vac BFs TrCl MB'!$F$6:$AU$6,FALSE))))</f>
        <v>0</v>
      </c>
      <c r="D34" s="155">
        <f>IF(ISERROR(INDEX('Enter (Vac BFs TrCl MB'!$F$7:$AU$37,MATCH(PROSPECT!$B34,'Enter (Vac BFs TrCl MB'!$D$7:$D$37,FALSE),MATCH(PROSPECT!D$11,'Enter (Vac BFs TrCl MB'!$F$6:$AU$6,FALSE))),"",(INDEX('Enter (Vac BFs TrCl MB'!$F$7:$AU$37,MATCH(PROSPECT!$B34,'Enter (Vac BFs TrCl MB'!$D$7:$D$37,FALSE),MATCH(PROSPECT!D$11,'Enter (Vac BFs TrCl MB'!$F$6:$AU$6,FALSE))))</f>
        <v>0</v>
      </c>
      <c r="E34" s="155">
        <f>IF(ISERROR(INDEX('Enter (Vac BFs TrCl MB'!$F$7:$AU$37,MATCH(PROSPECT!$B34,'Enter (Vac BFs TrCl MB'!$D$7:$D$37,FALSE),MATCH(PROSPECT!E$11,'Enter (Vac BFs TrCl MB'!$F$6:$AU$6,FALSE))),"",(INDEX('Enter (Vac BFs TrCl MB'!$F$7:$AU$37,MATCH(PROSPECT!$B34,'Enter (Vac BFs TrCl MB'!$D$7:$D$37,FALSE),MATCH(PROSPECT!E$11,'Enter (Vac BFs TrCl MB'!$F$6:$AU$6,FALSE))))</f>
        <v>0</v>
      </c>
      <c r="F34" s="155">
        <f>IF(ISERROR(INDEX('Enter (Vac BFs TrCl MB'!$F$7:$AU$37,MATCH(PROSPECT!$B34,'Enter (Vac BFs TrCl MB'!$D$7:$D$37,FALSE),MATCH(PROSPECT!F$11,'Enter (Vac BFs TrCl MB'!$F$6:$AU$6,FALSE))),"",(INDEX('Enter (Vac BFs TrCl MB'!$F$7:$AU$37,MATCH(PROSPECT!$B34,'Enter (Vac BFs TrCl MB'!$D$7:$D$37,FALSE),MATCH(PROSPECT!F$11,'Enter (Vac BFs TrCl MB'!$F$6:$AU$6,FALSE))))</f>
        <v>0</v>
      </c>
      <c r="G34" s="155">
        <f>IF(ISERROR(INDEX('Enter (Vac BFs TrCl MB'!$F$7:$AU$37,MATCH(PROSPECT!$B34,'Enter (Vac BFs TrCl MB'!$D$7:$D$37,FALSE),MATCH(PROSPECT!G$11,'Enter (Vac BFs TrCl MB'!$F$6:$AU$6,FALSE))),"",(INDEX('Enter (Vac BFs TrCl MB'!$F$7:$AU$37,MATCH(PROSPECT!$B34,'Enter (Vac BFs TrCl MB'!$D$7:$D$37,FALSE),MATCH(PROSPECT!G$11,'Enter (Vac BFs TrCl MB'!$F$6:$AU$6,FALSE))))</f>
        <v>0</v>
      </c>
      <c r="H34" s="155">
        <f>IF(ISERROR(INDEX('Enter (Vac BFs TrCl MB'!$F$7:$AU$37,MATCH(PROSPECT!$B34,'Enter (Vac BFs TrCl MB'!$D$7:$D$37,FALSE),MATCH(PROSPECT!H$11,'Enter (Vac BFs TrCl MB'!$F$6:$AU$6,FALSE))),"",(INDEX('Enter (Vac BFs TrCl MB'!$F$7:$AU$37,MATCH(PROSPECT!$B34,'Enter (Vac BFs TrCl MB'!$D$7:$D$37,FALSE),MATCH(PROSPECT!H$11,'Enter (Vac BFs TrCl MB'!$F$6:$AU$6,FALSE))))</f>
        <v>0</v>
      </c>
      <c r="I34" s="156">
        <f>IF(ISERROR(INDEX('Enter (Vac BFs TrCl MB'!$F$7:$AU$37,MATCH(PROSPECT!$B34,'Enter (Vac BFs TrCl MB'!$D$7:$D$37,FALSE),MATCH(PROSPECT!I$11,'Enter (Vac BFs TrCl MB'!$F$6:$AU$6,FALSE))),"",(INDEX('Enter (Vac BFs TrCl MB'!$F$7:$AU$37,MATCH(PROSPECT!$B34,'Enter (Vac BFs TrCl MB'!$D$7:$D$37,FALSE),MATCH(PROSPECT!I$11,'Enter (Vac BFs TrCl MB'!$F$6:$AU$6,FALSE))))</f>
        <v>0</v>
      </c>
      <c r="J34" s="810"/>
      <c r="K34" s="113" t="str">
        <f>IF('Enter (Vac BFs TrCl MB'!$D28=0,"",'Enter (Vac BFs TrCl MB'!$D28)</f>
        <v>Lakshay</v>
      </c>
      <c r="L34" s="155">
        <f>IF(ISERROR(INDEX('Enter (Vac BFs TrCl MB'!$F$7:$AU$37,MATCH(PROSPECT!$B34,'Enter (Vac BFs TrCl MB'!$D$7:$D$37,FALSE),MATCH(PROSPECT!L$11,'Enter (Vac BFs TrCl MB'!$F$6:$AU$6,FALSE))),"",(INDEX('Enter (Vac BFs TrCl MB'!$F$7:$AU$37,MATCH(PROSPECT!$B34,'Enter (Vac BFs TrCl MB'!$D$7:$D$37,FALSE),MATCH(PROSPECT!L$11,'Enter (Vac BFs TrCl MB'!$F$6:$AU$6,FALSE))))</f>
        <v>0</v>
      </c>
      <c r="M34" s="155">
        <f>IF(ISERROR(INDEX('Enter (Vac BFs TrCl MB'!$F$7:$AU$37,MATCH(PROSPECT!$B34,'Enter (Vac BFs TrCl MB'!$D$7:$D$37,FALSE),MATCH(PROSPECT!M$11,'Enter (Vac BFs TrCl MB'!$F$6:$AU$6,FALSE))),"",(INDEX('Enter (Vac BFs TrCl MB'!$F$7:$AU$37,MATCH(PROSPECT!$B34,'Enter (Vac BFs TrCl MB'!$D$7:$D$37,FALSE),MATCH(PROSPECT!M$11,'Enter (Vac BFs TrCl MB'!$F$6:$AU$6,FALSE))))</f>
        <v>0</v>
      </c>
      <c r="N34" s="155">
        <f>IF(ISERROR(INDEX('Enter (Vac BFs TrCl MB'!$F$7:$AU$37,MATCH(PROSPECT!$B34,'Enter (Vac BFs TrCl MB'!$D$7:$D$37,FALSE),MATCH(PROSPECT!N$11,'Enter (Vac BFs TrCl MB'!$F$6:$AU$6,FALSE))),"",(INDEX('Enter (Vac BFs TrCl MB'!$F$7:$AU$37,MATCH(PROSPECT!$B34,'Enter (Vac BFs TrCl MB'!$D$7:$D$37,FALSE),MATCH(PROSPECT!N$11,'Enter (Vac BFs TrCl MB'!$F$6:$AU$6,FALSE))))</f>
        <v>0</v>
      </c>
      <c r="O34" s="155">
        <f>IF(ISERROR(INDEX('Enter (Vac BFs TrCl MB'!$F$7:$AU$37,MATCH(PROSPECT!$B34,'Enter (Vac BFs TrCl MB'!$D$7:$D$37,FALSE),MATCH(PROSPECT!O$11,'Enter (Vac BFs TrCl MB'!$F$6:$AU$6,FALSE))),"",(INDEX('Enter (Vac BFs TrCl MB'!$F$7:$AU$37,MATCH(PROSPECT!$B34,'Enter (Vac BFs TrCl MB'!$D$7:$D$37,FALSE),MATCH(PROSPECT!O$11,'Enter (Vac BFs TrCl MB'!$F$6:$AU$6,FALSE))))</f>
        <v>0</v>
      </c>
      <c r="P34" s="155">
        <f>IF(ISERROR(INDEX('Enter (Vac BFs TrCl MB'!$F$7:$AU$37,MATCH(PROSPECT!$B34,'Enter (Vac BFs TrCl MB'!$D$7:$D$37,FALSE),MATCH(PROSPECT!P$11,'Enter (Vac BFs TrCl MB'!$F$6:$AU$6,FALSE))),"",(INDEX('Enter (Vac BFs TrCl MB'!$F$7:$AU$37,MATCH(PROSPECT!$B34,'Enter (Vac BFs TrCl MB'!$D$7:$D$37,FALSE),MATCH(PROSPECT!P$11,'Enter (Vac BFs TrCl MB'!$F$6:$AU$6,FALSE))))</f>
        <v>0</v>
      </c>
      <c r="Q34" s="155">
        <f>IF(ISERROR(INDEX('Enter (Vac BFs TrCl MB'!$F$7:$AU$37,MATCH(PROSPECT!$B34,'Enter (Vac BFs TrCl MB'!$D$7:$D$37,FALSE),MATCH(PROSPECT!Q$11,'Enter (Vac BFs TrCl MB'!$F$6:$AU$6,FALSE))),"",(INDEX('Enter (Vac BFs TrCl MB'!$F$7:$AU$37,MATCH(PROSPECT!$B34,'Enter (Vac BFs TrCl MB'!$D$7:$D$37,FALSE),MATCH(PROSPECT!Q$11,'Enter (Vac BFs TrCl MB'!$F$6:$AU$6,FALSE))))</f>
        <v>0</v>
      </c>
      <c r="R34" s="156">
        <f>IF(ISERROR(INDEX('Enter (Vac BFs TrCl MB'!$F$7:$AU$37,MATCH(PROSPECT!$B34,'Enter (Vac BFs TrCl MB'!$D$7:$D$37,FALSE),MATCH(PROSPECT!R$11,'Enter (Vac BFs TrCl MB'!$F$6:$AU$6,FALSE))),"",(INDEX('Enter (Vac BFs TrCl MB'!$F$7:$AU$37,MATCH(PROSPECT!$B34,'Enter (Vac BFs TrCl MB'!$D$7:$D$37,FALSE),MATCH(PROSPECT!R$11,'Enter (Vac BFs TrCl MB'!$F$6:$AU$6,FALSE))))</f>
        <v>0</v>
      </c>
      <c r="S34" s="810"/>
      <c r="T34" s="113" t="str">
        <f>IF('Enter (Vac BFs TrCl MB'!$D28=0,"",'Enter (Vac BFs TrCl MB'!$D28)</f>
        <v>Lakshay</v>
      </c>
      <c r="U34" s="155">
        <f>IF(ISERROR(INDEX('Enter (Vac BFs TrCl MB'!$F$7:$AU$37,MATCH(PROSPECT!$B34,'Enter (Vac BFs TrCl MB'!$D$7:$D$37,FALSE),MATCH(PROSPECT!U$11,'Enter (Vac BFs TrCl MB'!$F$6:$AU$6,FALSE))),"",(INDEX('Enter (Vac BFs TrCl MB'!$F$7:$AU$37,MATCH(PROSPECT!$B34,'Enter (Vac BFs TrCl MB'!$D$7:$D$37,FALSE),MATCH(PROSPECT!U$11,'Enter (Vac BFs TrCl MB'!$F$6:$AU$6,FALSE))))</f>
        <v>0</v>
      </c>
      <c r="V34" s="155">
        <f>IF(ISERROR(INDEX('Enter (Vac BFs TrCl MB'!$F$7:$AU$37,MATCH(PROSPECT!$B34,'Enter (Vac BFs TrCl MB'!$D$7:$D$37,FALSE),MATCH(PROSPECT!V$11,'Enter (Vac BFs TrCl MB'!$F$6:$AU$6,FALSE))),"",(INDEX('Enter (Vac BFs TrCl MB'!$F$7:$AU$37,MATCH(PROSPECT!$B34,'Enter (Vac BFs TrCl MB'!$D$7:$D$37,FALSE),MATCH(PROSPECT!V$11,'Enter (Vac BFs TrCl MB'!$F$6:$AU$6,FALSE))))</f>
        <v>0</v>
      </c>
      <c r="W34" s="155">
        <f>IF(ISERROR(INDEX('Enter (Vac BFs TrCl MB'!$F$7:$AU$37,MATCH(PROSPECT!$B34,'Enter (Vac BFs TrCl MB'!$D$7:$D$37,FALSE),MATCH(PROSPECT!W$11,'Enter (Vac BFs TrCl MB'!$F$6:$AU$6,FALSE))),"",(INDEX('Enter (Vac BFs TrCl MB'!$F$7:$AU$37,MATCH(PROSPECT!$B34,'Enter (Vac BFs TrCl MB'!$D$7:$D$37,FALSE),MATCH(PROSPECT!W$11,'Enter (Vac BFs TrCl MB'!$F$6:$AU$6,FALSE))))</f>
        <v>0</v>
      </c>
      <c r="X34" s="155">
        <f>IF(ISERROR(INDEX('Enter (Vac BFs TrCl MB'!$F$7:$AU$37,MATCH(PROSPECT!$B34,'Enter (Vac BFs TrCl MB'!$D$7:$D$37,FALSE),MATCH(PROSPECT!X$11,'Enter (Vac BFs TrCl MB'!$F$6:$AU$6,FALSE))),"",(INDEX('Enter (Vac BFs TrCl MB'!$F$7:$AU$37,MATCH(PROSPECT!$B34,'Enter (Vac BFs TrCl MB'!$D$7:$D$37,FALSE),MATCH(PROSPECT!X$11,'Enter (Vac BFs TrCl MB'!$F$6:$AU$6,FALSE))))</f>
        <v>0</v>
      </c>
      <c r="Y34" s="155">
        <f>IF(ISERROR(INDEX('Enter (Vac BFs TrCl MB'!$F$7:$AU$37,MATCH(PROSPECT!$B34,'Enter (Vac BFs TrCl MB'!$D$7:$D$37,FALSE),MATCH(PROSPECT!Y$11,'Enter (Vac BFs TrCl MB'!$F$6:$AU$6,FALSE))),"",(INDEX('Enter (Vac BFs TrCl MB'!$F$7:$AU$37,MATCH(PROSPECT!$B34,'Enter (Vac BFs TrCl MB'!$D$7:$D$37,FALSE),MATCH(PROSPECT!Y$11,'Enter (Vac BFs TrCl MB'!$F$6:$AU$6,FALSE))))</f>
        <v>0</v>
      </c>
      <c r="Z34" s="155">
        <f>IF(ISERROR(INDEX('Enter (Vac BFs TrCl MB'!$F$7:$AU$37,MATCH(PROSPECT!$B34,'Enter (Vac BFs TrCl MB'!$D$7:$D$37,FALSE),MATCH(PROSPECT!Z$11,'Enter (Vac BFs TrCl MB'!$F$6:$AU$6,FALSE))),"",(INDEX('Enter (Vac BFs TrCl MB'!$F$7:$AU$37,MATCH(PROSPECT!$B34,'Enter (Vac BFs TrCl MB'!$D$7:$D$37,FALSE),MATCH(PROSPECT!Z$11,'Enter (Vac BFs TrCl MB'!$F$6:$AU$6,FALSE))))</f>
        <v>0</v>
      </c>
      <c r="AA34" s="156">
        <f>IF(ISERROR(INDEX('Enter (Vac BFs TrCl MB'!$F$7:$AU$37,MATCH(PROSPECT!$B34,'Enter (Vac BFs TrCl MB'!$D$7:$D$37,FALSE),MATCH(PROSPECT!AA$11,'Enter (Vac BFs TrCl MB'!$F$6:$AU$6,FALSE))),"",(INDEX('Enter (Vac BFs TrCl MB'!$F$7:$AU$37,MATCH(PROSPECT!$B34,'Enter (Vac BFs TrCl MB'!$D$7:$D$37,FALSE),MATCH(PROSPECT!AA$11,'Enter (Vac BFs TrCl MB'!$F$6:$AU$6,FALSE))))</f>
        <v>0</v>
      </c>
    </row>
    <row r="35" spans="2:27" ht="14.65" thickBot="1">
      <c r="B35" s="781"/>
      <c r="C35" s="781"/>
      <c r="D35" s="781"/>
      <c r="E35" s="781"/>
      <c r="F35" s="781"/>
      <c r="G35" s="781"/>
      <c r="H35" s="781"/>
      <c r="I35" s="781"/>
      <c r="J35" s="781"/>
      <c r="K35" s="781"/>
      <c r="L35" s="781"/>
      <c r="M35" s="781"/>
      <c r="N35" s="781"/>
      <c r="O35" s="781"/>
      <c r="P35" s="781"/>
      <c r="Q35" s="781"/>
      <c r="R35" s="781"/>
      <c r="S35" s="781"/>
      <c r="T35" s="781"/>
      <c r="U35" s="781"/>
      <c r="V35" s="781"/>
      <c r="W35" s="781"/>
      <c r="X35" s="781"/>
      <c r="Y35" s="781"/>
      <c r="Z35" s="781"/>
      <c r="AA35" s="781"/>
    </row>
    <row r="36" spans="2:27" ht="17.2" customHeight="1">
      <c r="B36" s="782" t="str">
        <f>IF('Enter Projections'!A1,"Événements
spéciaux","Special
Events")</f>
        <v>Special
Events</v>
      </c>
      <c r="C36" s="108"/>
      <c r="D36" s="108"/>
      <c r="E36" s="108"/>
      <c r="F36" s="108"/>
      <c r="G36" s="108"/>
      <c r="H36" s="108"/>
      <c r="I36" s="109"/>
      <c r="J36" s="781"/>
      <c r="K36" s="782" t="str">
        <f>IF('Enter Projections'!A1,"Événements
spéciaux","Special
Events")</f>
        <v>Special
Events</v>
      </c>
      <c r="L36" s="108"/>
      <c r="M36" s="108"/>
      <c r="N36" s="108"/>
      <c r="O36" s="108"/>
      <c r="P36" s="108"/>
      <c r="Q36" s="108"/>
      <c r="R36" s="109"/>
      <c r="S36" s="781"/>
      <c r="T36" s="785" t="s">
        <v>38</v>
      </c>
      <c r="U36" s="786"/>
      <c r="V36" s="786"/>
      <c r="W36" s="786"/>
      <c r="X36" s="786"/>
      <c r="Y36" s="786"/>
      <c r="Z36" s="786"/>
      <c r="AA36" s="787"/>
    </row>
    <row r="37" spans="2:27" ht="15">
      <c r="B37" s="783"/>
      <c r="C37" s="95"/>
      <c r="D37" s="95"/>
      <c r="E37" s="95"/>
      <c r="F37" s="95"/>
      <c r="G37" s="95"/>
      <c r="H37" s="95"/>
      <c r="I37" s="110"/>
      <c r="J37" s="781"/>
      <c r="K37" s="783"/>
      <c r="L37" s="95"/>
      <c r="M37" s="95"/>
      <c r="N37" s="95"/>
      <c r="O37" s="95"/>
      <c r="P37" s="95"/>
      <c r="Q37" s="95"/>
      <c r="R37" s="110"/>
      <c r="S37" s="781"/>
      <c r="T37" s="280" t="s">
        <v>39</v>
      </c>
      <c r="U37" s="278" t="s">
        <v>40</v>
      </c>
      <c r="V37" s="788" t="s">
        <v>41</v>
      </c>
      <c r="W37" s="788"/>
      <c r="X37" s="788"/>
      <c r="Y37" s="788"/>
      <c r="Z37" s="788"/>
      <c r="AA37" s="789"/>
    </row>
    <row r="38" spans="2:27" ht="15.4">
      <c r="B38" s="103" t="str">
        <f>IF('Enter (Vac BFs TrCl MB'!$D32=0,"",'Enter (Vac BFs TrCl MB'!$D32)</f>
        <v/>
      </c>
      <c r="C38" s="90" t="str">
        <f>IF(ISERROR(INDEX('Enter (Vac BFs TrCl MB'!$F$7:$AU$37,MATCH(PROSPECT!$B7,'Enter (Vac BFs TrCl MB'!$D$7:$D$37,FALSE),MATCH(PROSPECT!C$42,'Enter (Vac BFs TrCl MB'!$F$6:$AU$6,FALSE))),"",(INDEX('Enter (Vac BFs TrCl MB'!$F$7:$AU$37,MATCH(PROSPECT!$B7,'Enter (Vac BFs TrCl MB'!$D$7:$D$37,FALSE),MATCH(PROSPECT!C$42,'Enter (Vac BFs TrCl MB'!$F$6:$AU$6,FALSE))))</f>
        <v/>
      </c>
      <c r="D38" s="90" t="str">
        <f>IF(ISERROR(INDEX('Enter (Vac BFs TrCl MB'!$F$7:$AU$37,MATCH(PROSPECT!$B7,'Enter (Vac BFs TrCl MB'!$D$7:$D$37,FALSE),MATCH(PROSPECT!D$42,'Enter (Vac BFs TrCl MB'!$F$6:$AU$6,FALSE))),"",(INDEX('Enter (Vac BFs TrCl MB'!$F$7:$AU$37,MATCH(PROSPECT!$B7,'Enter (Vac BFs TrCl MB'!$D$7:$D$37,FALSE),MATCH(PROSPECT!D$42,'Enter (Vac BFs TrCl MB'!$F$6:$AU$6,FALSE))))</f>
        <v/>
      </c>
      <c r="E38" s="90" t="str">
        <f>IF(ISERROR(INDEX('Enter (Vac BFs TrCl MB'!$F$7:$AU$37,MATCH(PROSPECT!$B7,'Enter (Vac BFs TrCl MB'!$D$7:$D$37,FALSE),MATCH(PROSPECT!E$42,'Enter (Vac BFs TrCl MB'!$F$6:$AU$6,FALSE))),"",(INDEX('Enter (Vac BFs TrCl MB'!$F$7:$AU$37,MATCH(PROSPECT!$B7,'Enter (Vac BFs TrCl MB'!$D$7:$D$37,FALSE),MATCH(PROSPECT!E$42,'Enter (Vac BFs TrCl MB'!$F$6:$AU$6,FALSE))))</f>
        <v/>
      </c>
      <c r="F38" s="90" t="str">
        <f>IF(ISERROR(INDEX('Enter (Vac BFs TrCl MB'!$F$7:$AU$37,MATCH(PROSPECT!$B7,'Enter (Vac BFs TrCl MB'!$D$7:$D$37,FALSE),MATCH(PROSPECT!F$42,'Enter (Vac BFs TrCl MB'!$F$6:$AU$6,FALSE))),"",(INDEX('Enter (Vac BFs TrCl MB'!$F$7:$AU$37,MATCH(PROSPECT!$B7,'Enter (Vac BFs TrCl MB'!$D$7:$D$37,FALSE),MATCH(PROSPECT!F$42,'Enter (Vac BFs TrCl MB'!$F$6:$AU$6,FALSE))))</f>
        <v/>
      </c>
      <c r="G38" s="90" t="str">
        <f>IF(ISERROR(INDEX('Enter (Vac BFs TrCl MB'!$F$7:$AU$37,MATCH(PROSPECT!$B7,'Enter (Vac BFs TrCl MB'!$D$7:$D$37,FALSE),MATCH(PROSPECT!G$42,'Enter (Vac BFs TrCl MB'!$F$6:$AU$6,FALSE))),"",(INDEX('Enter (Vac BFs TrCl MB'!$F$7:$AU$37,MATCH(PROSPECT!$B7,'Enter (Vac BFs TrCl MB'!$D$7:$D$37,FALSE),MATCH(PROSPECT!G$42,'Enter (Vac BFs TrCl MB'!$F$6:$AU$6,FALSE))))</f>
        <v/>
      </c>
      <c r="H38" s="90" t="str">
        <f>IF(ISERROR(INDEX('Enter (Vac BFs TrCl MB'!$F$7:$AU$37,MATCH(PROSPECT!$B7,'Enter (Vac BFs TrCl MB'!$D$7:$D$37,FALSE),MATCH(PROSPECT!H$42,'Enter (Vac BFs TrCl MB'!$F$6:$AU$6,FALSE))),"",(INDEX('Enter (Vac BFs TrCl MB'!$F$7:$AU$37,MATCH(PROSPECT!$B7,'Enter (Vac BFs TrCl MB'!$D$7:$D$37,FALSE),MATCH(PROSPECT!H$42,'Enter (Vac BFs TrCl MB'!$F$6:$AU$6,FALSE))))</f>
        <v/>
      </c>
      <c r="I38" s="102" t="str">
        <f>IF(ISERROR(INDEX('Enter (Vac BFs TrCl MB'!$F$7:$AU$37,MATCH(PROSPECT!$B7,'Enter (Vac BFs TrCl MB'!$D$7:$D$37,FALSE),MATCH(PROSPECT!I$42,'Enter (Vac BFs TrCl MB'!$F$6:$AU$6,FALSE))),"",(INDEX('Enter (Vac BFs TrCl MB'!$F$7:$AU$37,MATCH(PROSPECT!$B7,'Enter (Vac BFs TrCl MB'!$D$7:$D$37,FALSE),MATCH(PROSPECT!I$42,'Enter (Vac BFs TrCl MB'!$F$6:$AU$6,FALSE))))</f>
        <v/>
      </c>
      <c r="J38" s="781"/>
      <c r="K38" s="103" t="str">
        <f>IF('Enter (Vac BFs TrCl MB'!$D32=0,"",'Enter (Vac BFs TrCl MB'!$D32)</f>
        <v/>
      </c>
      <c r="L38" s="90" t="str">
        <f>IF(ISERROR(INDEX('Enter (Vac BFs TrCl MB'!$F$7:$AP$37,MATCH(PROSPECT!$B7,'Enter (Vac BFs TrCl MB'!$D$7:$D$37,FALSE),MATCH(PROSPECT!L$42,'Enter (Vac BFs TrCl MB'!$F$6:$AP$6,FALSE))),"",(INDEX('Enter (Vac BFs TrCl MB'!$F$7:$AP$37,MATCH(PROSPECT!$B7,'Enter (Vac BFs TrCl MB'!$D$7:$D$37,FALSE),MATCH(PROSPECT!L$42,'Enter (Vac BFs TrCl MB'!$F$6:$AP$6,FALSE))))</f>
        <v/>
      </c>
      <c r="M38" s="90" t="str">
        <f>IF(ISERROR(INDEX('Enter (Vac BFs TrCl MB'!$F$7:$AP$37,MATCH(PROSPECT!$B7,'Enter (Vac BFs TrCl MB'!$D$7:$D$37,FALSE),MATCH(PROSPECT!M$42,'Enter (Vac BFs TrCl MB'!$F$6:$AP$6,FALSE))),"",(INDEX('Enter (Vac BFs TrCl MB'!$F$7:$AP$37,MATCH(PROSPECT!$B7,'Enter (Vac BFs TrCl MB'!$D$7:$D$37,FALSE),MATCH(PROSPECT!M$42,'Enter (Vac BFs TrCl MB'!$F$6:$AP$6,FALSE))))</f>
        <v/>
      </c>
      <c r="N38" s="90" t="str">
        <f>IF(ISERROR(INDEX('Enter (Vac BFs TrCl MB'!$F$7:$AP$37,MATCH(PROSPECT!$B7,'Enter (Vac BFs TrCl MB'!$D$7:$D$37,FALSE),MATCH(PROSPECT!N$42,'Enter (Vac BFs TrCl MB'!$F$6:$AP$6,FALSE))),"",(INDEX('Enter (Vac BFs TrCl MB'!$F$7:$AP$37,MATCH(PROSPECT!$B7,'Enter (Vac BFs TrCl MB'!$D$7:$D$37,FALSE),MATCH(PROSPECT!N$42,'Enter (Vac BFs TrCl MB'!$F$6:$AP$6,FALSE))))</f>
        <v/>
      </c>
      <c r="O38" s="90" t="str">
        <f>IF(ISERROR(INDEX('Enter (Vac BFs TrCl MB'!$F$7:$AP$37,MATCH(PROSPECT!$B7,'Enter (Vac BFs TrCl MB'!$D$7:$D$37,FALSE),MATCH(PROSPECT!O$42,'Enter (Vac BFs TrCl MB'!$F$6:$AP$6,FALSE))),"",(INDEX('Enter (Vac BFs TrCl MB'!$F$7:$AP$37,MATCH(PROSPECT!$B7,'Enter (Vac BFs TrCl MB'!$D$7:$D$37,FALSE),MATCH(PROSPECT!O$42,'Enter (Vac BFs TrCl MB'!$F$6:$AP$6,FALSE))))</f>
        <v/>
      </c>
      <c r="P38" s="90" t="str">
        <f>IF(ISERROR(INDEX('Enter (Vac BFs TrCl MB'!$F$7:$AP$37,MATCH(PROSPECT!$B7,'Enter (Vac BFs TrCl MB'!$D$7:$D$37,FALSE),MATCH(PROSPECT!P$42,'Enter (Vac BFs TrCl MB'!$F$6:$AP$6,FALSE))),"",(INDEX('Enter (Vac BFs TrCl MB'!$F$7:$AP$37,MATCH(PROSPECT!$B7,'Enter (Vac BFs TrCl MB'!$D$7:$D$37,FALSE),MATCH(PROSPECT!P$42,'Enter (Vac BFs TrCl MB'!$F$6:$AP$6,FALSE))))</f>
        <v/>
      </c>
      <c r="Q38" s="90" t="str">
        <f>IF(ISERROR(INDEX('Enter (Vac BFs TrCl MB'!$F$7:$AP$37,MATCH(PROSPECT!$B7,'Enter (Vac BFs TrCl MB'!$D$7:$D$37,FALSE),MATCH(PROSPECT!Q$42,'Enter (Vac BFs TrCl MB'!$F$6:$AP$6,FALSE))),"",(INDEX('Enter (Vac BFs TrCl MB'!$F$7:$AP$37,MATCH(PROSPECT!$B7,'Enter (Vac BFs TrCl MB'!$D$7:$D$37,FALSE),MATCH(PROSPECT!Q$42,'Enter (Vac BFs TrCl MB'!$F$6:$AP$6,FALSE))))</f>
        <v/>
      </c>
      <c r="R38" s="102" t="str">
        <f>IF(ISERROR(INDEX('Enter (Vac BFs TrCl MB'!$F$7:$AP$37,MATCH(PROSPECT!$B7,'Enter (Vac BFs TrCl MB'!$D$7:$D$37,FALSE),MATCH(PROSPECT!R$42,'Enter (Vac BFs TrCl MB'!$F$6:$AP$6,FALSE))),"",(INDEX('Enter (Vac BFs TrCl MB'!$F$7:$AP$37,MATCH(PROSPECT!$B7,'Enter (Vac BFs TrCl MB'!$D$7:$D$37,FALSE),MATCH(PROSPECT!R$42,'Enter (Vac BFs TrCl MB'!$F$6:$AP$6,FALSE))))</f>
        <v/>
      </c>
      <c r="S38" s="781"/>
      <c r="T38" s="281"/>
      <c r="U38" s="279"/>
      <c r="V38" s="790"/>
      <c r="W38" s="790"/>
      <c r="X38" s="790"/>
      <c r="Y38" s="790"/>
      <c r="Z38" s="790"/>
      <c r="AA38" s="791"/>
    </row>
    <row r="39" spans="2:27" ht="15.4">
      <c r="B39" s="103" t="str">
        <f>IF('Enter (Vac BFs TrCl MB'!$D33=0,"",'Enter (Vac BFs TrCl MB'!$D33)</f>
        <v>SHAKE</v>
      </c>
      <c r="C39" s="90">
        <f>IF(ISERROR(INDEX('Enter (Vac BFs TrCl MB'!$F$7:$AU$37,MATCH(PROSPECT!$B8,'Enter (Vac BFs TrCl MB'!$D$7:$D$37,FALSE),MATCH(PROSPECT!C$42,'Enter (Vac BFs TrCl MB'!$F$6:$AU$6,FALSE))),"",(INDEX('Enter (Vac BFs TrCl MB'!$F$7:$AU$37,MATCH(PROSPECT!$B8,'Enter (Vac BFs TrCl MB'!$D$7:$D$37,FALSE),MATCH(PROSPECT!C$42,'Enter (Vac BFs TrCl MB'!$F$6:$AU$6,FALSE))))</f>
        <v>0</v>
      </c>
      <c r="D39" s="90">
        <f>IF(ISERROR(INDEX('Enter (Vac BFs TrCl MB'!$F$7:$AU$37,MATCH(PROSPECT!$B8,'Enter (Vac BFs TrCl MB'!$D$7:$D$37,FALSE),MATCH(PROSPECT!D$42,'Enter (Vac BFs TrCl MB'!$F$6:$AU$6,FALSE))),"",(INDEX('Enter (Vac BFs TrCl MB'!$F$7:$AU$37,MATCH(PROSPECT!$B8,'Enter (Vac BFs TrCl MB'!$D$7:$D$37,FALSE),MATCH(PROSPECT!D$42,'Enter (Vac BFs TrCl MB'!$F$6:$AU$6,FALSE))))</f>
        <v>0</v>
      </c>
      <c r="E39" s="90">
        <f>IF(ISERROR(INDEX('Enter (Vac BFs TrCl MB'!$F$7:$AU$37,MATCH(PROSPECT!$B8,'Enter (Vac BFs TrCl MB'!$D$7:$D$37,FALSE),MATCH(PROSPECT!E$42,'Enter (Vac BFs TrCl MB'!$F$6:$AU$6,FALSE))),"",(INDEX('Enter (Vac BFs TrCl MB'!$F$7:$AU$37,MATCH(PROSPECT!$B8,'Enter (Vac BFs TrCl MB'!$D$7:$D$37,FALSE),MATCH(PROSPECT!E$42,'Enter (Vac BFs TrCl MB'!$F$6:$AU$6,FALSE))))</f>
        <v>0</v>
      </c>
      <c r="F39" s="90">
        <f>IF(ISERROR(INDEX('Enter (Vac BFs TrCl MB'!$F$7:$AU$37,MATCH(PROSPECT!$B8,'Enter (Vac BFs TrCl MB'!$D$7:$D$37,FALSE),MATCH(PROSPECT!F$42,'Enter (Vac BFs TrCl MB'!$F$6:$AU$6,FALSE))),"",(INDEX('Enter (Vac BFs TrCl MB'!$F$7:$AU$37,MATCH(PROSPECT!$B8,'Enter (Vac BFs TrCl MB'!$D$7:$D$37,FALSE),MATCH(PROSPECT!F$42,'Enter (Vac BFs TrCl MB'!$F$6:$AU$6,FALSE))))</f>
        <v>0</v>
      </c>
      <c r="G39" s="90">
        <f>IF(ISERROR(INDEX('Enter (Vac BFs TrCl MB'!$F$7:$AU$37,MATCH(PROSPECT!$B8,'Enter (Vac BFs TrCl MB'!$D$7:$D$37,FALSE),MATCH(PROSPECT!G$42,'Enter (Vac BFs TrCl MB'!$F$6:$AU$6,FALSE))),"",(INDEX('Enter (Vac BFs TrCl MB'!$F$7:$AU$37,MATCH(PROSPECT!$B8,'Enter (Vac BFs TrCl MB'!$D$7:$D$37,FALSE),MATCH(PROSPECT!G$42,'Enter (Vac BFs TrCl MB'!$F$6:$AU$6,FALSE))))</f>
        <v>0</v>
      </c>
      <c r="H39" s="90">
        <f>IF(ISERROR(INDEX('Enter (Vac BFs TrCl MB'!$F$7:$AU$37,MATCH(PROSPECT!$B8,'Enter (Vac BFs TrCl MB'!$D$7:$D$37,FALSE),MATCH(PROSPECT!H$42,'Enter (Vac BFs TrCl MB'!$F$6:$AU$6,FALSE))),"",(INDEX('Enter (Vac BFs TrCl MB'!$F$7:$AU$37,MATCH(PROSPECT!$B8,'Enter (Vac BFs TrCl MB'!$D$7:$D$37,FALSE),MATCH(PROSPECT!H$42,'Enter (Vac BFs TrCl MB'!$F$6:$AU$6,FALSE))))</f>
        <v>0</v>
      </c>
      <c r="I39" s="102">
        <f>IF(ISERROR(INDEX('Enter (Vac BFs TrCl MB'!$F$7:$AU$37,MATCH(PROSPECT!$B8,'Enter (Vac BFs TrCl MB'!$D$7:$D$37,FALSE),MATCH(PROSPECT!I$42,'Enter (Vac BFs TrCl MB'!$F$6:$AU$6,FALSE))),"",(INDEX('Enter (Vac BFs TrCl MB'!$F$7:$AU$37,MATCH(PROSPECT!$B8,'Enter (Vac BFs TrCl MB'!$D$7:$D$37,FALSE),MATCH(PROSPECT!I$42,'Enter (Vac BFs TrCl MB'!$F$6:$AU$6,FALSE))))</f>
        <v>0</v>
      </c>
      <c r="J39" s="781"/>
      <c r="K39" s="103" t="str">
        <f>IF('Enter (Vac BFs TrCl MB'!$D33=0,"",'Enter (Vac BFs TrCl MB'!$D33)</f>
        <v>SHAKE</v>
      </c>
      <c r="L39" s="90">
        <f>IF(ISERROR(INDEX('Enter (Vac BFs TrCl MB'!$F$7:$AP$37,MATCH(PROSPECT!$B8,'Enter (Vac BFs TrCl MB'!$D$7:$D$37,FALSE),MATCH(PROSPECT!L$42,'Enter (Vac BFs TrCl MB'!$F$6:$AP$6,FALSE))),"",(INDEX('Enter (Vac BFs TrCl MB'!$F$7:$AP$37,MATCH(PROSPECT!$B8,'Enter (Vac BFs TrCl MB'!$D$7:$D$37,FALSE),MATCH(PROSPECT!L$42,'Enter (Vac BFs TrCl MB'!$F$6:$AP$6,FALSE))))</f>
        <v>0</v>
      </c>
      <c r="M39" s="90">
        <f>IF(ISERROR(INDEX('Enter (Vac BFs TrCl MB'!$F$7:$AP$37,MATCH(PROSPECT!$B8,'Enter (Vac BFs TrCl MB'!$D$7:$D$37,FALSE),MATCH(PROSPECT!M$42,'Enter (Vac BFs TrCl MB'!$F$6:$AP$6,FALSE))),"",(INDEX('Enter (Vac BFs TrCl MB'!$F$7:$AP$37,MATCH(PROSPECT!$B8,'Enter (Vac BFs TrCl MB'!$D$7:$D$37,FALSE),MATCH(PROSPECT!M$42,'Enter (Vac BFs TrCl MB'!$F$6:$AP$6,FALSE))))</f>
        <v>0</v>
      </c>
      <c r="N39" s="90" t="str">
        <f>IF(ISERROR(INDEX('Enter (Vac BFs TrCl MB'!$F$7:$AP$37,MATCH(PROSPECT!$B8,'Enter (Vac BFs TrCl MB'!$D$7:$D$37,FALSE),MATCH(PROSPECT!N$42,'Enter (Vac BFs TrCl MB'!$F$6:$AP$6,FALSE))),"",(INDEX('Enter (Vac BFs TrCl MB'!$F$7:$AP$37,MATCH(PROSPECT!$B8,'Enter (Vac BFs TrCl MB'!$D$7:$D$37,FALSE),MATCH(PROSPECT!N$42,'Enter (Vac BFs TrCl MB'!$F$6:$AP$6,FALSE))))</f>
        <v>CYC</v>
      </c>
      <c r="O39" s="90">
        <f>IF(ISERROR(INDEX('Enter (Vac BFs TrCl MB'!$F$7:$AP$37,MATCH(PROSPECT!$B8,'Enter (Vac BFs TrCl MB'!$D$7:$D$37,FALSE),MATCH(PROSPECT!O$42,'Enter (Vac BFs TrCl MB'!$F$6:$AP$6,FALSE))),"",(INDEX('Enter (Vac BFs TrCl MB'!$F$7:$AP$37,MATCH(PROSPECT!$B8,'Enter (Vac BFs TrCl MB'!$D$7:$D$37,FALSE),MATCH(PROSPECT!O$42,'Enter (Vac BFs TrCl MB'!$F$6:$AP$6,FALSE))))</f>
        <v>0</v>
      </c>
      <c r="P39" s="90" t="str">
        <f>IF(ISERROR(INDEX('Enter (Vac BFs TrCl MB'!$F$7:$AP$37,MATCH(PROSPECT!$B8,'Enter (Vac BFs TrCl MB'!$D$7:$D$37,FALSE),MATCH(PROSPECT!P$42,'Enter (Vac BFs TrCl MB'!$F$6:$AP$6,FALSE))),"",(INDEX('Enter (Vac BFs TrCl MB'!$F$7:$AP$37,MATCH(PROSPECT!$B8,'Enter (Vac BFs TrCl MB'!$D$7:$D$37,FALSE),MATCH(PROSPECT!P$42,'Enter (Vac BFs TrCl MB'!$F$6:$AP$6,FALSE))))</f>
        <v>CYC</v>
      </c>
      <c r="Q39" s="90">
        <f>IF(ISERROR(INDEX('Enter (Vac BFs TrCl MB'!$F$7:$AP$37,MATCH(PROSPECT!$B8,'Enter (Vac BFs TrCl MB'!$D$7:$D$37,FALSE),MATCH(PROSPECT!Q$42,'Enter (Vac BFs TrCl MB'!$F$6:$AP$6,FALSE))),"",(INDEX('Enter (Vac BFs TrCl MB'!$F$7:$AP$37,MATCH(PROSPECT!$B8,'Enter (Vac BFs TrCl MB'!$D$7:$D$37,FALSE),MATCH(PROSPECT!Q$42,'Enter (Vac BFs TrCl MB'!$F$6:$AP$6,FALSE))))</f>
        <v>0</v>
      </c>
      <c r="R39" s="102" t="str">
        <f>IF(ISERROR(INDEX('Enter (Vac BFs TrCl MB'!$F$7:$AP$37,MATCH(PROSPECT!$B8,'Enter (Vac BFs TrCl MB'!$D$7:$D$37,FALSE),MATCH(PROSPECT!R$42,'Enter (Vac BFs TrCl MB'!$F$6:$AP$6,FALSE))),"",(INDEX('Enter (Vac BFs TrCl MB'!$F$7:$AP$37,MATCH(PROSPECT!$B8,'Enter (Vac BFs TrCl MB'!$D$7:$D$37,FALSE),MATCH(PROSPECT!R$42,'Enter (Vac BFs TrCl MB'!$F$6:$AP$6,FALSE))))</f>
        <v>WK</v>
      </c>
      <c r="S39" s="781"/>
      <c r="T39" s="281"/>
      <c r="U39" s="279"/>
      <c r="V39" s="790"/>
      <c r="W39" s="790"/>
      <c r="X39" s="790"/>
      <c r="Y39" s="790"/>
      <c r="Z39" s="790"/>
      <c r="AA39" s="791"/>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91" t="str">
        <f>Planner!K$59</f>
        <v/>
      </c>
      <c r="J40" s="781"/>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91" t="str">
        <f>Planner!K$71</f>
        <v/>
      </c>
      <c r="S40" s="781"/>
      <c r="T40" s="282"/>
      <c r="U40" s="275"/>
      <c r="V40" s="792"/>
      <c r="W40" s="792"/>
      <c r="X40" s="792"/>
      <c r="Y40" s="792"/>
      <c r="Z40" s="792"/>
      <c r="AA40" s="793"/>
    </row>
    <row r="41" spans="2:27" ht="15.4">
      <c r="B41" s="104" t="str">
        <f>IF('Enter Projections'!$A$1,"NC","G.C.")</f>
        <v>G.C.</v>
      </c>
      <c r="C41" s="91" t="str">
        <f>Planner!E$60</f>
        <v/>
      </c>
      <c r="D41" s="91" t="str">
        <f>Planner!F$60</f>
        <v/>
      </c>
      <c r="E41" s="91" t="str">
        <f>Planner!G$60</f>
        <v/>
      </c>
      <c r="F41" s="91" t="str">
        <f>Planner!H$60</f>
        <v/>
      </c>
      <c r="G41" s="91" t="str">
        <f>Planner!I$60</f>
        <v/>
      </c>
      <c r="H41" s="91" t="str">
        <f>Planner!J$60</f>
        <v/>
      </c>
      <c r="I41" s="91" t="str">
        <f>Planner!K$60</f>
        <v/>
      </c>
      <c r="J41" s="781"/>
      <c r="K41" s="104" t="str">
        <f>IF('Enter Projections'!$A$1,"NC","G.C.")</f>
        <v>G.C.</v>
      </c>
      <c r="L41" s="91" t="str">
        <f>Planner!E$72</f>
        <v/>
      </c>
      <c r="M41" s="91" t="str">
        <f>Planner!F$72</f>
        <v/>
      </c>
      <c r="N41" s="91" t="str">
        <f>Planner!G$72</f>
        <v/>
      </c>
      <c r="O41" s="91" t="str">
        <f>Planner!H$72</f>
        <v/>
      </c>
      <c r="P41" s="91" t="str">
        <f>Planner!I$72</f>
        <v/>
      </c>
      <c r="Q41" s="91" t="str">
        <f>Planner!J$72</f>
        <v/>
      </c>
      <c r="R41" s="91" t="str">
        <f>Planner!K$72</f>
        <v/>
      </c>
      <c r="S41" s="781"/>
      <c r="T41" s="282"/>
      <c r="U41" s="275"/>
      <c r="V41" s="792"/>
      <c r="W41" s="792"/>
      <c r="X41" s="792"/>
      <c r="Y41" s="792"/>
      <c r="Z41" s="792"/>
      <c r="AA41" s="793"/>
    </row>
    <row r="42" spans="2:27" ht="15.4">
      <c r="B42" s="104" t="s">
        <v>32</v>
      </c>
      <c r="C42" s="93">
        <v>45278</v>
      </c>
      <c r="D42" s="93">
        <v>45279</v>
      </c>
      <c r="E42" s="93">
        <v>45280</v>
      </c>
      <c r="F42" s="93">
        <v>45281</v>
      </c>
      <c r="G42" s="93">
        <v>45282</v>
      </c>
      <c r="H42" s="93">
        <v>45283</v>
      </c>
      <c r="I42" s="93">
        <v>45284</v>
      </c>
      <c r="J42" s="781"/>
      <c r="K42" s="104" t="s">
        <v>32</v>
      </c>
      <c r="L42" s="93">
        <v>45285</v>
      </c>
      <c r="M42" s="93">
        <v>45286</v>
      </c>
      <c r="N42" s="93">
        <v>45287</v>
      </c>
      <c r="O42" s="93">
        <v>45288</v>
      </c>
      <c r="P42" s="93">
        <v>45289</v>
      </c>
      <c r="Q42" s="93">
        <v>45290</v>
      </c>
      <c r="R42" s="93">
        <v>45291</v>
      </c>
      <c r="S42" s="781"/>
      <c r="T42" s="282"/>
      <c r="U42" s="276"/>
      <c r="V42" s="794"/>
      <c r="W42" s="794"/>
      <c r="X42" s="794"/>
      <c r="Y42" s="794"/>
      <c r="Z42" s="794"/>
      <c r="AA42" s="795"/>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781"/>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781"/>
      <c r="T43" s="282"/>
      <c r="U43" s="277"/>
      <c r="V43" s="796"/>
      <c r="W43" s="796"/>
      <c r="X43" s="796"/>
      <c r="Y43" s="796"/>
      <c r="Z43" s="796"/>
      <c r="AA43" s="797"/>
    </row>
    <row r="44" spans="2:27" ht="15.4">
      <c r="B44" s="111" t="str">
        <f>IF('Enter (Vac BFs TrCl MB'!$D7=0,"",'Enter (Vac BFs TrCl MB'!$D7)</f>
        <v>Brittney</v>
      </c>
      <c r="C44" s="153">
        <f>IF(ISERROR(INDEX('Enter (Vac BFs TrCl MB'!$F$7:$AU$37,MATCH(PROSPECT!$B44,'Enter (Vac BFs TrCl MB'!$D$7:$D$37,FALSE),MATCH(PROSPECT!C$42,'Enter (Vac BFs TrCl MB'!$F$6:$AU$6,FALSE))),"",(INDEX('Enter (Vac BFs TrCl MB'!$F$7:$AU$37,MATCH(PROSPECT!$B44,'Enter (Vac BFs TrCl MB'!$D$7:$D$37,FALSE),MATCH(PROSPECT!C$42,'Enter (Vac BFs TrCl MB'!$F$6:$AU$6,FALSE))))</f>
        <v>0</v>
      </c>
      <c r="D44" s="153">
        <f>IF(ISERROR(INDEX('Enter (Vac BFs TrCl MB'!$F$7:$AU$37,MATCH(PROSPECT!$B44,'Enter (Vac BFs TrCl MB'!$D$7:$D$37,FALSE),MATCH(PROSPECT!D$42,'Enter (Vac BFs TrCl MB'!$F$6:$AU$6,FALSE))),"",(INDEX('Enter (Vac BFs TrCl MB'!$F$7:$AU$37,MATCH(PROSPECT!$B44,'Enter (Vac BFs TrCl MB'!$D$7:$D$37,FALSE),MATCH(PROSPECT!D$42,'Enter (Vac BFs TrCl MB'!$F$6:$AU$6,FALSE))))</f>
        <v>0</v>
      </c>
      <c r="E44" s="153">
        <f>IF(ISERROR(INDEX('Enter (Vac BFs TrCl MB'!$F$7:$AU$37,MATCH(PROSPECT!$B44,'Enter (Vac BFs TrCl MB'!$D$7:$D$37,FALSE),MATCH(PROSPECT!E$42,'Enter (Vac BFs TrCl MB'!$F$6:$AU$6,FALSE))),"",(INDEX('Enter (Vac BFs TrCl MB'!$F$7:$AU$37,MATCH(PROSPECT!$B44,'Enter (Vac BFs TrCl MB'!$D$7:$D$37,FALSE),MATCH(PROSPECT!E$42,'Enter (Vac BFs TrCl MB'!$F$6:$AU$6,FALSE))))</f>
        <v>0</v>
      </c>
      <c r="F44" s="153">
        <f>IF(ISERROR(INDEX('Enter (Vac BFs TrCl MB'!$F$7:$AU$37,MATCH(PROSPECT!$B44,'Enter (Vac BFs TrCl MB'!$D$7:$D$37,FALSE),MATCH(PROSPECT!F$42,'Enter (Vac BFs TrCl MB'!$F$6:$AU$6,FALSE))),"",(INDEX('Enter (Vac BFs TrCl MB'!$F$7:$AU$37,MATCH(PROSPECT!$B44,'Enter (Vac BFs TrCl MB'!$D$7:$D$37,FALSE),MATCH(PROSPECT!F$42,'Enter (Vac BFs TrCl MB'!$F$6:$AU$6,FALSE))))</f>
        <v>0</v>
      </c>
      <c r="G44" s="153">
        <f>IF(ISERROR(INDEX('Enter (Vac BFs TrCl MB'!$F$7:$AU$37,MATCH(PROSPECT!$B44,'Enter (Vac BFs TrCl MB'!$D$7:$D$37,FALSE),MATCH(PROSPECT!G$42,'Enter (Vac BFs TrCl MB'!$F$6:$AU$6,FALSE))),"",(INDEX('Enter (Vac BFs TrCl MB'!$F$7:$AU$37,MATCH(PROSPECT!$B44,'Enter (Vac BFs TrCl MB'!$D$7:$D$37,FALSE),MATCH(PROSPECT!G$42,'Enter (Vac BFs TrCl MB'!$F$6:$AU$6,FALSE))))</f>
        <v>0</v>
      </c>
      <c r="H44" s="153">
        <f>IF(ISERROR(INDEX('Enter (Vac BFs TrCl MB'!$F$7:$AU$37,MATCH(PROSPECT!$B44,'Enter (Vac BFs TrCl MB'!$D$7:$D$37,FALSE),MATCH(PROSPECT!H$42,'Enter (Vac BFs TrCl MB'!$F$6:$AU$6,FALSE))),"",(INDEX('Enter (Vac BFs TrCl MB'!$F$7:$AU$37,MATCH(PROSPECT!$B44,'Enter (Vac BFs TrCl MB'!$D$7:$D$37,FALSE),MATCH(PROSPECT!H$42,'Enter (Vac BFs TrCl MB'!$F$6:$AU$6,FALSE))))</f>
        <v>0</v>
      </c>
      <c r="I44" s="154">
        <f>IF(ISERROR(INDEX('Enter (Vac BFs TrCl MB'!$F$7:$AU$37,MATCH(PROSPECT!$B44,'Enter (Vac BFs TrCl MB'!$D$7:$D$37,FALSE),MATCH(PROSPECT!I$42,'Enter (Vac BFs TrCl MB'!$F$6:$AU$6,FALSE))),"",(INDEX('Enter (Vac BFs TrCl MB'!$F$7:$AU$37,MATCH(PROSPECT!$B44,'Enter (Vac BFs TrCl MB'!$D$7:$D$37,FALSE),MATCH(PROSPECT!I$42,'Enter (Vac BFs TrCl MB'!$F$6:$AU$6,FALSE))))</f>
        <v>0</v>
      </c>
      <c r="J44" s="781"/>
      <c r="K44" s="111" t="str">
        <f>IF('Enter (Vac BFs TrCl MB'!$D7=0,"",'Enter (Vac BFs TrCl MB'!$D7)</f>
        <v>Brittney</v>
      </c>
      <c r="L44" s="153">
        <f>IF(ISERROR(INDEX('Enter (Vac BFs TrCl MB'!$F$7:$AU$37,MATCH(PROSPECT!$B44,'Enter (Vac BFs TrCl MB'!$D$7:$D$37,FALSE),MATCH(PROSPECT!L$42,'Enter (Vac BFs TrCl MB'!$F$6:$AU$6,FALSE))),"",(INDEX('Enter (Vac BFs TrCl MB'!$F$7:$AU$37,MATCH(PROSPECT!$B44,'Enter (Vac BFs TrCl MB'!$D$7:$D$37,FALSE),MATCH(PROSPECT!L$42,'Enter (Vac BFs TrCl MB'!$F$6:$AU$6,FALSE))))</f>
        <v>0</v>
      </c>
      <c r="M44" s="153">
        <f>IF(ISERROR(INDEX('Enter (Vac BFs TrCl MB'!$F$7:$AU$37,MATCH(PROSPECT!$B44,'Enter (Vac BFs TrCl MB'!$D$7:$D$37,FALSE),MATCH(PROSPECT!M$42,'Enter (Vac BFs TrCl MB'!$F$6:$AU$6,FALSE))),"",(INDEX('Enter (Vac BFs TrCl MB'!$F$7:$AU$37,MATCH(PROSPECT!$B44,'Enter (Vac BFs TrCl MB'!$D$7:$D$37,FALSE),MATCH(PROSPECT!M$42,'Enter (Vac BFs TrCl MB'!$F$6:$AU$6,FALSE))))</f>
        <v>0</v>
      </c>
      <c r="N44" s="153">
        <f>IF(ISERROR(INDEX('Enter (Vac BFs TrCl MB'!$F$7:$AU$37,MATCH(PROSPECT!$B44,'Enter (Vac BFs TrCl MB'!$D$7:$D$37,FALSE),MATCH(PROSPECT!N$42,'Enter (Vac BFs TrCl MB'!$F$6:$AU$6,FALSE))),"",(INDEX('Enter (Vac BFs TrCl MB'!$F$7:$AU$37,MATCH(PROSPECT!$B44,'Enter (Vac BFs TrCl MB'!$D$7:$D$37,FALSE),MATCH(PROSPECT!N$42,'Enter (Vac BFs TrCl MB'!$F$6:$AU$6,FALSE))))</f>
        <v>0</v>
      </c>
      <c r="O44" s="153">
        <f>IF(ISERROR(INDEX('Enter (Vac BFs TrCl MB'!$F$7:$AU$37,MATCH(PROSPECT!$B44,'Enter (Vac BFs TrCl MB'!$D$7:$D$37,FALSE),MATCH(PROSPECT!O$42,'Enter (Vac BFs TrCl MB'!$F$6:$AU$6,FALSE))),"",(INDEX('Enter (Vac BFs TrCl MB'!$F$7:$AU$37,MATCH(PROSPECT!$B44,'Enter (Vac BFs TrCl MB'!$D$7:$D$37,FALSE),MATCH(PROSPECT!O$42,'Enter (Vac BFs TrCl MB'!$F$6:$AU$6,FALSE))))</f>
        <v>0</v>
      </c>
      <c r="P44" s="153">
        <f>IF(ISERROR(INDEX('Enter (Vac BFs TrCl MB'!$F$7:$AU$37,MATCH(PROSPECT!$B44,'Enter (Vac BFs TrCl MB'!$D$7:$D$37,FALSE),MATCH(PROSPECT!P$42,'Enter (Vac BFs TrCl MB'!$F$6:$AU$6,FALSE))),"",(INDEX('Enter (Vac BFs TrCl MB'!$F$7:$AU$37,MATCH(PROSPECT!$B44,'Enter (Vac BFs TrCl MB'!$D$7:$D$37,FALSE),MATCH(PROSPECT!P$42,'Enter (Vac BFs TrCl MB'!$F$6:$AU$6,FALSE))))</f>
        <v>0</v>
      </c>
      <c r="Q44" s="153">
        <f>IF(ISERROR(INDEX('Enter (Vac BFs TrCl MB'!$F$7:$AU$37,MATCH(PROSPECT!$B44,'Enter (Vac BFs TrCl MB'!$D$7:$D$37,FALSE),MATCH(PROSPECT!Q$42,'Enter (Vac BFs TrCl MB'!$F$6:$AU$6,FALSE))),"",(INDEX('Enter (Vac BFs TrCl MB'!$F$7:$AU$37,MATCH(PROSPECT!$B44,'Enter (Vac BFs TrCl MB'!$D$7:$D$37,FALSE),MATCH(PROSPECT!Q$42,'Enter (Vac BFs TrCl MB'!$F$6:$AU$6,FALSE))))</f>
        <v>0</v>
      </c>
      <c r="R44" s="273">
        <f>IF(ISERROR(INDEX('Enter (Vac BFs TrCl MB'!$F$7:$AU$37,MATCH(PROSPECT!$B44,'Enter (Vac BFs TrCl MB'!$D$7:$D$37,FALSE),MATCH(PROSPECT!R$42,'Enter (Vac BFs TrCl MB'!$F$6:$AU$6,FALSE))),"",(INDEX('Enter (Vac BFs TrCl MB'!$F$7:$AU$37,MATCH(PROSPECT!$B44,'Enter (Vac BFs TrCl MB'!$D$7:$D$37,FALSE),MATCH(PROSPECT!R$42,'Enter (Vac BFs TrCl MB'!$F$6:$AU$6,FALSE))))</f>
        <v>0</v>
      </c>
      <c r="S44" s="781"/>
      <c r="T44" s="283"/>
      <c r="U44" s="274"/>
      <c r="V44" s="798"/>
      <c r="W44" s="798"/>
      <c r="X44" s="798"/>
      <c r="Y44" s="798"/>
      <c r="Z44" s="798"/>
      <c r="AA44" s="799"/>
    </row>
    <row r="45" spans="2:27" ht="15">
      <c r="B45" s="111" t="str">
        <f>IF('Enter (Vac BFs TrCl MB'!$D8=0,"",'Enter (Vac BFs TrCl MB'!$D8)</f>
        <v>Jayda</v>
      </c>
      <c r="C45" s="153">
        <f>IF(ISERROR(INDEX('Enter (Vac BFs TrCl MB'!$F$7:$AU$37,MATCH(PROSPECT!$B45,'Enter (Vac BFs TrCl MB'!$D$7:$D$37,FALSE),MATCH(PROSPECT!C$42,'Enter (Vac BFs TrCl MB'!$F$6:$AU$6,FALSE))),"",(INDEX('Enter (Vac BFs TrCl MB'!$F$7:$AU$37,MATCH(PROSPECT!$B45,'Enter (Vac BFs TrCl MB'!$D$7:$D$37,FALSE),MATCH(PROSPECT!C$42,'Enter (Vac BFs TrCl MB'!$F$6:$AU$6,FALSE))))</f>
        <v>0</v>
      </c>
      <c r="D45" s="153">
        <f>IF(ISERROR(INDEX('Enter (Vac BFs TrCl MB'!$F$7:$AU$37,MATCH(PROSPECT!$B45,'Enter (Vac BFs TrCl MB'!$D$7:$D$37,FALSE),MATCH(PROSPECT!D$42,'Enter (Vac BFs TrCl MB'!$F$6:$AU$6,FALSE))),"",(INDEX('Enter (Vac BFs TrCl MB'!$F$7:$AU$37,MATCH(PROSPECT!$B45,'Enter (Vac BFs TrCl MB'!$D$7:$D$37,FALSE),MATCH(PROSPECT!D$42,'Enter (Vac BFs TrCl MB'!$F$6:$AU$6,FALSE))))</f>
        <v>0</v>
      </c>
      <c r="E45" s="153">
        <f>IF(ISERROR(INDEX('Enter (Vac BFs TrCl MB'!$F$7:$AU$37,MATCH(PROSPECT!$B45,'Enter (Vac BFs TrCl MB'!$D$7:$D$37,FALSE),MATCH(PROSPECT!E$42,'Enter (Vac BFs TrCl MB'!$F$6:$AU$6,FALSE))),"",(INDEX('Enter (Vac BFs TrCl MB'!$F$7:$AU$37,MATCH(PROSPECT!$B45,'Enter (Vac BFs TrCl MB'!$D$7:$D$37,FALSE),MATCH(PROSPECT!E$42,'Enter (Vac BFs TrCl MB'!$F$6:$AU$6,FALSE))))</f>
        <v>0</v>
      </c>
      <c r="F45" s="153">
        <f>IF(ISERROR(INDEX('Enter (Vac BFs TrCl MB'!$F$7:$AU$37,MATCH(PROSPECT!$B45,'Enter (Vac BFs TrCl MB'!$D$7:$D$37,FALSE),MATCH(PROSPECT!F$42,'Enter (Vac BFs TrCl MB'!$F$6:$AU$6,FALSE))),"",(INDEX('Enter (Vac BFs TrCl MB'!$F$7:$AU$37,MATCH(PROSPECT!$B45,'Enter (Vac BFs TrCl MB'!$D$7:$D$37,FALSE),MATCH(PROSPECT!F$42,'Enter (Vac BFs TrCl MB'!$F$6:$AU$6,FALSE))))</f>
        <v>0</v>
      </c>
      <c r="G45" s="153">
        <f>IF(ISERROR(INDEX('Enter (Vac BFs TrCl MB'!$F$7:$AU$37,MATCH(PROSPECT!$B45,'Enter (Vac BFs TrCl MB'!$D$7:$D$37,FALSE),MATCH(PROSPECT!G$42,'Enter (Vac BFs TrCl MB'!$F$6:$AU$6,FALSE))),"",(INDEX('Enter (Vac BFs TrCl MB'!$F$7:$AU$37,MATCH(PROSPECT!$B45,'Enter (Vac BFs TrCl MB'!$D$7:$D$37,FALSE),MATCH(PROSPECT!G$42,'Enter (Vac BFs TrCl MB'!$F$6:$AU$6,FALSE))))</f>
        <v>0</v>
      </c>
      <c r="H45" s="153">
        <f>IF(ISERROR(INDEX('Enter (Vac BFs TrCl MB'!$F$7:$AU$37,MATCH(PROSPECT!$B45,'Enter (Vac BFs TrCl MB'!$D$7:$D$37,FALSE),MATCH(PROSPECT!H$42,'Enter (Vac BFs TrCl MB'!$F$6:$AU$6,FALSE))),"",(INDEX('Enter (Vac BFs TrCl MB'!$F$7:$AU$37,MATCH(PROSPECT!$B45,'Enter (Vac BFs TrCl MB'!$D$7:$D$37,FALSE),MATCH(PROSPECT!H$42,'Enter (Vac BFs TrCl MB'!$F$6:$AU$6,FALSE))))</f>
        <v>0</v>
      </c>
      <c r="I45" s="154">
        <f>IF(ISERROR(INDEX('Enter (Vac BFs TrCl MB'!$F$7:$AU$37,MATCH(PROSPECT!$B45,'Enter (Vac BFs TrCl MB'!$D$7:$D$37,FALSE),MATCH(PROSPECT!I$42,'Enter (Vac BFs TrCl MB'!$F$6:$AU$6,FALSE))),"",(INDEX('Enter (Vac BFs TrCl MB'!$F$7:$AU$37,MATCH(PROSPECT!$B45,'Enter (Vac BFs TrCl MB'!$D$7:$D$37,FALSE),MATCH(PROSPECT!I$42,'Enter (Vac BFs TrCl MB'!$F$6:$AU$6,FALSE))))</f>
        <v>0</v>
      </c>
      <c r="J45" s="781"/>
      <c r="K45" s="112" t="str">
        <f>IF('Enter (Vac BFs TrCl MB'!$D8=0,"",'Enter (Vac BFs TrCl MB'!$D8)</f>
        <v>Jayda</v>
      </c>
      <c r="L45" s="153">
        <f>IF(ISERROR(INDEX('Enter (Vac BFs TrCl MB'!$F$7:$AU$37,MATCH(PROSPECT!$B45,'Enter (Vac BFs TrCl MB'!$D$7:$D$37,FALSE),MATCH(PROSPECT!L$42,'Enter (Vac BFs TrCl MB'!$F$6:$AU$6,FALSE))),"",(INDEX('Enter (Vac BFs TrCl MB'!$F$7:$AU$37,MATCH(PROSPECT!$B45,'Enter (Vac BFs TrCl MB'!$D$7:$D$37,FALSE),MATCH(PROSPECT!L$42,'Enter (Vac BFs TrCl MB'!$F$6:$AU$6,FALSE))))</f>
        <v>0</v>
      </c>
      <c r="M45" s="153">
        <f>IF(ISERROR(INDEX('Enter (Vac BFs TrCl MB'!$F$7:$AU$37,MATCH(PROSPECT!$B45,'Enter (Vac BFs TrCl MB'!$D$7:$D$37,FALSE),MATCH(PROSPECT!M$42,'Enter (Vac BFs TrCl MB'!$F$6:$AU$6,FALSE))),"",(INDEX('Enter (Vac BFs TrCl MB'!$F$7:$AU$37,MATCH(PROSPECT!$B45,'Enter (Vac BFs TrCl MB'!$D$7:$D$37,FALSE),MATCH(PROSPECT!M$42,'Enter (Vac BFs TrCl MB'!$F$6:$AU$6,FALSE))))</f>
        <v>0</v>
      </c>
      <c r="N45" s="153">
        <f>IF(ISERROR(INDEX('Enter (Vac BFs TrCl MB'!$F$7:$AU$37,MATCH(PROSPECT!$B45,'Enter (Vac BFs TrCl MB'!$D$7:$D$37,FALSE),MATCH(PROSPECT!N$42,'Enter (Vac BFs TrCl MB'!$F$6:$AU$6,FALSE))),"",(INDEX('Enter (Vac BFs TrCl MB'!$F$7:$AU$37,MATCH(PROSPECT!$B45,'Enter (Vac BFs TrCl MB'!$D$7:$D$37,FALSE),MATCH(PROSPECT!N$42,'Enter (Vac BFs TrCl MB'!$F$6:$AU$6,FALSE))))</f>
        <v>0</v>
      </c>
      <c r="O45" s="153">
        <f>IF(ISERROR(INDEX('Enter (Vac BFs TrCl MB'!$F$7:$AU$37,MATCH(PROSPECT!$B45,'Enter (Vac BFs TrCl MB'!$D$7:$D$37,FALSE),MATCH(PROSPECT!O$42,'Enter (Vac BFs TrCl MB'!$F$6:$AU$6,FALSE))),"",(INDEX('Enter (Vac BFs TrCl MB'!$F$7:$AU$37,MATCH(PROSPECT!$B45,'Enter (Vac BFs TrCl MB'!$D$7:$D$37,FALSE),MATCH(PROSPECT!O$42,'Enter (Vac BFs TrCl MB'!$F$6:$AU$6,FALSE))))</f>
        <v>0</v>
      </c>
      <c r="P45" s="153">
        <f>IF(ISERROR(INDEX('Enter (Vac BFs TrCl MB'!$F$7:$AU$37,MATCH(PROSPECT!$B45,'Enter (Vac BFs TrCl MB'!$D$7:$D$37,FALSE),MATCH(PROSPECT!P$42,'Enter (Vac BFs TrCl MB'!$F$6:$AU$6,FALSE))),"",(INDEX('Enter (Vac BFs TrCl MB'!$F$7:$AU$37,MATCH(PROSPECT!$B45,'Enter (Vac BFs TrCl MB'!$D$7:$D$37,FALSE),MATCH(PROSPECT!P$42,'Enter (Vac BFs TrCl MB'!$F$6:$AU$6,FALSE))))</f>
        <v>0</v>
      </c>
      <c r="Q45" s="153">
        <f>IF(ISERROR(INDEX('Enter (Vac BFs TrCl MB'!$F$7:$AU$37,MATCH(PROSPECT!$B45,'Enter (Vac BFs TrCl MB'!$D$7:$D$37,FALSE),MATCH(PROSPECT!Q$42,'Enter (Vac BFs TrCl MB'!$F$6:$AU$6,FALSE))),"",(INDEX('Enter (Vac BFs TrCl MB'!$F$7:$AU$37,MATCH(PROSPECT!$B45,'Enter (Vac BFs TrCl MB'!$D$7:$D$37,FALSE),MATCH(PROSPECT!Q$42,'Enter (Vac BFs TrCl MB'!$F$6:$AU$6,FALSE))))</f>
        <v>0</v>
      </c>
      <c r="R45" s="154"/>
      <c r="S45" s="781"/>
      <c r="T45" s="283"/>
      <c r="U45" s="274"/>
      <c r="V45" s="798"/>
      <c r="W45" s="798"/>
      <c r="X45" s="798"/>
      <c r="Y45" s="798"/>
      <c r="Z45" s="798"/>
      <c r="AA45" s="799"/>
    </row>
    <row r="46" spans="2:27" ht="15">
      <c r="B46" s="111" t="str">
        <f>IF('Enter (Vac BFs TrCl MB'!$D9=0,"",'Enter (Vac BFs TrCl MB'!$D9)</f>
        <v>Harkaml</v>
      </c>
      <c r="C46" s="153">
        <f>IF(ISERROR(INDEX('Enter (Vac BFs TrCl MB'!$F$7:$AU$37,MATCH(PROSPECT!$B46,'Enter (Vac BFs TrCl MB'!$D$7:$D$37,FALSE),MATCH(PROSPECT!C$42,'Enter (Vac BFs TrCl MB'!$F$6:$AU$6,FALSE))),"",(INDEX('Enter (Vac BFs TrCl MB'!$F$7:$AU$37,MATCH(PROSPECT!$B46,'Enter (Vac BFs TrCl MB'!$D$7:$D$37,FALSE),MATCH(PROSPECT!C$42,'Enter (Vac BFs TrCl MB'!$F$6:$AU$6,FALSE))))</f>
        <v>0</v>
      </c>
      <c r="D46" s="153">
        <f>IF(ISERROR(INDEX('Enter (Vac BFs TrCl MB'!$F$7:$AU$37,MATCH(PROSPECT!$B46,'Enter (Vac BFs TrCl MB'!$D$7:$D$37,FALSE),MATCH(PROSPECT!D$42,'Enter (Vac BFs TrCl MB'!$F$6:$AU$6,FALSE))),"",(INDEX('Enter (Vac BFs TrCl MB'!$F$7:$AU$37,MATCH(PROSPECT!$B46,'Enter (Vac BFs TrCl MB'!$D$7:$D$37,FALSE),MATCH(PROSPECT!D$42,'Enter (Vac BFs TrCl MB'!$F$6:$AU$6,FALSE))))</f>
        <v>0</v>
      </c>
      <c r="E46" s="153">
        <f>IF(ISERROR(INDEX('Enter (Vac BFs TrCl MB'!$F$7:$AU$37,MATCH(PROSPECT!$B46,'Enter (Vac BFs TrCl MB'!$D$7:$D$37,FALSE),MATCH(PROSPECT!E$42,'Enter (Vac BFs TrCl MB'!$F$6:$AU$6,FALSE))),"",(INDEX('Enter (Vac BFs TrCl MB'!$F$7:$AU$37,MATCH(PROSPECT!$B46,'Enter (Vac BFs TrCl MB'!$D$7:$D$37,FALSE),MATCH(PROSPECT!E$42,'Enter (Vac BFs TrCl MB'!$F$6:$AU$6,FALSE))))</f>
        <v>0</v>
      </c>
      <c r="F46" s="153">
        <f>IF(ISERROR(INDEX('Enter (Vac BFs TrCl MB'!$F$7:$AU$37,MATCH(PROSPECT!$B46,'Enter (Vac BFs TrCl MB'!$D$7:$D$37,FALSE),MATCH(PROSPECT!F$42,'Enter (Vac BFs TrCl MB'!$F$6:$AU$6,FALSE))),"",(INDEX('Enter (Vac BFs TrCl MB'!$F$7:$AU$37,MATCH(PROSPECT!$B46,'Enter (Vac BFs TrCl MB'!$D$7:$D$37,FALSE),MATCH(PROSPECT!F$42,'Enter (Vac BFs TrCl MB'!$F$6:$AU$6,FALSE))))</f>
        <v>0</v>
      </c>
      <c r="G46" s="153">
        <f>IF(ISERROR(INDEX('Enter (Vac BFs TrCl MB'!$F$7:$AU$37,MATCH(PROSPECT!$B46,'Enter (Vac BFs TrCl MB'!$D$7:$D$37,FALSE),MATCH(PROSPECT!G$42,'Enter (Vac BFs TrCl MB'!$F$6:$AU$6,FALSE))),"",(INDEX('Enter (Vac BFs TrCl MB'!$F$7:$AU$37,MATCH(PROSPECT!$B46,'Enter (Vac BFs TrCl MB'!$D$7:$D$37,FALSE),MATCH(PROSPECT!G$42,'Enter (Vac BFs TrCl MB'!$F$6:$AU$6,FALSE))))</f>
        <v>0</v>
      </c>
      <c r="H46" s="153">
        <f>IF(ISERROR(INDEX('Enter (Vac BFs TrCl MB'!$F$7:$AU$37,MATCH(PROSPECT!$B46,'Enter (Vac BFs TrCl MB'!$D$7:$D$37,FALSE),MATCH(PROSPECT!H$42,'Enter (Vac BFs TrCl MB'!$F$6:$AU$6,FALSE))),"",(INDEX('Enter (Vac BFs TrCl MB'!$F$7:$AU$37,MATCH(PROSPECT!$B46,'Enter (Vac BFs TrCl MB'!$D$7:$D$37,FALSE),MATCH(PROSPECT!H$42,'Enter (Vac BFs TrCl MB'!$F$6:$AU$6,FALSE))))</f>
        <v>0</v>
      </c>
      <c r="I46" s="154">
        <f>IF(ISERROR(INDEX('Enter (Vac BFs TrCl MB'!$F$7:$AU$37,MATCH(PROSPECT!$B46,'Enter (Vac BFs TrCl MB'!$D$7:$D$37,FALSE),MATCH(PROSPECT!I$42,'Enter (Vac BFs TrCl MB'!$F$6:$AU$6,FALSE))),"",(INDEX('Enter (Vac BFs TrCl MB'!$F$7:$AU$37,MATCH(PROSPECT!$B46,'Enter (Vac BFs TrCl MB'!$D$7:$D$37,FALSE),MATCH(PROSPECT!I$42,'Enter (Vac BFs TrCl MB'!$F$6:$AU$6,FALSE))))</f>
        <v>0</v>
      </c>
      <c r="J46" s="781"/>
      <c r="K46" s="112" t="str">
        <f>IF('Enter (Vac BFs TrCl MB'!$D9=0,"",'Enter (Vac BFs TrCl MB'!$D9)</f>
        <v>Harkaml</v>
      </c>
      <c r="L46" s="153">
        <f>IF(ISERROR(INDEX('Enter (Vac BFs TrCl MB'!$F$7:$AU$37,MATCH(PROSPECT!$B46,'Enter (Vac BFs TrCl MB'!$D$7:$D$37,FALSE),MATCH(PROSPECT!L$42,'Enter (Vac BFs TrCl MB'!$F$6:$AU$6,FALSE))),"",(INDEX('Enter (Vac BFs TrCl MB'!$F$7:$AU$37,MATCH(PROSPECT!$B46,'Enter (Vac BFs TrCl MB'!$D$7:$D$37,FALSE),MATCH(PROSPECT!L$42,'Enter (Vac BFs TrCl MB'!$F$6:$AU$6,FALSE))))</f>
        <v>0</v>
      </c>
      <c r="M46" s="153">
        <f>IF(ISERROR(INDEX('Enter (Vac BFs TrCl MB'!$F$7:$AU$37,MATCH(PROSPECT!$B46,'Enter (Vac BFs TrCl MB'!$D$7:$D$37,FALSE),MATCH(PROSPECT!M$42,'Enter (Vac BFs TrCl MB'!$F$6:$AU$6,FALSE))),"",(INDEX('Enter (Vac BFs TrCl MB'!$F$7:$AU$37,MATCH(PROSPECT!$B46,'Enter (Vac BFs TrCl MB'!$D$7:$D$37,FALSE),MATCH(PROSPECT!M$42,'Enter (Vac BFs TrCl MB'!$F$6:$AU$6,FALSE))))</f>
        <v>0</v>
      </c>
      <c r="N46" s="153">
        <f>IF(ISERROR(INDEX('Enter (Vac BFs TrCl MB'!$F$7:$AU$37,MATCH(PROSPECT!$B46,'Enter (Vac BFs TrCl MB'!$D$7:$D$37,FALSE),MATCH(PROSPECT!N$42,'Enter (Vac BFs TrCl MB'!$F$6:$AU$6,FALSE))),"",(INDEX('Enter (Vac BFs TrCl MB'!$F$7:$AU$37,MATCH(PROSPECT!$B46,'Enter (Vac BFs TrCl MB'!$D$7:$D$37,FALSE),MATCH(PROSPECT!N$42,'Enter (Vac BFs TrCl MB'!$F$6:$AU$6,FALSE))))</f>
        <v>0</v>
      </c>
      <c r="O46" s="153">
        <f>IF(ISERROR(INDEX('Enter (Vac BFs TrCl MB'!$F$7:$AU$37,MATCH(PROSPECT!$B46,'Enter (Vac BFs TrCl MB'!$D$7:$D$37,FALSE),MATCH(PROSPECT!O$42,'Enter (Vac BFs TrCl MB'!$F$6:$AU$6,FALSE))),"",(INDEX('Enter (Vac BFs TrCl MB'!$F$7:$AU$37,MATCH(PROSPECT!$B46,'Enter (Vac BFs TrCl MB'!$D$7:$D$37,FALSE),MATCH(PROSPECT!O$42,'Enter (Vac BFs TrCl MB'!$F$6:$AU$6,FALSE))))</f>
        <v>0</v>
      </c>
      <c r="P46" s="153">
        <f>IF(ISERROR(INDEX('Enter (Vac BFs TrCl MB'!$F$7:$AU$37,MATCH(PROSPECT!$B46,'Enter (Vac BFs TrCl MB'!$D$7:$D$37,FALSE),MATCH(PROSPECT!P$42,'Enter (Vac BFs TrCl MB'!$F$6:$AU$6,FALSE))),"",(INDEX('Enter (Vac BFs TrCl MB'!$F$7:$AU$37,MATCH(PROSPECT!$B46,'Enter (Vac BFs TrCl MB'!$D$7:$D$37,FALSE),MATCH(PROSPECT!P$42,'Enter (Vac BFs TrCl MB'!$F$6:$AU$6,FALSE))))</f>
        <v>0</v>
      </c>
      <c r="Q46" s="153">
        <f>IF(ISERROR(INDEX('Enter (Vac BFs TrCl MB'!$F$7:$AU$37,MATCH(PROSPECT!$B46,'Enter (Vac BFs TrCl MB'!$D$7:$D$37,FALSE),MATCH(PROSPECT!Q$42,'Enter (Vac BFs TrCl MB'!$F$6:$AU$6,FALSE))),"",(INDEX('Enter (Vac BFs TrCl MB'!$F$7:$AU$37,MATCH(PROSPECT!$B46,'Enter (Vac BFs TrCl MB'!$D$7:$D$37,FALSE),MATCH(PROSPECT!Q$42,'Enter (Vac BFs TrCl MB'!$F$6:$AU$6,FALSE))))</f>
        <v>0</v>
      </c>
      <c r="R46" s="266"/>
      <c r="S46" s="781"/>
      <c r="T46" s="283"/>
      <c r="U46" s="274"/>
      <c r="V46" s="798"/>
      <c r="W46" s="798"/>
      <c r="X46" s="798"/>
      <c r="Y46" s="798"/>
      <c r="Z46" s="798"/>
      <c r="AA46" s="799"/>
    </row>
    <row r="47" spans="2:27" ht="15">
      <c r="B47" s="111" t="str">
        <f>IF('Enter (Vac BFs TrCl MB'!$D10=0,"",'Enter (Vac BFs TrCl MB'!$D10)</f>
        <v>Chehal</v>
      </c>
      <c r="C47" s="153">
        <f>IF(ISERROR(INDEX('Enter (Vac BFs TrCl MB'!$F$7:$AU$37,MATCH(PROSPECT!$B47,'Enter (Vac BFs TrCl MB'!$D$7:$D$37,FALSE),MATCH(PROSPECT!C$42,'Enter (Vac BFs TrCl MB'!$F$6:$AU$6,FALSE))),"",(INDEX('Enter (Vac BFs TrCl MB'!$F$7:$AU$37,MATCH(PROSPECT!$B47,'Enter (Vac BFs TrCl MB'!$D$7:$D$37,FALSE),MATCH(PROSPECT!C$42,'Enter (Vac BFs TrCl MB'!$F$6:$AU$6,FALSE))))</f>
        <v>0</v>
      </c>
      <c r="D47" s="153">
        <f>IF(ISERROR(INDEX('Enter (Vac BFs TrCl MB'!$F$7:$AU$37,MATCH(PROSPECT!$B47,'Enter (Vac BFs TrCl MB'!$D$7:$D$37,FALSE),MATCH(PROSPECT!D$42,'Enter (Vac BFs TrCl MB'!$F$6:$AU$6,FALSE))),"",(INDEX('Enter (Vac BFs TrCl MB'!$F$7:$AU$37,MATCH(PROSPECT!$B47,'Enter (Vac BFs TrCl MB'!$D$7:$D$37,FALSE),MATCH(PROSPECT!D$42,'Enter (Vac BFs TrCl MB'!$F$6:$AU$6,FALSE))))</f>
        <v>0</v>
      </c>
      <c r="E47" s="153">
        <f>IF(ISERROR(INDEX('Enter (Vac BFs TrCl MB'!$F$7:$AU$37,MATCH(PROSPECT!$B47,'Enter (Vac BFs TrCl MB'!$D$7:$D$37,FALSE),MATCH(PROSPECT!E$42,'Enter (Vac BFs TrCl MB'!$F$6:$AU$6,FALSE))),"",(INDEX('Enter (Vac BFs TrCl MB'!$F$7:$AU$37,MATCH(PROSPECT!$B47,'Enter (Vac BFs TrCl MB'!$D$7:$D$37,FALSE),MATCH(PROSPECT!E$42,'Enter (Vac BFs TrCl MB'!$F$6:$AU$6,FALSE))))</f>
        <v>0</v>
      </c>
      <c r="F47" s="153">
        <f>IF(ISERROR(INDEX('Enter (Vac BFs TrCl MB'!$F$7:$AU$37,MATCH(PROSPECT!$B47,'Enter (Vac BFs TrCl MB'!$D$7:$D$37,FALSE),MATCH(PROSPECT!F$42,'Enter (Vac BFs TrCl MB'!$F$6:$AU$6,FALSE))),"",(INDEX('Enter (Vac BFs TrCl MB'!$F$7:$AU$37,MATCH(PROSPECT!$B47,'Enter (Vac BFs TrCl MB'!$D$7:$D$37,FALSE),MATCH(PROSPECT!F$42,'Enter (Vac BFs TrCl MB'!$F$6:$AU$6,FALSE))))</f>
        <v>0</v>
      </c>
      <c r="G47" s="153">
        <f>IF(ISERROR(INDEX('Enter (Vac BFs TrCl MB'!$F$7:$AU$37,MATCH(PROSPECT!$B47,'Enter (Vac BFs TrCl MB'!$D$7:$D$37,FALSE),MATCH(PROSPECT!G$42,'Enter (Vac BFs TrCl MB'!$F$6:$AU$6,FALSE))),"",(INDEX('Enter (Vac BFs TrCl MB'!$F$7:$AU$37,MATCH(PROSPECT!$B47,'Enter (Vac BFs TrCl MB'!$D$7:$D$37,FALSE),MATCH(PROSPECT!G$42,'Enter (Vac BFs TrCl MB'!$F$6:$AU$6,FALSE))))</f>
        <v>0</v>
      </c>
      <c r="H47" s="153">
        <f>IF(ISERROR(INDEX('Enter (Vac BFs TrCl MB'!$F$7:$AU$37,MATCH(PROSPECT!$B47,'Enter (Vac BFs TrCl MB'!$D$7:$D$37,FALSE),MATCH(PROSPECT!H$42,'Enter (Vac BFs TrCl MB'!$F$6:$AU$6,FALSE))),"",(INDEX('Enter (Vac BFs TrCl MB'!$F$7:$AU$37,MATCH(PROSPECT!$B47,'Enter (Vac BFs TrCl MB'!$D$7:$D$37,FALSE),MATCH(PROSPECT!H$42,'Enter (Vac BFs TrCl MB'!$F$6:$AU$6,FALSE))))</f>
        <v>0</v>
      </c>
      <c r="I47" s="154">
        <f>IF(ISERROR(INDEX('Enter (Vac BFs TrCl MB'!$F$7:$AU$37,MATCH(PROSPECT!$B47,'Enter (Vac BFs TrCl MB'!$D$7:$D$37,FALSE),MATCH(PROSPECT!I$42,'Enter (Vac BFs TrCl MB'!$F$6:$AU$6,FALSE))),"",(INDEX('Enter (Vac BFs TrCl MB'!$F$7:$AU$37,MATCH(PROSPECT!$B47,'Enter (Vac BFs TrCl MB'!$D$7:$D$37,FALSE),MATCH(PROSPECT!I$42,'Enter (Vac BFs TrCl MB'!$F$6:$AU$6,FALSE))))</f>
        <v>0</v>
      </c>
      <c r="J47" s="781"/>
      <c r="K47" s="112" t="str">
        <f>IF('Enter (Vac BFs TrCl MB'!$D10=0,"",'Enter (Vac BFs TrCl MB'!$D10)</f>
        <v>Chehal</v>
      </c>
      <c r="L47" s="153">
        <f>IF(ISERROR(INDEX('Enter (Vac BFs TrCl MB'!$F$7:$AU$37,MATCH(PROSPECT!$B47,'Enter (Vac BFs TrCl MB'!$D$7:$D$37,FALSE),MATCH(PROSPECT!L$42,'Enter (Vac BFs TrCl MB'!$F$6:$AU$6,FALSE))),"",(INDEX('Enter (Vac BFs TrCl MB'!$F$7:$AU$37,MATCH(PROSPECT!$B47,'Enter (Vac BFs TrCl MB'!$D$7:$D$37,FALSE),MATCH(PROSPECT!L$42,'Enter (Vac BFs TrCl MB'!$F$6:$AU$6,FALSE))))</f>
        <v>0</v>
      </c>
      <c r="M47" s="153">
        <f>IF(ISERROR(INDEX('Enter (Vac BFs TrCl MB'!$F$7:$AU$37,MATCH(PROSPECT!$B47,'Enter (Vac BFs TrCl MB'!$D$7:$D$37,FALSE),MATCH(PROSPECT!M$42,'Enter (Vac BFs TrCl MB'!$F$6:$AU$6,FALSE))),"",(INDEX('Enter (Vac BFs TrCl MB'!$F$7:$AU$37,MATCH(PROSPECT!$B47,'Enter (Vac BFs TrCl MB'!$D$7:$D$37,FALSE),MATCH(PROSPECT!M$42,'Enter (Vac BFs TrCl MB'!$F$6:$AU$6,FALSE))))</f>
        <v>0</v>
      </c>
      <c r="N47" s="153">
        <f>IF(ISERROR(INDEX('Enter (Vac BFs TrCl MB'!$F$7:$AU$37,MATCH(PROSPECT!$B47,'Enter (Vac BFs TrCl MB'!$D$7:$D$37,FALSE),MATCH(PROSPECT!N$42,'Enter (Vac BFs TrCl MB'!$F$6:$AU$6,FALSE))),"",(INDEX('Enter (Vac BFs TrCl MB'!$F$7:$AU$37,MATCH(PROSPECT!$B47,'Enter (Vac BFs TrCl MB'!$D$7:$D$37,FALSE),MATCH(PROSPECT!N$42,'Enter (Vac BFs TrCl MB'!$F$6:$AU$6,FALSE))))</f>
        <v>0</v>
      </c>
      <c r="O47" s="153">
        <f>IF(ISERROR(INDEX('Enter (Vac BFs TrCl MB'!$F$7:$AU$37,MATCH(PROSPECT!$B47,'Enter (Vac BFs TrCl MB'!$D$7:$D$37,FALSE),MATCH(PROSPECT!O$42,'Enter (Vac BFs TrCl MB'!$F$6:$AU$6,FALSE))),"",(INDEX('Enter (Vac BFs TrCl MB'!$F$7:$AU$37,MATCH(PROSPECT!$B47,'Enter (Vac BFs TrCl MB'!$D$7:$D$37,FALSE),MATCH(PROSPECT!O$42,'Enter (Vac BFs TrCl MB'!$F$6:$AU$6,FALSE))))</f>
        <v>0</v>
      </c>
      <c r="P47" s="153">
        <f>IF(ISERROR(INDEX('Enter (Vac BFs TrCl MB'!$F$7:$AU$37,MATCH(PROSPECT!$B47,'Enter (Vac BFs TrCl MB'!$D$7:$D$37,FALSE),MATCH(PROSPECT!P$42,'Enter (Vac BFs TrCl MB'!$F$6:$AU$6,FALSE))),"",(INDEX('Enter (Vac BFs TrCl MB'!$F$7:$AU$37,MATCH(PROSPECT!$B47,'Enter (Vac BFs TrCl MB'!$D$7:$D$37,FALSE),MATCH(PROSPECT!P$42,'Enter (Vac BFs TrCl MB'!$F$6:$AU$6,FALSE))))</f>
        <v>0</v>
      </c>
      <c r="Q47" s="153">
        <f>IF(ISERROR(INDEX('Enter (Vac BFs TrCl MB'!$F$7:$AU$37,MATCH(PROSPECT!$B47,'Enter (Vac BFs TrCl MB'!$D$7:$D$37,FALSE),MATCH(PROSPECT!Q$42,'Enter (Vac BFs TrCl MB'!$F$6:$AU$6,FALSE))),"",(INDEX('Enter (Vac BFs TrCl MB'!$F$7:$AU$37,MATCH(PROSPECT!$B47,'Enter (Vac BFs TrCl MB'!$D$7:$D$37,FALSE),MATCH(PROSPECT!Q$42,'Enter (Vac BFs TrCl MB'!$F$6:$AU$6,FALSE))))</f>
        <v>0</v>
      </c>
      <c r="R47" s="154"/>
      <c r="S47" s="781"/>
      <c r="T47" s="283"/>
      <c r="U47" s="274"/>
      <c r="V47" s="798"/>
      <c r="W47" s="798"/>
      <c r="X47" s="798"/>
      <c r="Y47" s="798"/>
      <c r="Z47" s="798"/>
      <c r="AA47" s="799"/>
    </row>
    <row r="48" spans="2:27" ht="15">
      <c r="B48" s="111" t="str">
        <f>IF('Enter (Vac BFs TrCl MB'!$D11=0,"",'Enter (Vac BFs TrCl MB'!$D11)</f>
        <v>Alex</v>
      </c>
      <c r="C48" s="153">
        <f>IF(ISERROR(INDEX('Enter (Vac BFs TrCl MB'!$F$7:$AU$37,MATCH(PROSPECT!$B48,'Enter (Vac BFs TrCl MB'!$D$7:$D$37,FALSE),MATCH(PROSPECT!C$42,'Enter (Vac BFs TrCl MB'!$F$6:$AU$6,FALSE))),"",(INDEX('Enter (Vac BFs TrCl MB'!$F$7:$AU$37,MATCH(PROSPECT!$B48,'Enter (Vac BFs TrCl MB'!$D$7:$D$37,FALSE),MATCH(PROSPECT!C$42,'Enter (Vac BFs TrCl MB'!$F$6:$AU$6,FALSE))))</f>
        <v>0</v>
      </c>
      <c r="D48" s="153">
        <f>IF(ISERROR(INDEX('Enter (Vac BFs TrCl MB'!$F$7:$AU$37,MATCH(PROSPECT!$B48,'Enter (Vac BFs TrCl MB'!$D$7:$D$37,FALSE),MATCH(PROSPECT!D$42,'Enter (Vac BFs TrCl MB'!$F$6:$AU$6,FALSE))),"",(INDEX('Enter (Vac BFs TrCl MB'!$F$7:$AU$37,MATCH(PROSPECT!$B48,'Enter (Vac BFs TrCl MB'!$D$7:$D$37,FALSE),MATCH(PROSPECT!D$42,'Enter (Vac BFs TrCl MB'!$F$6:$AU$6,FALSE))))</f>
        <v>0</v>
      </c>
      <c r="E48" s="153">
        <f>IF(ISERROR(INDEX('Enter (Vac BFs TrCl MB'!$F$7:$AU$37,MATCH(PROSPECT!$B48,'Enter (Vac BFs TrCl MB'!$D$7:$D$37,FALSE),MATCH(PROSPECT!E$42,'Enter (Vac BFs TrCl MB'!$F$6:$AU$6,FALSE))),"",(INDEX('Enter (Vac BFs TrCl MB'!$F$7:$AU$37,MATCH(PROSPECT!$B48,'Enter (Vac BFs TrCl MB'!$D$7:$D$37,FALSE),MATCH(PROSPECT!E$42,'Enter (Vac BFs TrCl MB'!$F$6:$AU$6,FALSE))))</f>
        <v>0</v>
      </c>
      <c r="F48" s="153">
        <f>IF(ISERROR(INDEX('Enter (Vac BFs TrCl MB'!$F$7:$AU$37,MATCH(PROSPECT!$B48,'Enter (Vac BFs TrCl MB'!$D$7:$D$37,FALSE),MATCH(PROSPECT!F$42,'Enter (Vac BFs TrCl MB'!$F$6:$AU$6,FALSE))),"",(INDEX('Enter (Vac BFs TrCl MB'!$F$7:$AU$37,MATCH(PROSPECT!$B48,'Enter (Vac BFs TrCl MB'!$D$7:$D$37,FALSE),MATCH(PROSPECT!F$42,'Enter (Vac BFs TrCl MB'!$F$6:$AU$6,FALSE))))</f>
        <v>0</v>
      </c>
      <c r="G48" s="153">
        <f>IF(ISERROR(INDEX('Enter (Vac BFs TrCl MB'!$F$7:$AU$37,MATCH(PROSPECT!$B48,'Enter (Vac BFs TrCl MB'!$D$7:$D$37,FALSE),MATCH(PROSPECT!G$42,'Enter (Vac BFs TrCl MB'!$F$6:$AU$6,FALSE))),"",(INDEX('Enter (Vac BFs TrCl MB'!$F$7:$AU$37,MATCH(PROSPECT!$B48,'Enter (Vac BFs TrCl MB'!$D$7:$D$37,FALSE),MATCH(PROSPECT!G$42,'Enter (Vac BFs TrCl MB'!$F$6:$AU$6,FALSE))))</f>
        <v>0</v>
      </c>
      <c r="H48" s="153">
        <f>IF(ISERROR(INDEX('Enter (Vac BFs TrCl MB'!$F$7:$AU$37,MATCH(PROSPECT!$B48,'Enter (Vac BFs TrCl MB'!$D$7:$D$37,FALSE),MATCH(PROSPECT!H$42,'Enter (Vac BFs TrCl MB'!$F$6:$AU$6,FALSE))),"",(INDEX('Enter (Vac BFs TrCl MB'!$F$7:$AU$37,MATCH(PROSPECT!$B48,'Enter (Vac BFs TrCl MB'!$D$7:$D$37,FALSE),MATCH(PROSPECT!H$42,'Enter (Vac BFs TrCl MB'!$F$6:$AU$6,FALSE))))</f>
        <v>0</v>
      </c>
      <c r="I48" s="154">
        <f>IF(ISERROR(INDEX('Enter (Vac BFs TrCl MB'!$F$7:$AU$37,MATCH(PROSPECT!$B48,'Enter (Vac BFs TrCl MB'!$D$7:$D$37,FALSE),MATCH(PROSPECT!I$42,'Enter (Vac BFs TrCl MB'!$F$6:$AU$6,FALSE))),"",(INDEX('Enter (Vac BFs TrCl MB'!$F$7:$AU$37,MATCH(PROSPECT!$B48,'Enter (Vac BFs TrCl MB'!$D$7:$D$37,FALSE),MATCH(PROSPECT!I$42,'Enter (Vac BFs TrCl MB'!$F$6:$AU$6,FALSE))))</f>
        <v>0</v>
      </c>
      <c r="J48" s="781"/>
      <c r="K48" s="112" t="str">
        <f>IF('Enter (Vac BFs TrCl MB'!$D11=0,"",'Enter (Vac BFs TrCl MB'!$D11)</f>
        <v>Alex</v>
      </c>
      <c r="L48" s="153">
        <f>IF(ISERROR(INDEX('Enter (Vac BFs TrCl MB'!$F$7:$AU$37,MATCH(PROSPECT!$B48,'Enter (Vac BFs TrCl MB'!$D$7:$D$37,FALSE),MATCH(PROSPECT!L$42,'Enter (Vac BFs TrCl MB'!$F$6:$AU$6,FALSE))),"",(INDEX('Enter (Vac BFs TrCl MB'!$F$7:$AU$37,MATCH(PROSPECT!$B48,'Enter (Vac BFs TrCl MB'!$D$7:$D$37,FALSE),MATCH(PROSPECT!L$42,'Enter (Vac BFs TrCl MB'!$F$6:$AU$6,FALSE))))</f>
        <v>0</v>
      </c>
      <c r="M48" s="153">
        <f>IF(ISERROR(INDEX('Enter (Vac BFs TrCl MB'!$F$7:$AU$37,MATCH(PROSPECT!$B48,'Enter (Vac BFs TrCl MB'!$D$7:$D$37,FALSE),MATCH(PROSPECT!M$42,'Enter (Vac BFs TrCl MB'!$F$6:$AU$6,FALSE))),"",(INDEX('Enter (Vac BFs TrCl MB'!$F$7:$AU$37,MATCH(PROSPECT!$B48,'Enter (Vac BFs TrCl MB'!$D$7:$D$37,FALSE),MATCH(PROSPECT!M$42,'Enter (Vac BFs TrCl MB'!$F$6:$AU$6,FALSE))))</f>
        <v>0</v>
      </c>
      <c r="N48" s="153">
        <f>IF(ISERROR(INDEX('Enter (Vac BFs TrCl MB'!$F$7:$AU$37,MATCH(PROSPECT!$B48,'Enter (Vac BFs TrCl MB'!$D$7:$D$37,FALSE),MATCH(PROSPECT!N$42,'Enter (Vac BFs TrCl MB'!$F$6:$AU$6,FALSE))),"",(INDEX('Enter (Vac BFs TrCl MB'!$F$7:$AU$37,MATCH(PROSPECT!$B48,'Enter (Vac BFs TrCl MB'!$D$7:$D$37,FALSE),MATCH(PROSPECT!N$42,'Enter (Vac BFs TrCl MB'!$F$6:$AU$6,FALSE))))</f>
        <v>0</v>
      </c>
      <c r="O48" s="153">
        <f>IF(ISERROR(INDEX('Enter (Vac BFs TrCl MB'!$F$7:$AU$37,MATCH(PROSPECT!$B48,'Enter (Vac BFs TrCl MB'!$D$7:$D$37,FALSE),MATCH(PROSPECT!O$42,'Enter (Vac BFs TrCl MB'!$F$6:$AU$6,FALSE))),"",(INDEX('Enter (Vac BFs TrCl MB'!$F$7:$AU$37,MATCH(PROSPECT!$B48,'Enter (Vac BFs TrCl MB'!$D$7:$D$37,FALSE),MATCH(PROSPECT!O$42,'Enter (Vac BFs TrCl MB'!$F$6:$AU$6,FALSE))))</f>
        <v>0</v>
      </c>
      <c r="P48" s="153">
        <f>IF(ISERROR(INDEX('Enter (Vac BFs TrCl MB'!$F$7:$AU$37,MATCH(PROSPECT!$B48,'Enter (Vac BFs TrCl MB'!$D$7:$D$37,FALSE),MATCH(PROSPECT!P$42,'Enter (Vac BFs TrCl MB'!$F$6:$AU$6,FALSE))),"",(INDEX('Enter (Vac BFs TrCl MB'!$F$7:$AU$37,MATCH(PROSPECT!$B48,'Enter (Vac BFs TrCl MB'!$D$7:$D$37,FALSE),MATCH(PROSPECT!P$42,'Enter (Vac BFs TrCl MB'!$F$6:$AU$6,FALSE))))</f>
        <v>0</v>
      </c>
      <c r="Q48" s="153">
        <f>IF(ISERROR(INDEX('Enter (Vac BFs TrCl MB'!$F$7:$AU$37,MATCH(PROSPECT!$B48,'Enter (Vac BFs TrCl MB'!$D$7:$D$37,FALSE),MATCH(PROSPECT!Q$42,'Enter (Vac BFs TrCl MB'!$F$6:$AU$6,FALSE))),"",(INDEX('Enter (Vac BFs TrCl MB'!$F$7:$AU$37,MATCH(PROSPECT!$B48,'Enter (Vac BFs TrCl MB'!$D$7:$D$37,FALSE),MATCH(PROSPECT!Q$42,'Enter (Vac BFs TrCl MB'!$F$6:$AU$6,FALSE))))</f>
        <v>0</v>
      </c>
      <c r="R48" s="154"/>
      <c r="S48" s="781"/>
      <c r="T48" s="283"/>
      <c r="U48" s="274"/>
      <c r="V48" s="798"/>
      <c r="W48" s="798"/>
      <c r="X48" s="798"/>
      <c r="Y48" s="798"/>
      <c r="Z48" s="798"/>
      <c r="AA48" s="799"/>
    </row>
    <row r="49" spans="2:27" ht="15">
      <c r="B49" s="111" t="str">
        <f>IF('Enter (Vac BFs TrCl MB'!$D12=0,"",'Enter (Vac BFs TrCl MB'!$D12)</f>
        <v>Akansha</v>
      </c>
      <c r="C49" s="153">
        <f>IF(ISERROR(INDEX('Enter (Vac BFs TrCl MB'!$F$7:$AU$37,MATCH(PROSPECT!$B49,'Enter (Vac BFs TrCl MB'!$D$7:$D$37,FALSE),MATCH(PROSPECT!C$42,'Enter (Vac BFs TrCl MB'!$F$6:$AU$6,FALSE))),"",(INDEX('Enter (Vac BFs TrCl MB'!$F$7:$AU$37,MATCH(PROSPECT!$B49,'Enter (Vac BFs TrCl MB'!$D$7:$D$37,FALSE),MATCH(PROSPECT!C$42,'Enter (Vac BFs TrCl MB'!$F$6:$AU$6,FALSE))))</f>
        <v>0</v>
      </c>
      <c r="D49" s="153" t="str">
        <f>IF(ISERROR(INDEX('Enter (Vac BFs TrCl MB'!$F$7:$AU$37,MATCH(PROSPECT!$B49,'Enter (Vac BFs TrCl MB'!$D$7:$D$37,FALSE),MATCH(PROSPECT!D$42,'Enter (Vac BFs TrCl MB'!$F$6:$AU$6,FALSE))),"",(INDEX('Enter (Vac BFs TrCl MB'!$F$7:$AU$37,MATCH(PROSPECT!$B49,'Enter (Vac BFs TrCl MB'!$D$7:$D$37,FALSE),MATCH(PROSPECT!D$42,'Enter (Vac BFs TrCl MB'!$F$6:$AU$6,FALSE))))</f>
        <v>TRC</v>
      </c>
      <c r="E49" s="153" t="str">
        <f>IF(ISERROR(INDEX('Enter (Vac BFs TrCl MB'!$F$7:$AU$37,MATCH(PROSPECT!$B49,'Enter (Vac BFs TrCl MB'!$D$7:$D$37,FALSE),MATCH(PROSPECT!E$42,'Enter (Vac BFs TrCl MB'!$F$6:$AU$6,FALSE))),"",(INDEX('Enter (Vac BFs TrCl MB'!$F$7:$AU$37,MATCH(PROSPECT!$B49,'Enter (Vac BFs TrCl MB'!$D$7:$D$37,FALSE),MATCH(PROSPECT!E$42,'Enter (Vac BFs TrCl MB'!$F$6:$AU$6,FALSE))))</f>
        <v>TRC</v>
      </c>
      <c r="F49" s="153">
        <f>IF(ISERROR(INDEX('Enter (Vac BFs TrCl MB'!$F$7:$AU$37,MATCH(PROSPECT!$B49,'Enter (Vac BFs TrCl MB'!$D$7:$D$37,FALSE),MATCH(PROSPECT!F$42,'Enter (Vac BFs TrCl MB'!$F$6:$AU$6,FALSE))),"",(INDEX('Enter (Vac BFs TrCl MB'!$F$7:$AU$37,MATCH(PROSPECT!$B49,'Enter (Vac BFs TrCl MB'!$D$7:$D$37,FALSE),MATCH(PROSPECT!F$42,'Enter (Vac BFs TrCl MB'!$F$6:$AU$6,FALSE))))</f>
        <v>0</v>
      </c>
      <c r="G49" s="153">
        <f>IF(ISERROR(INDEX('Enter (Vac BFs TrCl MB'!$F$7:$AU$37,MATCH(PROSPECT!$B49,'Enter (Vac BFs TrCl MB'!$D$7:$D$37,FALSE),MATCH(PROSPECT!G$42,'Enter (Vac BFs TrCl MB'!$F$6:$AU$6,FALSE))),"",(INDEX('Enter (Vac BFs TrCl MB'!$F$7:$AU$37,MATCH(PROSPECT!$B49,'Enter (Vac BFs TrCl MB'!$D$7:$D$37,FALSE),MATCH(PROSPECT!G$42,'Enter (Vac BFs TrCl MB'!$F$6:$AU$6,FALSE))))</f>
        <v>0</v>
      </c>
      <c r="H49" s="153">
        <f>IF(ISERROR(INDEX('Enter (Vac BFs TrCl MB'!$F$7:$AU$37,MATCH(PROSPECT!$B49,'Enter (Vac BFs TrCl MB'!$D$7:$D$37,FALSE),MATCH(PROSPECT!H$42,'Enter (Vac BFs TrCl MB'!$F$6:$AU$6,FALSE))),"",(INDEX('Enter (Vac BFs TrCl MB'!$F$7:$AU$37,MATCH(PROSPECT!$B49,'Enter (Vac BFs TrCl MB'!$D$7:$D$37,FALSE),MATCH(PROSPECT!H$42,'Enter (Vac BFs TrCl MB'!$F$6:$AU$6,FALSE))))</f>
        <v>0</v>
      </c>
      <c r="I49" s="154">
        <f>IF(ISERROR(INDEX('Enter (Vac BFs TrCl MB'!$F$7:$AU$37,MATCH(PROSPECT!$B49,'Enter (Vac BFs TrCl MB'!$D$7:$D$37,FALSE),MATCH(PROSPECT!I$42,'Enter (Vac BFs TrCl MB'!$F$6:$AU$6,FALSE))),"",(INDEX('Enter (Vac BFs TrCl MB'!$F$7:$AU$37,MATCH(PROSPECT!$B49,'Enter (Vac BFs TrCl MB'!$D$7:$D$37,FALSE),MATCH(PROSPECT!I$42,'Enter (Vac BFs TrCl MB'!$F$6:$AU$6,FALSE))))</f>
        <v>0</v>
      </c>
      <c r="J49" s="781"/>
      <c r="K49" s="112" t="str">
        <f>IF('Enter (Vac BFs TrCl MB'!$D12=0,"",'Enter (Vac BFs TrCl MB'!$D12)</f>
        <v>Akansha</v>
      </c>
      <c r="L49" s="153">
        <f>IF(ISERROR(INDEX('Enter (Vac BFs TrCl MB'!$F$7:$AU$37,MATCH(PROSPECT!$B49,'Enter (Vac BFs TrCl MB'!$D$7:$D$37,FALSE),MATCH(PROSPECT!L$42,'Enter (Vac BFs TrCl MB'!$F$6:$AU$6,FALSE))),"",(INDEX('Enter (Vac BFs TrCl MB'!$F$7:$AU$37,MATCH(PROSPECT!$B49,'Enter (Vac BFs TrCl MB'!$D$7:$D$37,FALSE),MATCH(PROSPECT!L$42,'Enter (Vac BFs TrCl MB'!$F$6:$AU$6,FALSE))))</f>
        <v>0</v>
      </c>
      <c r="M49" s="153">
        <f>IF(ISERROR(INDEX('Enter (Vac BFs TrCl MB'!$F$7:$AU$37,MATCH(PROSPECT!$B49,'Enter (Vac BFs TrCl MB'!$D$7:$D$37,FALSE),MATCH(PROSPECT!M$42,'Enter (Vac BFs TrCl MB'!$F$6:$AU$6,FALSE))),"",(INDEX('Enter (Vac BFs TrCl MB'!$F$7:$AU$37,MATCH(PROSPECT!$B49,'Enter (Vac BFs TrCl MB'!$D$7:$D$37,FALSE),MATCH(PROSPECT!M$42,'Enter (Vac BFs TrCl MB'!$F$6:$AU$6,FALSE))))</f>
        <v>0</v>
      </c>
      <c r="N49" s="153">
        <f>IF(ISERROR(INDEX('Enter (Vac BFs TrCl MB'!$F$7:$AU$37,MATCH(PROSPECT!$B49,'Enter (Vac BFs TrCl MB'!$D$7:$D$37,FALSE),MATCH(PROSPECT!N$42,'Enter (Vac BFs TrCl MB'!$F$6:$AU$6,FALSE))),"",(INDEX('Enter (Vac BFs TrCl MB'!$F$7:$AU$37,MATCH(PROSPECT!$B49,'Enter (Vac BFs TrCl MB'!$D$7:$D$37,FALSE),MATCH(PROSPECT!N$42,'Enter (Vac BFs TrCl MB'!$F$6:$AU$6,FALSE))))</f>
        <v>0</v>
      </c>
      <c r="O49" s="153">
        <f>IF(ISERROR(INDEX('Enter (Vac BFs TrCl MB'!$F$7:$AU$37,MATCH(PROSPECT!$B49,'Enter (Vac BFs TrCl MB'!$D$7:$D$37,FALSE),MATCH(PROSPECT!O$42,'Enter (Vac BFs TrCl MB'!$F$6:$AU$6,FALSE))),"",(INDEX('Enter (Vac BFs TrCl MB'!$F$7:$AU$37,MATCH(PROSPECT!$B49,'Enter (Vac BFs TrCl MB'!$D$7:$D$37,FALSE),MATCH(PROSPECT!O$42,'Enter (Vac BFs TrCl MB'!$F$6:$AU$6,FALSE))))</f>
        <v>0</v>
      </c>
      <c r="P49" s="153">
        <f>IF(ISERROR(INDEX('Enter (Vac BFs TrCl MB'!$F$7:$AU$37,MATCH(PROSPECT!$B49,'Enter (Vac BFs TrCl MB'!$D$7:$D$37,FALSE),MATCH(PROSPECT!P$42,'Enter (Vac BFs TrCl MB'!$F$6:$AU$6,FALSE))),"",(INDEX('Enter (Vac BFs TrCl MB'!$F$7:$AU$37,MATCH(PROSPECT!$B49,'Enter (Vac BFs TrCl MB'!$D$7:$D$37,FALSE),MATCH(PROSPECT!P$42,'Enter (Vac BFs TrCl MB'!$F$6:$AU$6,FALSE))))</f>
        <v>0</v>
      </c>
      <c r="Q49" s="153">
        <f>IF(ISERROR(INDEX('Enter (Vac BFs TrCl MB'!$F$7:$AU$37,MATCH(PROSPECT!$B49,'Enter (Vac BFs TrCl MB'!$D$7:$D$37,FALSE),MATCH(PROSPECT!Q$42,'Enter (Vac BFs TrCl MB'!$F$6:$AU$6,FALSE))),"",(INDEX('Enter (Vac BFs TrCl MB'!$F$7:$AU$37,MATCH(PROSPECT!$B49,'Enter (Vac BFs TrCl MB'!$D$7:$D$37,FALSE),MATCH(PROSPECT!Q$42,'Enter (Vac BFs TrCl MB'!$F$6:$AU$6,FALSE))))</f>
        <v>0</v>
      </c>
      <c r="R49" s="154">
        <f>IF(ISERROR(INDEX('Enter (Vac BFs TrCl MB'!$F$7:$AU$37,MATCH(PROSPECT!$B49,'Enter (Vac BFs TrCl MB'!$D$7:$D$37,FALSE),MATCH(PROSPECT!R$42,'Enter (Vac BFs TrCl MB'!$F$6:$AU$6,FALSE))),"",(INDEX('Enter (Vac BFs TrCl MB'!$F$7:$AU$37,MATCH(PROSPECT!$B49,'Enter (Vac BFs TrCl MB'!$D$7:$D$37,FALSE),MATCH(PROSPECT!R$42,'Enter (Vac BFs TrCl MB'!$F$6:$AU$6,FALSE))))</f>
        <v>0</v>
      </c>
      <c r="S49" s="781"/>
      <c r="T49" s="283"/>
      <c r="U49" s="274"/>
      <c r="V49" s="798"/>
      <c r="W49" s="798"/>
      <c r="X49" s="798"/>
      <c r="Y49" s="798"/>
      <c r="Z49" s="798"/>
      <c r="AA49" s="799"/>
    </row>
    <row r="50" spans="2:27" ht="15">
      <c r="B50" s="111" t="str">
        <f>IF('Enter (Vac BFs TrCl MB'!$D13=0,"",'Enter (Vac BFs TrCl MB'!$D13)</f>
        <v>Kiran</v>
      </c>
      <c r="C50" s="153">
        <f>IF(ISERROR(INDEX('Enter (Vac BFs TrCl MB'!$F$7:$AU$37,MATCH(PROSPECT!$B50,'Enter (Vac BFs TrCl MB'!$D$7:$D$37,FALSE),MATCH(PROSPECT!C$42,'Enter (Vac BFs TrCl MB'!$F$6:$AU$6,FALSE))),"",(INDEX('Enter (Vac BFs TrCl MB'!$F$7:$AU$37,MATCH(PROSPECT!$B50,'Enter (Vac BFs TrCl MB'!$D$7:$D$37,FALSE),MATCH(PROSPECT!C$42,'Enter (Vac BFs TrCl MB'!$F$6:$AU$6,FALSE))))</f>
        <v>0</v>
      </c>
      <c r="D50" s="153">
        <f>IF(ISERROR(INDEX('Enter (Vac BFs TrCl MB'!$F$7:$AU$37,MATCH(PROSPECT!$B50,'Enter (Vac BFs TrCl MB'!$D$7:$D$37,FALSE),MATCH(PROSPECT!D$42,'Enter (Vac BFs TrCl MB'!$F$6:$AU$6,FALSE))),"",(INDEX('Enter (Vac BFs TrCl MB'!$F$7:$AU$37,MATCH(PROSPECT!$B50,'Enter (Vac BFs TrCl MB'!$D$7:$D$37,FALSE),MATCH(PROSPECT!D$42,'Enter (Vac BFs TrCl MB'!$F$6:$AU$6,FALSE))))</f>
        <v>0</v>
      </c>
      <c r="E50" s="153">
        <f>IF(ISERROR(INDEX('Enter (Vac BFs TrCl MB'!$F$7:$AU$37,MATCH(PROSPECT!$B50,'Enter (Vac BFs TrCl MB'!$D$7:$D$37,FALSE),MATCH(PROSPECT!E$42,'Enter (Vac BFs TrCl MB'!$F$6:$AU$6,FALSE))),"",(INDEX('Enter (Vac BFs TrCl MB'!$F$7:$AU$37,MATCH(PROSPECT!$B50,'Enter (Vac BFs TrCl MB'!$D$7:$D$37,FALSE),MATCH(PROSPECT!E$42,'Enter (Vac BFs TrCl MB'!$F$6:$AU$6,FALSE))))</f>
        <v>0</v>
      </c>
      <c r="F50" s="153">
        <f>IF(ISERROR(INDEX('Enter (Vac BFs TrCl MB'!$F$7:$AU$37,MATCH(PROSPECT!$B50,'Enter (Vac BFs TrCl MB'!$D$7:$D$37,FALSE),MATCH(PROSPECT!F$42,'Enter (Vac BFs TrCl MB'!$F$6:$AU$6,FALSE))),"",(INDEX('Enter (Vac BFs TrCl MB'!$F$7:$AU$37,MATCH(PROSPECT!$B50,'Enter (Vac BFs TrCl MB'!$D$7:$D$37,FALSE),MATCH(PROSPECT!F$42,'Enter (Vac BFs TrCl MB'!$F$6:$AU$6,FALSE))))</f>
        <v>0</v>
      </c>
      <c r="G50" s="153">
        <f>IF(ISERROR(INDEX('Enter (Vac BFs TrCl MB'!$F$7:$AU$37,MATCH(PROSPECT!$B50,'Enter (Vac BFs TrCl MB'!$D$7:$D$37,FALSE),MATCH(PROSPECT!G$42,'Enter (Vac BFs TrCl MB'!$F$6:$AU$6,FALSE))),"",(INDEX('Enter (Vac BFs TrCl MB'!$F$7:$AU$37,MATCH(PROSPECT!$B50,'Enter (Vac BFs TrCl MB'!$D$7:$D$37,FALSE),MATCH(PROSPECT!G$42,'Enter (Vac BFs TrCl MB'!$F$6:$AU$6,FALSE))))</f>
        <v>0</v>
      </c>
      <c r="H50" s="153">
        <f>IF(ISERROR(INDEX('Enter (Vac BFs TrCl MB'!$F$7:$AU$37,MATCH(PROSPECT!$B50,'Enter (Vac BFs TrCl MB'!$D$7:$D$37,FALSE),MATCH(PROSPECT!H$42,'Enter (Vac BFs TrCl MB'!$F$6:$AU$6,FALSE))),"",(INDEX('Enter (Vac BFs TrCl MB'!$F$7:$AU$37,MATCH(PROSPECT!$B50,'Enter (Vac BFs TrCl MB'!$D$7:$D$37,FALSE),MATCH(PROSPECT!H$42,'Enter (Vac BFs TrCl MB'!$F$6:$AU$6,FALSE))))</f>
        <v>0</v>
      </c>
      <c r="I50" s="154">
        <f>IF(ISERROR(INDEX('Enter (Vac BFs TrCl MB'!$F$7:$AU$37,MATCH(PROSPECT!$B50,'Enter (Vac BFs TrCl MB'!$D$7:$D$37,FALSE),MATCH(PROSPECT!I$42,'Enter (Vac BFs TrCl MB'!$F$6:$AU$6,FALSE))),"",(INDEX('Enter (Vac BFs TrCl MB'!$F$7:$AU$37,MATCH(PROSPECT!$B50,'Enter (Vac BFs TrCl MB'!$D$7:$D$37,FALSE),MATCH(PROSPECT!I$42,'Enter (Vac BFs TrCl MB'!$F$6:$AU$6,FALSE))))</f>
        <v>0</v>
      </c>
      <c r="J50" s="781"/>
      <c r="K50" s="112" t="str">
        <f>IF('Enter (Vac BFs TrCl MB'!$D13=0,"",'Enter (Vac BFs TrCl MB'!$D13)</f>
        <v>Kiran</v>
      </c>
      <c r="L50" s="153">
        <f>IF(ISERROR(INDEX('Enter (Vac BFs TrCl MB'!$F$7:$AU$37,MATCH(PROSPECT!$B50,'Enter (Vac BFs TrCl MB'!$D$7:$D$37,FALSE),MATCH(PROSPECT!L$42,'Enter (Vac BFs TrCl MB'!$F$6:$AU$6,FALSE))),"",(INDEX('Enter (Vac BFs TrCl MB'!$F$7:$AU$37,MATCH(PROSPECT!$B50,'Enter (Vac BFs TrCl MB'!$D$7:$D$37,FALSE),MATCH(PROSPECT!L$42,'Enter (Vac BFs TrCl MB'!$F$6:$AU$6,FALSE))))</f>
        <v>0</v>
      </c>
      <c r="M50" s="153">
        <f>IF(ISERROR(INDEX('Enter (Vac BFs TrCl MB'!$F$7:$AU$37,MATCH(PROSPECT!$B50,'Enter (Vac BFs TrCl MB'!$D$7:$D$37,FALSE),MATCH(PROSPECT!M$42,'Enter (Vac BFs TrCl MB'!$F$6:$AU$6,FALSE))),"",(INDEX('Enter (Vac BFs TrCl MB'!$F$7:$AU$37,MATCH(PROSPECT!$B50,'Enter (Vac BFs TrCl MB'!$D$7:$D$37,FALSE),MATCH(PROSPECT!M$42,'Enter (Vac BFs TrCl MB'!$F$6:$AU$6,FALSE))))</f>
        <v>0</v>
      </c>
      <c r="N50" s="153">
        <f>IF(ISERROR(INDEX('Enter (Vac BFs TrCl MB'!$F$7:$AU$37,MATCH(PROSPECT!$B50,'Enter (Vac BFs TrCl MB'!$D$7:$D$37,FALSE),MATCH(PROSPECT!N$42,'Enter (Vac BFs TrCl MB'!$F$6:$AU$6,FALSE))),"",(INDEX('Enter (Vac BFs TrCl MB'!$F$7:$AU$37,MATCH(PROSPECT!$B50,'Enter (Vac BFs TrCl MB'!$D$7:$D$37,FALSE),MATCH(PROSPECT!N$42,'Enter (Vac BFs TrCl MB'!$F$6:$AU$6,FALSE))))</f>
        <v>0</v>
      </c>
      <c r="O50" s="153">
        <f>IF(ISERROR(INDEX('Enter (Vac BFs TrCl MB'!$F$7:$AU$37,MATCH(PROSPECT!$B50,'Enter (Vac BFs TrCl MB'!$D$7:$D$37,FALSE),MATCH(PROSPECT!O$42,'Enter (Vac BFs TrCl MB'!$F$6:$AU$6,FALSE))),"",(INDEX('Enter (Vac BFs TrCl MB'!$F$7:$AU$37,MATCH(PROSPECT!$B50,'Enter (Vac BFs TrCl MB'!$D$7:$D$37,FALSE),MATCH(PROSPECT!O$42,'Enter (Vac BFs TrCl MB'!$F$6:$AU$6,FALSE))))</f>
        <v>0</v>
      </c>
      <c r="P50" s="153">
        <f>IF(ISERROR(INDEX('Enter (Vac BFs TrCl MB'!$F$7:$AU$37,MATCH(PROSPECT!$B50,'Enter (Vac BFs TrCl MB'!$D$7:$D$37,FALSE),MATCH(PROSPECT!P$42,'Enter (Vac BFs TrCl MB'!$F$6:$AU$6,FALSE))),"",(INDEX('Enter (Vac BFs TrCl MB'!$F$7:$AU$37,MATCH(PROSPECT!$B50,'Enter (Vac BFs TrCl MB'!$D$7:$D$37,FALSE),MATCH(PROSPECT!P$42,'Enter (Vac BFs TrCl MB'!$F$6:$AU$6,FALSE))))</f>
        <v>0</v>
      </c>
      <c r="Q50" s="153">
        <f>IF(ISERROR(INDEX('Enter (Vac BFs TrCl MB'!$F$7:$AU$37,MATCH(PROSPECT!$B50,'Enter (Vac BFs TrCl MB'!$D$7:$D$37,FALSE),MATCH(PROSPECT!Q$42,'Enter (Vac BFs TrCl MB'!$F$6:$AU$6,FALSE))),"",(INDEX('Enter (Vac BFs TrCl MB'!$F$7:$AU$37,MATCH(PROSPECT!$B50,'Enter (Vac BFs TrCl MB'!$D$7:$D$37,FALSE),MATCH(PROSPECT!Q$42,'Enter (Vac BFs TrCl MB'!$F$6:$AU$6,FALSE))))</f>
        <v>0</v>
      </c>
      <c r="R50" s="266"/>
      <c r="S50" s="781"/>
      <c r="T50" s="283"/>
      <c r="U50" s="274"/>
      <c r="V50" s="798"/>
      <c r="W50" s="798"/>
      <c r="X50" s="798"/>
      <c r="Y50" s="798"/>
      <c r="Z50" s="798"/>
      <c r="AA50" s="799"/>
    </row>
    <row r="51" spans="2:27" ht="15">
      <c r="B51" s="111" t="str">
        <f>IF('Enter (Vac BFs TrCl MB'!$D14=0,"",'Enter (Vac BFs TrCl MB'!$D14)</f>
        <v>Mahshid</v>
      </c>
      <c r="C51" s="153">
        <f>IF(ISERROR(INDEX('Enter (Vac BFs TrCl MB'!$F$7:$AU$37,MATCH(PROSPECT!$B51,'Enter (Vac BFs TrCl MB'!$D$7:$D$37,FALSE),MATCH(PROSPECT!C$42,'Enter (Vac BFs TrCl MB'!$F$6:$AU$6,FALSE))),"",(INDEX('Enter (Vac BFs TrCl MB'!$F$7:$AU$37,MATCH(PROSPECT!$B51,'Enter (Vac BFs TrCl MB'!$D$7:$D$37,FALSE),MATCH(PROSPECT!C$42,'Enter (Vac BFs TrCl MB'!$F$6:$AU$6,FALSE))))</f>
        <v>0</v>
      </c>
      <c r="D51" s="153">
        <f>IF(ISERROR(INDEX('Enter (Vac BFs TrCl MB'!$F$7:$AU$37,MATCH(PROSPECT!$B51,'Enter (Vac BFs TrCl MB'!$D$7:$D$37,FALSE),MATCH(PROSPECT!D$42,'Enter (Vac BFs TrCl MB'!$F$6:$AU$6,FALSE))),"",(INDEX('Enter (Vac BFs TrCl MB'!$F$7:$AU$37,MATCH(PROSPECT!$B51,'Enter (Vac BFs TrCl MB'!$D$7:$D$37,FALSE),MATCH(PROSPECT!D$42,'Enter (Vac BFs TrCl MB'!$F$6:$AU$6,FALSE))))</f>
        <v>0</v>
      </c>
      <c r="E51" s="153">
        <f>IF(ISERROR(INDEX('Enter (Vac BFs TrCl MB'!$F$7:$AU$37,MATCH(PROSPECT!$B51,'Enter (Vac BFs TrCl MB'!$D$7:$D$37,FALSE),MATCH(PROSPECT!E$42,'Enter (Vac BFs TrCl MB'!$F$6:$AU$6,FALSE))),"",(INDEX('Enter (Vac BFs TrCl MB'!$F$7:$AU$37,MATCH(PROSPECT!$B51,'Enter (Vac BFs TrCl MB'!$D$7:$D$37,FALSE),MATCH(PROSPECT!E$42,'Enter (Vac BFs TrCl MB'!$F$6:$AU$6,FALSE))))</f>
        <v>0</v>
      </c>
      <c r="F51" s="153">
        <f>IF(ISERROR(INDEX('Enter (Vac BFs TrCl MB'!$F$7:$AU$37,MATCH(PROSPECT!$B51,'Enter (Vac BFs TrCl MB'!$D$7:$D$37,FALSE),MATCH(PROSPECT!F$42,'Enter (Vac BFs TrCl MB'!$F$6:$AU$6,FALSE))),"",(INDEX('Enter (Vac BFs TrCl MB'!$F$7:$AU$37,MATCH(PROSPECT!$B51,'Enter (Vac BFs TrCl MB'!$D$7:$D$37,FALSE),MATCH(PROSPECT!F$42,'Enter (Vac BFs TrCl MB'!$F$6:$AU$6,FALSE))))</f>
        <v>0</v>
      </c>
      <c r="G51" s="153">
        <f>IF(ISERROR(INDEX('Enter (Vac BFs TrCl MB'!$F$7:$AU$37,MATCH(PROSPECT!$B51,'Enter (Vac BFs TrCl MB'!$D$7:$D$37,FALSE),MATCH(PROSPECT!G$42,'Enter (Vac BFs TrCl MB'!$F$6:$AU$6,FALSE))),"",(INDEX('Enter (Vac BFs TrCl MB'!$F$7:$AU$37,MATCH(PROSPECT!$B51,'Enter (Vac BFs TrCl MB'!$D$7:$D$37,FALSE),MATCH(PROSPECT!G$42,'Enter (Vac BFs TrCl MB'!$F$6:$AU$6,FALSE))))</f>
        <v>0</v>
      </c>
      <c r="H51" s="153">
        <f>IF(ISERROR(INDEX('Enter (Vac BFs TrCl MB'!$F$7:$AU$37,MATCH(PROSPECT!$B51,'Enter (Vac BFs TrCl MB'!$D$7:$D$37,FALSE),MATCH(PROSPECT!H$42,'Enter (Vac BFs TrCl MB'!$F$6:$AU$6,FALSE))),"",(INDEX('Enter (Vac BFs TrCl MB'!$F$7:$AU$37,MATCH(PROSPECT!$B51,'Enter (Vac BFs TrCl MB'!$D$7:$D$37,FALSE),MATCH(PROSPECT!H$42,'Enter (Vac BFs TrCl MB'!$F$6:$AU$6,FALSE))))</f>
        <v>0</v>
      </c>
      <c r="I51" s="154">
        <f>IF(ISERROR(INDEX('Enter (Vac BFs TrCl MB'!$F$7:$AU$37,MATCH(PROSPECT!$B51,'Enter (Vac BFs TrCl MB'!$D$7:$D$37,FALSE),MATCH(PROSPECT!I$42,'Enter (Vac BFs TrCl MB'!$F$6:$AU$6,FALSE))),"",(INDEX('Enter (Vac BFs TrCl MB'!$F$7:$AU$37,MATCH(PROSPECT!$B51,'Enter (Vac BFs TrCl MB'!$D$7:$D$37,FALSE),MATCH(PROSPECT!I$42,'Enter (Vac BFs TrCl MB'!$F$6:$AU$6,FALSE))))</f>
        <v>0</v>
      </c>
      <c r="J51" s="781"/>
      <c r="K51" s="112" t="str">
        <f>IF('Enter (Vac BFs TrCl MB'!$D14=0,"",'Enter (Vac BFs TrCl MB'!$D14)</f>
        <v>Mahshid</v>
      </c>
      <c r="L51" s="153">
        <f>IF(ISERROR(INDEX('Enter (Vac BFs TrCl MB'!$F$7:$AU$37,MATCH(PROSPECT!$B51,'Enter (Vac BFs TrCl MB'!$D$7:$D$37,FALSE),MATCH(PROSPECT!L$42,'Enter (Vac BFs TrCl MB'!$F$6:$AU$6,FALSE))),"",(INDEX('Enter (Vac BFs TrCl MB'!$F$7:$AU$37,MATCH(PROSPECT!$B51,'Enter (Vac BFs TrCl MB'!$D$7:$D$37,FALSE),MATCH(PROSPECT!L$42,'Enter (Vac BFs TrCl MB'!$F$6:$AU$6,FALSE))))</f>
        <v>0</v>
      </c>
      <c r="M51" s="153">
        <f>IF(ISERROR(INDEX('Enter (Vac BFs TrCl MB'!$F$7:$AU$37,MATCH(PROSPECT!$B51,'Enter (Vac BFs TrCl MB'!$D$7:$D$37,FALSE),MATCH(PROSPECT!M$42,'Enter (Vac BFs TrCl MB'!$F$6:$AU$6,FALSE))),"",(INDEX('Enter (Vac BFs TrCl MB'!$F$7:$AU$37,MATCH(PROSPECT!$B51,'Enter (Vac BFs TrCl MB'!$D$7:$D$37,FALSE),MATCH(PROSPECT!M$42,'Enter (Vac BFs TrCl MB'!$F$6:$AU$6,FALSE))))</f>
        <v>0</v>
      </c>
      <c r="N51" s="153">
        <f>IF(ISERROR(INDEX('Enter (Vac BFs TrCl MB'!$F$7:$AU$37,MATCH(PROSPECT!$B51,'Enter (Vac BFs TrCl MB'!$D$7:$D$37,FALSE),MATCH(PROSPECT!N$42,'Enter (Vac BFs TrCl MB'!$F$6:$AU$6,FALSE))),"",(INDEX('Enter (Vac BFs TrCl MB'!$F$7:$AU$37,MATCH(PROSPECT!$B51,'Enter (Vac BFs TrCl MB'!$D$7:$D$37,FALSE),MATCH(PROSPECT!N$42,'Enter (Vac BFs TrCl MB'!$F$6:$AU$6,FALSE))))</f>
        <v>0</v>
      </c>
      <c r="O51" s="153">
        <f>IF(ISERROR(INDEX('Enter (Vac BFs TrCl MB'!$F$7:$AU$37,MATCH(PROSPECT!$B51,'Enter (Vac BFs TrCl MB'!$D$7:$D$37,FALSE),MATCH(PROSPECT!O$42,'Enter (Vac BFs TrCl MB'!$F$6:$AU$6,FALSE))),"",(INDEX('Enter (Vac BFs TrCl MB'!$F$7:$AU$37,MATCH(PROSPECT!$B51,'Enter (Vac BFs TrCl MB'!$D$7:$D$37,FALSE),MATCH(PROSPECT!O$42,'Enter (Vac BFs TrCl MB'!$F$6:$AU$6,FALSE))))</f>
        <v>0</v>
      </c>
      <c r="P51" s="153">
        <f>IF(ISERROR(INDEX('Enter (Vac BFs TrCl MB'!$F$7:$AU$37,MATCH(PROSPECT!$B51,'Enter (Vac BFs TrCl MB'!$D$7:$D$37,FALSE),MATCH(PROSPECT!P$42,'Enter (Vac BFs TrCl MB'!$F$6:$AU$6,FALSE))),"",(INDEX('Enter (Vac BFs TrCl MB'!$F$7:$AU$37,MATCH(PROSPECT!$B51,'Enter (Vac BFs TrCl MB'!$D$7:$D$37,FALSE),MATCH(PROSPECT!P$42,'Enter (Vac BFs TrCl MB'!$F$6:$AU$6,FALSE))))</f>
        <v>0</v>
      </c>
      <c r="Q51" s="153">
        <f>IF(ISERROR(INDEX('Enter (Vac BFs TrCl MB'!$F$7:$AU$37,MATCH(PROSPECT!$B51,'Enter (Vac BFs TrCl MB'!$D$7:$D$37,FALSE),MATCH(PROSPECT!Q$42,'Enter (Vac BFs TrCl MB'!$F$6:$AU$6,FALSE))),"",(INDEX('Enter (Vac BFs TrCl MB'!$F$7:$AU$37,MATCH(PROSPECT!$B51,'Enter (Vac BFs TrCl MB'!$D$7:$D$37,FALSE),MATCH(PROSPECT!Q$42,'Enter (Vac BFs TrCl MB'!$F$6:$AU$6,FALSE))))</f>
        <v>0</v>
      </c>
      <c r="R51" s="266"/>
      <c r="S51" s="781"/>
      <c r="T51" s="283"/>
      <c r="U51" s="274"/>
      <c r="V51" s="798"/>
      <c r="W51" s="798"/>
      <c r="X51" s="798"/>
      <c r="Y51" s="798"/>
      <c r="Z51" s="798"/>
      <c r="AA51" s="799"/>
    </row>
    <row r="52" spans="2:27" ht="15">
      <c r="B52" s="111" t="str">
        <f>IF('Enter (Vac BFs TrCl MB'!$D15=0,"",'Enter (Vac BFs TrCl MB'!$D15)</f>
        <v>Harry</v>
      </c>
      <c r="C52" s="153" t="str">
        <f>IF(ISERROR(INDEX('Enter (Vac BFs TrCl MB'!$F$7:$AU$37,MATCH(PROSPECT!$B52,'Enter (Vac BFs TrCl MB'!$D$7:$D$37,FALSE),MATCH(PROSPECT!C$42,'Enter (Vac BFs TrCl MB'!$F$6:$AU$6,FALSE))),"",(INDEX('Enter (Vac BFs TrCl MB'!$F$7:$AU$37,MATCH(PROSPECT!$B52,'Enter (Vac BFs TrCl MB'!$D$7:$D$37,FALSE),MATCH(PROSPECT!C$42,'Enter (Vac BFs TrCl MB'!$F$6:$AU$6,FALSE))))</f>
        <v>H</v>
      </c>
      <c r="D52" s="153" t="str">
        <f>IF(ISERROR(INDEX('Enter (Vac BFs TrCl MB'!$F$7:$AU$37,MATCH(PROSPECT!$B52,'Enter (Vac BFs TrCl MB'!$D$7:$D$37,FALSE),MATCH(PROSPECT!D$42,'Enter (Vac BFs TrCl MB'!$F$6:$AU$6,FALSE))),"",(INDEX('Enter (Vac BFs TrCl MB'!$F$7:$AU$37,MATCH(PROSPECT!$B52,'Enter (Vac BFs TrCl MB'!$D$7:$D$37,FALSE),MATCH(PROSPECT!D$42,'Enter (Vac BFs TrCl MB'!$F$6:$AU$6,FALSE))))</f>
        <v>H</v>
      </c>
      <c r="E52" s="153" t="str">
        <f>IF(ISERROR(INDEX('Enter (Vac BFs TrCl MB'!$F$7:$AU$37,MATCH(PROSPECT!$B52,'Enter (Vac BFs TrCl MB'!$D$7:$D$37,FALSE),MATCH(PROSPECT!E$42,'Enter (Vac BFs TrCl MB'!$F$6:$AU$6,FALSE))),"",(INDEX('Enter (Vac BFs TrCl MB'!$F$7:$AU$37,MATCH(PROSPECT!$B52,'Enter (Vac BFs TrCl MB'!$D$7:$D$37,FALSE),MATCH(PROSPECT!E$42,'Enter (Vac BFs TrCl MB'!$F$6:$AU$6,FALSE))))</f>
        <v>H</v>
      </c>
      <c r="F52" s="153" t="str">
        <f>IF(ISERROR(INDEX('Enter (Vac BFs TrCl MB'!$F$7:$AU$37,MATCH(PROSPECT!$B52,'Enter (Vac BFs TrCl MB'!$D$7:$D$37,FALSE),MATCH(PROSPECT!F$42,'Enter (Vac BFs TrCl MB'!$F$6:$AU$6,FALSE))),"",(INDEX('Enter (Vac BFs TrCl MB'!$F$7:$AU$37,MATCH(PROSPECT!$B52,'Enter (Vac BFs TrCl MB'!$D$7:$D$37,FALSE),MATCH(PROSPECT!F$42,'Enter (Vac BFs TrCl MB'!$F$6:$AU$6,FALSE))))</f>
        <v>H</v>
      </c>
      <c r="G52" s="153" t="str">
        <f>IF(ISERROR(INDEX('Enter (Vac BFs TrCl MB'!$F$7:$AU$37,MATCH(PROSPECT!$B52,'Enter (Vac BFs TrCl MB'!$D$7:$D$37,FALSE),MATCH(PROSPECT!G$42,'Enter (Vac BFs TrCl MB'!$F$6:$AU$6,FALSE))),"",(INDEX('Enter (Vac BFs TrCl MB'!$F$7:$AU$37,MATCH(PROSPECT!$B52,'Enter (Vac BFs TrCl MB'!$D$7:$D$37,FALSE),MATCH(PROSPECT!G$42,'Enter (Vac BFs TrCl MB'!$F$6:$AU$6,FALSE))))</f>
        <v>H</v>
      </c>
      <c r="H52" s="153" t="str">
        <f>IF(ISERROR(INDEX('Enter (Vac BFs TrCl MB'!$F$7:$AU$37,MATCH(PROSPECT!$B52,'Enter (Vac BFs TrCl MB'!$D$7:$D$37,FALSE),MATCH(PROSPECT!H$42,'Enter (Vac BFs TrCl MB'!$F$6:$AU$6,FALSE))),"",(INDEX('Enter (Vac BFs TrCl MB'!$F$7:$AU$37,MATCH(PROSPECT!$B52,'Enter (Vac BFs TrCl MB'!$D$7:$D$37,FALSE),MATCH(PROSPECT!H$42,'Enter (Vac BFs TrCl MB'!$F$6:$AU$6,FALSE))))</f>
        <v>H</v>
      </c>
      <c r="I52" s="154" t="str">
        <f>IF(ISERROR(INDEX('Enter (Vac BFs TrCl MB'!$F$7:$AU$37,MATCH(PROSPECT!$B52,'Enter (Vac BFs TrCl MB'!$D$7:$D$37,FALSE),MATCH(PROSPECT!I$42,'Enter (Vac BFs TrCl MB'!$F$6:$AU$6,FALSE))),"",(INDEX('Enter (Vac BFs TrCl MB'!$F$7:$AU$37,MATCH(PROSPECT!$B52,'Enter (Vac BFs TrCl MB'!$D$7:$D$37,FALSE),MATCH(PROSPECT!I$42,'Enter (Vac BFs TrCl MB'!$F$6:$AU$6,FALSE))))</f>
        <v>H</v>
      </c>
      <c r="J52" s="781"/>
      <c r="K52" s="112" t="str">
        <f>IF('Enter (Vac BFs TrCl MB'!$D15=0,"",'Enter (Vac BFs TrCl MB'!$D15)</f>
        <v>Harry</v>
      </c>
      <c r="L52" s="153">
        <f>IF(ISERROR(INDEX('Enter (Vac BFs TrCl MB'!$F$7:$AU$37,MATCH(PROSPECT!$B52,'Enter (Vac BFs TrCl MB'!$D$7:$D$37,FALSE),MATCH(PROSPECT!L$42,'Enter (Vac BFs TrCl MB'!$F$6:$AU$6,FALSE))),"",(INDEX('Enter (Vac BFs TrCl MB'!$F$7:$AU$37,MATCH(PROSPECT!$B52,'Enter (Vac BFs TrCl MB'!$D$7:$D$37,FALSE),MATCH(PROSPECT!L$42,'Enter (Vac BFs TrCl MB'!$F$6:$AU$6,FALSE))))</f>
        <v>0</v>
      </c>
      <c r="M52" s="153">
        <f>IF(ISERROR(INDEX('Enter (Vac BFs TrCl MB'!$F$7:$AU$37,MATCH(PROSPECT!$B52,'Enter (Vac BFs TrCl MB'!$D$7:$D$37,FALSE),MATCH(PROSPECT!M$42,'Enter (Vac BFs TrCl MB'!$F$6:$AU$6,FALSE))),"",(INDEX('Enter (Vac BFs TrCl MB'!$F$7:$AU$37,MATCH(PROSPECT!$B52,'Enter (Vac BFs TrCl MB'!$D$7:$D$37,FALSE),MATCH(PROSPECT!M$42,'Enter (Vac BFs TrCl MB'!$F$6:$AU$6,FALSE))))</f>
        <v>0</v>
      </c>
      <c r="N52" s="153">
        <f>IF(ISERROR(INDEX('Enter (Vac BFs TrCl MB'!$F$7:$AU$37,MATCH(PROSPECT!$B52,'Enter (Vac BFs TrCl MB'!$D$7:$D$37,FALSE),MATCH(PROSPECT!N$42,'Enter (Vac BFs TrCl MB'!$F$6:$AU$6,FALSE))),"",(INDEX('Enter (Vac BFs TrCl MB'!$F$7:$AU$37,MATCH(PROSPECT!$B52,'Enter (Vac BFs TrCl MB'!$D$7:$D$37,FALSE),MATCH(PROSPECT!N$42,'Enter (Vac BFs TrCl MB'!$F$6:$AU$6,FALSE))))</f>
        <v>0</v>
      </c>
      <c r="O52" s="153">
        <f>IF(ISERROR(INDEX('Enter (Vac BFs TrCl MB'!$F$7:$AU$37,MATCH(PROSPECT!$B52,'Enter (Vac BFs TrCl MB'!$D$7:$D$37,FALSE),MATCH(PROSPECT!O$42,'Enter (Vac BFs TrCl MB'!$F$6:$AU$6,FALSE))),"",(INDEX('Enter (Vac BFs TrCl MB'!$F$7:$AU$37,MATCH(PROSPECT!$B52,'Enter (Vac BFs TrCl MB'!$D$7:$D$37,FALSE),MATCH(PROSPECT!O$42,'Enter (Vac BFs TrCl MB'!$F$6:$AU$6,FALSE))))</f>
        <v>0</v>
      </c>
      <c r="P52" s="153">
        <f>IF(ISERROR(INDEX('Enter (Vac BFs TrCl MB'!$F$7:$AU$37,MATCH(PROSPECT!$B52,'Enter (Vac BFs TrCl MB'!$D$7:$D$37,FALSE),MATCH(PROSPECT!P$42,'Enter (Vac BFs TrCl MB'!$F$6:$AU$6,FALSE))),"",(INDEX('Enter (Vac BFs TrCl MB'!$F$7:$AU$37,MATCH(PROSPECT!$B52,'Enter (Vac BFs TrCl MB'!$D$7:$D$37,FALSE),MATCH(PROSPECT!P$42,'Enter (Vac BFs TrCl MB'!$F$6:$AU$6,FALSE))))</f>
        <v>0</v>
      </c>
      <c r="Q52" s="153">
        <f>IF(ISERROR(INDEX('Enter (Vac BFs TrCl MB'!$F$7:$AU$37,MATCH(PROSPECT!$B52,'Enter (Vac BFs TrCl MB'!$D$7:$D$37,FALSE),MATCH(PROSPECT!Q$42,'Enter (Vac BFs TrCl MB'!$F$6:$AU$6,FALSE))),"",(INDEX('Enter (Vac BFs TrCl MB'!$F$7:$AU$37,MATCH(PROSPECT!$B52,'Enter (Vac BFs TrCl MB'!$D$7:$D$37,FALSE),MATCH(PROSPECT!Q$42,'Enter (Vac BFs TrCl MB'!$F$6:$AU$6,FALSE))))</f>
        <v>0</v>
      </c>
      <c r="R52" s="266"/>
      <c r="S52" s="781"/>
      <c r="T52" s="283"/>
      <c r="U52" s="274"/>
      <c r="V52" s="798"/>
      <c r="W52" s="798"/>
      <c r="X52" s="798"/>
      <c r="Y52" s="798"/>
      <c r="Z52" s="798"/>
      <c r="AA52" s="799"/>
    </row>
    <row r="53" spans="2:27" ht="15">
      <c r="B53" s="111" t="str">
        <f>IF('Enter (Vac BFs TrCl MB'!$D16=0,"",'Enter (Vac BFs TrCl MB'!$D16)</f>
        <v>Parm</v>
      </c>
      <c r="C53" s="153" t="str">
        <f>IF(ISERROR(INDEX('Enter (Vac BFs TrCl MB'!$F$7:$AU$37,MATCH(PROSPECT!$B53,'Enter (Vac BFs TrCl MB'!$D$7:$D$37,FALSE),MATCH(PROSPECT!C$42,'Enter (Vac BFs TrCl MB'!$F$6:$AU$6,FALSE))),"",(INDEX('Enter (Vac BFs TrCl MB'!$F$7:$AU$37,MATCH(PROSPECT!$B53,'Enter (Vac BFs TrCl MB'!$D$7:$D$37,FALSE),MATCH(PROSPECT!C$42,'Enter (Vac BFs TrCl MB'!$F$6:$AU$6,FALSE))))</f>
        <v>XX</v>
      </c>
      <c r="D53" s="153" t="str">
        <f>IF(ISERROR(INDEX('Enter (Vac BFs TrCl MB'!$F$7:$AU$37,MATCH(PROSPECT!$B53,'Enter (Vac BFs TrCl MB'!$D$7:$D$37,FALSE),MATCH(PROSPECT!D$42,'Enter (Vac BFs TrCl MB'!$F$6:$AU$6,FALSE))),"",(INDEX('Enter (Vac BFs TrCl MB'!$F$7:$AU$37,MATCH(PROSPECT!$B53,'Enter (Vac BFs TrCl MB'!$D$7:$D$37,FALSE),MATCH(PROSPECT!D$42,'Enter (Vac BFs TrCl MB'!$F$6:$AU$6,FALSE))))</f>
        <v>XX</v>
      </c>
      <c r="E53" s="153">
        <f>IF(ISERROR(INDEX('Enter (Vac BFs TrCl MB'!$F$7:$AU$37,MATCH(PROSPECT!$B53,'Enter (Vac BFs TrCl MB'!$D$7:$D$37,FALSE),MATCH(PROSPECT!E$42,'Enter (Vac BFs TrCl MB'!$F$6:$AU$6,FALSE))),"",(INDEX('Enter (Vac BFs TrCl MB'!$F$7:$AU$37,MATCH(PROSPECT!$B53,'Enter (Vac BFs TrCl MB'!$D$7:$D$37,FALSE),MATCH(PROSPECT!E$42,'Enter (Vac BFs TrCl MB'!$F$6:$AU$6,FALSE))))</f>
        <v>0</v>
      </c>
      <c r="F53" s="153">
        <f>IF(ISERROR(INDEX('Enter (Vac BFs TrCl MB'!$F$7:$AU$37,MATCH(PROSPECT!$B53,'Enter (Vac BFs TrCl MB'!$D$7:$D$37,FALSE),MATCH(PROSPECT!F$42,'Enter (Vac BFs TrCl MB'!$F$6:$AU$6,FALSE))),"",(INDEX('Enter (Vac BFs TrCl MB'!$F$7:$AU$37,MATCH(PROSPECT!$B53,'Enter (Vac BFs TrCl MB'!$D$7:$D$37,FALSE),MATCH(PROSPECT!F$42,'Enter (Vac BFs TrCl MB'!$F$6:$AU$6,FALSE))))</f>
        <v>0</v>
      </c>
      <c r="G53" s="153">
        <f>IF(ISERROR(INDEX('Enter (Vac BFs TrCl MB'!$F$7:$AU$37,MATCH(PROSPECT!$B53,'Enter (Vac BFs TrCl MB'!$D$7:$D$37,FALSE),MATCH(PROSPECT!G$42,'Enter (Vac BFs TrCl MB'!$F$6:$AU$6,FALSE))),"",(INDEX('Enter (Vac BFs TrCl MB'!$F$7:$AU$37,MATCH(PROSPECT!$B53,'Enter (Vac BFs TrCl MB'!$D$7:$D$37,FALSE),MATCH(PROSPECT!G$42,'Enter (Vac BFs TrCl MB'!$F$6:$AU$6,FALSE))))</f>
        <v>0</v>
      </c>
      <c r="H53" s="153">
        <f>IF(ISERROR(INDEX('Enter (Vac BFs TrCl MB'!$F$7:$AU$37,MATCH(PROSPECT!$B53,'Enter (Vac BFs TrCl MB'!$D$7:$D$37,FALSE),MATCH(PROSPECT!H$42,'Enter (Vac BFs TrCl MB'!$F$6:$AU$6,FALSE))),"",(INDEX('Enter (Vac BFs TrCl MB'!$F$7:$AU$37,MATCH(PROSPECT!$B53,'Enter (Vac BFs TrCl MB'!$D$7:$D$37,FALSE),MATCH(PROSPECT!H$42,'Enter (Vac BFs TrCl MB'!$F$6:$AU$6,FALSE))))</f>
        <v>0</v>
      </c>
      <c r="I53" s="154">
        <f>IF(ISERROR(INDEX('Enter (Vac BFs TrCl MB'!$F$7:$AU$37,MATCH(PROSPECT!$B53,'Enter (Vac BFs TrCl MB'!$D$7:$D$37,FALSE),MATCH(PROSPECT!I$42,'Enter (Vac BFs TrCl MB'!$F$6:$AU$6,FALSE))),"",(INDEX('Enter (Vac BFs TrCl MB'!$F$7:$AU$37,MATCH(PROSPECT!$B53,'Enter (Vac BFs TrCl MB'!$D$7:$D$37,FALSE),MATCH(PROSPECT!I$42,'Enter (Vac BFs TrCl MB'!$F$6:$AU$6,FALSE))))</f>
        <v>0</v>
      </c>
      <c r="J53" s="781"/>
      <c r="K53" s="112" t="str">
        <f>IF('Enter (Vac BFs TrCl MB'!$D16=0,"",'Enter (Vac BFs TrCl MB'!$D16)</f>
        <v>Parm</v>
      </c>
      <c r="L53" s="153">
        <f>IF(ISERROR(INDEX('Enter (Vac BFs TrCl MB'!$F$7:$AU$37,MATCH(PROSPECT!$B53,'Enter (Vac BFs TrCl MB'!$D$7:$D$37,FALSE),MATCH(PROSPECT!L$42,'Enter (Vac BFs TrCl MB'!$F$6:$AU$6,FALSE))),"",(INDEX('Enter (Vac BFs TrCl MB'!$F$7:$AU$37,MATCH(PROSPECT!$B53,'Enter (Vac BFs TrCl MB'!$D$7:$D$37,FALSE),MATCH(PROSPECT!L$42,'Enter (Vac BFs TrCl MB'!$F$6:$AU$6,FALSE))))</f>
        <v>0</v>
      </c>
      <c r="M53" s="153">
        <f>IF(ISERROR(INDEX('Enter (Vac BFs TrCl MB'!$F$7:$AU$37,MATCH(PROSPECT!$B53,'Enter (Vac BFs TrCl MB'!$D$7:$D$37,FALSE),MATCH(PROSPECT!M$42,'Enter (Vac BFs TrCl MB'!$F$6:$AU$6,FALSE))),"",(INDEX('Enter (Vac BFs TrCl MB'!$F$7:$AU$37,MATCH(PROSPECT!$B53,'Enter (Vac BFs TrCl MB'!$D$7:$D$37,FALSE),MATCH(PROSPECT!M$42,'Enter (Vac BFs TrCl MB'!$F$6:$AU$6,FALSE))))</f>
        <v>0</v>
      </c>
      <c r="N53" s="153">
        <f>IF(ISERROR(INDEX('Enter (Vac BFs TrCl MB'!$F$7:$AU$37,MATCH(PROSPECT!$B53,'Enter (Vac BFs TrCl MB'!$D$7:$D$37,FALSE),MATCH(PROSPECT!N$42,'Enter (Vac BFs TrCl MB'!$F$6:$AU$6,FALSE))),"",(INDEX('Enter (Vac BFs TrCl MB'!$F$7:$AU$37,MATCH(PROSPECT!$B53,'Enter (Vac BFs TrCl MB'!$D$7:$D$37,FALSE),MATCH(PROSPECT!N$42,'Enter (Vac BFs TrCl MB'!$F$6:$AU$6,FALSE))))</f>
        <v>0</v>
      </c>
      <c r="O53" s="153">
        <f>IF(ISERROR(INDEX('Enter (Vac BFs TrCl MB'!$F$7:$AU$37,MATCH(PROSPECT!$B53,'Enter (Vac BFs TrCl MB'!$D$7:$D$37,FALSE),MATCH(PROSPECT!O$42,'Enter (Vac BFs TrCl MB'!$F$6:$AU$6,FALSE))),"",(INDEX('Enter (Vac BFs TrCl MB'!$F$7:$AU$37,MATCH(PROSPECT!$B53,'Enter (Vac BFs TrCl MB'!$D$7:$D$37,FALSE),MATCH(PROSPECT!O$42,'Enter (Vac BFs TrCl MB'!$F$6:$AU$6,FALSE))))</f>
        <v>0</v>
      </c>
      <c r="P53" s="153">
        <f>IF(ISERROR(INDEX('Enter (Vac BFs TrCl MB'!$F$7:$AU$37,MATCH(PROSPECT!$B53,'Enter (Vac BFs TrCl MB'!$D$7:$D$37,FALSE),MATCH(PROSPECT!P$42,'Enter (Vac BFs TrCl MB'!$F$6:$AU$6,FALSE))),"",(INDEX('Enter (Vac BFs TrCl MB'!$F$7:$AU$37,MATCH(PROSPECT!$B53,'Enter (Vac BFs TrCl MB'!$D$7:$D$37,FALSE),MATCH(PROSPECT!P$42,'Enter (Vac BFs TrCl MB'!$F$6:$AU$6,FALSE))))</f>
        <v>0</v>
      </c>
      <c r="Q53" s="153">
        <f>IF(ISERROR(INDEX('Enter (Vac BFs TrCl MB'!$F$7:$AU$37,MATCH(PROSPECT!$B53,'Enter (Vac BFs TrCl MB'!$D$7:$D$37,FALSE),MATCH(PROSPECT!Q$42,'Enter (Vac BFs TrCl MB'!$F$6:$AU$6,FALSE))),"",(INDEX('Enter (Vac BFs TrCl MB'!$F$7:$AU$37,MATCH(PROSPECT!$B53,'Enter (Vac BFs TrCl MB'!$D$7:$D$37,FALSE),MATCH(PROSPECT!Q$42,'Enter (Vac BFs TrCl MB'!$F$6:$AU$6,FALSE))))</f>
        <v>0</v>
      </c>
      <c r="R53" s="266"/>
      <c r="S53" s="781"/>
      <c r="T53" s="283"/>
      <c r="U53" s="274"/>
      <c r="V53" s="798"/>
      <c r="W53" s="798"/>
      <c r="X53" s="798"/>
      <c r="Y53" s="798"/>
      <c r="Z53" s="798"/>
      <c r="AA53" s="799"/>
    </row>
    <row r="54" spans="2:27" ht="15">
      <c r="B54" s="111" t="str">
        <f>IF('Enter (Vac BFs TrCl MB'!$D17=0,"",'Enter (Vac BFs TrCl MB'!$D17)</f>
        <v>Harmik</v>
      </c>
      <c r="C54" s="153">
        <f>IF(ISERROR(INDEX('Enter (Vac BFs TrCl MB'!$F$7:$AU$37,MATCH(PROSPECT!$B54,'Enter (Vac BFs TrCl MB'!$D$7:$D$37,FALSE),MATCH(PROSPECT!C$42,'Enter (Vac BFs TrCl MB'!$F$6:$AU$6,FALSE))),"",(INDEX('Enter (Vac BFs TrCl MB'!$F$7:$AU$37,MATCH(PROSPECT!$B54,'Enter (Vac BFs TrCl MB'!$D$7:$D$37,FALSE),MATCH(PROSPECT!C$42,'Enter (Vac BFs TrCl MB'!$F$6:$AU$6,FALSE))))</f>
        <v>0</v>
      </c>
      <c r="D54" s="153">
        <f>IF(ISERROR(INDEX('Enter (Vac BFs TrCl MB'!$F$7:$AU$37,MATCH(PROSPECT!$B54,'Enter (Vac BFs TrCl MB'!$D$7:$D$37,FALSE),MATCH(PROSPECT!D$42,'Enter (Vac BFs TrCl MB'!$F$6:$AU$6,FALSE))),"",(INDEX('Enter (Vac BFs TrCl MB'!$F$7:$AU$37,MATCH(PROSPECT!$B54,'Enter (Vac BFs TrCl MB'!$D$7:$D$37,FALSE),MATCH(PROSPECT!D$42,'Enter (Vac BFs TrCl MB'!$F$6:$AU$6,FALSE))))</f>
        <v>0</v>
      </c>
      <c r="E54" s="153">
        <f>IF(ISERROR(INDEX('Enter (Vac BFs TrCl MB'!$F$7:$AU$37,MATCH(PROSPECT!$B54,'Enter (Vac BFs TrCl MB'!$D$7:$D$37,FALSE),MATCH(PROSPECT!E$42,'Enter (Vac BFs TrCl MB'!$F$6:$AU$6,FALSE))),"",(INDEX('Enter (Vac BFs TrCl MB'!$F$7:$AU$37,MATCH(PROSPECT!$B54,'Enter (Vac BFs TrCl MB'!$D$7:$D$37,FALSE),MATCH(PROSPECT!E$42,'Enter (Vac BFs TrCl MB'!$F$6:$AU$6,FALSE))))</f>
        <v>0</v>
      </c>
      <c r="F54" s="153">
        <f>IF(ISERROR(INDEX('Enter (Vac BFs TrCl MB'!$F$7:$AU$37,MATCH(PROSPECT!$B54,'Enter (Vac BFs TrCl MB'!$D$7:$D$37,FALSE),MATCH(PROSPECT!F$42,'Enter (Vac BFs TrCl MB'!$F$6:$AU$6,FALSE))),"",(INDEX('Enter (Vac BFs TrCl MB'!$F$7:$AU$37,MATCH(PROSPECT!$B54,'Enter (Vac BFs TrCl MB'!$D$7:$D$37,FALSE),MATCH(PROSPECT!F$42,'Enter (Vac BFs TrCl MB'!$F$6:$AU$6,FALSE))))</f>
        <v>0</v>
      </c>
      <c r="G54" s="153">
        <f>IF(ISERROR(INDEX('Enter (Vac BFs TrCl MB'!$F$7:$AU$37,MATCH(PROSPECT!$B54,'Enter (Vac BFs TrCl MB'!$D$7:$D$37,FALSE),MATCH(PROSPECT!G$42,'Enter (Vac BFs TrCl MB'!$F$6:$AU$6,FALSE))),"",(INDEX('Enter (Vac BFs TrCl MB'!$F$7:$AU$37,MATCH(PROSPECT!$B54,'Enter (Vac BFs TrCl MB'!$D$7:$D$37,FALSE),MATCH(PROSPECT!G$42,'Enter (Vac BFs TrCl MB'!$F$6:$AU$6,FALSE))))</f>
        <v>0</v>
      </c>
      <c r="H54" s="153">
        <f>IF(ISERROR(INDEX('Enter (Vac BFs TrCl MB'!$F$7:$AU$37,MATCH(PROSPECT!$B54,'Enter (Vac BFs TrCl MB'!$D$7:$D$37,FALSE),MATCH(PROSPECT!H$42,'Enter (Vac BFs TrCl MB'!$F$6:$AU$6,FALSE))),"",(INDEX('Enter (Vac BFs TrCl MB'!$F$7:$AU$37,MATCH(PROSPECT!$B54,'Enter (Vac BFs TrCl MB'!$D$7:$D$37,FALSE),MATCH(PROSPECT!H$42,'Enter (Vac BFs TrCl MB'!$F$6:$AU$6,FALSE))))</f>
        <v>0</v>
      </c>
      <c r="I54" s="154">
        <f>IF(ISERROR(INDEX('Enter (Vac BFs TrCl MB'!$F$7:$AU$37,MATCH(PROSPECT!$B54,'Enter (Vac BFs TrCl MB'!$D$7:$D$37,FALSE),MATCH(PROSPECT!I$42,'Enter (Vac BFs TrCl MB'!$F$6:$AU$6,FALSE))),"",(INDEX('Enter (Vac BFs TrCl MB'!$F$7:$AU$37,MATCH(PROSPECT!$B54,'Enter (Vac BFs TrCl MB'!$D$7:$D$37,FALSE),MATCH(PROSPECT!I$42,'Enter (Vac BFs TrCl MB'!$F$6:$AU$6,FALSE))))</f>
        <v>0</v>
      </c>
      <c r="J54" s="781"/>
      <c r="K54" s="112" t="str">
        <f>IF('Enter (Vac BFs TrCl MB'!$D17=0,"",'Enter (Vac BFs TrCl MB'!$D17)</f>
        <v>Harmik</v>
      </c>
      <c r="L54" s="153">
        <f>IF(ISERROR(INDEX('Enter (Vac BFs TrCl MB'!$F$7:$AU$37,MATCH(PROSPECT!$B54,'Enter (Vac BFs TrCl MB'!$D$7:$D$37,FALSE),MATCH(PROSPECT!L$42,'Enter (Vac BFs TrCl MB'!$F$6:$AU$6,FALSE))),"",(INDEX('Enter (Vac BFs TrCl MB'!$F$7:$AU$37,MATCH(PROSPECT!$B54,'Enter (Vac BFs TrCl MB'!$D$7:$D$37,FALSE),MATCH(PROSPECT!L$42,'Enter (Vac BFs TrCl MB'!$F$6:$AU$6,FALSE))))</f>
        <v>0</v>
      </c>
      <c r="M54" s="153">
        <f>IF(ISERROR(INDEX('Enter (Vac BFs TrCl MB'!$F$7:$AU$37,MATCH(PROSPECT!$B54,'Enter (Vac BFs TrCl MB'!$D$7:$D$37,FALSE),MATCH(PROSPECT!M$42,'Enter (Vac BFs TrCl MB'!$F$6:$AU$6,FALSE))),"",(INDEX('Enter (Vac BFs TrCl MB'!$F$7:$AU$37,MATCH(PROSPECT!$B54,'Enter (Vac BFs TrCl MB'!$D$7:$D$37,FALSE),MATCH(PROSPECT!M$42,'Enter (Vac BFs TrCl MB'!$F$6:$AU$6,FALSE))))</f>
        <v>0</v>
      </c>
      <c r="N54" s="153">
        <f>IF(ISERROR(INDEX('Enter (Vac BFs TrCl MB'!$F$7:$AU$37,MATCH(PROSPECT!$B54,'Enter (Vac BFs TrCl MB'!$D$7:$D$37,FALSE),MATCH(PROSPECT!N$42,'Enter (Vac BFs TrCl MB'!$F$6:$AU$6,FALSE))),"",(INDEX('Enter (Vac BFs TrCl MB'!$F$7:$AU$37,MATCH(PROSPECT!$B54,'Enter (Vac BFs TrCl MB'!$D$7:$D$37,FALSE),MATCH(PROSPECT!N$42,'Enter (Vac BFs TrCl MB'!$F$6:$AU$6,FALSE))))</f>
        <v>0</v>
      </c>
      <c r="O54" s="153">
        <f>IF(ISERROR(INDEX('Enter (Vac BFs TrCl MB'!$F$7:$AU$37,MATCH(PROSPECT!$B54,'Enter (Vac BFs TrCl MB'!$D$7:$D$37,FALSE),MATCH(PROSPECT!O$42,'Enter (Vac BFs TrCl MB'!$F$6:$AU$6,FALSE))),"",(INDEX('Enter (Vac BFs TrCl MB'!$F$7:$AU$37,MATCH(PROSPECT!$B54,'Enter (Vac BFs TrCl MB'!$D$7:$D$37,FALSE),MATCH(PROSPECT!O$42,'Enter (Vac BFs TrCl MB'!$F$6:$AU$6,FALSE))))</f>
        <v>0</v>
      </c>
      <c r="P54" s="153">
        <f>IF(ISERROR(INDEX('Enter (Vac BFs TrCl MB'!$F$7:$AU$37,MATCH(PROSPECT!$B54,'Enter (Vac BFs TrCl MB'!$D$7:$D$37,FALSE),MATCH(PROSPECT!P$42,'Enter (Vac BFs TrCl MB'!$F$6:$AU$6,FALSE))),"",(INDEX('Enter (Vac BFs TrCl MB'!$F$7:$AU$37,MATCH(PROSPECT!$B54,'Enter (Vac BFs TrCl MB'!$D$7:$D$37,FALSE),MATCH(PROSPECT!P$42,'Enter (Vac BFs TrCl MB'!$F$6:$AU$6,FALSE))))</f>
        <v>0</v>
      </c>
      <c r="Q54" s="153">
        <f>IF(ISERROR(INDEX('Enter (Vac BFs TrCl MB'!$F$7:$AU$37,MATCH(PROSPECT!$B54,'Enter (Vac BFs TrCl MB'!$D$7:$D$37,FALSE),MATCH(PROSPECT!Q$42,'Enter (Vac BFs TrCl MB'!$F$6:$AU$6,FALSE))),"",(INDEX('Enter (Vac BFs TrCl MB'!$F$7:$AU$37,MATCH(PROSPECT!$B54,'Enter (Vac BFs TrCl MB'!$D$7:$D$37,FALSE),MATCH(PROSPECT!Q$42,'Enter (Vac BFs TrCl MB'!$F$6:$AU$6,FALSE))))</f>
        <v>0</v>
      </c>
      <c r="R54" s="266"/>
      <c r="S54" s="781"/>
      <c r="T54" s="283"/>
      <c r="U54" s="274"/>
      <c r="V54" s="798"/>
      <c r="W54" s="798"/>
      <c r="X54" s="798"/>
      <c r="Y54" s="798"/>
      <c r="Z54" s="798"/>
      <c r="AA54" s="799"/>
    </row>
    <row r="55" spans="2:27" ht="15">
      <c r="B55" s="111" t="str">
        <f>IF('Enter (Vac BFs TrCl MB'!$D18=0,"",'Enter (Vac BFs TrCl MB'!$D18)</f>
        <v>Ruby</v>
      </c>
      <c r="C55" s="153">
        <f>IF(ISERROR(INDEX('Enter (Vac BFs TrCl MB'!$F$7:$AU$37,MATCH(PROSPECT!$B55,'Enter (Vac BFs TrCl MB'!$D$7:$D$37,FALSE),MATCH(PROSPECT!C$42,'Enter (Vac BFs TrCl MB'!$F$6:$AU$6,FALSE))),"",(INDEX('Enter (Vac BFs TrCl MB'!$F$7:$AU$37,MATCH(PROSPECT!$B55,'Enter (Vac BFs TrCl MB'!$D$7:$D$37,FALSE),MATCH(PROSPECT!C$42,'Enter (Vac BFs TrCl MB'!$F$6:$AU$6,FALSE))))</f>
        <v>0</v>
      </c>
      <c r="D55" s="153">
        <f>IF(ISERROR(INDEX('Enter (Vac BFs TrCl MB'!$F$7:$AU$37,MATCH(PROSPECT!$B55,'Enter (Vac BFs TrCl MB'!$D$7:$D$37,FALSE),MATCH(PROSPECT!D$42,'Enter (Vac BFs TrCl MB'!$F$6:$AU$6,FALSE))),"",(INDEX('Enter (Vac BFs TrCl MB'!$F$7:$AU$37,MATCH(PROSPECT!$B55,'Enter (Vac BFs TrCl MB'!$D$7:$D$37,FALSE),MATCH(PROSPECT!D$42,'Enter (Vac BFs TrCl MB'!$F$6:$AU$6,FALSE))))</f>
        <v>0</v>
      </c>
      <c r="E55" s="153">
        <f>IF(ISERROR(INDEX('Enter (Vac BFs TrCl MB'!$F$7:$AU$37,MATCH(PROSPECT!$B55,'Enter (Vac BFs TrCl MB'!$D$7:$D$37,FALSE),MATCH(PROSPECT!E$42,'Enter (Vac BFs TrCl MB'!$F$6:$AU$6,FALSE))),"",(INDEX('Enter (Vac BFs TrCl MB'!$F$7:$AU$37,MATCH(PROSPECT!$B55,'Enter (Vac BFs TrCl MB'!$D$7:$D$37,FALSE),MATCH(PROSPECT!E$42,'Enter (Vac BFs TrCl MB'!$F$6:$AU$6,FALSE))))</f>
        <v>0</v>
      </c>
      <c r="F55" s="153">
        <f>IF(ISERROR(INDEX('Enter (Vac BFs TrCl MB'!$F$7:$AU$37,MATCH(PROSPECT!$B55,'Enter (Vac BFs TrCl MB'!$D$7:$D$37,FALSE),MATCH(PROSPECT!F$42,'Enter (Vac BFs TrCl MB'!$F$6:$AU$6,FALSE))),"",(INDEX('Enter (Vac BFs TrCl MB'!$F$7:$AU$37,MATCH(PROSPECT!$B55,'Enter (Vac BFs TrCl MB'!$D$7:$D$37,FALSE),MATCH(PROSPECT!F$42,'Enter (Vac BFs TrCl MB'!$F$6:$AU$6,FALSE))))</f>
        <v>0</v>
      </c>
      <c r="G55" s="153">
        <f>IF(ISERROR(INDEX('Enter (Vac BFs TrCl MB'!$F$7:$AU$37,MATCH(PROSPECT!$B55,'Enter (Vac BFs TrCl MB'!$D$7:$D$37,FALSE),MATCH(PROSPECT!G$42,'Enter (Vac BFs TrCl MB'!$F$6:$AU$6,FALSE))),"",(INDEX('Enter (Vac BFs TrCl MB'!$F$7:$AU$37,MATCH(PROSPECT!$B55,'Enter (Vac BFs TrCl MB'!$D$7:$D$37,FALSE),MATCH(PROSPECT!G$42,'Enter (Vac BFs TrCl MB'!$F$6:$AU$6,FALSE))))</f>
        <v>0</v>
      </c>
      <c r="H55" s="153">
        <f>IF(ISERROR(INDEX('Enter (Vac BFs TrCl MB'!$F$7:$AU$37,MATCH(PROSPECT!$B55,'Enter (Vac BFs TrCl MB'!$D$7:$D$37,FALSE),MATCH(PROSPECT!H$42,'Enter (Vac BFs TrCl MB'!$F$6:$AU$6,FALSE))),"",(INDEX('Enter (Vac BFs TrCl MB'!$F$7:$AU$37,MATCH(PROSPECT!$B55,'Enter (Vac BFs TrCl MB'!$D$7:$D$37,FALSE),MATCH(PROSPECT!H$42,'Enter (Vac BFs TrCl MB'!$F$6:$AU$6,FALSE))))</f>
        <v>0</v>
      </c>
      <c r="I55" s="154">
        <f>IF(ISERROR(INDEX('Enter (Vac BFs TrCl MB'!$F$7:$AU$37,MATCH(PROSPECT!$B55,'Enter (Vac BFs TrCl MB'!$D$7:$D$37,FALSE),MATCH(PROSPECT!I$42,'Enter (Vac BFs TrCl MB'!$F$6:$AU$6,FALSE))),"",(INDEX('Enter (Vac BFs TrCl MB'!$F$7:$AU$37,MATCH(PROSPECT!$B55,'Enter (Vac BFs TrCl MB'!$D$7:$D$37,FALSE),MATCH(PROSPECT!I$42,'Enter (Vac BFs TrCl MB'!$F$6:$AU$6,FALSE))))</f>
        <v>0</v>
      </c>
      <c r="J55" s="781"/>
      <c r="K55" s="112" t="str">
        <f>IF('Enter (Vac BFs TrCl MB'!$D18=0,"",'Enter (Vac BFs TrCl MB'!$D18)</f>
        <v>Ruby</v>
      </c>
      <c r="L55" s="153">
        <f>IF(ISERROR(INDEX('Enter (Vac BFs TrCl MB'!$F$7:$AU$37,MATCH(PROSPECT!$B55,'Enter (Vac BFs TrCl MB'!$D$7:$D$37,FALSE),MATCH(PROSPECT!L$42,'Enter (Vac BFs TrCl MB'!$F$6:$AU$6,FALSE))),"",(INDEX('Enter (Vac BFs TrCl MB'!$F$7:$AU$37,MATCH(PROSPECT!$B55,'Enter (Vac BFs TrCl MB'!$D$7:$D$37,FALSE),MATCH(PROSPECT!L$42,'Enter (Vac BFs TrCl MB'!$F$6:$AU$6,FALSE))))</f>
        <v>0</v>
      </c>
      <c r="M55" s="153">
        <f>IF(ISERROR(INDEX('Enter (Vac BFs TrCl MB'!$F$7:$AU$37,MATCH(PROSPECT!$B55,'Enter (Vac BFs TrCl MB'!$D$7:$D$37,FALSE),MATCH(PROSPECT!M$42,'Enter (Vac BFs TrCl MB'!$F$6:$AU$6,FALSE))),"",(INDEX('Enter (Vac BFs TrCl MB'!$F$7:$AU$37,MATCH(PROSPECT!$B55,'Enter (Vac BFs TrCl MB'!$D$7:$D$37,FALSE),MATCH(PROSPECT!M$42,'Enter (Vac BFs TrCl MB'!$F$6:$AU$6,FALSE))))</f>
        <v>0</v>
      </c>
      <c r="N55" s="153">
        <f>IF(ISERROR(INDEX('Enter (Vac BFs TrCl MB'!$F$7:$AU$37,MATCH(PROSPECT!$B55,'Enter (Vac BFs TrCl MB'!$D$7:$D$37,FALSE),MATCH(PROSPECT!N$42,'Enter (Vac BFs TrCl MB'!$F$6:$AU$6,FALSE))),"",(INDEX('Enter (Vac BFs TrCl MB'!$F$7:$AU$37,MATCH(PROSPECT!$B55,'Enter (Vac BFs TrCl MB'!$D$7:$D$37,FALSE),MATCH(PROSPECT!N$42,'Enter (Vac BFs TrCl MB'!$F$6:$AU$6,FALSE))))</f>
        <v>0</v>
      </c>
      <c r="O55" s="153">
        <f>IF(ISERROR(INDEX('Enter (Vac BFs TrCl MB'!$F$7:$AU$37,MATCH(PROSPECT!$B55,'Enter (Vac BFs TrCl MB'!$D$7:$D$37,FALSE),MATCH(PROSPECT!O$42,'Enter (Vac BFs TrCl MB'!$F$6:$AU$6,FALSE))),"",(INDEX('Enter (Vac BFs TrCl MB'!$F$7:$AU$37,MATCH(PROSPECT!$B55,'Enter (Vac BFs TrCl MB'!$D$7:$D$37,FALSE),MATCH(PROSPECT!O$42,'Enter (Vac BFs TrCl MB'!$F$6:$AU$6,FALSE))))</f>
        <v>0</v>
      </c>
      <c r="P55" s="153">
        <f>IF(ISERROR(INDEX('Enter (Vac BFs TrCl MB'!$F$7:$AU$37,MATCH(PROSPECT!$B55,'Enter (Vac BFs TrCl MB'!$D$7:$D$37,FALSE),MATCH(PROSPECT!P$42,'Enter (Vac BFs TrCl MB'!$F$6:$AU$6,FALSE))),"",(INDEX('Enter (Vac BFs TrCl MB'!$F$7:$AU$37,MATCH(PROSPECT!$B55,'Enter (Vac BFs TrCl MB'!$D$7:$D$37,FALSE),MATCH(PROSPECT!P$42,'Enter (Vac BFs TrCl MB'!$F$6:$AU$6,FALSE))))</f>
        <v>0</v>
      </c>
      <c r="Q55" s="153">
        <f>IF(ISERROR(INDEX('Enter (Vac BFs TrCl MB'!$F$7:$AU$37,MATCH(PROSPECT!$B55,'Enter (Vac BFs TrCl MB'!$D$7:$D$37,FALSE),MATCH(PROSPECT!Q$42,'Enter (Vac BFs TrCl MB'!$F$6:$AU$6,FALSE))),"",(INDEX('Enter (Vac BFs TrCl MB'!$F$7:$AU$37,MATCH(PROSPECT!$B55,'Enter (Vac BFs TrCl MB'!$D$7:$D$37,FALSE),MATCH(PROSPECT!Q$42,'Enter (Vac BFs TrCl MB'!$F$6:$AU$6,FALSE))))</f>
        <v>0</v>
      </c>
      <c r="R55" s="266"/>
      <c r="S55" s="781"/>
      <c r="T55" s="283"/>
      <c r="U55" s="274"/>
      <c r="V55" s="798"/>
      <c r="W55" s="798"/>
      <c r="X55" s="798"/>
      <c r="Y55" s="798"/>
      <c r="Z55" s="798"/>
      <c r="AA55" s="799"/>
    </row>
    <row r="56" spans="2:27" ht="15">
      <c r="B56" s="111" t="str">
        <f>IF('Enter (Vac BFs TrCl MB'!$D19=0,"",'Enter (Vac BFs TrCl MB'!$D19)</f>
        <v>Taran</v>
      </c>
      <c r="C56" s="153">
        <f>IF(ISERROR(INDEX('Enter (Vac BFs TrCl MB'!$F$7:$AU$37,MATCH(PROSPECT!$B56,'Enter (Vac BFs TrCl MB'!$D$7:$D$37,FALSE),MATCH(PROSPECT!C$42,'Enter (Vac BFs TrCl MB'!$F$6:$AU$6,FALSE))),"",(INDEX('Enter (Vac BFs TrCl MB'!$F$7:$AU$37,MATCH(PROSPECT!$B56,'Enter (Vac BFs TrCl MB'!$D$7:$D$37,FALSE),MATCH(PROSPECT!C$42,'Enter (Vac BFs TrCl MB'!$F$6:$AU$6,FALSE))))</f>
        <v>0</v>
      </c>
      <c r="D56" s="153">
        <f>IF(ISERROR(INDEX('Enter (Vac BFs TrCl MB'!$F$7:$AU$37,MATCH(PROSPECT!$B56,'Enter (Vac BFs TrCl MB'!$D$7:$D$37,FALSE),MATCH(PROSPECT!D$42,'Enter (Vac BFs TrCl MB'!$F$6:$AU$6,FALSE))),"",(INDEX('Enter (Vac BFs TrCl MB'!$F$7:$AU$37,MATCH(PROSPECT!$B56,'Enter (Vac BFs TrCl MB'!$D$7:$D$37,FALSE),MATCH(PROSPECT!D$42,'Enter (Vac BFs TrCl MB'!$F$6:$AU$6,FALSE))))</f>
        <v>0</v>
      </c>
      <c r="E56" s="153">
        <f>IF(ISERROR(INDEX('Enter (Vac BFs TrCl MB'!$F$7:$AU$37,MATCH(PROSPECT!$B56,'Enter (Vac BFs TrCl MB'!$D$7:$D$37,FALSE),MATCH(PROSPECT!E$42,'Enter (Vac BFs TrCl MB'!$F$6:$AU$6,FALSE))),"",(INDEX('Enter (Vac BFs TrCl MB'!$F$7:$AU$37,MATCH(PROSPECT!$B56,'Enter (Vac BFs TrCl MB'!$D$7:$D$37,FALSE),MATCH(PROSPECT!E$42,'Enter (Vac BFs TrCl MB'!$F$6:$AU$6,FALSE))))</f>
        <v>0</v>
      </c>
      <c r="F56" s="153">
        <f>IF(ISERROR(INDEX('Enter (Vac BFs TrCl MB'!$F$7:$AU$37,MATCH(PROSPECT!$B56,'Enter (Vac BFs TrCl MB'!$D$7:$D$37,FALSE),MATCH(PROSPECT!F$42,'Enter (Vac BFs TrCl MB'!$F$6:$AU$6,FALSE))),"",(INDEX('Enter (Vac BFs TrCl MB'!$F$7:$AU$37,MATCH(PROSPECT!$B56,'Enter (Vac BFs TrCl MB'!$D$7:$D$37,FALSE),MATCH(PROSPECT!F$42,'Enter (Vac BFs TrCl MB'!$F$6:$AU$6,FALSE))))</f>
        <v>0</v>
      </c>
      <c r="G56" s="153">
        <f>IF(ISERROR(INDEX('Enter (Vac BFs TrCl MB'!$F$7:$AU$37,MATCH(PROSPECT!$B56,'Enter (Vac BFs TrCl MB'!$D$7:$D$37,FALSE),MATCH(PROSPECT!G$42,'Enter (Vac BFs TrCl MB'!$F$6:$AU$6,FALSE))),"",(INDEX('Enter (Vac BFs TrCl MB'!$F$7:$AU$37,MATCH(PROSPECT!$B56,'Enter (Vac BFs TrCl MB'!$D$7:$D$37,FALSE),MATCH(PROSPECT!G$42,'Enter (Vac BFs TrCl MB'!$F$6:$AU$6,FALSE))))</f>
        <v>0</v>
      </c>
      <c r="H56" s="153">
        <f>IF(ISERROR(INDEX('Enter (Vac BFs TrCl MB'!$F$7:$AU$37,MATCH(PROSPECT!$B56,'Enter (Vac BFs TrCl MB'!$D$7:$D$37,FALSE),MATCH(PROSPECT!H$42,'Enter (Vac BFs TrCl MB'!$F$6:$AU$6,FALSE))),"",(INDEX('Enter (Vac BFs TrCl MB'!$F$7:$AU$37,MATCH(PROSPECT!$B56,'Enter (Vac BFs TrCl MB'!$D$7:$D$37,FALSE),MATCH(PROSPECT!H$42,'Enter (Vac BFs TrCl MB'!$F$6:$AU$6,FALSE))))</f>
        <v>0</v>
      </c>
      <c r="I56" s="154">
        <f>IF(ISERROR(INDEX('Enter (Vac BFs TrCl MB'!$F$7:$AU$37,MATCH(PROSPECT!$B56,'Enter (Vac BFs TrCl MB'!$D$7:$D$37,FALSE),MATCH(PROSPECT!I$42,'Enter (Vac BFs TrCl MB'!$F$6:$AU$6,FALSE))),"",(INDEX('Enter (Vac BFs TrCl MB'!$F$7:$AU$37,MATCH(PROSPECT!$B56,'Enter (Vac BFs TrCl MB'!$D$7:$D$37,FALSE),MATCH(PROSPECT!I$42,'Enter (Vac BFs TrCl MB'!$F$6:$AU$6,FALSE))))</f>
        <v>0</v>
      </c>
      <c r="J56" s="781"/>
      <c r="K56" s="112" t="str">
        <f>IF('Enter (Vac BFs TrCl MB'!$D19=0,"",'Enter (Vac BFs TrCl MB'!$D19)</f>
        <v>Taran</v>
      </c>
      <c r="L56" s="153">
        <f>IF(ISERROR(INDEX('Enter (Vac BFs TrCl MB'!$F$7:$AU$37,MATCH(PROSPECT!$B56,'Enter (Vac BFs TrCl MB'!$D$7:$D$37,FALSE),MATCH(PROSPECT!L$42,'Enter (Vac BFs TrCl MB'!$F$6:$AU$6,FALSE))),"",(INDEX('Enter (Vac BFs TrCl MB'!$F$7:$AU$37,MATCH(PROSPECT!$B56,'Enter (Vac BFs TrCl MB'!$D$7:$D$37,FALSE),MATCH(PROSPECT!L$42,'Enter (Vac BFs TrCl MB'!$F$6:$AU$6,FALSE))))</f>
        <v>0</v>
      </c>
      <c r="M56" s="153">
        <f>IF(ISERROR(INDEX('Enter (Vac BFs TrCl MB'!$F$7:$AU$37,MATCH(PROSPECT!$B56,'Enter (Vac BFs TrCl MB'!$D$7:$D$37,FALSE),MATCH(PROSPECT!M$42,'Enter (Vac BFs TrCl MB'!$F$6:$AU$6,FALSE))),"",(INDEX('Enter (Vac BFs TrCl MB'!$F$7:$AU$37,MATCH(PROSPECT!$B56,'Enter (Vac BFs TrCl MB'!$D$7:$D$37,FALSE),MATCH(PROSPECT!M$42,'Enter (Vac BFs TrCl MB'!$F$6:$AU$6,FALSE))))</f>
        <v>0</v>
      </c>
      <c r="N56" s="153">
        <f>IF(ISERROR(INDEX('Enter (Vac BFs TrCl MB'!$F$7:$AU$37,MATCH(PROSPECT!$B56,'Enter (Vac BFs TrCl MB'!$D$7:$D$37,FALSE),MATCH(PROSPECT!N$42,'Enter (Vac BFs TrCl MB'!$F$6:$AU$6,FALSE))),"",(INDEX('Enter (Vac BFs TrCl MB'!$F$7:$AU$37,MATCH(PROSPECT!$B56,'Enter (Vac BFs TrCl MB'!$D$7:$D$37,FALSE),MATCH(PROSPECT!N$42,'Enter (Vac BFs TrCl MB'!$F$6:$AU$6,FALSE))))</f>
        <v>0</v>
      </c>
      <c r="O56" s="153">
        <f>IF(ISERROR(INDEX('Enter (Vac BFs TrCl MB'!$F$7:$AU$37,MATCH(PROSPECT!$B56,'Enter (Vac BFs TrCl MB'!$D$7:$D$37,FALSE),MATCH(PROSPECT!O$42,'Enter (Vac BFs TrCl MB'!$F$6:$AU$6,FALSE))),"",(INDEX('Enter (Vac BFs TrCl MB'!$F$7:$AU$37,MATCH(PROSPECT!$B56,'Enter (Vac BFs TrCl MB'!$D$7:$D$37,FALSE),MATCH(PROSPECT!O$42,'Enter (Vac BFs TrCl MB'!$F$6:$AU$6,FALSE))))</f>
        <v>0</v>
      </c>
      <c r="P56" s="153">
        <f>IF(ISERROR(INDEX('Enter (Vac BFs TrCl MB'!$F$7:$AU$37,MATCH(PROSPECT!$B56,'Enter (Vac BFs TrCl MB'!$D$7:$D$37,FALSE),MATCH(PROSPECT!P$42,'Enter (Vac BFs TrCl MB'!$F$6:$AU$6,FALSE))),"",(INDEX('Enter (Vac BFs TrCl MB'!$F$7:$AU$37,MATCH(PROSPECT!$B56,'Enter (Vac BFs TrCl MB'!$D$7:$D$37,FALSE),MATCH(PROSPECT!P$42,'Enter (Vac BFs TrCl MB'!$F$6:$AU$6,FALSE))))</f>
        <v>0</v>
      </c>
      <c r="Q56" s="153">
        <f>IF(ISERROR(INDEX('Enter (Vac BFs TrCl MB'!$F$7:$AU$37,MATCH(PROSPECT!$B56,'Enter (Vac BFs TrCl MB'!$D$7:$D$37,FALSE),MATCH(PROSPECT!Q$42,'Enter (Vac BFs TrCl MB'!$F$6:$AU$6,FALSE))),"",(INDEX('Enter (Vac BFs TrCl MB'!$F$7:$AU$37,MATCH(PROSPECT!$B56,'Enter (Vac BFs TrCl MB'!$D$7:$D$37,FALSE),MATCH(PROSPECT!Q$42,'Enter (Vac BFs TrCl MB'!$F$6:$AU$6,FALSE))))</f>
        <v>0</v>
      </c>
      <c r="R56" s="266"/>
      <c r="S56" s="781"/>
      <c r="T56" s="283"/>
      <c r="U56" s="274"/>
      <c r="V56" s="798"/>
      <c r="W56" s="798"/>
      <c r="X56" s="798"/>
      <c r="Y56" s="798"/>
      <c r="Z56" s="798"/>
      <c r="AA56" s="799"/>
    </row>
    <row r="57" spans="2:27" ht="15">
      <c r="B57" s="111" t="str">
        <f>IF('Enter (Vac BFs TrCl MB'!$D20=0,"",'Enter (Vac BFs TrCl MB'!$D20)</f>
        <v>Jinse</v>
      </c>
      <c r="C57" s="153">
        <f>IF(ISERROR(INDEX('Enter (Vac BFs TrCl MB'!$F$7:$AU$37,MATCH(PROSPECT!$B57,'Enter (Vac BFs TrCl MB'!$D$7:$D$37,FALSE),MATCH(PROSPECT!C$42,'Enter (Vac BFs TrCl MB'!$F$6:$AU$6,FALSE))),"",(INDEX('Enter (Vac BFs TrCl MB'!$F$7:$AU$37,MATCH(PROSPECT!$B57,'Enter (Vac BFs TrCl MB'!$D$7:$D$37,FALSE),MATCH(PROSPECT!C$42,'Enter (Vac BFs TrCl MB'!$F$6:$AU$6,FALSE))))</f>
        <v>0</v>
      </c>
      <c r="D57" s="153">
        <f>IF(ISERROR(INDEX('Enter (Vac BFs TrCl MB'!$F$7:$AU$37,MATCH(PROSPECT!$B57,'Enter (Vac BFs TrCl MB'!$D$7:$D$37,FALSE),MATCH(PROSPECT!D$42,'Enter (Vac BFs TrCl MB'!$F$6:$AU$6,FALSE))),"",(INDEX('Enter (Vac BFs TrCl MB'!$F$7:$AU$37,MATCH(PROSPECT!$B57,'Enter (Vac BFs TrCl MB'!$D$7:$D$37,FALSE),MATCH(PROSPECT!D$42,'Enter (Vac BFs TrCl MB'!$F$6:$AU$6,FALSE))))</f>
        <v>0</v>
      </c>
      <c r="E57" s="153">
        <f>IF(ISERROR(INDEX('Enter (Vac BFs TrCl MB'!$F$7:$AU$37,MATCH(PROSPECT!$B57,'Enter (Vac BFs TrCl MB'!$D$7:$D$37,FALSE),MATCH(PROSPECT!E$42,'Enter (Vac BFs TrCl MB'!$F$6:$AU$6,FALSE))),"",(INDEX('Enter (Vac BFs TrCl MB'!$F$7:$AU$37,MATCH(PROSPECT!$B57,'Enter (Vac BFs TrCl MB'!$D$7:$D$37,FALSE),MATCH(PROSPECT!E$42,'Enter (Vac BFs TrCl MB'!$F$6:$AU$6,FALSE))))</f>
        <v>0</v>
      </c>
      <c r="F57" s="153">
        <f>IF(ISERROR(INDEX('Enter (Vac BFs TrCl MB'!$F$7:$AU$37,MATCH(PROSPECT!$B57,'Enter (Vac BFs TrCl MB'!$D$7:$D$37,FALSE),MATCH(PROSPECT!F$42,'Enter (Vac BFs TrCl MB'!$F$6:$AU$6,FALSE))),"",(INDEX('Enter (Vac BFs TrCl MB'!$F$7:$AU$37,MATCH(PROSPECT!$B57,'Enter (Vac BFs TrCl MB'!$D$7:$D$37,FALSE),MATCH(PROSPECT!F$42,'Enter (Vac BFs TrCl MB'!$F$6:$AU$6,FALSE))))</f>
        <v>0</v>
      </c>
      <c r="G57" s="153">
        <f>IF(ISERROR(INDEX('Enter (Vac BFs TrCl MB'!$F$7:$AU$37,MATCH(PROSPECT!$B57,'Enter (Vac BFs TrCl MB'!$D$7:$D$37,FALSE),MATCH(PROSPECT!G$42,'Enter (Vac BFs TrCl MB'!$F$6:$AU$6,FALSE))),"",(INDEX('Enter (Vac BFs TrCl MB'!$F$7:$AU$37,MATCH(PROSPECT!$B57,'Enter (Vac BFs TrCl MB'!$D$7:$D$37,FALSE),MATCH(PROSPECT!G$42,'Enter (Vac BFs TrCl MB'!$F$6:$AU$6,FALSE))))</f>
        <v>0</v>
      </c>
      <c r="H57" s="153">
        <f>IF(ISERROR(INDEX('Enter (Vac BFs TrCl MB'!$F$7:$AU$37,MATCH(PROSPECT!$B57,'Enter (Vac BFs TrCl MB'!$D$7:$D$37,FALSE),MATCH(PROSPECT!H$42,'Enter (Vac BFs TrCl MB'!$F$6:$AU$6,FALSE))),"",(INDEX('Enter (Vac BFs TrCl MB'!$F$7:$AU$37,MATCH(PROSPECT!$B57,'Enter (Vac BFs TrCl MB'!$D$7:$D$37,FALSE),MATCH(PROSPECT!H$42,'Enter (Vac BFs TrCl MB'!$F$6:$AU$6,FALSE))))</f>
        <v>0</v>
      </c>
      <c r="I57" s="154">
        <f>IF(ISERROR(INDEX('Enter (Vac BFs TrCl MB'!$F$7:$AU$37,MATCH(PROSPECT!$B57,'Enter (Vac BFs TrCl MB'!$D$7:$D$37,FALSE),MATCH(PROSPECT!I$42,'Enter (Vac BFs TrCl MB'!$F$6:$AU$6,FALSE))),"",(INDEX('Enter (Vac BFs TrCl MB'!$F$7:$AU$37,MATCH(PROSPECT!$B57,'Enter (Vac BFs TrCl MB'!$D$7:$D$37,FALSE),MATCH(PROSPECT!I$42,'Enter (Vac BFs TrCl MB'!$F$6:$AU$6,FALSE))))</f>
        <v>0</v>
      </c>
      <c r="J57" s="781"/>
      <c r="K57" s="112" t="str">
        <f>IF('Enter (Vac BFs TrCl MB'!$D20=0,"",'Enter (Vac BFs TrCl MB'!$D20)</f>
        <v>Jinse</v>
      </c>
      <c r="L57" s="153">
        <f>IF(ISERROR(INDEX('Enter (Vac BFs TrCl MB'!$F$7:$AU$37,MATCH(PROSPECT!$B57,'Enter (Vac BFs TrCl MB'!$D$7:$D$37,FALSE),MATCH(PROSPECT!L$42,'Enter (Vac BFs TrCl MB'!$F$6:$AU$6,FALSE))),"",(INDEX('Enter (Vac BFs TrCl MB'!$F$7:$AU$37,MATCH(PROSPECT!$B57,'Enter (Vac BFs TrCl MB'!$D$7:$D$37,FALSE),MATCH(PROSPECT!L$42,'Enter (Vac BFs TrCl MB'!$F$6:$AU$6,FALSE))))</f>
        <v>0</v>
      </c>
      <c r="M57" s="153">
        <f>IF(ISERROR(INDEX('Enter (Vac BFs TrCl MB'!$F$7:$AU$37,MATCH(PROSPECT!$B57,'Enter (Vac BFs TrCl MB'!$D$7:$D$37,FALSE),MATCH(PROSPECT!M$42,'Enter (Vac BFs TrCl MB'!$F$6:$AU$6,FALSE))),"",(INDEX('Enter (Vac BFs TrCl MB'!$F$7:$AU$37,MATCH(PROSPECT!$B57,'Enter (Vac BFs TrCl MB'!$D$7:$D$37,FALSE),MATCH(PROSPECT!M$42,'Enter (Vac BFs TrCl MB'!$F$6:$AU$6,FALSE))))</f>
        <v>0</v>
      </c>
      <c r="N57" s="153">
        <f>IF(ISERROR(INDEX('Enter (Vac BFs TrCl MB'!$F$7:$AU$37,MATCH(PROSPECT!$B57,'Enter (Vac BFs TrCl MB'!$D$7:$D$37,FALSE),MATCH(PROSPECT!N$42,'Enter (Vac BFs TrCl MB'!$F$6:$AU$6,FALSE))),"",(INDEX('Enter (Vac BFs TrCl MB'!$F$7:$AU$37,MATCH(PROSPECT!$B57,'Enter (Vac BFs TrCl MB'!$D$7:$D$37,FALSE),MATCH(PROSPECT!N$42,'Enter (Vac BFs TrCl MB'!$F$6:$AU$6,FALSE))))</f>
        <v>0</v>
      </c>
      <c r="O57" s="153">
        <f>IF(ISERROR(INDEX('Enter (Vac BFs TrCl MB'!$F$7:$AU$37,MATCH(PROSPECT!$B57,'Enter (Vac BFs TrCl MB'!$D$7:$D$37,FALSE),MATCH(PROSPECT!O$42,'Enter (Vac BFs TrCl MB'!$F$6:$AU$6,FALSE))),"",(INDEX('Enter (Vac BFs TrCl MB'!$F$7:$AU$37,MATCH(PROSPECT!$B57,'Enter (Vac BFs TrCl MB'!$D$7:$D$37,FALSE),MATCH(PROSPECT!O$42,'Enter (Vac BFs TrCl MB'!$F$6:$AU$6,FALSE))))</f>
        <v>0</v>
      </c>
      <c r="P57" s="153">
        <f>IF(ISERROR(INDEX('Enter (Vac BFs TrCl MB'!$F$7:$AU$37,MATCH(PROSPECT!$B57,'Enter (Vac BFs TrCl MB'!$D$7:$D$37,FALSE),MATCH(PROSPECT!P$42,'Enter (Vac BFs TrCl MB'!$F$6:$AU$6,FALSE))),"",(INDEX('Enter (Vac BFs TrCl MB'!$F$7:$AU$37,MATCH(PROSPECT!$B57,'Enter (Vac BFs TrCl MB'!$D$7:$D$37,FALSE),MATCH(PROSPECT!P$42,'Enter (Vac BFs TrCl MB'!$F$6:$AU$6,FALSE))))</f>
        <v>0</v>
      </c>
      <c r="Q57" s="153">
        <f>IF(ISERROR(INDEX('Enter (Vac BFs TrCl MB'!$F$7:$AU$37,MATCH(PROSPECT!$B57,'Enter (Vac BFs TrCl MB'!$D$7:$D$37,FALSE),MATCH(PROSPECT!Q$42,'Enter (Vac BFs TrCl MB'!$F$6:$AU$6,FALSE))),"",(INDEX('Enter (Vac BFs TrCl MB'!$F$7:$AU$37,MATCH(PROSPECT!$B57,'Enter (Vac BFs TrCl MB'!$D$7:$D$37,FALSE),MATCH(PROSPECT!Q$42,'Enter (Vac BFs TrCl MB'!$F$6:$AU$6,FALSE))))</f>
        <v>0</v>
      </c>
      <c r="R57" s="154"/>
      <c r="S57" s="781"/>
      <c r="T57" s="283"/>
      <c r="U57" s="274"/>
      <c r="V57" s="798"/>
      <c r="W57" s="798"/>
      <c r="X57" s="798"/>
      <c r="Y57" s="798"/>
      <c r="Z57" s="798"/>
      <c r="AA57" s="799"/>
    </row>
    <row r="58" spans="2:27" ht="15">
      <c r="B58" s="111" t="str">
        <f>IF('Enter (Vac BFs TrCl MB'!$D21=0,"",'Enter (Vac BFs TrCl MB'!$D21)</f>
        <v>Marija</v>
      </c>
      <c r="C58" s="153">
        <f>IF(ISERROR(INDEX('Enter (Vac BFs TrCl MB'!$F$7:$AU$37,MATCH(PROSPECT!$B58,'Enter (Vac BFs TrCl MB'!$D$7:$D$37,FALSE),MATCH(PROSPECT!C$42,'Enter (Vac BFs TrCl MB'!$F$6:$AU$6,FALSE))),"",(INDEX('Enter (Vac BFs TrCl MB'!$F$7:$AU$37,MATCH(PROSPECT!$B58,'Enter (Vac BFs TrCl MB'!$D$7:$D$37,FALSE),MATCH(PROSPECT!C$42,'Enter (Vac BFs TrCl MB'!$F$6:$AU$6,FALSE))))</f>
        <v>0</v>
      </c>
      <c r="D58" s="153">
        <f>IF(ISERROR(INDEX('Enter (Vac BFs TrCl MB'!$F$7:$AU$37,MATCH(PROSPECT!$B58,'Enter (Vac BFs TrCl MB'!$D$7:$D$37,FALSE),MATCH(PROSPECT!D$42,'Enter (Vac BFs TrCl MB'!$F$6:$AU$6,FALSE))),"",(INDEX('Enter (Vac BFs TrCl MB'!$F$7:$AU$37,MATCH(PROSPECT!$B58,'Enter (Vac BFs TrCl MB'!$D$7:$D$37,FALSE),MATCH(PROSPECT!D$42,'Enter (Vac BFs TrCl MB'!$F$6:$AU$6,FALSE))))</f>
        <v>0</v>
      </c>
      <c r="E58" s="153">
        <f>IF(ISERROR(INDEX('Enter (Vac BFs TrCl MB'!$F$7:$AU$37,MATCH(PROSPECT!$B58,'Enter (Vac BFs TrCl MB'!$D$7:$D$37,FALSE),MATCH(PROSPECT!E$42,'Enter (Vac BFs TrCl MB'!$F$6:$AU$6,FALSE))),"",(INDEX('Enter (Vac BFs TrCl MB'!$F$7:$AU$37,MATCH(PROSPECT!$B58,'Enter (Vac BFs TrCl MB'!$D$7:$D$37,FALSE),MATCH(PROSPECT!E$42,'Enter (Vac BFs TrCl MB'!$F$6:$AU$6,FALSE))))</f>
        <v>0</v>
      </c>
      <c r="F58" s="153">
        <f>IF(ISERROR(INDEX('Enter (Vac BFs TrCl MB'!$F$7:$AU$37,MATCH(PROSPECT!$B58,'Enter (Vac BFs TrCl MB'!$D$7:$D$37,FALSE),MATCH(PROSPECT!F$42,'Enter (Vac BFs TrCl MB'!$F$6:$AU$6,FALSE))),"",(INDEX('Enter (Vac BFs TrCl MB'!$F$7:$AU$37,MATCH(PROSPECT!$B58,'Enter (Vac BFs TrCl MB'!$D$7:$D$37,FALSE),MATCH(PROSPECT!F$42,'Enter (Vac BFs TrCl MB'!$F$6:$AU$6,FALSE))))</f>
        <v>0</v>
      </c>
      <c r="G58" s="153">
        <f>IF(ISERROR(INDEX('Enter (Vac BFs TrCl MB'!$F$7:$AU$37,MATCH(PROSPECT!$B58,'Enter (Vac BFs TrCl MB'!$D$7:$D$37,FALSE),MATCH(PROSPECT!G$42,'Enter (Vac BFs TrCl MB'!$F$6:$AU$6,FALSE))),"",(INDEX('Enter (Vac BFs TrCl MB'!$F$7:$AU$37,MATCH(PROSPECT!$B58,'Enter (Vac BFs TrCl MB'!$D$7:$D$37,FALSE),MATCH(PROSPECT!G$42,'Enter (Vac BFs TrCl MB'!$F$6:$AU$6,FALSE))))</f>
        <v>0</v>
      </c>
      <c r="H58" s="153">
        <f>IF(ISERROR(INDEX('Enter (Vac BFs TrCl MB'!$F$7:$AU$37,MATCH(PROSPECT!$B58,'Enter (Vac BFs TrCl MB'!$D$7:$D$37,FALSE),MATCH(PROSPECT!H$42,'Enter (Vac BFs TrCl MB'!$F$6:$AU$6,FALSE))),"",(INDEX('Enter (Vac BFs TrCl MB'!$F$7:$AU$37,MATCH(PROSPECT!$B58,'Enter (Vac BFs TrCl MB'!$D$7:$D$37,FALSE),MATCH(PROSPECT!H$42,'Enter (Vac BFs TrCl MB'!$F$6:$AU$6,FALSE))))</f>
        <v>0</v>
      </c>
      <c r="I58" s="154">
        <f>IF(ISERROR(INDEX('Enter (Vac BFs TrCl MB'!$F$7:$AU$37,MATCH(PROSPECT!$B58,'Enter (Vac BFs TrCl MB'!$D$7:$D$37,FALSE),MATCH(PROSPECT!I$42,'Enter (Vac BFs TrCl MB'!$F$6:$AU$6,FALSE))),"",(INDEX('Enter (Vac BFs TrCl MB'!$F$7:$AU$37,MATCH(PROSPECT!$B58,'Enter (Vac BFs TrCl MB'!$D$7:$D$37,FALSE),MATCH(PROSPECT!I$42,'Enter (Vac BFs TrCl MB'!$F$6:$AU$6,FALSE))))</f>
        <v>0</v>
      </c>
      <c r="J58" s="781"/>
      <c r="K58" s="112" t="str">
        <f>IF('Enter (Vac BFs TrCl MB'!$D21=0,"",'Enter (Vac BFs TrCl MB'!$D21)</f>
        <v>Marija</v>
      </c>
      <c r="L58" s="153">
        <f>IF(ISERROR(INDEX('Enter (Vac BFs TrCl MB'!$F$7:$AU$37,MATCH(PROSPECT!$B58,'Enter (Vac BFs TrCl MB'!$D$7:$D$37,FALSE),MATCH(PROSPECT!L$42,'Enter (Vac BFs TrCl MB'!$F$6:$AU$6,FALSE))),"",(INDEX('Enter (Vac BFs TrCl MB'!$F$7:$AU$37,MATCH(PROSPECT!$B58,'Enter (Vac BFs TrCl MB'!$D$7:$D$37,FALSE),MATCH(PROSPECT!L$42,'Enter (Vac BFs TrCl MB'!$F$6:$AU$6,FALSE))))</f>
        <v>0</v>
      </c>
      <c r="M58" s="153">
        <f>IF(ISERROR(INDEX('Enter (Vac BFs TrCl MB'!$F$7:$AU$37,MATCH(PROSPECT!$B58,'Enter (Vac BFs TrCl MB'!$D$7:$D$37,FALSE),MATCH(PROSPECT!M$42,'Enter (Vac BFs TrCl MB'!$F$6:$AU$6,FALSE))),"",(INDEX('Enter (Vac BFs TrCl MB'!$F$7:$AU$37,MATCH(PROSPECT!$B58,'Enter (Vac BFs TrCl MB'!$D$7:$D$37,FALSE),MATCH(PROSPECT!M$42,'Enter (Vac BFs TrCl MB'!$F$6:$AU$6,FALSE))))</f>
        <v>0</v>
      </c>
      <c r="N58" s="153">
        <f>IF(ISERROR(INDEX('Enter (Vac BFs TrCl MB'!$F$7:$AU$37,MATCH(PROSPECT!$B58,'Enter (Vac BFs TrCl MB'!$D$7:$D$37,FALSE),MATCH(PROSPECT!N$42,'Enter (Vac BFs TrCl MB'!$F$6:$AU$6,FALSE))),"",(INDEX('Enter (Vac BFs TrCl MB'!$F$7:$AU$37,MATCH(PROSPECT!$B58,'Enter (Vac BFs TrCl MB'!$D$7:$D$37,FALSE),MATCH(PROSPECT!N$42,'Enter (Vac BFs TrCl MB'!$F$6:$AU$6,FALSE))))</f>
        <v>0</v>
      </c>
      <c r="O58" s="153">
        <f>IF(ISERROR(INDEX('Enter (Vac BFs TrCl MB'!$F$7:$AU$37,MATCH(PROSPECT!$B58,'Enter (Vac BFs TrCl MB'!$D$7:$D$37,FALSE),MATCH(PROSPECT!O$42,'Enter (Vac BFs TrCl MB'!$F$6:$AU$6,FALSE))),"",(INDEX('Enter (Vac BFs TrCl MB'!$F$7:$AU$37,MATCH(PROSPECT!$B58,'Enter (Vac BFs TrCl MB'!$D$7:$D$37,FALSE),MATCH(PROSPECT!O$42,'Enter (Vac BFs TrCl MB'!$F$6:$AU$6,FALSE))))</f>
        <v>0</v>
      </c>
      <c r="P58" s="153">
        <f>IF(ISERROR(INDEX('Enter (Vac BFs TrCl MB'!$F$7:$AU$37,MATCH(PROSPECT!$B58,'Enter (Vac BFs TrCl MB'!$D$7:$D$37,FALSE),MATCH(PROSPECT!P$42,'Enter (Vac BFs TrCl MB'!$F$6:$AU$6,FALSE))),"",(INDEX('Enter (Vac BFs TrCl MB'!$F$7:$AU$37,MATCH(PROSPECT!$B58,'Enter (Vac BFs TrCl MB'!$D$7:$D$37,FALSE),MATCH(PROSPECT!P$42,'Enter (Vac BFs TrCl MB'!$F$6:$AU$6,FALSE))))</f>
        <v>0</v>
      </c>
      <c r="Q58" s="153">
        <f>IF(ISERROR(INDEX('Enter (Vac BFs TrCl MB'!$F$7:$AU$37,MATCH(PROSPECT!$B58,'Enter (Vac BFs TrCl MB'!$D$7:$D$37,FALSE),MATCH(PROSPECT!Q$42,'Enter (Vac BFs TrCl MB'!$F$6:$AU$6,FALSE))),"",(INDEX('Enter (Vac BFs TrCl MB'!$F$7:$AU$37,MATCH(PROSPECT!$B58,'Enter (Vac BFs TrCl MB'!$D$7:$D$37,FALSE),MATCH(PROSPECT!Q$42,'Enter (Vac BFs TrCl MB'!$F$6:$AU$6,FALSE))))</f>
        <v>0</v>
      </c>
      <c r="R58" s="154"/>
      <c r="S58" s="781"/>
      <c r="T58" s="283"/>
      <c r="U58" s="274"/>
      <c r="V58" s="798"/>
      <c r="W58" s="798"/>
      <c r="X58" s="798"/>
      <c r="Y58" s="798"/>
      <c r="Z58" s="798"/>
      <c r="AA58" s="799"/>
    </row>
    <row r="59" spans="2:27" ht="15">
      <c r="B59" s="111" t="str">
        <f>IF('Enter (Vac BFs TrCl MB'!$D22=0,"",'Enter (Vac BFs TrCl MB'!$D22)</f>
        <v>Ravneet</v>
      </c>
      <c r="C59" s="153" t="str">
        <f>IF(ISERROR(INDEX('Enter (Vac BFs TrCl MB'!$F$7:$AU$37,MATCH(PROSPECT!$B59,'Enter (Vac BFs TrCl MB'!$D$7:$D$37,FALSE),MATCH(PROSPECT!C$42,'Enter (Vac BFs TrCl MB'!$F$6:$AU$6,FALSE))),"",(INDEX('Enter (Vac BFs TrCl MB'!$F$7:$AU$37,MATCH(PROSPECT!$B59,'Enter (Vac BFs TrCl MB'!$D$7:$D$37,FALSE),MATCH(PROSPECT!C$42,'Enter (Vac BFs TrCl MB'!$F$6:$AU$6,FALSE))))</f>
        <v/>
      </c>
      <c r="D59" s="153" t="str">
        <f>IF(ISERROR(INDEX('Enter (Vac BFs TrCl MB'!$F$7:$AU$37,MATCH(PROSPECT!$B59,'Enter (Vac BFs TrCl MB'!$D$7:$D$37,FALSE),MATCH(PROSPECT!D$42,'Enter (Vac BFs TrCl MB'!$F$6:$AU$6,FALSE))),"",(INDEX('Enter (Vac BFs TrCl MB'!$F$7:$AU$37,MATCH(PROSPECT!$B59,'Enter (Vac BFs TrCl MB'!$D$7:$D$37,FALSE),MATCH(PROSPECT!D$42,'Enter (Vac BFs TrCl MB'!$F$6:$AU$6,FALSE))))</f>
        <v/>
      </c>
      <c r="E59" s="153" t="str">
        <f>IF(ISERROR(INDEX('Enter (Vac BFs TrCl MB'!$F$7:$AU$37,MATCH(PROSPECT!$B59,'Enter (Vac BFs TrCl MB'!$D$7:$D$37,FALSE),MATCH(PROSPECT!E$42,'Enter (Vac BFs TrCl MB'!$F$6:$AU$6,FALSE))),"",(INDEX('Enter (Vac BFs TrCl MB'!$F$7:$AU$37,MATCH(PROSPECT!$B59,'Enter (Vac BFs TrCl MB'!$D$7:$D$37,FALSE),MATCH(PROSPECT!E$42,'Enter (Vac BFs TrCl MB'!$F$6:$AU$6,FALSE))))</f>
        <v/>
      </c>
      <c r="F59" s="153" t="str">
        <f>IF(ISERROR(INDEX('Enter (Vac BFs TrCl MB'!$F$7:$AU$37,MATCH(PROSPECT!$B59,'Enter (Vac BFs TrCl MB'!$D$7:$D$37,FALSE),MATCH(PROSPECT!F$42,'Enter (Vac BFs TrCl MB'!$F$6:$AU$6,FALSE))),"",(INDEX('Enter (Vac BFs TrCl MB'!$F$7:$AU$37,MATCH(PROSPECT!$B59,'Enter (Vac BFs TrCl MB'!$D$7:$D$37,FALSE),MATCH(PROSPECT!F$42,'Enter (Vac BFs TrCl MB'!$F$6:$AU$6,FALSE))))</f>
        <v/>
      </c>
      <c r="G59" s="153" t="str">
        <f>IF(ISERROR(INDEX('Enter (Vac BFs TrCl MB'!$F$7:$AU$37,MATCH(PROSPECT!$B59,'Enter (Vac BFs TrCl MB'!$D$7:$D$37,FALSE),MATCH(PROSPECT!G$42,'Enter (Vac BFs TrCl MB'!$F$6:$AU$6,FALSE))),"",(INDEX('Enter (Vac BFs TrCl MB'!$F$7:$AU$37,MATCH(PROSPECT!$B59,'Enter (Vac BFs TrCl MB'!$D$7:$D$37,FALSE),MATCH(PROSPECT!G$42,'Enter (Vac BFs TrCl MB'!$F$6:$AU$6,FALSE))))</f>
        <v/>
      </c>
      <c r="H59" s="153" t="str">
        <f>IF(ISERROR(INDEX('Enter (Vac BFs TrCl MB'!$F$7:$AU$37,MATCH(PROSPECT!$B59,'Enter (Vac BFs TrCl MB'!$D$7:$D$37,FALSE),MATCH(PROSPECT!H$42,'Enter (Vac BFs TrCl MB'!$F$6:$AU$6,FALSE))),"",(INDEX('Enter (Vac BFs TrCl MB'!$F$7:$AU$37,MATCH(PROSPECT!$B59,'Enter (Vac BFs TrCl MB'!$D$7:$D$37,FALSE),MATCH(PROSPECT!H$42,'Enter (Vac BFs TrCl MB'!$F$6:$AU$6,FALSE))))</f>
        <v/>
      </c>
      <c r="I59" s="154" t="str">
        <f>IF(ISERROR(INDEX('Enter (Vac BFs TrCl MB'!$F$7:$AU$37,MATCH(PROSPECT!$B59,'Enter (Vac BFs TrCl MB'!$D$7:$D$37,FALSE),MATCH(PROSPECT!I$42,'Enter (Vac BFs TrCl MB'!$F$6:$AU$6,FALSE))),"",(INDEX('Enter (Vac BFs TrCl MB'!$F$7:$AU$37,MATCH(PROSPECT!$B59,'Enter (Vac BFs TrCl MB'!$D$7:$D$37,FALSE),MATCH(PROSPECT!I$42,'Enter (Vac BFs TrCl MB'!$F$6:$AU$6,FALSE))))</f>
        <v/>
      </c>
      <c r="J59" s="781"/>
      <c r="K59" s="112" t="str">
        <f>IF('Enter (Vac BFs TrCl MB'!$D22=0,"",'Enter (Vac BFs TrCl MB'!$D22)</f>
        <v>Ravneet</v>
      </c>
      <c r="L59" s="153" t="str">
        <f>IF(ISERROR(INDEX('Enter (Vac BFs TrCl MB'!$F$7:$AU$37,MATCH(PROSPECT!$B59,'Enter (Vac BFs TrCl MB'!$D$7:$D$37,FALSE),MATCH(PROSPECT!L$42,'Enter (Vac BFs TrCl MB'!$F$6:$AU$6,FALSE))),"",(INDEX('Enter (Vac BFs TrCl MB'!$F$7:$AU$37,MATCH(PROSPECT!$B59,'Enter (Vac BFs TrCl MB'!$D$7:$D$37,FALSE),MATCH(PROSPECT!L$42,'Enter (Vac BFs TrCl MB'!$F$6:$AU$6,FALSE))))</f>
        <v/>
      </c>
      <c r="M59" s="153" t="str">
        <f>IF(ISERROR(INDEX('Enter (Vac BFs TrCl MB'!$F$7:$AU$37,MATCH(PROSPECT!$B59,'Enter (Vac BFs TrCl MB'!$D$7:$D$37,FALSE),MATCH(PROSPECT!M$42,'Enter (Vac BFs TrCl MB'!$F$6:$AU$6,FALSE))),"",(INDEX('Enter (Vac BFs TrCl MB'!$F$7:$AU$37,MATCH(PROSPECT!$B59,'Enter (Vac BFs TrCl MB'!$D$7:$D$37,FALSE),MATCH(PROSPECT!M$42,'Enter (Vac BFs TrCl MB'!$F$6:$AU$6,FALSE))))</f>
        <v/>
      </c>
      <c r="N59" s="153" t="str">
        <f>IF(ISERROR(INDEX('Enter (Vac BFs TrCl MB'!$F$7:$AU$37,MATCH(PROSPECT!$B59,'Enter (Vac BFs TrCl MB'!$D$7:$D$37,FALSE),MATCH(PROSPECT!N$42,'Enter (Vac BFs TrCl MB'!$F$6:$AU$6,FALSE))),"",(INDEX('Enter (Vac BFs TrCl MB'!$F$7:$AU$37,MATCH(PROSPECT!$B59,'Enter (Vac BFs TrCl MB'!$D$7:$D$37,FALSE),MATCH(PROSPECT!N$42,'Enter (Vac BFs TrCl MB'!$F$6:$AU$6,FALSE))))</f>
        <v/>
      </c>
      <c r="O59" s="153" t="str">
        <f>IF(ISERROR(INDEX('Enter (Vac BFs TrCl MB'!$F$7:$AU$37,MATCH(PROSPECT!$B59,'Enter (Vac BFs TrCl MB'!$D$7:$D$37,FALSE),MATCH(PROSPECT!O$42,'Enter (Vac BFs TrCl MB'!$F$6:$AU$6,FALSE))),"",(INDEX('Enter (Vac BFs TrCl MB'!$F$7:$AU$37,MATCH(PROSPECT!$B59,'Enter (Vac BFs TrCl MB'!$D$7:$D$37,FALSE),MATCH(PROSPECT!O$42,'Enter (Vac BFs TrCl MB'!$F$6:$AU$6,FALSE))))</f>
        <v/>
      </c>
      <c r="P59" s="153" t="str">
        <f>IF(ISERROR(INDEX('Enter (Vac BFs TrCl MB'!$F$7:$AU$37,MATCH(PROSPECT!$B59,'Enter (Vac BFs TrCl MB'!$D$7:$D$37,FALSE),MATCH(PROSPECT!P$42,'Enter (Vac BFs TrCl MB'!$F$6:$AU$6,FALSE))),"",(INDEX('Enter (Vac BFs TrCl MB'!$F$7:$AU$37,MATCH(PROSPECT!$B59,'Enter (Vac BFs TrCl MB'!$D$7:$D$37,FALSE),MATCH(PROSPECT!P$42,'Enter (Vac BFs TrCl MB'!$F$6:$AU$6,FALSE))))</f>
        <v/>
      </c>
      <c r="Q59" s="153" t="str">
        <f>IF(ISERROR(INDEX('Enter (Vac BFs TrCl MB'!$F$7:$AU$37,MATCH(PROSPECT!$B59,'Enter (Vac BFs TrCl MB'!$D$7:$D$37,FALSE),MATCH(PROSPECT!Q$42,'Enter (Vac BFs TrCl MB'!$F$6:$AU$6,FALSE))),"",(INDEX('Enter (Vac BFs TrCl MB'!$F$7:$AU$37,MATCH(PROSPECT!$B59,'Enter (Vac BFs TrCl MB'!$D$7:$D$37,FALSE),MATCH(PROSPECT!Q$42,'Enter (Vac BFs TrCl MB'!$F$6:$AU$6,FALSE))))</f>
        <v/>
      </c>
      <c r="R59" s="154"/>
      <c r="S59" s="781"/>
      <c r="T59" s="283"/>
      <c r="U59" s="274"/>
      <c r="V59" s="798"/>
      <c r="W59" s="798"/>
      <c r="X59" s="798"/>
      <c r="Y59" s="798"/>
      <c r="Z59" s="798"/>
      <c r="AA59" s="799"/>
    </row>
    <row r="60" spans="2:27" ht="15">
      <c r="B60" s="111" t="str">
        <f>IF('Enter (Vac BFs TrCl MB'!$D23=0,"",'Enter (Vac BFs TrCl MB'!$D23)</f>
        <v/>
      </c>
      <c r="C60" s="153" t="str">
        <f>IF(ISERROR(INDEX('Enter (Vac BFs TrCl MB'!$F$7:$AU$37,MATCH(PROSPECT!$B60,'Enter (Vac BFs TrCl MB'!$D$7:$D$37,FALSE),MATCH(PROSPECT!C$42,'Enter (Vac BFs TrCl MB'!$F$6:$AU$6,FALSE))),"",(INDEX('Enter (Vac BFs TrCl MB'!$F$7:$AU$37,MATCH(PROSPECT!$B60,'Enter (Vac BFs TrCl MB'!$D$7:$D$37,FALSE),MATCH(PROSPECT!C$42,'Enter (Vac BFs TrCl MB'!$F$6:$AU$6,FALSE))))</f>
        <v/>
      </c>
      <c r="D60" s="153" t="str">
        <f>IF(ISERROR(INDEX('Enter (Vac BFs TrCl MB'!$F$7:$AU$37,MATCH(PROSPECT!$B60,'Enter (Vac BFs TrCl MB'!$D$7:$D$37,FALSE),MATCH(PROSPECT!D$42,'Enter (Vac BFs TrCl MB'!$F$6:$AU$6,FALSE))),"",(INDEX('Enter (Vac BFs TrCl MB'!$F$7:$AU$37,MATCH(PROSPECT!$B60,'Enter (Vac BFs TrCl MB'!$D$7:$D$37,FALSE),MATCH(PROSPECT!D$42,'Enter (Vac BFs TrCl MB'!$F$6:$AU$6,FALSE))))</f>
        <v/>
      </c>
      <c r="E60" s="153" t="str">
        <f>IF(ISERROR(INDEX('Enter (Vac BFs TrCl MB'!$F$7:$AU$37,MATCH(PROSPECT!$B60,'Enter (Vac BFs TrCl MB'!$D$7:$D$37,FALSE),MATCH(PROSPECT!E$42,'Enter (Vac BFs TrCl MB'!$F$6:$AU$6,FALSE))),"",(INDEX('Enter (Vac BFs TrCl MB'!$F$7:$AU$37,MATCH(PROSPECT!$B60,'Enter (Vac BFs TrCl MB'!$D$7:$D$37,FALSE),MATCH(PROSPECT!E$42,'Enter (Vac BFs TrCl MB'!$F$6:$AU$6,FALSE))))</f>
        <v/>
      </c>
      <c r="F60" s="153" t="str">
        <f>IF(ISERROR(INDEX('Enter (Vac BFs TrCl MB'!$F$7:$AU$37,MATCH(PROSPECT!$B60,'Enter (Vac BFs TrCl MB'!$D$7:$D$37,FALSE),MATCH(PROSPECT!F$42,'Enter (Vac BFs TrCl MB'!$F$6:$AU$6,FALSE))),"",(INDEX('Enter (Vac BFs TrCl MB'!$F$7:$AU$37,MATCH(PROSPECT!$B60,'Enter (Vac BFs TrCl MB'!$D$7:$D$37,FALSE),MATCH(PROSPECT!F$42,'Enter (Vac BFs TrCl MB'!$F$6:$AU$6,FALSE))))</f>
        <v/>
      </c>
      <c r="G60" s="153" t="str">
        <f>IF(ISERROR(INDEX('Enter (Vac BFs TrCl MB'!$F$7:$AU$37,MATCH(PROSPECT!$B60,'Enter (Vac BFs TrCl MB'!$D$7:$D$37,FALSE),MATCH(PROSPECT!G$42,'Enter (Vac BFs TrCl MB'!$F$6:$AU$6,FALSE))),"",(INDEX('Enter (Vac BFs TrCl MB'!$F$7:$AU$37,MATCH(PROSPECT!$B60,'Enter (Vac BFs TrCl MB'!$D$7:$D$37,FALSE),MATCH(PROSPECT!G$42,'Enter (Vac BFs TrCl MB'!$F$6:$AU$6,FALSE))))</f>
        <v/>
      </c>
      <c r="H60" s="153" t="str">
        <f>IF(ISERROR(INDEX('Enter (Vac BFs TrCl MB'!$F$7:$AU$37,MATCH(PROSPECT!$B60,'Enter (Vac BFs TrCl MB'!$D$7:$D$37,FALSE),MATCH(PROSPECT!H$42,'Enter (Vac BFs TrCl MB'!$F$6:$AU$6,FALSE))),"",(INDEX('Enter (Vac BFs TrCl MB'!$F$7:$AU$37,MATCH(PROSPECT!$B60,'Enter (Vac BFs TrCl MB'!$D$7:$D$37,FALSE),MATCH(PROSPECT!H$42,'Enter (Vac BFs TrCl MB'!$F$6:$AU$6,FALSE))))</f>
        <v/>
      </c>
      <c r="I60" s="154" t="str">
        <f>IF(ISERROR(INDEX('Enter (Vac BFs TrCl MB'!$F$7:$AU$37,MATCH(PROSPECT!$B60,'Enter (Vac BFs TrCl MB'!$D$7:$D$37,FALSE),MATCH(PROSPECT!I$42,'Enter (Vac BFs TrCl MB'!$F$6:$AU$6,FALSE))),"",(INDEX('Enter (Vac BFs TrCl MB'!$F$7:$AU$37,MATCH(PROSPECT!$B60,'Enter (Vac BFs TrCl MB'!$D$7:$D$37,FALSE),MATCH(PROSPECT!I$42,'Enter (Vac BFs TrCl MB'!$F$6:$AU$6,FALSE))))</f>
        <v/>
      </c>
      <c r="J60" s="781"/>
      <c r="K60" s="112" t="str">
        <f>IF('Enter (Vac BFs TrCl MB'!$D23=0,"",'Enter (Vac BFs TrCl MB'!$D23)</f>
        <v/>
      </c>
      <c r="L60" s="153" t="str">
        <f>IF(ISERROR(INDEX('Enter (Vac BFs TrCl MB'!$F$7:$AU$37,MATCH(PROSPECT!$B60,'Enter (Vac BFs TrCl MB'!$D$7:$D$37,FALSE),MATCH(PROSPECT!L$42,'Enter (Vac BFs TrCl MB'!$F$6:$AU$6,FALSE))),"",(INDEX('Enter (Vac BFs TrCl MB'!$F$7:$AU$37,MATCH(PROSPECT!$B60,'Enter (Vac BFs TrCl MB'!$D$7:$D$37,FALSE),MATCH(PROSPECT!L$42,'Enter (Vac BFs TrCl MB'!$F$6:$AU$6,FALSE))))</f>
        <v/>
      </c>
      <c r="M60" s="153" t="str">
        <f>IF(ISERROR(INDEX('Enter (Vac BFs TrCl MB'!$F$7:$AU$37,MATCH(PROSPECT!$B60,'Enter (Vac BFs TrCl MB'!$D$7:$D$37,FALSE),MATCH(PROSPECT!M$42,'Enter (Vac BFs TrCl MB'!$F$6:$AU$6,FALSE))),"",(INDEX('Enter (Vac BFs TrCl MB'!$F$7:$AU$37,MATCH(PROSPECT!$B60,'Enter (Vac BFs TrCl MB'!$D$7:$D$37,FALSE),MATCH(PROSPECT!M$42,'Enter (Vac BFs TrCl MB'!$F$6:$AU$6,FALSE))))</f>
        <v/>
      </c>
      <c r="N60" s="153" t="str">
        <f>IF(ISERROR(INDEX('Enter (Vac BFs TrCl MB'!$F$7:$AU$37,MATCH(PROSPECT!$B60,'Enter (Vac BFs TrCl MB'!$D$7:$D$37,FALSE),MATCH(PROSPECT!N$42,'Enter (Vac BFs TrCl MB'!$F$6:$AU$6,FALSE))),"",(INDEX('Enter (Vac BFs TrCl MB'!$F$7:$AU$37,MATCH(PROSPECT!$B60,'Enter (Vac BFs TrCl MB'!$D$7:$D$37,FALSE),MATCH(PROSPECT!N$42,'Enter (Vac BFs TrCl MB'!$F$6:$AU$6,FALSE))))</f>
        <v/>
      </c>
      <c r="O60" s="153" t="str">
        <f>IF(ISERROR(INDEX('Enter (Vac BFs TrCl MB'!$F$7:$AU$37,MATCH(PROSPECT!$B60,'Enter (Vac BFs TrCl MB'!$D$7:$D$37,FALSE),MATCH(PROSPECT!O$42,'Enter (Vac BFs TrCl MB'!$F$6:$AU$6,FALSE))),"",(INDEX('Enter (Vac BFs TrCl MB'!$F$7:$AU$37,MATCH(PROSPECT!$B60,'Enter (Vac BFs TrCl MB'!$D$7:$D$37,FALSE),MATCH(PROSPECT!O$42,'Enter (Vac BFs TrCl MB'!$F$6:$AU$6,FALSE))))</f>
        <v/>
      </c>
      <c r="P60" s="153" t="str">
        <f>IF(ISERROR(INDEX('Enter (Vac BFs TrCl MB'!$F$7:$AU$37,MATCH(PROSPECT!$B60,'Enter (Vac BFs TrCl MB'!$D$7:$D$37,FALSE),MATCH(PROSPECT!P$42,'Enter (Vac BFs TrCl MB'!$F$6:$AU$6,FALSE))),"",(INDEX('Enter (Vac BFs TrCl MB'!$F$7:$AU$37,MATCH(PROSPECT!$B60,'Enter (Vac BFs TrCl MB'!$D$7:$D$37,FALSE),MATCH(PROSPECT!P$42,'Enter (Vac BFs TrCl MB'!$F$6:$AU$6,FALSE))))</f>
        <v/>
      </c>
      <c r="Q60" s="153" t="str">
        <f>IF(ISERROR(INDEX('Enter (Vac BFs TrCl MB'!$F$7:$AU$37,MATCH(PROSPECT!$B60,'Enter (Vac BFs TrCl MB'!$D$7:$D$37,FALSE),MATCH(PROSPECT!Q$42,'Enter (Vac BFs TrCl MB'!$F$6:$AU$6,FALSE))),"",(INDEX('Enter (Vac BFs TrCl MB'!$F$7:$AU$37,MATCH(PROSPECT!$B60,'Enter (Vac BFs TrCl MB'!$D$7:$D$37,FALSE),MATCH(PROSPECT!Q$42,'Enter (Vac BFs TrCl MB'!$F$6:$AU$6,FALSE))))</f>
        <v/>
      </c>
      <c r="R60" s="154"/>
      <c r="S60" s="781"/>
      <c r="T60" s="283"/>
      <c r="U60" s="274"/>
      <c r="V60" s="798"/>
      <c r="W60" s="798"/>
      <c r="X60" s="798"/>
      <c r="Y60" s="798"/>
      <c r="Z60" s="798"/>
      <c r="AA60" s="799"/>
    </row>
    <row r="61" spans="2:27" ht="15">
      <c r="B61" s="111" t="str">
        <f>IF('Enter (Vac BFs TrCl MB'!$D24=0,"",'Enter (Vac BFs TrCl MB'!$D24)</f>
        <v>Open/close</v>
      </c>
      <c r="C61" s="153">
        <f>IF(ISERROR(INDEX('Enter (Vac BFs TrCl MB'!$F$7:$AU$37,MATCH(PROSPECT!$B61,'Enter (Vac BFs TrCl MB'!$D$7:$D$37,FALSE),MATCH(PROSPECT!C$42,'Enter (Vac BFs TrCl MB'!$F$6:$AU$6,FALSE))),"",(INDEX('Enter (Vac BFs TrCl MB'!$F$7:$AU$37,MATCH(PROSPECT!$B61,'Enter (Vac BFs TrCl MB'!$D$7:$D$37,FALSE),MATCH(PROSPECT!C$42,'Enter (Vac BFs TrCl MB'!$F$6:$AU$6,FALSE))))</f>
        <v>0</v>
      </c>
      <c r="D61" s="153">
        <f>IF(ISERROR(INDEX('Enter (Vac BFs TrCl MB'!$F$7:$AU$37,MATCH(PROSPECT!$B61,'Enter (Vac BFs TrCl MB'!$D$7:$D$37,FALSE),MATCH(PROSPECT!D$42,'Enter (Vac BFs TrCl MB'!$F$6:$AU$6,FALSE))),"",(INDEX('Enter (Vac BFs TrCl MB'!$F$7:$AU$37,MATCH(PROSPECT!$B61,'Enter (Vac BFs TrCl MB'!$D$7:$D$37,FALSE),MATCH(PROSPECT!D$42,'Enter (Vac BFs TrCl MB'!$F$6:$AU$6,FALSE))))</f>
        <v>0</v>
      </c>
      <c r="E61" s="153">
        <f>IF(ISERROR(INDEX('Enter (Vac BFs TrCl MB'!$F$7:$AU$37,MATCH(PROSPECT!$B61,'Enter (Vac BFs TrCl MB'!$D$7:$D$37,FALSE),MATCH(PROSPECT!E$42,'Enter (Vac BFs TrCl MB'!$F$6:$AU$6,FALSE))),"",(INDEX('Enter (Vac BFs TrCl MB'!$F$7:$AU$37,MATCH(PROSPECT!$B61,'Enter (Vac BFs TrCl MB'!$D$7:$D$37,FALSE),MATCH(PROSPECT!E$42,'Enter (Vac BFs TrCl MB'!$F$6:$AU$6,FALSE))))</f>
        <v>0</v>
      </c>
      <c r="F61" s="153">
        <f>IF(ISERROR(INDEX('Enter (Vac BFs TrCl MB'!$F$7:$AU$37,MATCH(PROSPECT!$B61,'Enter (Vac BFs TrCl MB'!$D$7:$D$37,FALSE),MATCH(PROSPECT!F$42,'Enter (Vac BFs TrCl MB'!$F$6:$AU$6,FALSE))),"",(INDEX('Enter (Vac BFs TrCl MB'!$F$7:$AU$37,MATCH(PROSPECT!$B61,'Enter (Vac BFs TrCl MB'!$D$7:$D$37,FALSE),MATCH(PROSPECT!F$42,'Enter (Vac BFs TrCl MB'!$F$6:$AU$6,FALSE))))</f>
        <v>0</v>
      </c>
      <c r="G61" s="153">
        <f>IF(ISERROR(INDEX('Enter (Vac BFs TrCl MB'!$F$7:$AU$37,MATCH(PROSPECT!$B61,'Enter (Vac BFs TrCl MB'!$D$7:$D$37,FALSE),MATCH(PROSPECT!G$42,'Enter (Vac BFs TrCl MB'!$F$6:$AU$6,FALSE))),"",(INDEX('Enter (Vac BFs TrCl MB'!$F$7:$AU$37,MATCH(PROSPECT!$B61,'Enter (Vac BFs TrCl MB'!$D$7:$D$37,FALSE),MATCH(PROSPECT!G$42,'Enter (Vac BFs TrCl MB'!$F$6:$AU$6,FALSE))))</f>
        <v>0</v>
      </c>
      <c r="H61" s="153">
        <f>IF(ISERROR(INDEX('Enter (Vac BFs TrCl MB'!$F$7:$AU$37,MATCH(PROSPECT!$B61,'Enter (Vac BFs TrCl MB'!$D$7:$D$37,FALSE),MATCH(PROSPECT!H$42,'Enter (Vac BFs TrCl MB'!$F$6:$AU$6,FALSE))),"",(INDEX('Enter (Vac BFs TrCl MB'!$F$7:$AU$37,MATCH(PROSPECT!$B61,'Enter (Vac BFs TrCl MB'!$D$7:$D$37,FALSE),MATCH(PROSPECT!H$42,'Enter (Vac BFs TrCl MB'!$F$6:$AU$6,FALSE))))</f>
        <v>0</v>
      </c>
      <c r="I61" s="154">
        <f>IF(ISERROR(INDEX('Enter (Vac BFs TrCl MB'!$F$7:$AU$37,MATCH(PROSPECT!$B61,'Enter (Vac BFs TrCl MB'!$D$7:$D$37,FALSE),MATCH(PROSPECT!I$42,'Enter (Vac BFs TrCl MB'!$F$6:$AU$6,FALSE))),"",(INDEX('Enter (Vac BFs TrCl MB'!$F$7:$AU$37,MATCH(PROSPECT!$B61,'Enter (Vac BFs TrCl MB'!$D$7:$D$37,FALSE),MATCH(PROSPECT!I$42,'Enter (Vac BFs TrCl MB'!$F$6:$AU$6,FALSE))))</f>
        <v>0</v>
      </c>
      <c r="J61" s="781"/>
      <c r="K61" s="112" t="str">
        <f>IF('Enter (Vac BFs TrCl MB'!$D24=0,"",'Enter (Vac BFs TrCl MB'!$D24)</f>
        <v>Open/close</v>
      </c>
      <c r="L61" s="153">
        <f>IF(ISERROR(INDEX('Enter (Vac BFs TrCl MB'!$F$7:$AU$37,MATCH(PROSPECT!$B61,'Enter (Vac BFs TrCl MB'!$D$7:$D$37,FALSE),MATCH(PROSPECT!L$42,'Enter (Vac BFs TrCl MB'!$F$6:$AU$6,FALSE))),"",(INDEX('Enter (Vac BFs TrCl MB'!$F$7:$AU$37,MATCH(PROSPECT!$B61,'Enter (Vac BFs TrCl MB'!$D$7:$D$37,FALSE),MATCH(PROSPECT!L$42,'Enter (Vac BFs TrCl MB'!$F$6:$AU$6,FALSE))))</f>
        <v>0</v>
      </c>
      <c r="M61" s="153">
        <f>IF(ISERROR(INDEX('Enter (Vac BFs TrCl MB'!$F$7:$AU$37,MATCH(PROSPECT!$B61,'Enter (Vac BFs TrCl MB'!$D$7:$D$37,FALSE),MATCH(PROSPECT!M$42,'Enter (Vac BFs TrCl MB'!$F$6:$AU$6,FALSE))),"",(INDEX('Enter (Vac BFs TrCl MB'!$F$7:$AU$37,MATCH(PROSPECT!$B61,'Enter (Vac BFs TrCl MB'!$D$7:$D$37,FALSE),MATCH(PROSPECT!M$42,'Enter (Vac BFs TrCl MB'!$F$6:$AU$6,FALSE))))</f>
        <v>0</v>
      </c>
      <c r="N61" s="153">
        <f>IF(ISERROR(INDEX('Enter (Vac BFs TrCl MB'!$F$7:$AU$37,MATCH(PROSPECT!$B61,'Enter (Vac BFs TrCl MB'!$D$7:$D$37,FALSE),MATCH(PROSPECT!N$42,'Enter (Vac BFs TrCl MB'!$F$6:$AU$6,FALSE))),"",(INDEX('Enter (Vac BFs TrCl MB'!$F$7:$AU$37,MATCH(PROSPECT!$B61,'Enter (Vac BFs TrCl MB'!$D$7:$D$37,FALSE),MATCH(PROSPECT!N$42,'Enter (Vac BFs TrCl MB'!$F$6:$AU$6,FALSE))))</f>
        <v>0</v>
      </c>
      <c r="O61" s="153">
        <f>IF(ISERROR(INDEX('Enter (Vac BFs TrCl MB'!$F$7:$AU$37,MATCH(PROSPECT!$B61,'Enter (Vac BFs TrCl MB'!$D$7:$D$37,FALSE),MATCH(PROSPECT!O$42,'Enter (Vac BFs TrCl MB'!$F$6:$AU$6,FALSE))),"",(INDEX('Enter (Vac BFs TrCl MB'!$F$7:$AU$37,MATCH(PROSPECT!$B61,'Enter (Vac BFs TrCl MB'!$D$7:$D$37,FALSE),MATCH(PROSPECT!O$42,'Enter (Vac BFs TrCl MB'!$F$6:$AU$6,FALSE))))</f>
        <v>0</v>
      </c>
      <c r="P61" s="153">
        <f>IF(ISERROR(INDEX('Enter (Vac BFs TrCl MB'!$F$7:$AU$37,MATCH(PROSPECT!$B61,'Enter (Vac BFs TrCl MB'!$D$7:$D$37,FALSE),MATCH(PROSPECT!P$42,'Enter (Vac BFs TrCl MB'!$F$6:$AU$6,FALSE))),"",(INDEX('Enter (Vac BFs TrCl MB'!$F$7:$AU$37,MATCH(PROSPECT!$B61,'Enter (Vac BFs TrCl MB'!$D$7:$D$37,FALSE),MATCH(PROSPECT!P$42,'Enter (Vac BFs TrCl MB'!$F$6:$AU$6,FALSE))))</f>
        <v>0</v>
      </c>
      <c r="Q61" s="153">
        <f>IF(ISERROR(INDEX('Enter (Vac BFs TrCl MB'!$F$7:$AU$37,MATCH(PROSPECT!$B61,'Enter (Vac BFs TrCl MB'!$D$7:$D$37,FALSE),MATCH(PROSPECT!Q$42,'Enter (Vac BFs TrCl MB'!$F$6:$AU$6,FALSE))),"",(INDEX('Enter (Vac BFs TrCl MB'!$F$7:$AU$37,MATCH(PROSPECT!$B61,'Enter (Vac BFs TrCl MB'!$D$7:$D$37,FALSE),MATCH(PROSPECT!Q$42,'Enter (Vac BFs TrCl MB'!$F$6:$AU$6,FALSE))))</f>
        <v>0</v>
      </c>
      <c r="R61" s="154"/>
      <c r="S61" s="781"/>
      <c r="T61" s="283"/>
      <c r="U61" s="274"/>
      <c r="V61" s="798"/>
      <c r="W61" s="798"/>
      <c r="X61" s="798"/>
      <c r="Y61" s="798"/>
      <c r="Z61" s="798"/>
      <c r="AA61" s="799"/>
    </row>
    <row r="62" spans="2:27" ht="15">
      <c r="B62" s="111" t="str">
        <f>IF('Enter (Vac BFs TrCl MB'!$D25=0,"",'Enter (Vac BFs TrCl MB'!$D25)</f>
        <v>Jinse</v>
      </c>
      <c r="C62" s="153" t="str">
        <f>IF(ISERROR(INDEX('Enter (Vac BFs TrCl MB'!$F$7:$AU$37,MATCH(PROSPECT!$B62,'Enter (Vac BFs TrCl MB'!$D$7:$D$37,FALSE),MATCH(PROSPECT!C$42,'Enter (Vac BFs TrCl MB'!$F$6:$AU$6,FALSE))),"",(INDEX('Enter (Vac BFs TrCl MB'!$F$7:$AU$37,MATCH(PROSPECT!$B62,'Enter (Vac BFs TrCl MB'!$D$7:$D$37,FALSE),MATCH(PROSPECT!C$42,'Enter (Vac BFs TrCl MB'!$F$6:$AU$6,FALSE))))</f>
        <v/>
      </c>
      <c r="D62" s="153" t="str">
        <f>IF(ISERROR(INDEX('Enter (Vac BFs TrCl MB'!$F$7:$AU$37,MATCH(PROSPECT!$B62,'Enter (Vac BFs TrCl MB'!$D$7:$D$37,FALSE),MATCH(PROSPECT!D$42,'Enter (Vac BFs TrCl MB'!$F$6:$AU$6,FALSE))),"",(INDEX('Enter (Vac BFs TrCl MB'!$F$7:$AU$37,MATCH(PROSPECT!$B62,'Enter (Vac BFs TrCl MB'!$D$7:$D$37,FALSE),MATCH(PROSPECT!D$42,'Enter (Vac BFs TrCl MB'!$F$6:$AU$6,FALSE))))</f>
        <v/>
      </c>
      <c r="E62" s="153" t="str">
        <f>IF(ISERROR(INDEX('Enter (Vac BFs TrCl MB'!$F$7:$AU$37,MATCH(PROSPECT!$B62,'Enter (Vac BFs TrCl MB'!$D$7:$D$37,FALSE),MATCH(PROSPECT!E$42,'Enter (Vac BFs TrCl MB'!$F$6:$AU$6,FALSE))),"",(INDEX('Enter (Vac BFs TrCl MB'!$F$7:$AU$37,MATCH(PROSPECT!$B62,'Enter (Vac BFs TrCl MB'!$D$7:$D$37,FALSE),MATCH(PROSPECT!E$42,'Enter (Vac BFs TrCl MB'!$F$6:$AU$6,FALSE))))</f>
        <v/>
      </c>
      <c r="F62" s="153" t="str">
        <f>IF(ISERROR(INDEX('Enter (Vac BFs TrCl MB'!$F$7:$AU$37,MATCH(PROSPECT!$B62,'Enter (Vac BFs TrCl MB'!$D$7:$D$37,FALSE),MATCH(PROSPECT!F$42,'Enter (Vac BFs TrCl MB'!$F$6:$AU$6,FALSE))),"",(INDEX('Enter (Vac BFs TrCl MB'!$F$7:$AU$37,MATCH(PROSPECT!$B62,'Enter (Vac BFs TrCl MB'!$D$7:$D$37,FALSE),MATCH(PROSPECT!F$42,'Enter (Vac BFs TrCl MB'!$F$6:$AU$6,FALSE))))</f>
        <v/>
      </c>
      <c r="G62" s="153" t="str">
        <f>IF(ISERROR(INDEX('Enter (Vac BFs TrCl MB'!$F$7:$AU$37,MATCH(PROSPECT!$B62,'Enter (Vac BFs TrCl MB'!$D$7:$D$37,FALSE),MATCH(PROSPECT!G$42,'Enter (Vac BFs TrCl MB'!$F$6:$AU$6,FALSE))),"",(INDEX('Enter (Vac BFs TrCl MB'!$F$7:$AU$37,MATCH(PROSPECT!$B62,'Enter (Vac BFs TrCl MB'!$D$7:$D$37,FALSE),MATCH(PROSPECT!G$42,'Enter (Vac BFs TrCl MB'!$F$6:$AU$6,FALSE))))</f>
        <v/>
      </c>
      <c r="H62" s="153" t="str">
        <f>IF(ISERROR(INDEX('Enter (Vac BFs TrCl MB'!$F$7:$AU$37,MATCH(PROSPECT!$B62,'Enter (Vac BFs TrCl MB'!$D$7:$D$37,FALSE),MATCH(PROSPECT!H$42,'Enter (Vac BFs TrCl MB'!$F$6:$AU$6,FALSE))),"",(INDEX('Enter (Vac BFs TrCl MB'!$F$7:$AU$37,MATCH(PROSPECT!$B62,'Enter (Vac BFs TrCl MB'!$D$7:$D$37,FALSE),MATCH(PROSPECT!H$42,'Enter (Vac BFs TrCl MB'!$F$6:$AU$6,FALSE))))</f>
        <v/>
      </c>
      <c r="I62" s="154" t="str">
        <f>IF(ISERROR(INDEX('Enter (Vac BFs TrCl MB'!$F$7:$AU$37,MATCH(PROSPECT!$B62,'Enter (Vac BFs TrCl MB'!$D$7:$D$37,FALSE),MATCH(PROSPECT!I$42,'Enter (Vac BFs TrCl MB'!$F$6:$AU$6,FALSE))),"",(INDEX('Enter (Vac BFs TrCl MB'!$F$7:$AU$37,MATCH(PROSPECT!$B62,'Enter (Vac BFs TrCl MB'!$D$7:$D$37,FALSE),MATCH(PROSPECT!I$42,'Enter (Vac BFs TrCl MB'!$F$6:$AU$6,FALSE))))</f>
        <v/>
      </c>
      <c r="J62" s="781"/>
      <c r="K62" s="112" t="str">
        <f>IF('Enter (Vac BFs TrCl MB'!$D25=0,"",'Enter (Vac BFs TrCl MB'!$D25)</f>
        <v>Jinse</v>
      </c>
      <c r="L62" s="153" t="str">
        <f>IF(ISERROR(INDEX('Enter (Vac BFs TrCl MB'!$F$7:$AU$37,MATCH(PROSPECT!$B62,'Enter (Vac BFs TrCl MB'!$D$7:$D$37,FALSE),MATCH(PROSPECT!L$42,'Enter (Vac BFs TrCl MB'!$F$6:$AU$6,FALSE))),"",(INDEX('Enter (Vac BFs TrCl MB'!$F$7:$AU$37,MATCH(PROSPECT!$B62,'Enter (Vac BFs TrCl MB'!$D$7:$D$37,FALSE),MATCH(PROSPECT!L$42,'Enter (Vac BFs TrCl MB'!$F$6:$AU$6,FALSE))))</f>
        <v/>
      </c>
      <c r="M62" s="153" t="str">
        <f>IF(ISERROR(INDEX('Enter (Vac BFs TrCl MB'!$F$7:$AU$37,MATCH(PROSPECT!$B62,'Enter (Vac BFs TrCl MB'!$D$7:$D$37,FALSE),MATCH(PROSPECT!M$42,'Enter (Vac BFs TrCl MB'!$F$6:$AU$6,FALSE))),"",(INDEX('Enter (Vac BFs TrCl MB'!$F$7:$AU$37,MATCH(PROSPECT!$B62,'Enter (Vac BFs TrCl MB'!$D$7:$D$37,FALSE),MATCH(PROSPECT!M$42,'Enter (Vac BFs TrCl MB'!$F$6:$AU$6,FALSE))))</f>
        <v/>
      </c>
      <c r="N62" s="153" t="str">
        <f>IF(ISERROR(INDEX('Enter (Vac BFs TrCl MB'!$F$7:$AU$37,MATCH(PROSPECT!$B62,'Enter (Vac BFs TrCl MB'!$D$7:$D$37,FALSE),MATCH(PROSPECT!N$42,'Enter (Vac BFs TrCl MB'!$F$6:$AU$6,FALSE))),"",(INDEX('Enter (Vac BFs TrCl MB'!$F$7:$AU$37,MATCH(PROSPECT!$B62,'Enter (Vac BFs TrCl MB'!$D$7:$D$37,FALSE),MATCH(PROSPECT!N$42,'Enter (Vac BFs TrCl MB'!$F$6:$AU$6,FALSE))))</f>
        <v/>
      </c>
      <c r="O62" s="153" t="str">
        <f>IF(ISERROR(INDEX('Enter (Vac BFs TrCl MB'!$F$7:$AU$37,MATCH(PROSPECT!$B62,'Enter (Vac BFs TrCl MB'!$D$7:$D$37,FALSE),MATCH(PROSPECT!O$42,'Enter (Vac BFs TrCl MB'!$F$6:$AU$6,FALSE))),"",(INDEX('Enter (Vac BFs TrCl MB'!$F$7:$AU$37,MATCH(PROSPECT!$B62,'Enter (Vac BFs TrCl MB'!$D$7:$D$37,FALSE),MATCH(PROSPECT!O$42,'Enter (Vac BFs TrCl MB'!$F$6:$AU$6,FALSE))))</f>
        <v/>
      </c>
      <c r="P62" s="153" t="str">
        <f>IF(ISERROR(INDEX('Enter (Vac BFs TrCl MB'!$F$7:$AU$37,MATCH(PROSPECT!$B62,'Enter (Vac BFs TrCl MB'!$D$7:$D$37,FALSE),MATCH(PROSPECT!P$42,'Enter (Vac BFs TrCl MB'!$F$6:$AU$6,FALSE))),"",(INDEX('Enter (Vac BFs TrCl MB'!$F$7:$AU$37,MATCH(PROSPECT!$B62,'Enter (Vac BFs TrCl MB'!$D$7:$D$37,FALSE),MATCH(PROSPECT!P$42,'Enter (Vac BFs TrCl MB'!$F$6:$AU$6,FALSE))))</f>
        <v/>
      </c>
      <c r="Q62" s="153" t="str">
        <f>IF(ISERROR(INDEX('Enter (Vac BFs TrCl MB'!$F$7:$AU$37,MATCH(PROSPECT!$B62,'Enter (Vac BFs TrCl MB'!$D$7:$D$37,FALSE),MATCH(PROSPECT!Q$42,'Enter (Vac BFs TrCl MB'!$F$6:$AU$6,FALSE))),"",(INDEX('Enter (Vac BFs TrCl MB'!$F$7:$AU$37,MATCH(PROSPECT!$B62,'Enter (Vac BFs TrCl MB'!$D$7:$D$37,FALSE),MATCH(PROSPECT!Q$42,'Enter (Vac BFs TrCl MB'!$F$6:$AU$6,FALSE))))</f>
        <v/>
      </c>
      <c r="R62" s="154"/>
      <c r="S62" s="781"/>
      <c r="T62" s="283"/>
      <c r="U62" s="274"/>
      <c r="V62" s="798"/>
      <c r="W62" s="798"/>
      <c r="X62" s="798"/>
      <c r="Y62" s="798"/>
      <c r="Z62" s="798"/>
      <c r="AA62" s="799"/>
    </row>
    <row r="63" spans="2:27" ht="15">
      <c r="B63" s="111" t="str">
        <f>IF('Enter (Vac BFs TrCl MB'!$D26=0,"",'Enter (Vac BFs TrCl MB'!$D26)</f>
        <v/>
      </c>
      <c r="C63" s="153" t="str">
        <f>IF(ISERROR(INDEX('Enter (Vac BFs TrCl MB'!$F$7:$AU$37,MATCH(PROSPECT!$B63,'Enter (Vac BFs TrCl MB'!$D$7:$D$37,FALSE),MATCH(PROSPECT!C$42,'Enter (Vac BFs TrCl MB'!$F$6:$AU$6,FALSE))),"",(INDEX('Enter (Vac BFs TrCl MB'!$F$7:$AU$37,MATCH(PROSPECT!$B63,'Enter (Vac BFs TrCl MB'!$D$7:$D$37,FALSE),MATCH(PROSPECT!C$42,'Enter (Vac BFs TrCl MB'!$F$6:$AU$6,FALSE))))</f>
        <v/>
      </c>
      <c r="D63" s="153" t="str">
        <f>IF(ISERROR(INDEX('Enter (Vac BFs TrCl MB'!$F$7:$AU$37,MATCH(PROSPECT!$B63,'Enter (Vac BFs TrCl MB'!$D$7:$D$37,FALSE),MATCH(PROSPECT!D$42,'Enter (Vac BFs TrCl MB'!$F$6:$AU$6,FALSE))),"",(INDEX('Enter (Vac BFs TrCl MB'!$F$7:$AU$37,MATCH(PROSPECT!$B63,'Enter (Vac BFs TrCl MB'!$D$7:$D$37,FALSE),MATCH(PROSPECT!D$42,'Enter (Vac BFs TrCl MB'!$F$6:$AU$6,FALSE))))</f>
        <v/>
      </c>
      <c r="E63" s="153" t="str">
        <f>IF(ISERROR(INDEX('Enter (Vac BFs TrCl MB'!$F$7:$AU$37,MATCH(PROSPECT!$B63,'Enter (Vac BFs TrCl MB'!$D$7:$D$37,FALSE),MATCH(PROSPECT!E$42,'Enter (Vac BFs TrCl MB'!$F$6:$AU$6,FALSE))),"",(INDEX('Enter (Vac BFs TrCl MB'!$F$7:$AU$37,MATCH(PROSPECT!$B63,'Enter (Vac BFs TrCl MB'!$D$7:$D$37,FALSE),MATCH(PROSPECT!E$42,'Enter (Vac BFs TrCl MB'!$F$6:$AU$6,FALSE))))</f>
        <v/>
      </c>
      <c r="F63" s="153" t="str">
        <f>IF(ISERROR(INDEX('Enter (Vac BFs TrCl MB'!$F$7:$AU$37,MATCH(PROSPECT!$B63,'Enter (Vac BFs TrCl MB'!$D$7:$D$37,FALSE),MATCH(PROSPECT!F$42,'Enter (Vac BFs TrCl MB'!$F$6:$AU$6,FALSE))),"",(INDEX('Enter (Vac BFs TrCl MB'!$F$7:$AU$37,MATCH(PROSPECT!$B63,'Enter (Vac BFs TrCl MB'!$D$7:$D$37,FALSE),MATCH(PROSPECT!F$42,'Enter (Vac BFs TrCl MB'!$F$6:$AU$6,FALSE))))</f>
        <v/>
      </c>
      <c r="G63" s="153" t="str">
        <f>IF(ISERROR(INDEX('Enter (Vac BFs TrCl MB'!$F$7:$AU$37,MATCH(PROSPECT!$B63,'Enter (Vac BFs TrCl MB'!$D$7:$D$37,FALSE),MATCH(PROSPECT!G$42,'Enter (Vac BFs TrCl MB'!$F$6:$AU$6,FALSE))),"",(INDEX('Enter (Vac BFs TrCl MB'!$F$7:$AU$37,MATCH(PROSPECT!$B63,'Enter (Vac BFs TrCl MB'!$D$7:$D$37,FALSE),MATCH(PROSPECT!G$42,'Enter (Vac BFs TrCl MB'!$F$6:$AU$6,FALSE))))</f>
        <v/>
      </c>
      <c r="H63" s="153" t="str">
        <f>IF(ISERROR(INDEX('Enter (Vac BFs TrCl MB'!$F$7:$AU$37,MATCH(PROSPECT!$B63,'Enter (Vac BFs TrCl MB'!$D$7:$D$37,FALSE),MATCH(PROSPECT!H$42,'Enter (Vac BFs TrCl MB'!$F$6:$AU$6,FALSE))),"",(INDEX('Enter (Vac BFs TrCl MB'!$F$7:$AU$37,MATCH(PROSPECT!$B63,'Enter (Vac BFs TrCl MB'!$D$7:$D$37,FALSE),MATCH(PROSPECT!H$42,'Enter (Vac BFs TrCl MB'!$F$6:$AU$6,FALSE))))</f>
        <v/>
      </c>
      <c r="I63" s="154" t="str">
        <f>IF(ISERROR(INDEX('Enter (Vac BFs TrCl MB'!$F$7:$AU$37,MATCH(PROSPECT!$B63,'Enter (Vac BFs TrCl MB'!$D$7:$D$37,FALSE),MATCH(PROSPECT!I$42,'Enter (Vac BFs TrCl MB'!$F$6:$AU$6,FALSE))),"",(INDEX('Enter (Vac BFs TrCl MB'!$F$7:$AU$37,MATCH(PROSPECT!$B63,'Enter (Vac BFs TrCl MB'!$D$7:$D$37,FALSE),MATCH(PROSPECT!I$42,'Enter (Vac BFs TrCl MB'!$F$6:$AU$6,FALSE))))</f>
        <v/>
      </c>
      <c r="J63" s="781"/>
      <c r="K63" s="112" t="str">
        <f>IF('Enter (Vac BFs TrCl MB'!$D26=0,"",'Enter (Vac BFs TrCl MB'!$D26)</f>
        <v/>
      </c>
      <c r="L63" s="153" t="str">
        <f>IF(ISERROR(INDEX('Enter (Vac BFs TrCl MB'!$F$7:$AU$37,MATCH(PROSPECT!$B63,'Enter (Vac BFs TrCl MB'!$D$7:$D$37,FALSE),MATCH(PROSPECT!L$42,'Enter (Vac BFs TrCl MB'!$F$6:$AU$6,FALSE))),"",(INDEX('Enter (Vac BFs TrCl MB'!$F$7:$AU$37,MATCH(PROSPECT!$B63,'Enter (Vac BFs TrCl MB'!$D$7:$D$37,FALSE),MATCH(PROSPECT!L$42,'Enter (Vac BFs TrCl MB'!$F$6:$AU$6,FALSE))))</f>
        <v/>
      </c>
      <c r="M63" s="153" t="str">
        <f>IF(ISERROR(INDEX('Enter (Vac BFs TrCl MB'!$F$7:$AU$37,MATCH(PROSPECT!$B63,'Enter (Vac BFs TrCl MB'!$D$7:$D$37,FALSE),MATCH(PROSPECT!M$42,'Enter (Vac BFs TrCl MB'!$F$6:$AU$6,FALSE))),"",(INDEX('Enter (Vac BFs TrCl MB'!$F$7:$AU$37,MATCH(PROSPECT!$B63,'Enter (Vac BFs TrCl MB'!$D$7:$D$37,FALSE),MATCH(PROSPECT!M$42,'Enter (Vac BFs TrCl MB'!$F$6:$AU$6,FALSE))))</f>
        <v/>
      </c>
      <c r="N63" s="153" t="str">
        <f>IF(ISERROR(INDEX('Enter (Vac BFs TrCl MB'!$F$7:$AU$37,MATCH(PROSPECT!$B63,'Enter (Vac BFs TrCl MB'!$D$7:$D$37,FALSE),MATCH(PROSPECT!N$42,'Enter (Vac BFs TrCl MB'!$F$6:$AU$6,FALSE))),"",(INDEX('Enter (Vac BFs TrCl MB'!$F$7:$AU$37,MATCH(PROSPECT!$B63,'Enter (Vac BFs TrCl MB'!$D$7:$D$37,FALSE),MATCH(PROSPECT!N$42,'Enter (Vac BFs TrCl MB'!$F$6:$AU$6,FALSE))))</f>
        <v/>
      </c>
      <c r="O63" s="153" t="str">
        <f>IF(ISERROR(INDEX('Enter (Vac BFs TrCl MB'!$F$7:$AU$37,MATCH(PROSPECT!$B63,'Enter (Vac BFs TrCl MB'!$D$7:$D$37,FALSE),MATCH(PROSPECT!O$42,'Enter (Vac BFs TrCl MB'!$F$6:$AU$6,FALSE))),"",(INDEX('Enter (Vac BFs TrCl MB'!$F$7:$AU$37,MATCH(PROSPECT!$B63,'Enter (Vac BFs TrCl MB'!$D$7:$D$37,FALSE),MATCH(PROSPECT!O$42,'Enter (Vac BFs TrCl MB'!$F$6:$AU$6,FALSE))))</f>
        <v/>
      </c>
      <c r="P63" s="153" t="str">
        <f>IF(ISERROR(INDEX('Enter (Vac BFs TrCl MB'!$F$7:$AU$37,MATCH(PROSPECT!$B63,'Enter (Vac BFs TrCl MB'!$D$7:$D$37,FALSE),MATCH(PROSPECT!P$42,'Enter (Vac BFs TrCl MB'!$F$6:$AU$6,FALSE))),"",(INDEX('Enter (Vac BFs TrCl MB'!$F$7:$AU$37,MATCH(PROSPECT!$B63,'Enter (Vac BFs TrCl MB'!$D$7:$D$37,FALSE),MATCH(PROSPECT!P$42,'Enter (Vac BFs TrCl MB'!$F$6:$AU$6,FALSE))))</f>
        <v/>
      </c>
      <c r="Q63" s="153" t="str">
        <f>IF(ISERROR(INDEX('Enter (Vac BFs TrCl MB'!$F$7:$AU$37,MATCH(PROSPECT!$B63,'Enter (Vac BFs TrCl MB'!$D$7:$D$37,FALSE),MATCH(PROSPECT!Q$42,'Enter (Vac BFs TrCl MB'!$F$6:$AU$6,FALSE))),"",(INDEX('Enter (Vac BFs TrCl MB'!$F$7:$AU$37,MATCH(PROSPECT!$B63,'Enter (Vac BFs TrCl MB'!$D$7:$D$37,FALSE),MATCH(PROSPECT!Q$42,'Enter (Vac BFs TrCl MB'!$F$6:$AU$6,FALSE))))</f>
        <v/>
      </c>
      <c r="R63" s="154"/>
      <c r="S63" s="781"/>
      <c r="T63" s="283"/>
      <c r="U63" s="274"/>
      <c r="V63" s="798"/>
      <c r="W63" s="798"/>
      <c r="X63" s="798"/>
      <c r="Y63" s="798"/>
      <c r="Z63" s="798"/>
      <c r="AA63" s="799"/>
    </row>
    <row r="64" spans="2:27" ht="17.2" customHeight="1">
      <c r="B64" s="111" t="str">
        <f>IF('Enter (Vac BFs TrCl MB'!$D27=0,"",'Enter (Vac BFs TrCl MB'!$D27)</f>
        <v xml:space="preserve">TL </v>
      </c>
      <c r="C64" s="153">
        <f>IF(ISERROR(INDEX('Enter (Vac BFs TrCl MB'!$F$7:$AU$37,MATCH(PROSPECT!$B64,'Enter (Vac BFs TrCl MB'!$D$7:$D$37,FALSE),MATCH(PROSPECT!C$42,'Enter (Vac BFs TrCl MB'!$F$6:$AU$6,FALSE))),"",(INDEX('Enter (Vac BFs TrCl MB'!$F$7:$AU$37,MATCH(PROSPECT!$B64,'Enter (Vac BFs TrCl MB'!$D$7:$D$37,FALSE),MATCH(PROSPECT!C$42,'Enter (Vac BFs TrCl MB'!$F$6:$AU$6,FALSE))))</f>
        <v>0</v>
      </c>
      <c r="D64" s="153">
        <f>IF(ISERROR(INDEX('Enter (Vac BFs TrCl MB'!$F$7:$AU$37,MATCH(PROSPECT!$B64,'Enter (Vac BFs TrCl MB'!$D$7:$D$37,FALSE),MATCH(PROSPECT!D$42,'Enter (Vac BFs TrCl MB'!$F$6:$AU$6,FALSE))),"",(INDEX('Enter (Vac BFs TrCl MB'!$F$7:$AU$37,MATCH(PROSPECT!$B64,'Enter (Vac BFs TrCl MB'!$D$7:$D$37,FALSE),MATCH(PROSPECT!D$42,'Enter (Vac BFs TrCl MB'!$F$6:$AU$6,FALSE))))</f>
        <v>0</v>
      </c>
      <c r="E64" s="153">
        <f>IF(ISERROR(INDEX('Enter (Vac BFs TrCl MB'!$F$7:$AU$37,MATCH(PROSPECT!$B64,'Enter (Vac BFs TrCl MB'!$D$7:$D$37,FALSE),MATCH(PROSPECT!E$42,'Enter (Vac BFs TrCl MB'!$F$6:$AU$6,FALSE))),"",(INDEX('Enter (Vac BFs TrCl MB'!$F$7:$AU$37,MATCH(PROSPECT!$B64,'Enter (Vac BFs TrCl MB'!$D$7:$D$37,FALSE),MATCH(PROSPECT!E$42,'Enter (Vac BFs TrCl MB'!$F$6:$AU$6,FALSE))))</f>
        <v>0</v>
      </c>
      <c r="F64" s="153">
        <f>IF(ISERROR(INDEX('Enter (Vac BFs TrCl MB'!$F$7:$AU$37,MATCH(PROSPECT!$B64,'Enter (Vac BFs TrCl MB'!$D$7:$D$37,FALSE),MATCH(PROSPECT!F$42,'Enter (Vac BFs TrCl MB'!$F$6:$AU$6,FALSE))),"",(INDEX('Enter (Vac BFs TrCl MB'!$F$7:$AU$37,MATCH(PROSPECT!$B64,'Enter (Vac BFs TrCl MB'!$D$7:$D$37,FALSE),MATCH(PROSPECT!F$42,'Enter (Vac BFs TrCl MB'!$F$6:$AU$6,FALSE))))</f>
        <v>0</v>
      </c>
      <c r="G64" s="153">
        <f>IF(ISERROR(INDEX('Enter (Vac BFs TrCl MB'!$F$7:$AU$37,MATCH(PROSPECT!$B64,'Enter (Vac BFs TrCl MB'!$D$7:$D$37,FALSE),MATCH(PROSPECT!G$42,'Enter (Vac BFs TrCl MB'!$F$6:$AU$6,FALSE))),"",(INDEX('Enter (Vac BFs TrCl MB'!$F$7:$AU$37,MATCH(PROSPECT!$B64,'Enter (Vac BFs TrCl MB'!$D$7:$D$37,FALSE),MATCH(PROSPECT!G$42,'Enter (Vac BFs TrCl MB'!$F$6:$AU$6,FALSE))))</f>
        <v>0</v>
      </c>
      <c r="H64" s="153">
        <f>IF(ISERROR(INDEX('Enter (Vac BFs TrCl MB'!$F$7:$AU$37,MATCH(PROSPECT!$B64,'Enter (Vac BFs TrCl MB'!$D$7:$D$37,FALSE),MATCH(PROSPECT!H$42,'Enter (Vac BFs TrCl MB'!$F$6:$AU$6,FALSE))),"",(INDEX('Enter (Vac BFs TrCl MB'!$F$7:$AU$37,MATCH(PROSPECT!$B64,'Enter (Vac BFs TrCl MB'!$D$7:$D$37,FALSE),MATCH(PROSPECT!H$42,'Enter (Vac BFs TrCl MB'!$F$6:$AU$6,FALSE))))</f>
        <v>0</v>
      </c>
      <c r="I64" s="154">
        <f>IF(ISERROR(INDEX('Enter (Vac BFs TrCl MB'!$F$7:$AU$37,MATCH(PROSPECT!$B64,'Enter (Vac BFs TrCl MB'!$D$7:$D$37,FALSE),MATCH(PROSPECT!I$42,'Enter (Vac BFs TrCl MB'!$F$6:$AU$6,FALSE))),"",(INDEX('Enter (Vac BFs TrCl MB'!$F$7:$AU$37,MATCH(PROSPECT!$B64,'Enter (Vac BFs TrCl MB'!$D$7:$D$37,FALSE),MATCH(PROSPECT!I$42,'Enter (Vac BFs TrCl MB'!$F$6:$AU$6,FALSE))))</f>
        <v>0</v>
      </c>
      <c r="J64" s="781"/>
      <c r="K64" s="112" t="str">
        <f>IF('Enter (Vac BFs TrCl MB'!$D27=0,"",'Enter (Vac BFs TrCl MB'!$D27)</f>
        <v xml:space="preserve">TL </v>
      </c>
      <c r="L64" s="153">
        <f>IF(ISERROR(INDEX('Enter (Vac BFs TrCl MB'!$F$7:$AU$37,MATCH(PROSPECT!$B64,'Enter (Vac BFs TrCl MB'!$D$7:$D$37,FALSE),MATCH(PROSPECT!L$42,'Enter (Vac BFs TrCl MB'!$F$6:$AU$6,FALSE))),"",(INDEX('Enter (Vac BFs TrCl MB'!$F$7:$AU$37,MATCH(PROSPECT!$B64,'Enter (Vac BFs TrCl MB'!$D$7:$D$37,FALSE),MATCH(PROSPECT!L$42,'Enter (Vac BFs TrCl MB'!$F$6:$AU$6,FALSE))))</f>
        <v>0</v>
      </c>
      <c r="M64" s="153">
        <f>IF(ISERROR(INDEX('Enter (Vac BFs TrCl MB'!$F$7:$AU$37,MATCH(PROSPECT!$B64,'Enter (Vac BFs TrCl MB'!$D$7:$D$37,FALSE),MATCH(PROSPECT!M$42,'Enter (Vac BFs TrCl MB'!$F$6:$AU$6,FALSE))),"",(INDEX('Enter (Vac BFs TrCl MB'!$F$7:$AU$37,MATCH(PROSPECT!$B64,'Enter (Vac BFs TrCl MB'!$D$7:$D$37,FALSE),MATCH(PROSPECT!M$42,'Enter (Vac BFs TrCl MB'!$F$6:$AU$6,FALSE))))</f>
        <v>0</v>
      </c>
      <c r="N64" s="153">
        <f>IF(ISERROR(INDEX('Enter (Vac BFs TrCl MB'!$F$7:$AU$37,MATCH(PROSPECT!$B64,'Enter (Vac BFs TrCl MB'!$D$7:$D$37,FALSE),MATCH(PROSPECT!N$42,'Enter (Vac BFs TrCl MB'!$F$6:$AU$6,FALSE))),"",(INDEX('Enter (Vac BFs TrCl MB'!$F$7:$AU$37,MATCH(PROSPECT!$B64,'Enter (Vac BFs TrCl MB'!$D$7:$D$37,FALSE),MATCH(PROSPECT!N$42,'Enter (Vac BFs TrCl MB'!$F$6:$AU$6,FALSE))))</f>
        <v>0</v>
      </c>
      <c r="O64" s="153">
        <f>IF(ISERROR(INDEX('Enter (Vac BFs TrCl MB'!$F$7:$AU$37,MATCH(PROSPECT!$B64,'Enter (Vac BFs TrCl MB'!$D$7:$D$37,FALSE),MATCH(PROSPECT!O$42,'Enter (Vac BFs TrCl MB'!$F$6:$AU$6,FALSE))),"",(INDEX('Enter (Vac BFs TrCl MB'!$F$7:$AU$37,MATCH(PROSPECT!$B64,'Enter (Vac BFs TrCl MB'!$D$7:$D$37,FALSE),MATCH(PROSPECT!O$42,'Enter (Vac BFs TrCl MB'!$F$6:$AU$6,FALSE))))</f>
        <v>0</v>
      </c>
      <c r="P64" s="153">
        <f>IF(ISERROR(INDEX('Enter (Vac BFs TrCl MB'!$F$7:$AU$37,MATCH(PROSPECT!$B64,'Enter (Vac BFs TrCl MB'!$D$7:$D$37,FALSE),MATCH(PROSPECT!P$42,'Enter (Vac BFs TrCl MB'!$F$6:$AU$6,FALSE))),"",(INDEX('Enter (Vac BFs TrCl MB'!$F$7:$AU$37,MATCH(PROSPECT!$B64,'Enter (Vac BFs TrCl MB'!$D$7:$D$37,FALSE),MATCH(PROSPECT!P$42,'Enter (Vac BFs TrCl MB'!$F$6:$AU$6,FALSE))))</f>
        <v>0</v>
      </c>
      <c r="Q64" s="153">
        <f>IF(ISERROR(INDEX('Enter (Vac BFs TrCl MB'!$F$7:$AU$37,MATCH(PROSPECT!$B64,'Enter (Vac BFs TrCl MB'!$D$7:$D$37,FALSE),MATCH(PROSPECT!Q$42,'Enter (Vac BFs TrCl MB'!$F$6:$AU$6,FALSE))),"",(INDEX('Enter (Vac BFs TrCl MB'!$F$7:$AU$37,MATCH(PROSPECT!$B64,'Enter (Vac BFs TrCl MB'!$D$7:$D$37,FALSE),MATCH(PROSPECT!Q$42,'Enter (Vac BFs TrCl MB'!$F$6:$AU$6,FALSE))))</f>
        <v>0</v>
      </c>
      <c r="R64" s="154"/>
      <c r="S64" s="781"/>
      <c r="T64" s="283"/>
      <c r="U64" s="274"/>
      <c r="V64" s="798"/>
      <c r="W64" s="798"/>
      <c r="X64" s="798"/>
      <c r="Y64" s="798"/>
      <c r="Z64" s="798"/>
      <c r="AA64" s="799"/>
    </row>
    <row r="65" spans="2:27" ht="15.4" thickBot="1">
      <c r="B65" s="111" t="str">
        <f>IF('Enter (Vac BFs TrCl MB'!$D28=0,"",'Enter (Vac BFs TrCl MB'!$D28)</f>
        <v>Lakshay</v>
      </c>
      <c r="C65" s="155">
        <f>IF(ISERROR(INDEX('Enter (Vac BFs TrCl MB'!$F$7:$AU$37,MATCH(PROSPECT!$B65,'Enter (Vac BFs TrCl MB'!$D$7:$D$37,FALSE),MATCH(PROSPECT!C$42,'Enter (Vac BFs TrCl MB'!$F$6:$AU$6,FALSE))),"",(INDEX('Enter (Vac BFs TrCl MB'!$F$7:$AU$37,MATCH(PROSPECT!$B65,'Enter (Vac BFs TrCl MB'!$D$7:$D$37,FALSE),MATCH(PROSPECT!C$42,'Enter (Vac BFs TrCl MB'!$F$6:$AU$6,FALSE))))</f>
        <v>0</v>
      </c>
      <c r="D65" s="155">
        <f>IF(ISERROR(INDEX('Enter (Vac BFs TrCl MB'!$F$7:$AU$37,MATCH(PROSPECT!$B65,'Enter (Vac BFs TrCl MB'!$D$7:$D$37,FALSE),MATCH(PROSPECT!D$42,'Enter (Vac BFs TrCl MB'!$F$6:$AU$6,FALSE))),"",(INDEX('Enter (Vac BFs TrCl MB'!$F$7:$AU$37,MATCH(PROSPECT!$B65,'Enter (Vac BFs TrCl MB'!$D$7:$D$37,FALSE),MATCH(PROSPECT!D$42,'Enter (Vac BFs TrCl MB'!$F$6:$AU$6,FALSE))))</f>
        <v>0</v>
      </c>
      <c r="E65" s="155">
        <f>IF(ISERROR(INDEX('Enter (Vac BFs TrCl MB'!$F$7:$AU$37,MATCH(PROSPECT!$B65,'Enter (Vac BFs TrCl MB'!$D$7:$D$37,FALSE),MATCH(PROSPECT!E$42,'Enter (Vac BFs TrCl MB'!$F$6:$AU$6,FALSE))),"",(INDEX('Enter (Vac BFs TrCl MB'!$F$7:$AU$37,MATCH(PROSPECT!$B65,'Enter (Vac BFs TrCl MB'!$D$7:$D$37,FALSE),MATCH(PROSPECT!E$42,'Enter (Vac BFs TrCl MB'!$F$6:$AU$6,FALSE))))</f>
        <v>0</v>
      </c>
      <c r="F65" s="155">
        <f>IF(ISERROR(INDEX('Enter (Vac BFs TrCl MB'!$F$7:$AU$37,MATCH(PROSPECT!$B65,'Enter (Vac BFs TrCl MB'!$D$7:$D$37,FALSE),MATCH(PROSPECT!F$42,'Enter (Vac BFs TrCl MB'!$F$6:$AU$6,FALSE))),"",(INDEX('Enter (Vac BFs TrCl MB'!$F$7:$AU$37,MATCH(PROSPECT!$B65,'Enter (Vac BFs TrCl MB'!$D$7:$D$37,FALSE),MATCH(PROSPECT!F$42,'Enter (Vac BFs TrCl MB'!$F$6:$AU$6,FALSE))))</f>
        <v>0</v>
      </c>
      <c r="G65" s="155">
        <f>IF(ISERROR(INDEX('Enter (Vac BFs TrCl MB'!$F$7:$AU$37,MATCH(PROSPECT!$B65,'Enter (Vac BFs TrCl MB'!$D$7:$D$37,FALSE),MATCH(PROSPECT!G$42,'Enter (Vac BFs TrCl MB'!$F$6:$AU$6,FALSE))),"",(INDEX('Enter (Vac BFs TrCl MB'!$F$7:$AU$37,MATCH(PROSPECT!$B65,'Enter (Vac BFs TrCl MB'!$D$7:$D$37,FALSE),MATCH(PROSPECT!G$42,'Enter (Vac BFs TrCl MB'!$F$6:$AU$6,FALSE))))</f>
        <v>0</v>
      </c>
      <c r="H65" s="155"/>
      <c r="I65" s="156">
        <f>IF(ISERROR(INDEX('Enter (Vac BFs TrCl MB'!$F$7:$AU$37,MATCH(PROSPECT!$B65,'Enter (Vac BFs TrCl MB'!$D$7:$D$37,FALSE),MATCH(PROSPECT!I$42,'Enter (Vac BFs TrCl MB'!$F$6:$AU$6,FALSE))),"",(INDEX('Enter (Vac BFs TrCl MB'!$F$7:$AU$37,MATCH(PROSPECT!$B65,'Enter (Vac BFs TrCl MB'!$D$7:$D$37,FALSE),MATCH(PROSPECT!I$42,'Enter (Vac BFs TrCl MB'!$F$6:$AU$6,FALSE))))</f>
        <v>0</v>
      </c>
      <c r="J65" s="781"/>
      <c r="K65" s="113" t="str">
        <f>IF('Enter (Vac BFs TrCl MB'!$D28=0,"",'Enter (Vac BFs TrCl MB'!$D28)</f>
        <v>Lakshay</v>
      </c>
      <c r="L65" s="155">
        <f>IF(ISERROR(INDEX('Enter (Vac BFs TrCl MB'!$F$7:$AU$37,MATCH(PROSPECT!$B65,'Enter (Vac BFs TrCl MB'!$D$7:$D$37,FALSE),MATCH(PROSPECT!L$42,'Enter (Vac BFs TrCl MB'!$F$6:$AU$6,FALSE))),"",(INDEX('Enter (Vac BFs TrCl MB'!$F$7:$AU$37,MATCH(PROSPECT!$B65,'Enter (Vac BFs TrCl MB'!$D$7:$D$37,FALSE),MATCH(PROSPECT!L$42,'Enter (Vac BFs TrCl MB'!$F$6:$AU$6,FALSE))))</f>
        <v>0</v>
      </c>
      <c r="M65" s="155">
        <f>IF(ISERROR(INDEX('Enter (Vac BFs TrCl MB'!$F$7:$AU$37,MATCH(PROSPECT!$B65,'Enter (Vac BFs TrCl MB'!$D$7:$D$37,FALSE),MATCH(PROSPECT!M$42,'Enter (Vac BFs TrCl MB'!$F$6:$AU$6,FALSE))),"",(INDEX('Enter (Vac BFs TrCl MB'!$F$7:$AU$37,MATCH(PROSPECT!$B65,'Enter (Vac BFs TrCl MB'!$D$7:$D$37,FALSE),MATCH(PROSPECT!M$42,'Enter (Vac BFs TrCl MB'!$F$6:$AU$6,FALSE))))</f>
        <v>0</v>
      </c>
      <c r="N65" s="155">
        <f>IF(ISERROR(INDEX('Enter (Vac BFs TrCl MB'!$F$7:$AU$37,MATCH(PROSPECT!$B65,'Enter (Vac BFs TrCl MB'!$D$7:$D$37,FALSE),MATCH(PROSPECT!N$42,'Enter (Vac BFs TrCl MB'!$F$6:$AU$6,FALSE))),"",(INDEX('Enter (Vac BFs TrCl MB'!$F$7:$AU$37,MATCH(PROSPECT!$B65,'Enter (Vac BFs TrCl MB'!$D$7:$D$37,FALSE),MATCH(PROSPECT!N$42,'Enter (Vac BFs TrCl MB'!$F$6:$AU$6,FALSE))))</f>
        <v>0</v>
      </c>
      <c r="O65" s="155">
        <f>IF(ISERROR(INDEX('Enter (Vac BFs TrCl MB'!$F$7:$AU$37,MATCH(PROSPECT!$B65,'Enter (Vac BFs TrCl MB'!$D$7:$D$37,FALSE),MATCH(PROSPECT!O$42,'Enter (Vac BFs TrCl MB'!$F$6:$AU$6,FALSE))),"",(INDEX('Enter (Vac BFs TrCl MB'!$F$7:$AU$37,MATCH(PROSPECT!$B65,'Enter (Vac BFs TrCl MB'!$D$7:$D$37,FALSE),MATCH(PROSPECT!O$42,'Enter (Vac BFs TrCl MB'!$F$6:$AU$6,FALSE))))</f>
        <v>0</v>
      </c>
      <c r="P65" s="155">
        <f>IF(ISERROR(INDEX('Enter (Vac BFs TrCl MB'!$F$7:$AU$37,MATCH(PROSPECT!$B65,'Enter (Vac BFs TrCl MB'!$D$7:$D$37,FALSE),MATCH(PROSPECT!P$42,'Enter (Vac BFs TrCl MB'!$F$6:$AU$6,FALSE))),"",(INDEX('Enter (Vac BFs TrCl MB'!$F$7:$AU$37,MATCH(PROSPECT!$B65,'Enter (Vac BFs TrCl MB'!$D$7:$D$37,FALSE),MATCH(PROSPECT!P$42,'Enter (Vac BFs TrCl MB'!$F$6:$AU$6,FALSE))))</f>
        <v>0</v>
      </c>
      <c r="Q65" s="155">
        <f>IF(ISERROR(INDEX('Enter (Vac BFs TrCl MB'!$F$7:$AU$37,MATCH(PROSPECT!$B65,'Enter (Vac BFs TrCl MB'!$D$7:$D$37,FALSE),MATCH(PROSPECT!Q$42,'Enter (Vac BFs TrCl MB'!$F$6:$AU$6,FALSE))),"",(INDEX('Enter (Vac BFs TrCl MB'!$F$7:$AU$37,MATCH(PROSPECT!$B65,'Enter (Vac BFs TrCl MB'!$D$7:$D$37,FALSE),MATCH(PROSPECT!Q$42,'Enter (Vac BFs TrCl MB'!$F$6:$AU$6,FALSE))))</f>
        <v>0</v>
      </c>
      <c r="R65" s="156"/>
      <c r="S65" s="781"/>
      <c r="T65" s="284"/>
      <c r="U65" s="285"/>
      <c r="V65" s="825"/>
      <c r="W65" s="825"/>
      <c r="X65" s="825"/>
      <c r="Y65" s="825"/>
      <c r="Z65" s="825"/>
      <c r="AA65" s="826"/>
    </row>
  </sheetData>
  <mergeCells count="55">
    <mergeCell ref="V65:AA65"/>
    <mergeCell ref="V59:AA59"/>
    <mergeCell ref="V60:AA60"/>
    <mergeCell ref="V61:AA61"/>
    <mergeCell ref="V62:AA62"/>
    <mergeCell ref="V63:AA63"/>
    <mergeCell ref="V64:AA64"/>
    <mergeCell ref="V58:AA58"/>
    <mergeCell ref="V47:AA47"/>
    <mergeCell ref="V48:AA48"/>
    <mergeCell ref="V49:AA49"/>
    <mergeCell ref="V50:AA50"/>
    <mergeCell ref="V51:AA51"/>
    <mergeCell ref="V52:AA52"/>
    <mergeCell ref="V53:AA53"/>
    <mergeCell ref="V54:AA54"/>
    <mergeCell ref="V55:AA55"/>
    <mergeCell ref="V56:AA56"/>
    <mergeCell ref="V57:AA57"/>
    <mergeCell ref="V46:AA46"/>
    <mergeCell ref="B35:AA35"/>
    <mergeCell ref="B36:B37"/>
    <mergeCell ref="J36:J65"/>
    <mergeCell ref="K36:K37"/>
    <mergeCell ref="S36:S65"/>
    <mergeCell ref="T36:AA36"/>
    <mergeCell ref="V37:AA37"/>
    <mergeCell ref="V38:AA38"/>
    <mergeCell ref="V39:AA39"/>
    <mergeCell ref="V40:AA40"/>
    <mergeCell ref="V41:AA41"/>
    <mergeCell ref="V42:AA42"/>
    <mergeCell ref="V43:AA43"/>
    <mergeCell ref="V44:AA44"/>
    <mergeCell ref="V45:AA45"/>
    <mergeCell ref="N3:O3"/>
    <mergeCell ref="Q3:S3"/>
    <mergeCell ref="U3:V3"/>
    <mergeCell ref="X3:Y3"/>
    <mergeCell ref="B4:AA4"/>
    <mergeCell ref="C3:D3"/>
    <mergeCell ref="E3:F3"/>
    <mergeCell ref="G3:H3"/>
    <mergeCell ref="I3:K3"/>
    <mergeCell ref="L3:M3"/>
    <mergeCell ref="B5:B6"/>
    <mergeCell ref="J5:J34"/>
    <mergeCell ref="K5:K6"/>
    <mergeCell ref="S5:S34"/>
    <mergeCell ref="T5:T6"/>
    <mergeCell ref="E2:J2"/>
    <mergeCell ref="K2:N2"/>
    <mergeCell ref="O2:T2"/>
    <mergeCell ref="U2:V2"/>
    <mergeCell ref="W2:X2"/>
  </mergeCells>
  <conditionalFormatting sqref="C7:I8">
    <cfRule type="cellIs" dxfId="13" priority="19" operator="equal">
      <formula>0</formula>
    </cfRule>
  </conditionalFormatting>
  <conditionalFormatting sqref="C13:I34">
    <cfRule type="cellIs" dxfId="12" priority="1" operator="equal">
      <formula>0</formula>
    </cfRule>
  </conditionalFormatting>
  <conditionalFormatting sqref="C38:I39">
    <cfRule type="cellIs" dxfId="11" priority="9" operator="equal">
      <formula>0</formula>
    </cfRule>
  </conditionalFormatting>
  <conditionalFormatting sqref="C44:I65">
    <cfRule type="cellIs" dxfId="10" priority="22" operator="equal">
      <formula>0</formula>
    </cfRule>
  </conditionalFormatting>
  <conditionalFormatting sqref="L44:N65 R45:R56">
    <cfRule type="cellIs" dxfId="9" priority="21" operator="equal">
      <formula>0</formula>
    </cfRule>
  </conditionalFormatting>
  <conditionalFormatting sqref="L7:R8">
    <cfRule type="cellIs" dxfId="8" priority="13" operator="equal">
      <formula>0</formula>
    </cfRule>
  </conditionalFormatting>
  <conditionalFormatting sqref="L38:R39">
    <cfRule type="cellIs" dxfId="7" priority="7" operator="equal">
      <formula>0</formula>
    </cfRule>
  </conditionalFormatting>
  <conditionalFormatting sqref="M13:R13 L14:R34">
    <cfRule type="cellIs" dxfId="6" priority="24" operator="equal">
      <formula>0</formula>
    </cfRule>
  </conditionalFormatting>
  <conditionalFormatting sqref="O44:Q56">
    <cfRule type="cellIs" dxfId="5" priority="4" operator="equal">
      <formula>0</formula>
    </cfRule>
  </conditionalFormatting>
  <conditionalFormatting sqref="O57:R65">
    <cfRule type="cellIs" dxfId="4" priority="3" operator="equal">
      <formula>0</formula>
    </cfRule>
  </conditionalFormatting>
  <conditionalFormatting sqref="U38:V39 U66:AA67">
    <cfRule type="cellIs" dxfId="3" priority="5" operator="equal">
      <formula>0</formula>
    </cfRule>
  </conditionalFormatting>
  <conditionalFormatting sqref="U44:V65">
    <cfRule type="cellIs" dxfId="2" priority="2" operator="equal">
      <formula>0</formula>
    </cfRule>
  </conditionalFormatting>
  <conditionalFormatting sqref="U7:AA8">
    <cfRule type="cellIs" dxfId="1" priority="11" operator="equal">
      <formula>0</formula>
    </cfRule>
  </conditionalFormatting>
  <conditionalFormatting sqref="U13:AA34">
    <cfRule type="cellIs" dxfId="0" priority="23" operator="equal">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81d923e-5925-4a68-8bab-0834cd39ee8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2ACA83067C6949AFC5BD7D884C7324" ma:contentTypeVersion="9" ma:contentTypeDescription="Create a new document." ma:contentTypeScope="" ma:versionID="930bdbfb79bd80d4d1c9a7b54a46e11a">
  <xsd:schema xmlns:xsd="http://www.w3.org/2001/XMLSchema" xmlns:xs="http://www.w3.org/2001/XMLSchema" xmlns:p="http://schemas.microsoft.com/office/2006/metadata/properties" xmlns:ns3="f81d923e-5925-4a68-8bab-0834cd39ee8f" targetNamespace="http://schemas.microsoft.com/office/2006/metadata/properties" ma:root="true" ma:fieldsID="9918198fb88a9f434bb3c03549513ae4" ns3:_="">
    <xsd:import namespace="f81d923e-5925-4a68-8bab-0834cd39ee8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1d923e-5925-4a68-8bab-0834cd39e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_activity" ma:index="16"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2E044-C73D-46D2-BB82-D5474882944F}">
  <ds:schemaRef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f81d923e-5925-4a68-8bab-0834cd39ee8f"/>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30C37EA-A4A1-4F95-BF13-947A7183734C}">
  <ds:schemaRefs>
    <ds:schemaRef ds:uri="http://schemas.microsoft.com/sharepoint/v3/contenttype/forms"/>
  </ds:schemaRefs>
</ds:datastoreItem>
</file>

<file path=customXml/itemProps3.xml><?xml version="1.0" encoding="utf-8"?>
<ds:datastoreItem xmlns:ds="http://schemas.openxmlformats.org/officeDocument/2006/customXml" ds:itemID="{9E88F104-2780-4D20-9849-D9FC2286EA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1d923e-5925-4a68-8bab-0834cd39ee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Instructions New</vt:lpstr>
      <vt:lpstr>Enter Projections</vt:lpstr>
      <vt:lpstr>Enter (Vac BFs TrCl MB</vt:lpstr>
      <vt:lpstr>Tactics</vt:lpstr>
      <vt:lpstr>Planner</vt:lpstr>
      <vt:lpstr>PROSPECT</vt:lpstr>
      <vt:lpstr>REGENT</vt:lpstr>
      <vt:lpstr>5 Weeks Sun Week Start</vt:lpstr>
      <vt:lpstr>'Enter (Vac BFs TrCl MB'!Print_Area</vt:lpstr>
      <vt:lpstr>'Enter Projections'!Print_Area</vt:lpstr>
      <vt:lpstr>'Instructions New'!Print_Area</vt:lpstr>
      <vt:lpstr>Planner!Print_Area</vt:lpstr>
      <vt:lpstr>PROSPECT!Print_Area</vt:lpstr>
      <vt:lpstr>REGENT!Print_Area</vt:lpstr>
      <vt:lpstr>Tactics!Print_Area</vt:lpstr>
    </vt:vector>
  </TitlesOfParts>
  <Manager/>
  <Company>McDonald's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Avellaneda Sonia</dc:creator>
  <cp:keywords/>
  <dc:description/>
  <cp:lastModifiedBy>Saeed kazemi</cp:lastModifiedBy>
  <cp:revision/>
  <cp:lastPrinted>2024-01-18T21:17:19Z</cp:lastPrinted>
  <dcterms:created xsi:type="dcterms:W3CDTF">2019-01-10T12:05:15Z</dcterms:created>
  <dcterms:modified xsi:type="dcterms:W3CDTF">2024-02-01T21:11:14Z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0x0101001F2ACA83067C6949AFC5BD7D884C7324</vt:lpwstr>
  </property>
  <property fmtid="{D5CDD505-2E9C-101B-9397-08002B2CF9AE}" pid="3" name="_dlc_DocIdItemGuid">
    <vt:lpwstr>e6b7a1fb-da3b-4048-8651-30c35b2a1a70</vt:lpwstr>
  </property>
  <property fmtid="{D5CDD505-2E9C-101B-9397-08002B2CF9AE}" pid="4" name="MediaServiceImageTags">
    <vt:lpwstr/>
  </property>
</Properties>
</file>