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University\3 course\2 semester\BuhUchet\"/>
    </mc:Choice>
  </mc:AlternateContent>
  <xr:revisionPtr revIDLastSave="0" documentId="13_ncr:1_{5054D9EC-5FD3-4BEE-B583-89834FAC660A}" xr6:coauthVersionLast="46" xr6:coauthVersionMax="46" xr10:uidLastSave="{00000000-0000-0000-0000-000000000000}"/>
  <bookViews>
    <workbookView xWindow="-108" yWindow="-108" windowWidth="23256" windowHeight="12576" activeTab="2" xr2:uid="{B4BC41F5-596C-4CB4-BB69-42A71FA7EEFA}"/>
  </bookViews>
  <sheets>
    <sheet name="Таблица1" sheetId="4" r:id="rId1"/>
    <sheet name="Таблица2" sheetId="7" r:id="rId2"/>
    <sheet name="Т4" sheetId="6" r:id="rId3"/>
    <sheet name="Таблы" sheetId="3" r:id="rId4"/>
  </sheets>
  <definedNames>
    <definedName name="_xlnm._FilterDatabase" localSheetId="0" hidden="1">Таблица1!$C$1:$C$197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7" l="1"/>
  <c r="K88" i="7"/>
  <c r="J89" i="7"/>
  <c r="F49" i="7"/>
  <c r="D70" i="6"/>
  <c r="C70" i="6"/>
  <c r="T82" i="7"/>
  <c r="U82" i="7"/>
  <c r="T83" i="7"/>
  <c r="F46" i="7"/>
  <c r="K77" i="7"/>
  <c r="J77" i="7"/>
  <c r="K78" i="7"/>
  <c r="G42" i="7"/>
  <c r="D69" i="6"/>
  <c r="C69" i="6"/>
  <c r="U76" i="7"/>
  <c r="T76" i="7"/>
  <c r="U77" i="7"/>
  <c r="G45" i="7"/>
  <c r="D68" i="6"/>
  <c r="C68" i="6"/>
  <c r="D67" i="6"/>
  <c r="C67" i="6"/>
  <c r="D66" i="6"/>
  <c r="D65" i="6"/>
  <c r="C65" i="6"/>
  <c r="K66" i="7"/>
  <c r="J66" i="7"/>
  <c r="K67" i="7"/>
  <c r="G43" i="7"/>
  <c r="D64" i="6"/>
  <c r="C63" i="6"/>
  <c r="T59" i="7"/>
  <c r="U59" i="7"/>
  <c r="T60" i="7"/>
  <c r="F39" i="7"/>
  <c r="D63" i="6"/>
  <c r="Z83" i="7"/>
  <c r="Y83" i="7"/>
  <c r="Z84" i="7"/>
  <c r="G38" i="7"/>
  <c r="D62" i="6"/>
  <c r="D60" i="6"/>
  <c r="C64" i="6"/>
  <c r="C60" i="6"/>
  <c r="D59" i="6"/>
  <c r="D74" i="6"/>
  <c r="D50" i="6"/>
  <c r="D51" i="6"/>
  <c r="D55" i="6"/>
  <c r="D56" i="6"/>
  <c r="D40" i="6"/>
  <c r="D41" i="6"/>
  <c r="D43" i="6"/>
  <c r="D48" i="6"/>
  <c r="D75" i="6"/>
  <c r="C59" i="6"/>
  <c r="C74" i="6"/>
  <c r="C55" i="6"/>
  <c r="C51" i="6"/>
  <c r="C41" i="6"/>
  <c r="C48" i="6"/>
  <c r="C56" i="6"/>
  <c r="C75" i="6"/>
  <c r="G52" i="7"/>
  <c r="D21" i="6"/>
  <c r="D23" i="6"/>
  <c r="Y64" i="7"/>
  <c r="C22" i="3"/>
  <c r="E96" i="4"/>
  <c r="O29" i="7"/>
  <c r="O30" i="7"/>
  <c r="C44" i="3"/>
  <c r="P30" i="7"/>
  <c r="P25" i="7"/>
  <c r="E116" i="4"/>
  <c r="T90" i="7"/>
  <c r="T93" i="7"/>
  <c r="C45" i="3"/>
  <c r="C59" i="3"/>
  <c r="C61" i="3"/>
  <c r="C62" i="3"/>
  <c r="E118" i="4"/>
  <c r="U90" i="7"/>
  <c r="U93" i="7"/>
  <c r="T94" i="7"/>
  <c r="F26" i="7"/>
  <c r="C23" i="3"/>
  <c r="E97" i="4"/>
  <c r="Y21" i="7"/>
  <c r="E101" i="4"/>
  <c r="Y22" i="7"/>
  <c r="Y23" i="7"/>
  <c r="C53" i="3"/>
  <c r="C54" i="3"/>
  <c r="C56" i="3"/>
  <c r="C57" i="3"/>
  <c r="Z17" i="7"/>
  <c r="E117" i="4"/>
  <c r="Y8" i="7"/>
  <c r="Y11" i="7"/>
  <c r="C64" i="3"/>
  <c r="C66" i="3"/>
  <c r="C67" i="3"/>
  <c r="E119" i="4"/>
  <c r="Z8" i="7"/>
  <c r="Z11" i="7"/>
  <c r="Y12" i="7"/>
  <c r="F27" i="7"/>
  <c r="D24" i="6"/>
  <c r="D30" i="6"/>
  <c r="Y31" i="7"/>
  <c r="Z31" i="7"/>
  <c r="Y32" i="7"/>
  <c r="F31" i="7"/>
  <c r="D32" i="6"/>
  <c r="D34" i="6"/>
  <c r="D5" i="6"/>
  <c r="D6" i="6"/>
  <c r="D17" i="6"/>
  <c r="D35" i="6"/>
  <c r="C35" i="6"/>
  <c r="C34" i="6"/>
  <c r="F48" i="7"/>
  <c r="D19" i="6"/>
  <c r="C19" i="6"/>
  <c r="C17" i="6"/>
  <c r="G54" i="7"/>
  <c r="U108" i="7"/>
  <c r="E67" i="7"/>
  <c r="T108" i="7"/>
  <c r="D67" i="7"/>
  <c r="P126" i="7"/>
  <c r="E66" i="7"/>
  <c r="O126" i="7"/>
  <c r="D66" i="7"/>
  <c r="U120" i="7"/>
  <c r="E60" i="7"/>
  <c r="T120" i="7"/>
  <c r="D60" i="7"/>
  <c r="P121" i="7"/>
  <c r="E62" i="7"/>
  <c r="O121" i="7"/>
  <c r="D62" i="7"/>
  <c r="P116" i="7"/>
  <c r="E59" i="7"/>
  <c r="C28" i="3"/>
  <c r="E100" i="4"/>
  <c r="O110" i="7"/>
  <c r="O114" i="7"/>
  <c r="O116" i="7"/>
  <c r="D59" i="7"/>
  <c r="P107" i="7"/>
  <c r="E58" i="7"/>
  <c r="C27" i="3"/>
  <c r="E99" i="4"/>
  <c r="O101" i="7"/>
  <c r="O105" i="7"/>
  <c r="O107" i="7"/>
  <c r="D58" i="7"/>
  <c r="U112" i="7"/>
  <c r="E56" i="7"/>
  <c r="T112" i="7"/>
  <c r="D56" i="7"/>
  <c r="E49" i="7"/>
  <c r="D49" i="7"/>
  <c r="Z90" i="7"/>
  <c r="E47" i="7"/>
  <c r="Y89" i="7"/>
  <c r="Y90" i="7"/>
  <c r="D47" i="7"/>
  <c r="T81" i="7"/>
  <c r="U81" i="7"/>
  <c r="E46" i="7"/>
  <c r="D46" i="7"/>
  <c r="U64" i="7"/>
  <c r="U65" i="7"/>
  <c r="U66" i="7"/>
  <c r="U67" i="7"/>
  <c r="U68" i="7"/>
  <c r="T64" i="7"/>
  <c r="T65" i="7"/>
  <c r="T66" i="7"/>
  <c r="T67" i="7"/>
  <c r="T68" i="7"/>
  <c r="T69" i="7"/>
  <c r="T70" i="7"/>
  <c r="T71" i="7"/>
  <c r="T72" i="7"/>
  <c r="T73" i="7"/>
  <c r="T74" i="7"/>
  <c r="T75" i="7"/>
  <c r="E45" i="7"/>
  <c r="D45" i="7"/>
  <c r="P80" i="7"/>
  <c r="P81" i="7"/>
  <c r="P82" i="7"/>
  <c r="P83" i="7"/>
  <c r="P84" i="7"/>
  <c r="P85" i="7"/>
  <c r="P86" i="7"/>
  <c r="P87" i="7"/>
  <c r="P88" i="7"/>
  <c r="P89" i="7"/>
  <c r="P90" i="7"/>
  <c r="O80" i="7"/>
  <c r="O90" i="7"/>
  <c r="P91" i="7"/>
  <c r="G44" i="7"/>
  <c r="E44" i="7"/>
  <c r="D44" i="7"/>
  <c r="J56" i="7"/>
  <c r="J57" i="7"/>
  <c r="J58" i="7"/>
  <c r="J59" i="7"/>
  <c r="J60" i="7"/>
  <c r="J61" i="7"/>
  <c r="J62" i="7"/>
  <c r="D43" i="7"/>
  <c r="K56" i="7"/>
  <c r="K57" i="7"/>
  <c r="K58" i="7"/>
  <c r="K59" i="7"/>
  <c r="K60" i="7"/>
  <c r="K61" i="7"/>
  <c r="K62" i="7"/>
  <c r="K63" i="7"/>
  <c r="K64" i="7"/>
  <c r="K65" i="7"/>
  <c r="E43" i="7"/>
  <c r="K71" i="7"/>
  <c r="K72" i="7"/>
  <c r="K73" i="7"/>
  <c r="K74" i="7"/>
  <c r="K75" i="7"/>
  <c r="K76" i="7"/>
  <c r="J70" i="7"/>
  <c r="E42" i="7"/>
  <c r="D42" i="7"/>
  <c r="T56" i="7"/>
  <c r="T57" i="7"/>
  <c r="T58" i="7"/>
  <c r="U56" i="7"/>
  <c r="E39" i="7"/>
  <c r="D39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Y68" i="7"/>
  <c r="Y69" i="7"/>
  <c r="Y70" i="7"/>
  <c r="Y71" i="7"/>
  <c r="Y72" i="7"/>
  <c r="Y73" i="7"/>
  <c r="Y74" i="7"/>
  <c r="Y75" i="7"/>
  <c r="E38" i="7"/>
  <c r="D38" i="7"/>
  <c r="Z36" i="7"/>
  <c r="E36" i="7"/>
  <c r="Y35" i="7"/>
  <c r="Y36" i="7"/>
  <c r="D36" i="7"/>
  <c r="O56" i="7"/>
  <c r="O57" i="7"/>
  <c r="O58" i="7"/>
  <c r="O7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O76" i="7"/>
  <c r="F32" i="7"/>
  <c r="E32" i="7"/>
  <c r="D32" i="7"/>
  <c r="Y27" i="7"/>
  <c r="Y28" i="7"/>
  <c r="Y29" i="7"/>
  <c r="Z28" i="7"/>
  <c r="Z29" i="7"/>
  <c r="Z30" i="7"/>
  <c r="E31" i="7"/>
  <c r="D31" i="7"/>
  <c r="Y55" i="7"/>
  <c r="Y56" i="7"/>
  <c r="Y57" i="7"/>
  <c r="Y58" i="7"/>
  <c r="Y59" i="7"/>
  <c r="Y60" i="7"/>
  <c r="Y61" i="7"/>
  <c r="Y62" i="7"/>
  <c r="Y63" i="7"/>
  <c r="T25" i="7"/>
  <c r="T26" i="7"/>
  <c r="T27" i="7"/>
  <c r="T28" i="7"/>
  <c r="T29" i="7"/>
  <c r="Y16" i="7"/>
  <c r="Y17" i="7"/>
  <c r="Y18" i="7"/>
  <c r="Y19" i="7"/>
  <c r="Y20" i="7"/>
  <c r="Y9" i="7"/>
  <c r="Z9" i="7"/>
  <c r="Z10" i="7"/>
  <c r="E27" i="7"/>
  <c r="D27" i="7"/>
  <c r="O24" i="7"/>
  <c r="O25" i="7"/>
  <c r="O26" i="7"/>
  <c r="O27" i="7"/>
  <c r="O28" i="7"/>
  <c r="P24" i="7"/>
  <c r="T91" i="7"/>
  <c r="U91" i="7"/>
  <c r="U92" i="7"/>
  <c r="E26" i="7"/>
  <c r="D26" i="7"/>
  <c r="U25" i="7"/>
  <c r="U29" i="7"/>
  <c r="E23" i="7"/>
  <c r="D23" i="7"/>
  <c r="T32" i="7"/>
  <c r="T33" i="7"/>
  <c r="T34" i="7"/>
  <c r="T35" i="7"/>
  <c r="T36" i="7"/>
  <c r="T37" i="7"/>
  <c r="U32" i="7"/>
  <c r="U33" i="7"/>
  <c r="U37" i="7"/>
  <c r="E21" i="7"/>
  <c r="D21" i="7"/>
  <c r="Z55" i="7"/>
  <c r="Z56" i="7"/>
  <c r="Z64" i="7"/>
  <c r="E20" i="7"/>
  <c r="D20" i="7"/>
  <c r="Z3" i="7"/>
  <c r="Z4" i="7"/>
  <c r="E15" i="7"/>
  <c r="Y3" i="7"/>
  <c r="Y4" i="7"/>
  <c r="D15" i="7"/>
  <c r="Z16" i="7"/>
  <c r="Z23" i="7"/>
  <c r="E17" i="7"/>
  <c r="D17" i="7"/>
  <c r="E16" i="7"/>
  <c r="D16" i="7"/>
  <c r="K32" i="7"/>
  <c r="K37" i="7"/>
  <c r="E14" i="7"/>
  <c r="J32" i="7"/>
  <c r="J33" i="7"/>
  <c r="J34" i="7"/>
  <c r="J35" i="7"/>
  <c r="J36" i="7"/>
  <c r="J37" i="7"/>
  <c r="D14" i="7"/>
  <c r="K22" i="7"/>
  <c r="K23" i="7"/>
  <c r="K24" i="7"/>
  <c r="K25" i="7"/>
  <c r="K26" i="7"/>
  <c r="K27" i="7"/>
  <c r="K28" i="7"/>
  <c r="K29" i="7"/>
  <c r="E13" i="7"/>
  <c r="J22" i="7"/>
  <c r="J23" i="7"/>
  <c r="J24" i="7"/>
  <c r="J25" i="7"/>
  <c r="J26" i="7"/>
  <c r="J27" i="7"/>
  <c r="J28" i="7"/>
  <c r="J29" i="7"/>
  <c r="D13" i="7"/>
  <c r="T12" i="7"/>
  <c r="T13" i="7"/>
  <c r="T14" i="7"/>
  <c r="T15" i="7"/>
  <c r="T21" i="7"/>
  <c r="U12" i="7"/>
  <c r="U13" i="7"/>
  <c r="U14" i="7"/>
  <c r="U15" i="7"/>
  <c r="U16" i="7"/>
  <c r="U17" i="7"/>
  <c r="U18" i="7"/>
  <c r="U19" i="7"/>
  <c r="U20" i="7"/>
  <c r="U21" i="7"/>
  <c r="T22" i="7"/>
  <c r="F11" i="7"/>
  <c r="E11" i="7"/>
  <c r="D11" i="7"/>
  <c r="U3" i="7"/>
  <c r="U4" i="7"/>
  <c r="U8" i="7"/>
  <c r="E9" i="7"/>
  <c r="T3" i="7"/>
  <c r="T4" i="7"/>
  <c r="T5" i="7"/>
  <c r="T8" i="7"/>
  <c r="D9" i="7"/>
  <c r="P17" i="7"/>
  <c r="P20" i="7"/>
  <c r="E8" i="7"/>
  <c r="O17" i="7"/>
  <c r="O18" i="7"/>
  <c r="O19" i="7"/>
  <c r="O20" i="7"/>
  <c r="D8" i="7"/>
  <c r="P14" i="7"/>
  <c r="G7" i="7"/>
  <c r="E7" i="7"/>
  <c r="D7" i="7"/>
  <c r="J18" i="7"/>
  <c r="K18" i="7"/>
  <c r="J19" i="7"/>
  <c r="F6" i="7"/>
  <c r="E6" i="7"/>
  <c r="D6" i="7"/>
  <c r="O4" i="7"/>
  <c r="O8" i="7"/>
  <c r="D4" i="7"/>
  <c r="P4" i="7"/>
  <c r="P5" i="7"/>
  <c r="P6" i="7"/>
  <c r="P7" i="7"/>
  <c r="P8" i="7"/>
  <c r="E4" i="7"/>
  <c r="P9" i="7"/>
  <c r="G4" i="7"/>
  <c r="J4" i="7"/>
  <c r="J5" i="7"/>
  <c r="J6" i="7"/>
  <c r="K4" i="7"/>
  <c r="K6" i="7"/>
  <c r="J7" i="7"/>
  <c r="F3" i="7"/>
  <c r="E3" i="7"/>
  <c r="D3" i="7"/>
  <c r="P124" i="7"/>
  <c r="P125" i="7"/>
  <c r="T101" i="7"/>
  <c r="U101" i="7"/>
  <c r="T102" i="7"/>
  <c r="U102" i="7"/>
  <c r="T103" i="7"/>
  <c r="U103" i="7"/>
  <c r="T104" i="7"/>
  <c r="U104" i="7"/>
  <c r="T105" i="7"/>
  <c r="T106" i="7"/>
  <c r="T107" i="7"/>
  <c r="O119" i="7"/>
  <c r="P119" i="7"/>
  <c r="O120" i="7"/>
  <c r="T115" i="7"/>
  <c r="U115" i="7"/>
  <c r="T116" i="7"/>
  <c r="U116" i="7"/>
  <c r="T117" i="7"/>
  <c r="U117" i="7"/>
  <c r="T118" i="7"/>
  <c r="U118" i="7"/>
  <c r="T119" i="7"/>
  <c r="U119" i="7"/>
  <c r="P110" i="7"/>
  <c r="O111" i="7"/>
  <c r="O112" i="7"/>
  <c r="O113" i="7"/>
  <c r="O115" i="7"/>
  <c r="P101" i="7"/>
  <c r="O102" i="7"/>
  <c r="O103" i="7"/>
  <c r="O104" i="7"/>
  <c r="O106" i="7"/>
  <c r="U111" i="7"/>
  <c r="K82" i="7"/>
  <c r="K83" i="7"/>
  <c r="K84" i="7"/>
  <c r="K85" i="7"/>
  <c r="K86" i="7"/>
  <c r="K87" i="7"/>
  <c r="E58" i="4"/>
  <c r="D87" i="3"/>
  <c r="D94" i="3"/>
  <c r="D95" i="3"/>
  <c r="D97" i="3"/>
  <c r="C98" i="3"/>
  <c r="E152" i="4"/>
  <c r="E153" i="4"/>
  <c r="Y15" i="7"/>
  <c r="Y24" i="7"/>
  <c r="J10" i="7"/>
  <c r="K10" i="7"/>
  <c r="K11" i="7"/>
  <c r="J12" i="7"/>
  <c r="K12" i="7"/>
  <c r="C68" i="7"/>
  <c r="D68" i="7"/>
  <c r="E68" i="7"/>
  <c r="F68" i="7"/>
  <c r="G68" i="7"/>
  <c r="B68" i="7"/>
  <c r="C32" i="6"/>
  <c r="C30" i="6"/>
  <c r="C24" i="6"/>
  <c r="C23" i="6"/>
  <c r="C6" i="6"/>
  <c r="C5" i="6"/>
  <c r="E20" i="4"/>
  <c r="C99" i="3"/>
  <c r="E154" i="4"/>
  <c r="E23" i="4"/>
  <c r="C15" i="3"/>
  <c r="C17" i="3"/>
  <c r="E56" i="4"/>
  <c r="E51" i="4"/>
  <c r="E52" i="4"/>
  <c r="E57" i="4"/>
  <c r="E27" i="4"/>
  <c r="E28" i="4"/>
  <c r="C21" i="3"/>
  <c r="C26" i="3"/>
  <c r="E69" i="4"/>
  <c r="E75" i="4"/>
  <c r="E109" i="4"/>
  <c r="E114" i="4"/>
  <c r="E68" i="4"/>
  <c r="E74" i="4"/>
  <c r="E70" i="4"/>
  <c r="E76" i="4"/>
  <c r="E50" i="4"/>
  <c r="E67" i="4"/>
  <c r="E73" i="4"/>
  <c r="C20" i="3"/>
  <c r="C25" i="3"/>
  <c r="E108" i="4"/>
  <c r="E113" i="4"/>
  <c r="E49" i="4"/>
  <c r="E66" i="4"/>
  <c r="E72" i="4"/>
  <c r="E53" i="4"/>
  <c r="E85" i="4"/>
  <c r="E86" i="4"/>
  <c r="E87" i="4"/>
  <c r="E88" i="4"/>
  <c r="E89" i="4"/>
  <c r="E141" i="4"/>
  <c r="E144" i="4"/>
  <c r="D88" i="3"/>
  <c r="D89" i="3"/>
  <c r="D90" i="3"/>
  <c r="C86" i="3"/>
  <c r="C91" i="3"/>
  <c r="C92" i="3"/>
  <c r="C93" i="3"/>
  <c r="C94" i="3"/>
  <c r="C96" i="3"/>
  <c r="C73" i="3"/>
  <c r="C74" i="3"/>
  <c r="C75" i="3"/>
  <c r="E4" i="4"/>
  <c r="E6" i="4"/>
  <c r="E7" i="4"/>
  <c r="E8" i="4"/>
  <c r="E10" i="4"/>
  <c r="E11" i="4"/>
  <c r="E12" i="4"/>
  <c r="E14" i="4"/>
  <c r="E15" i="4"/>
  <c r="E16" i="4"/>
  <c r="E17" i="4"/>
  <c r="E19" i="4"/>
  <c r="E24" i="4"/>
  <c r="E124" i="4"/>
  <c r="C70" i="3"/>
  <c r="E41" i="4"/>
  <c r="E43" i="4"/>
  <c r="E44" i="4"/>
  <c r="E125" i="4"/>
  <c r="C71" i="3"/>
  <c r="C72" i="3"/>
  <c r="C76" i="3"/>
  <c r="E137" i="4"/>
  <c r="E151" i="4"/>
  <c r="P121" i="4"/>
  <c r="O121" i="4"/>
  <c r="E5" i="4"/>
  <c r="E9" i="4"/>
  <c r="E13" i="4"/>
  <c r="E18" i="4"/>
  <c r="E40" i="4"/>
  <c r="E45" i="4"/>
  <c r="E46" i="4"/>
  <c r="E42" i="4"/>
  <c r="E47" i="4"/>
  <c r="E48" i="4"/>
  <c r="E55" i="4"/>
  <c r="E106" i="4"/>
  <c r="E107" i="4"/>
  <c r="E123" i="4"/>
  <c r="E147" i="4"/>
  <c r="E150" i="4"/>
  <c r="E32" i="4"/>
  <c r="E33" i="4"/>
  <c r="E34" i="4"/>
  <c r="E104" i="4"/>
  <c r="E111" i="4"/>
  <c r="E103" i="4"/>
  <c r="E110" i="4"/>
  <c r="E35" i="4"/>
  <c r="C81" i="3"/>
  <c r="C82" i="3"/>
  <c r="C47" i="3"/>
  <c r="C48" i="3"/>
  <c r="C39" i="3"/>
  <c r="C38" i="3"/>
  <c r="C33" i="3"/>
  <c r="C34" i="3"/>
  <c r="C16" i="3"/>
  <c r="D10" i="3"/>
  <c r="D11" i="3"/>
  <c r="D12" i="3"/>
  <c r="F6" i="3"/>
  <c r="G6" i="3"/>
  <c r="E6" i="3"/>
  <c r="F5" i="3"/>
  <c r="G5" i="3"/>
  <c r="E5" i="3"/>
  <c r="F4" i="3"/>
  <c r="G4" i="3"/>
  <c r="E4" i="3"/>
  <c r="F3" i="3"/>
  <c r="G3" i="3"/>
  <c r="E3" i="3"/>
</calcChain>
</file>

<file path=xl/sharedStrings.xml><?xml version="1.0" encoding="utf-8"?>
<sst xmlns="http://schemas.openxmlformats.org/spreadsheetml/2006/main" count="859" uniqueCount="563">
  <si>
    <t>№ операции</t>
  </si>
  <si>
    <t>Содержание операций</t>
  </si>
  <si>
    <t>Корреспонденция счетов</t>
  </si>
  <si>
    <t>Сумма в рублях</t>
  </si>
  <si>
    <t>Дебет</t>
  </si>
  <si>
    <t>Кредит</t>
  </si>
  <si>
    <t>Акцептован счет поставщика за оборудование, требующее монтажа в цеху предприятия, оборудование передано на склад для хранения</t>
  </si>
  <si>
    <t>Отражен НДС (20%) по приобретенному оборудованию (от п. 1.1)</t>
  </si>
  <si>
    <t>С расчетного счета перечислено поставщику за оборудование, включая НДС (п.1.1+п.1.2)</t>
  </si>
  <si>
    <t>Принят к зачету оплаченный НДС (п. 1.2)</t>
  </si>
  <si>
    <t>18/21</t>
  </si>
  <si>
    <t>Акцептован счет транспортной организации за перевозку оборудования 10% от стоимости оборудования п.1.1</t>
  </si>
  <si>
    <t>Отражен НДС (20% от п. 2.1)</t>
  </si>
  <si>
    <t>С расчетного счета перечислено транспортной организации, включая НДС п.2.1+п.2.2</t>
  </si>
  <si>
    <t>Принят к зачету оплаченный НДС (п. 2.2)</t>
  </si>
  <si>
    <t>Акцептован счет брокерской конторе (10% от стоимости оборудования п.1.1)</t>
  </si>
  <si>
    <t>Отражен НДС (от п. 2.5)</t>
  </si>
  <si>
    <t>С расчетного счета перечислено брокерской конторе (10% от стоимости оборудования) включая НДС (п.2.5+п.2.6)</t>
  </si>
  <si>
    <t>Принят к зачету оплаченный НДС (п. 2.6)</t>
  </si>
  <si>
    <t>Оборудование передано в монтаж (п.1.1+п.2.1+п.2.5)</t>
  </si>
  <si>
    <t>Акцептован счет от АО «Монтажстрой» за подрядные работы, выполняемые по монтажу и пуску оборудования (20 % от его покупной стоимости с учетом услуг по его приобретению 20% от п. 1.1 + п.2.1 + п.2.5)</t>
  </si>
  <si>
    <t>Отражен НДС (20% от п. 4.1)</t>
  </si>
  <si>
    <t>Оплачено с расчетного счета за монтаж и пуск оборудования подрядной организации, включая НДС (п.4.1+п.4.2)</t>
  </si>
  <si>
    <t>Принят к зачету оплаченный НДС (п. 4.2)</t>
  </si>
  <si>
    <t>Представлен акт приема-передачи оборудования в эксплуатацию</t>
  </si>
  <si>
    <t>18/1</t>
  </si>
  <si>
    <t>Получен безвозмездно ксерокс, отражена стоимость ксерокса, сумма без НДС</t>
  </si>
  <si>
    <t>Ксерокс передан в эксплуатацию по акту приема-передачи</t>
  </si>
  <si>
    <t>Отражен НДС 20% (от п.5.1)</t>
  </si>
  <si>
    <t>Принят к зачету НДС (п. 5.3)</t>
  </si>
  <si>
    <t>Составлен акт на списание токарного станка:</t>
  </si>
  <si>
    <t>Первоначальная стоимость списанного станка</t>
  </si>
  <si>
    <t>Амортизация токарного станка составляет 90% от первоначальной стоимости станка (от п. 6.1)</t>
  </si>
  <si>
    <t>Списана остаточная стоимость токарного станка</t>
  </si>
  <si>
    <t>Металлолом от демонтажа токарного станка оприходован на склад</t>
  </si>
  <si>
    <t>01/выб</t>
  </si>
  <si>
    <t>Финансовый результат от списания станка (91 -  99 – прибыль, 99 - 91 - убыток)</t>
  </si>
  <si>
    <t>Дт</t>
  </si>
  <si>
    <t>Кт</t>
  </si>
  <si>
    <t>Од</t>
  </si>
  <si>
    <t>Ок</t>
  </si>
  <si>
    <t>7.</t>
  </si>
  <si>
    <t>Начислена амортизация основных средств за месяц. Учетная политика: Начисление амортизации осуществляется линейным методом.</t>
  </si>
  <si>
    <t>7.1</t>
  </si>
  <si>
    <t>7.3</t>
  </si>
  <si>
    <t>7.4</t>
  </si>
  <si>
    <t>Грузовой автомобиль (срок службы 7 лет) стоимость 150 444,00 рублей</t>
  </si>
  <si>
    <t>Токарный станок (срок службы 10 лет) стоимость 85 244,00 рублей</t>
  </si>
  <si>
    <t>Фрезерный станок (срок службы 9 лет) стоимость 65 244,00рублей</t>
  </si>
  <si>
    <t>Административное здание (срок службы 41 лет) стоимость 1 844 000,00рублей</t>
  </si>
  <si>
    <t>8. Расчет величины амортизационных отчислений</t>
  </si>
  <si>
    <t>№</t>
  </si>
  <si>
    <t>Наименование основных средств</t>
  </si>
  <si>
    <t>Срок  службы, лет</t>
  </si>
  <si>
    <t>Расчет</t>
  </si>
  <si>
    <t>Норма амортизации (за год), %</t>
  </si>
  <si>
    <t xml:space="preserve">Грузовой автомобиль </t>
  </si>
  <si>
    <t>Токарный станок</t>
  </si>
  <si>
    <t>Фрезерный станок</t>
  </si>
  <si>
    <t>Административное здание</t>
  </si>
  <si>
    <t>№ п/п</t>
  </si>
  <si>
    <t>Первоначальная стоимость, руб</t>
  </si>
  <si>
    <t>Амортизация сумма, за месяц руб</t>
  </si>
  <si>
    <t>9.</t>
  </si>
  <si>
    <t>Начислена арендная плата, за долгосрочную аренду:</t>
  </si>
  <si>
    <t>9.1</t>
  </si>
  <si>
    <t>Производственного помещения</t>
  </si>
  <si>
    <t>9.2</t>
  </si>
  <si>
    <t>Металлорежущего оборудования для цеха №1</t>
  </si>
  <si>
    <t>9.3</t>
  </si>
  <si>
    <t>Складского помещения для хранения готовой продукции</t>
  </si>
  <si>
    <t>10.</t>
  </si>
  <si>
    <t>10.1</t>
  </si>
  <si>
    <t>10.2</t>
  </si>
  <si>
    <t>Принят от поставщика на склад провод в количестве 1850 м. Учетная политика: материал оприходуются на склад счет 10  по фактической цене приобретения с учетом транспортных расходов (сумма без НДС)</t>
  </si>
  <si>
    <t>10.2.1</t>
  </si>
  <si>
    <t>Отражен НДС (20% / 120% от п.10+10.1)</t>
  </si>
  <si>
    <t>10.2.2</t>
  </si>
  <si>
    <t>Принят к зачету оплаченный НДС (п.10.2.1)</t>
  </si>
  <si>
    <t>18/22</t>
  </si>
  <si>
    <t>Оплачен счет поставщика за провод 2000метров по цене 35,44 руб./м. (сумма с НДС)</t>
  </si>
  <si>
    <t>Цена одного метра провода с НДС</t>
  </si>
  <si>
    <t>Затраты на транспортировку провода с НДС</t>
  </si>
  <si>
    <t xml:space="preserve">НДС </t>
  </si>
  <si>
    <t>Цена одного метра провода с учетом транспортных расходов без НДС</t>
  </si>
  <si>
    <t>35,44 руб./м.</t>
  </si>
  <si>
    <t>35,44  *  8%/100%  =</t>
  </si>
  <si>
    <t>(35,44  +  (35,44  * 8%/100%)) *20% / 120% =</t>
  </si>
  <si>
    <t>35,44  +  (35,44  *  8%/100%)  -  НДС =</t>
  </si>
  <si>
    <t>Оплачен железнодорожный тариф за перевозку провода, 8% от его стоимости, от п.10 (сумма с НДС)</t>
  </si>
  <si>
    <t>10.3</t>
  </si>
  <si>
    <t xml:space="preserve">Предъявлена претензия поставщику за недостающие материалы (провод 150 метров) и на соответствующую долю транспортных расходов, сумма без НДС </t>
  </si>
  <si>
    <t>10.3.1</t>
  </si>
  <si>
    <t>На сумму НДС 20% от п.10.3</t>
  </si>
  <si>
    <t>10.4</t>
  </si>
  <si>
    <t xml:space="preserve">Поставщиком претензия удовлетворена допоставкой аналогичного провода в количестве 150м. на сумму претензии (с учетом транспортных расходов), сумма без НДС </t>
  </si>
  <si>
    <t>10.4.1</t>
  </si>
  <si>
    <t>Отражен НДС  20% от п.10.4</t>
  </si>
  <si>
    <t>10.5</t>
  </si>
  <si>
    <t xml:space="preserve">Отпущен в производство провод по средневзвешенной цене на производство изделия «А» в количестве 50 метров. Учетная политика: средневзвешенная цена определяется исходя из остатков на 1 января, в количестве 950 метров на сумму 23 500,00 руб. и последующих поступлений. </t>
  </si>
  <si>
    <t>Стоимость остатков провода и сумма поступления провода, руб.</t>
  </si>
  <si>
    <t xml:space="preserve">Количество остатков провода и количество поступившего провода, метр </t>
  </si>
  <si>
    <t>Средневзвешенная цена одного метра провода</t>
  </si>
  <si>
    <t xml:space="preserve">23 500, 00 + (п.10.2 + 10.4) = </t>
  </si>
  <si>
    <t>950 метров + 2000 метров =</t>
  </si>
  <si>
    <t>23 500,00 + (п.10.2 + 10.4)   /   (950метров + 2000метров)=</t>
  </si>
  <si>
    <t>20/1</t>
  </si>
  <si>
    <t>10.6</t>
  </si>
  <si>
    <t>На производство изделия «Б» в количестве 40 метров по средневзвешенной цене</t>
  </si>
  <si>
    <t>10.7</t>
  </si>
  <si>
    <t>При инвентаризации обнаружена недостача провода 10 метров. Зав. складом причины недостачи объяснить не может. Рыночная цена провода на 30% выше средневзвешенной цены.</t>
  </si>
  <si>
    <t>10.8</t>
  </si>
  <si>
    <t xml:space="preserve">Отразить в учете разницу между рыночной и учетной стоимостью провода </t>
  </si>
  <si>
    <t>10.8.1</t>
  </si>
  <si>
    <t>Зав складом возместила недостачу провода по рыночной цене</t>
  </si>
  <si>
    <t>10.9</t>
  </si>
  <si>
    <t>Реализован провод 500 метров</t>
  </si>
  <si>
    <t>10.10</t>
  </si>
  <si>
    <t>По продажной цене 40,00 руб./м.</t>
  </si>
  <si>
    <t>10.11</t>
  </si>
  <si>
    <t>По средневзвешенной цене</t>
  </si>
  <si>
    <t>10.12</t>
  </si>
  <si>
    <t>Отражен НДС от реализации провода от п.10.10</t>
  </si>
  <si>
    <t>10.13</t>
  </si>
  <si>
    <t>Финансовый результат от реализации провода (91 -  99 – прибыль, 99 - 91 - убыток)</t>
  </si>
  <si>
    <t>11.</t>
  </si>
  <si>
    <t>Начислена заработная плата персоналу</t>
  </si>
  <si>
    <t>11.1</t>
  </si>
  <si>
    <t>Работникам цеха №1 (изделие «А» сч 20/1)</t>
  </si>
  <si>
    <t>11.2</t>
  </si>
  <si>
    <t>Работникам цеха №2 (изделие «Б» сч 20/2)</t>
  </si>
  <si>
    <t>11.3</t>
  </si>
  <si>
    <t>Общепроизводственному персоналу</t>
  </si>
  <si>
    <t>11.4</t>
  </si>
  <si>
    <t>Общехозяйственному персоналу</t>
  </si>
  <si>
    <t>11.5</t>
  </si>
  <si>
    <t>За устранение брака по цеху №2</t>
  </si>
  <si>
    <t>12.</t>
  </si>
  <si>
    <t>Рассчитать и отразить в учете отчисления в фонд социальной защиты населения (ставка - по действующему законодательству,  34%)</t>
  </si>
  <si>
    <t>Работникам цеха №1</t>
  </si>
  <si>
    <t>Работникам цеха №2</t>
  </si>
  <si>
    <t>13.</t>
  </si>
  <si>
    <t>Рассчитать и отразить в учете отчисления в Белгосстрах (ставка - по действующему законодательству,  0,6%)</t>
  </si>
  <si>
    <t>14.</t>
  </si>
  <si>
    <t>Удержаны из заработной платы работников:</t>
  </si>
  <si>
    <t>Подоходный налог</t>
  </si>
  <si>
    <t>15.</t>
  </si>
  <si>
    <t>Отчисления в пенсионный фонд (ставка - по действующему законодательству, 1% от п.11)</t>
  </si>
  <si>
    <t>16.</t>
  </si>
  <si>
    <t>Израсходованы материалы:</t>
  </si>
  <si>
    <t>По цеху №1</t>
  </si>
  <si>
    <t>По цеху №2</t>
  </si>
  <si>
    <t>Для общепроизводственных нужд</t>
  </si>
  <si>
    <t>Для устранения брака по цеху №2</t>
  </si>
  <si>
    <t>17.</t>
  </si>
  <si>
    <t>12.1</t>
  </si>
  <si>
    <t>12.2</t>
  </si>
  <si>
    <t>12.3</t>
  </si>
  <si>
    <t>12.4</t>
  </si>
  <si>
    <t>12.5</t>
  </si>
  <si>
    <t>13.1</t>
  </si>
  <si>
    <t>13.2</t>
  </si>
  <si>
    <t>13.3</t>
  </si>
  <si>
    <t>13.4</t>
  </si>
  <si>
    <t>13.5</t>
  </si>
  <si>
    <t>14.1</t>
  </si>
  <si>
    <t>14.2</t>
  </si>
  <si>
    <t>14.3</t>
  </si>
  <si>
    <t>14.4</t>
  </si>
  <si>
    <t>14.5</t>
  </si>
  <si>
    <t>14.6</t>
  </si>
  <si>
    <t>15.1</t>
  </si>
  <si>
    <t>15.2</t>
  </si>
  <si>
    <t>15.3</t>
  </si>
  <si>
    <t>15.4</t>
  </si>
  <si>
    <t>15.5</t>
  </si>
  <si>
    <t>16.1</t>
  </si>
  <si>
    <t>16.2</t>
  </si>
  <si>
    <t>16.3</t>
  </si>
  <si>
    <t>16.4</t>
  </si>
  <si>
    <t>17.1</t>
  </si>
  <si>
    <t>17.2</t>
  </si>
  <si>
    <t>20/2</t>
  </si>
  <si>
    <t>Рассчитать и списать на себестоимость продукции: Общепроизводственные расходы:</t>
  </si>
  <si>
    <t>2 350,44</t>
  </si>
  <si>
    <t>Распределение общепроизводственных и общехозяйственных расходов по изделиям производится пропорционально фонду заработной платы рабочих основного производства.</t>
  </si>
  <si>
    <t>Коэффициент распределения общепроизводственных расходов по цеху №1</t>
  </si>
  <si>
    <t>КП1 =  п.11.1 / (п.11.1+п.11.2) =</t>
  </si>
  <si>
    <t>Коэффициент распределения общепроизводственных расходов по цеху №2</t>
  </si>
  <si>
    <t>Сумма общепроизводственных расходов включаемая в затраты по цеху №1</t>
  </si>
  <si>
    <t xml:space="preserve">Оборот по дебету 25 счета * КП1 = </t>
  </si>
  <si>
    <t>Сумма общепроизводственных расходов включаемая в затраты по цеху №2</t>
  </si>
  <si>
    <t xml:space="preserve">Оборот по дебету 25 счета * КП2 = </t>
  </si>
  <si>
    <t>КП2 =  п.11.2 / (п.11.1+п.11.2) =  КП1 + КП2 = 1</t>
  </si>
  <si>
    <t>Счет 25</t>
  </si>
  <si>
    <t>18</t>
  </si>
  <si>
    <t>Общехозяйственные расходы:</t>
  </si>
  <si>
    <t>18.1</t>
  </si>
  <si>
    <t>90/1</t>
  </si>
  <si>
    <t>18.2</t>
  </si>
  <si>
    <t>90/2</t>
  </si>
  <si>
    <t>Коэффициент распределения общехозяйственных расходов по цеху №1</t>
  </si>
  <si>
    <t>КХ1 =  п.11.1 / (п.11.1+п.11.2) =</t>
  </si>
  <si>
    <t>Коэффициент распределения общехозяйственных расходов по цеху №2</t>
  </si>
  <si>
    <t>Сумма общехозяйственных расходов включаемая в затраты по цеху №1</t>
  </si>
  <si>
    <t xml:space="preserve">Оборот по дебету 26 счета * КХ1 = </t>
  </si>
  <si>
    <t>Сумма общехозяйственных расходов включаемая в затраты по цеху №2</t>
  </si>
  <si>
    <t xml:space="preserve">Оборот по дебету 26 счета * КХ2 = </t>
  </si>
  <si>
    <t>КХ2 =  п.11.2 / (п.11.1+п.11.2) =  КХ1 + КХ2 = 1</t>
  </si>
  <si>
    <t>Счет 26</t>
  </si>
  <si>
    <t>19.1</t>
  </si>
  <si>
    <t>Списать на себестоимость продукции потери по браку по цеху №2</t>
  </si>
  <si>
    <t>Счет 28</t>
  </si>
  <si>
    <t>20.</t>
  </si>
  <si>
    <t>20.1</t>
  </si>
  <si>
    <t>43/1</t>
  </si>
  <si>
    <t>20.2</t>
  </si>
  <si>
    <t>43/2</t>
  </si>
  <si>
    <t>21.</t>
  </si>
  <si>
    <t>В течение месяца реализовано готовой продукции:</t>
  </si>
  <si>
    <t>21.1</t>
  </si>
  <si>
    <t>21.2</t>
  </si>
  <si>
    <t>21.2.1</t>
  </si>
  <si>
    <t>Отражена задолженность покупателя за продукцию «А» п.21.1</t>
  </si>
  <si>
    <t>21.2.2</t>
  </si>
  <si>
    <t>Отражена задолженность покупателя за продукцию «Б» п.21.2</t>
  </si>
  <si>
    <t>22.1</t>
  </si>
  <si>
    <t>Отражено отклонение учетной стоимости от договорной цены реализации по реализованным изделиям «А» 210 шт. (если необходимо использовать сторнированную запись)</t>
  </si>
  <si>
    <t>22.2</t>
  </si>
  <si>
    <t>Отражено отклонение  учетной стоимости от договорной цены реализации по реализованным изделиям «Б» 92 шт. (если необходимо использовать сторнированную запись)</t>
  </si>
  <si>
    <t xml:space="preserve">В течение месяца на склад готовой продукции поступили: Учетная политика: готовая продукция отражается на счете 43 по учетной стоимости, в конце периода отражается отклонение учетной от фактической себестоимости. </t>
  </si>
  <si>
    <t xml:space="preserve">Свободная договорная цена единицы изделия «А» </t>
  </si>
  <si>
    <t>Учетная стоимость единицы изделия «А»</t>
  </si>
  <si>
    <t>Отклонение учетной стоимости  от свободной договорной цены  единицы изделия «А»</t>
  </si>
  <si>
    <t>Отклонение учетной стоимости от свободной договорной цены 210 шт. изделий «А»</t>
  </si>
  <si>
    <t>340,44 руб./шт.</t>
  </si>
  <si>
    <t>110,44 руб./ шт.</t>
  </si>
  <si>
    <t xml:space="preserve">110,44 руб./ шт. – 340,44 руб./шт.-=  </t>
  </si>
  <si>
    <t xml:space="preserve">Свободная договорная цена единицы изделия «Б» </t>
  </si>
  <si>
    <t>Учетная стоимость единицы изделия «Б»</t>
  </si>
  <si>
    <t>Отклонение учетной стоимости от свободной договорной цены единицы изделия «Б»</t>
  </si>
  <si>
    <t>Отклонение учетной стоимости от свободной договорной цены 92 шт. изделий «Б»</t>
  </si>
  <si>
    <t>480,44 руб./шт.</t>
  </si>
  <si>
    <t>500,44 руб. /шт.</t>
  </si>
  <si>
    <t>500,44 руб. /шт. – 480,44 руб./шт.  =</t>
  </si>
  <si>
    <t>Из цеха №1 - изделие «А» 218 шт. по учетной стоимости 110,44 руб./ шт. (изд. «А» сч 43/1)</t>
  </si>
  <si>
    <t>Из цеха №2 - изделие «Б» 106 шт. по учетной стоимости 500,44 руб. /шт. (изд. «Б» сч 43/2)</t>
  </si>
  <si>
    <t>Изделий «А» 210 шт. по свободной договорной цене 340,44 руб./шт.</t>
  </si>
  <si>
    <t>Изделий «Б» 92 шт. по свободной договорной цене 480,44 руб./шт.</t>
  </si>
  <si>
    <t>23.</t>
  </si>
  <si>
    <t>По операции 21 произвести расчет и отразить начисление НДС (ставка - по действующему законодательству, 20%):</t>
  </si>
  <si>
    <t>По изделию «А» от п.21.1</t>
  </si>
  <si>
    <t>По изделию «Б» от п.21.2</t>
  </si>
  <si>
    <t>24.</t>
  </si>
  <si>
    <t>Рассчитать и отразить в учете отклонение фактической себестоимости произведенной готовой продукции от учетной стоимости, принимая во внимание наличие незавершенного производства на начало и на конец периода, см. оборотно-сальдовую ведомость таблица 2, счет 20/1 и счет 20/2. (если необходимо использовать сторнированную запись)</t>
  </si>
  <si>
    <t>По изделию «А» 218 шт.</t>
  </si>
  <si>
    <t>По изделию «Б» 106 шт.</t>
  </si>
  <si>
    <t>23.1</t>
  </si>
  <si>
    <t>23.2</t>
  </si>
  <si>
    <t>24.1</t>
  </si>
  <si>
    <t>24.2</t>
  </si>
  <si>
    <t xml:space="preserve">Незавершенное производство по продукции «А» на начало месяца </t>
  </si>
  <si>
    <t xml:space="preserve">Остаток по счету 20/1 на начало месяца см. оборотная ведомость </t>
  </si>
  <si>
    <t>Незавершенное производство по продукции «А» на конец месяца</t>
  </si>
  <si>
    <t>Остаток по счету 20/1 на конец месяца см. оборотная ведомость</t>
  </si>
  <si>
    <t>Фактическая себестоимость произведенной готовой продукции «А» в количестве 218 шт.</t>
  </si>
  <si>
    <t>Ок = Од + СНД – СКД</t>
  </si>
  <si>
    <t>Фактическая себестоимость единицы готовой продукции «А»</t>
  </si>
  <si>
    <t>Учетная стоимость единицы готовой продукции «А» п 20.1</t>
  </si>
  <si>
    <t>Отклонение фактической себестоимости от учетной стоимости единицы готовой продукции</t>
  </si>
  <si>
    <t>Отклонение фактической себестоимости от учетной стоимости  произведенной продукции «А», 218 шт.</t>
  </si>
  <si>
    <t>СНД</t>
  </si>
  <si>
    <t>СКД</t>
  </si>
  <si>
    <t>Фактич. себестоим. руб. /шт. – 110,44 руб./ шт. =</t>
  </si>
  <si>
    <t xml:space="preserve">Незавершенное производство по продукции «Б» на начало месяца </t>
  </si>
  <si>
    <t xml:space="preserve">Остаток по счету 20/2 на начало месяца см. оборотная ведомость </t>
  </si>
  <si>
    <t>Незавершенное производство по продукции «Б» на конец месяца</t>
  </si>
  <si>
    <t>Остаток по счету 20/2 на конец месяца см. оборотная ведомость</t>
  </si>
  <si>
    <t>Фактическая себестоимость произведенной готовой продукции «Б» в количестве 106 шт.</t>
  </si>
  <si>
    <t>Фактическая себестоимость единицы готовой продукции «Б»</t>
  </si>
  <si>
    <t>Учетная стоимость единицы готовой продукции «Б» п 20.2</t>
  </si>
  <si>
    <t>Отклонение  фактической себестоимости от учетной стоимости от произведенной продукции «Б», 106 шт.</t>
  </si>
  <si>
    <t>Счет 20/2</t>
  </si>
  <si>
    <t xml:space="preserve">Фактич. себестоим. руб. /шт. – 500,44 руб. /шт. = </t>
  </si>
  <si>
    <t>25.1</t>
  </si>
  <si>
    <t>Отразить в учете отклонение  фактической себестоимости готовой реализованной продукции «А», учитывая остатки на начало месяца (если необходимо использовать сторнированную запись)</t>
  </si>
  <si>
    <t>25.2</t>
  </si>
  <si>
    <t>Отразить в учете отклонение  фактической себестоимость готовой реализованной продукции «Б», учитывая остатки на начало месяца (если необходимо использовать сторнированную запись)</t>
  </si>
  <si>
    <t xml:space="preserve">Отклонение  фактической себестоимости реализованной продукции «А» 210 шт. от учетной стоимости </t>
  </si>
  <si>
    <t xml:space="preserve">Отклонение  фактической себестоимости реализованной продукции «Б» 92 шт. от учетной стоимости </t>
  </si>
  <si>
    <t>Фактич. себестоим. руб. /шт – 110,44 руб./ шт. =</t>
  </si>
  <si>
    <t>Фактич. себестоим. руб. /шт -  500,44 руб. /шт. =</t>
  </si>
  <si>
    <t>26.</t>
  </si>
  <si>
    <t>Отразить в учете результат реализации готовой продукции:</t>
  </si>
  <si>
    <t>26.1</t>
  </si>
  <si>
    <t>26.2</t>
  </si>
  <si>
    <t>По изделию «Б» (90/2 -  99 – прибыль, 99 – 90/2 - убыток)</t>
  </si>
  <si>
    <t>По изделию «А»  (90/1 -  99 – прибыль, 99 – 90/1 - убыток)</t>
  </si>
  <si>
    <t>Счет 90/1</t>
  </si>
  <si>
    <t>Счет 90/2</t>
  </si>
  <si>
    <t>27.1</t>
  </si>
  <si>
    <t>От покупателей за продукцию «А» и «Б» поступили платежи на расчетный счет</t>
  </si>
  <si>
    <t>27.2</t>
  </si>
  <si>
    <t>Подлежит к возмещению из бюджета НДС (учтен входящий НДС по ОС) п.п. 1.4+2.4+2.8+4.4+5.4</t>
  </si>
  <si>
    <t>27.3</t>
  </si>
  <si>
    <t>Подлежит к возмещению из бюджета НДС (учтен входящий НДС по материалам) п.п. 10.2.2</t>
  </si>
  <si>
    <t>28.</t>
  </si>
  <si>
    <t>Операции по расчетному счету:</t>
  </si>
  <si>
    <t>28.1</t>
  </si>
  <si>
    <t>Приобретен депозитный сертификат</t>
  </si>
  <si>
    <t>28.2.1</t>
  </si>
  <si>
    <t>Поступили проценты по депозиту</t>
  </si>
  <si>
    <t>28.2.2</t>
  </si>
  <si>
    <t>Отражен финансовый результат по депозиту за месяц</t>
  </si>
  <si>
    <t>28.2.3</t>
  </si>
  <si>
    <t>Уплачен штраф за невыполнение договорных условий</t>
  </si>
  <si>
    <t>28.3</t>
  </si>
  <si>
    <t>Уплачена пеня за неуплату в срок НДС</t>
  </si>
  <si>
    <t>29.</t>
  </si>
  <si>
    <t>Перечислена задолженность за прошлый период (месяц):</t>
  </si>
  <si>
    <t>29.1</t>
  </si>
  <si>
    <t>В бюджет</t>
  </si>
  <si>
    <t>29.2</t>
  </si>
  <si>
    <t>В ФСЗН</t>
  </si>
  <si>
    <t>29.3</t>
  </si>
  <si>
    <t xml:space="preserve">Налог на прибыль </t>
  </si>
  <si>
    <t>30.</t>
  </si>
  <si>
    <t>Перечислены текущие платежи:</t>
  </si>
  <si>
    <t>30.1</t>
  </si>
  <si>
    <t>НДС (по реализованной продукции «А» и «Б»  п.23 и реализованному проводу п.10.12, сумму определить с учетом вычета «входного» НДС)</t>
  </si>
  <si>
    <t>Итого: входной НДС</t>
  </si>
  <si>
    <t>Начислен НДС по реализованной продукции «А» и «Б» п.23</t>
  </si>
  <si>
    <t>Начислен НДС по реализованному проводу п.10.12</t>
  </si>
  <si>
    <t xml:space="preserve">Итого: начислено НДС </t>
  </si>
  <si>
    <t>Перечислен НДС в бюджет п.30.1</t>
  </si>
  <si>
    <t>Подлежит к возмещению из бюджета НДС (учтен входящий НДС по ОС) п.27.2</t>
  </si>
  <si>
    <t>Подлежит к возмещению из бюджета НДС (учтен входящий НДС по материалам) п.27.3</t>
  </si>
  <si>
    <t>СНК</t>
  </si>
  <si>
    <t>СКК</t>
  </si>
  <si>
    <t>30.2</t>
  </si>
  <si>
    <t>Погашен долгосрочный кредит банка</t>
  </si>
  <si>
    <t>30.3</t>
  </si>
  <si>
    <t>Перечислены проценты за пользование кредитом</t>
  </si>
  <si>
    <t>31.</t>
  </si>
  <si>
    <t>В кассу по чеку получены наличные деньги:</t>
  </si>
  <si>
    <t>31.1</t>
  </si>
  <si>
    <t>На выплату заработной платы за месяц (п.11)</t>
  </si>
  <si>
    <t>31.2</t>
  </si>
  <si>
    <t>На командировочные расходы</t>
  </si>
  <si>
    <t>32.</t>
  </si>
  <si>
    <t>Выплачено из кассы:</t>
  </si>
  <si>
    <t>32.1</t>
  </si>
  <si>
    <t>Заработная плата работникам за месяц</t>
  </si>
  <si>
    <t>32.2</t>
  </si>
  <si>
    <t>Начальнику цеха Соловьёву С.А. в подотчет</t>
  </si>
  <si>
    <t>32.3</t>
  </si>
  <si>
    <t>Депонирование невыплаченной заработной платы за месяц</t>
  </si>
  <si>
    <t>32.3.1</t>
  </si>
  <si>
    <t>Депонированная заработная плата сдана в банк</t>
  </si>
  <si>
    <t>33.1</t>
  </si>
  <si>
    <t>Представлен авансовый отчет начальником цеха  Соловьёвым С.А. о расходовании средств на закупку материалов</t>
  </si>
  <si>
    <t>34.</t>
  </si>
  <si>
    <t>Начислены за месяц платежи в бюджет:</t>
  </si>
  <si>
    <t>34.1</t>
  </si>
  <si>
    <t>Налог на недвижимость (произвести расчет и отразить начисление)</t>
  </si>
  <si>
    <t>34.1.1</t>
  </si>
  <si>
    <t>Перечислен налог на недвижимость</t>
  </si>
  <si>
    <t>34.2</t>
  </si>
  <si>
    <t>Налог на прибыль (произвести расчет и отразить начисление)</t>
  </si>
  <si>
    <t>34.2.1</t>
  </si>
  <si>
    <t>Перечислен налог на прибыль</t>
  </si>
  <si>
    <t>35</t>
  </si>
  <si>
    <t>Отражена чистая прибыль  – реформация баланса</t>
  </si>
  <si>
    <t>Первоначальная стоимость недвижимости</t>
  </si>
  <si>
    <t>Остаток на конец месяца (сальдо) счет 01</t>
  </si>
  <si>
    <t>Сумма амортизации</t>
  </si>
  <si>
    <t>Остаток на конец месяца (сальдо) счет 02</t>
  </si>
  <si>
    <t>Остаточная стоимость недвижимости</t>
  </si>
  <si>
    <t xml:space="preserve">Первоначальная стоимость минус сумма амортизации </t>
  </si>
  <si>
    <t>Сумма налога на недвижимость за месяц (1% в год )</t>
  </si>
  <si>
    <t>(Остаточная стоимость * 1% / 100%) / 12 =</t>
  </si>
  <si>
    <t>Счет 99 Прибыли и убытки</t>
  </si>
  <si>
    <t>Дт, руб.</t>
  </si>
  <si>
    <t>Кт, руб.</t>
  </si>
  <si>
    <t>1.      </t>
  </si>
  <si>
    <t>Финансовый результат от списания станка п.6.5</t>
  </si>
  <si>
    <t>2.      </t>
  </si>
  <si>
    <t>Финансовый результат от реализации провода п.10.13</t>
  </si>
  <si>
    <t>3.      </t>
  </si>
  <si>
    <t>По изделию «А» п.26.1</t>
  </si>
  <si>
    <t>4.      </t>
  </si>
  <si>
    <t>По изделию «Б» п.26.2</t>
  </si>
  <si>
    <t>5.      </t>
  </si>
  <si>
    <t>Финансовый результат  (проценты) по депозиту п.28.2.2</t>
  </si>
  <si>
    <t>6.      </t>
  </si>
  <si>
    <t>Уплачен штраф за невыполнение договорных условий п.28.2.3</t>
  </si>
  <si>
    <t>7.      </t>
  </si>
  <si>
    <t>Уплачена пеня за неуплату в срок НДС п.28.3</t>
  </si>
  <si>
    <t>8.      </t>
  </si>
  <si>
    <t>Перечислены проценты за пользование кредитом п.30.3</t>
  </si>
  <si>
    <t>9.      </t>
  </si>
  <si>
    <t>Оборот</t>
  </si>
  <si>
    <t>10.   </t>
  </si>
  <si>
    <t>Сальдо (убыток, прибыль)</t>
  </si>
  <si>
    <t>11.   </t>
  </si>
  <si>
    <t>Налог на недвижимость п.34.1</t>
  </si>
  <si>
    <t>12.   </t>
  </si>
  <si>
    <t>Прибыль налогооблагаемая (п.10 – п.11)</t>
  </si>
  <si>
    <t>13.   </t>
  </si>
  <si>
    <t>Налог на прибыль (п.12 * 18% / 100%)</t>
  </si>
  <si>
    <t>14.   </t>
  </si>
  <si>
    <t>Чистая прибыль (п.12 – п.13) – реформация баланса п.35</t>
  </si>
  <si>
    <t>Счет 99</t>
  </si>
  <si>
    <t>Счёт 01</t>
  </si>
  <si>
    <t>Счёт 02</t>
  </si>
  <si>
    <t>Счёт 01/выб</t>
  </si>
  <si>
    <t>Счёт 05</t>
  </si>
  <si>
    <t>Счёт 04 </t>
  </si>
  <si>
    <t>Счёт 07 </t>
  </si>
  <si>
    <t>Счёт 08</t>
  </si>
  <si>
    <t>Счёт 10</t>
  </si>
  <si>
    <t>Счёт 18/1</t>
  </si>
  <si>
    <t>Счёт 18/21</t>
  </si>
  <si>
    <t>Счёт 18/22</t>
  </si>
  <si>
    <t>Счёт 20/1</t>
  </si>
  <si>
    <t>Счёт 43/1</t>
  </si>
  <si>
    <t>Счёт 50</t>
  </si>
  <si>
    <t>Кт </t>
  </si>
  <si>
    <t>Счёт 43/2</t>
  </si>
  <si>
    <t>Счёт 62</t>
  </si>
  <si>
    <t>Счёт 58</t>
  </si>
  <si>
    <t>Счёт 51</t>
  </si>
  <si>
    <t>Счёт 60</t>
  </si>
  <si>
    <t>Счёт 67</t>
  </si>
  <si>
    <t>Счёт 68</t>
  </si>
  <si>
    <t>Счёт 69</t>
  </si>
  <si>
    <t>Счёт 71 </t>
  </si>
  <si>
    <t>Счёт 73</t>
  </si>
  <si>
    <t>Счёт 84</t>
  </si>
  <si>
    <t>Счёт 70</t>
  </si>
  <si>
    <t>Счёт 76</t>
  </si>
  <si>
    <t>Счёт 94</t>
  </si>
  <si>
    <t>Счёт 91</t>
  </si>
  <si>
    <t>Счёт 99</t>
  </si>
  <si>
    <t>Счёт 98</t>
  </si>
  <si>
    <t>БУХГАЛТЕРСКИЙ БАЛАНС</t>
  </si>
  <si>
    <t>Активы</t>
  </si>
  <si>
    <t>Код строки</t>
  </si>
  <si>
    <t>На 31 декабря 2019 года</t>
  </si>
  <si>
    <t>На 31 января 2020 года</t>
  </si>
  <si>
    <t xml:space="preserve">I. ДОЛГОСРОЧНЫЕ АКТИВЫ </t>
  </si>
  <si>
    <t>В том числе:</t>
  </si>
  <si>
    <t>инвестиционная недвижимость</t>
  </si>
  <si>
    <t>предметы финансовой аренды (лизинга)</t>
  </si>
  <si>
    <t>прочие доходные вложения в материальные активы</t>
  </si>
  <si>
    <t>ИТОГО по разделу I</t>
  </si>
  <si>
    <t>II. КРАТКОСРОЧНЫЕ АКТИВЫ</t>
  </si>
  <si>
    <t>Запасы</t>
  </si>
  <si>
    <t>ИТОГО по разделу II</t>
  </si>
  <si>
    <t>БАЛАНС</t>
  </si>
  <si>
    <t>Основные средства 01, 02</t>
  </si>
  <si>
    <t>Нематериальные активы 04, 05</t>
  </si>
  <si>
    <t>Доходные вложения в материальные активы  03</t>
  </si>
  <si>
    <t>Вложения в долгосрочные активы 07, 08</t>
  </si>
  <si>
    <t>Долгосрочные финансовые вложения 06</t>
  </si>
  <si>
    <t>Отложенные налоговые активы 09</t>
  </si>
  <si>
    <t>Долгосрочная дебиторская задолженность 60, 62, 63, 68, 69, 73, 75, 76, 79</t>
  </si>
  <si>
    <t>Прочие долгосрочные активы 97</t>
  </si>
  <si>
    <t>Материалы 10, 15, 16, 14</t>
  </si>
  <si>
    <t>животные на выращивании и откорме 11</t>
  </si>
  <si>
    <t>незавершенное производство 20, 21, 23, 29, 14</t>
  </si>
  <si>
    <t>готовая продукция и товары 41, 42, 43, 44, 14</t>
  </si>
  <si>
    <t>товары отгруженные 45</t>
  </si>
  <si>
    <t>прочие запасы 28</t>
  </si>
  <si>
    <t>Долгосрочные активы, предназначенные для реализации 47</t>
  </si>
  <si>
    <t>Расходы будущих периодов 97</t>
  </si>
  <si>
    <t>Налог на добавленную стоимость по приобретенным товарам, работам, услугам 18</t>
  </si>
  <si>
    <t>Краткосрочная дебиторская задолженность 60, 62, 63, 68, 69, 70, 71, 73, 75, 76, 79</t>
  </si>
  <si>
    <t>Краткосрочные финансовые вложения 58, 59, 06</t>
  </si>
  <si>
    <t>Денежные средства и их эквиваленты 50, 51, 52, 55, 57, 58</t>
  </si>
  <si>
    <t>Прочие краткосрочные активы 94</t>
  </si>
  <si>
    <t>Пассивы</t>
  </si>
  <si>
    <t>III. СОБСТВЕННЫЙ КАПИТАЛ</t>
  </si>
  <si>
    <t>Уставный капитал 80</t>
  </si>
  <si>
    <t>Неоплаченная часть уставного капитала 75</t>
  </si>
  <si>
    <t>Собственные акции (доли в уставном капитале) 81</t>
  </si>
  <si>
    <t>Резервный капитал 82</t>
  </si>
  <si>
    <t>15 810,00</t>
  </si>
  <si>
    <t>Добавочный капитал 83</t>
  </si>
  <si>
    <t>Нераспределенная прибыль (непокрытый убыток) 84</t>
  </si>
  <si>
    <t>Чистая прибыль (убыток) отчетного периода 99</t>
  </si>
  <si>
    <t>Целевое финансирование 86</t>
  </si>
  <si>
    <t>ИТОГО по разделу III</t>
  </si>
  <si>
    <t>IV. ДОЛГОСРОЧНЫЕ ОБЯЗАТЕЛЬСТВА</t>
  </si>
  <si>
    <t>Долгосрочные кредиты и займы 67</t>
  </si>
  <si>
    <t>22 055,00</t>
  </si>
  <si>
    <t>Долгосрочные обязательства по лизинговым платежам 76</t>
  </si>
  <si>
    <t>Отложенные налоговые обязательства 65</t>
  </si>
  <si>
    <t>Доходы будущих периодов 98</t>
  </si>
  <si>
    <t>Резервы предстоящих платежей 96</t>
  </si>
  <si>
    <t>Прочие долгосрочные обязательства 60, 62, 68, 69, 76, 79</t>
  </si>
  <si>
    <t>ИТОГО по разделу IV</t>
  </si>
  <si>
    <t>V. КРАТКОСРОЧНЫЕ ОБЯЗАТЕЛЬСТВА</t>
  </si>
  <si>
    <t>Краткосрочные кредиты и займы 66</t>
  </si>
  <si>
    <t xml:space="preserve">Краткосрочная часть долгосрочных обязательств 67 </t>
  </si>
  <si>
    <t>Краткосрочная кредиторская задолженность</t>
  </si>
  <si>
    <t>поставщикам, подрядчикам, исполнителям 60</t>
  </si>
  <si>
    <t>по авансам полученным 62</t>
  </si>
  <si>
    <t>по налогам и сборам 68</t>
  </si>
  <si>
    <t>по социальному страхованию и обеспечению 69</t>
  </si>
  <si>
    <t>по лизинговым платежам 76</t>
  </si>
  <si>
    <t>собственнику имущества (учредителям, участникам) 70, 75</t>
  </si>
  <si>
    <t>прочим кредиторам 66, 67, 71, 73, 76, 79</t>
  </si>
  <si>
    <t>Обязательства, предназначенные для реализации 76</t>
  </si>
  <si>
    <t>Прочие краткосрочные обязательства</t>
  </si>
  <si>
    <t>ИТОГО по разделу V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</si>
  <si>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</si>
  <si>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</si>
  <si>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</si>
  <si>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</si>
  <si>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</si>
  <si>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</si>
  <si>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</si>
  <si>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</si>
  <si>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</si>
  <si>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</si>
  <si>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</si>
  <si>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</si>
  <si>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</si>
  <si>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</si>
  <si>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</si>
  <si>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</si>
  <si>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</si>
  <si>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</si>
  <si>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</si>
  <si>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</si>
  <si>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</si>
  <si>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</si>
  <si>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</si>
  <si>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</si>
  <si>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</si>
  <si>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</si>
  <si>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1.4</t>
  </si>
  <si>
    <t>Счет</t>
  </si>
  <si>
    <t>Остаток на начало месяца (января)</t>
  </si>
  <si>
    <t>Оборот за месяц (январь)</t>
  </si>
  <si>
    <t>Остаток на конец месяца (январь)</t>
  </si>
  <si>
    <t>2 500 310,00</t>
  </si>
  <si>
    <t>620 000,00</t>
  </si>
  <si>
    <t>10 000,00</t>
  </si>
  <si>
    <t>4 000,00</t>
  </si>
  <si>
    <t>20/1 по цеху №1</t>
  </si>
  <si>
    <t>4 600,00</t>
  </si>
  <si>
    <t>3 500,00</t>
  </si>
  <si>
    <t>20/2 по цеху №2</t>
  </si>
  <si>
    <t>4 250,00</t>
  </si>
  <si>
    <t>3 800,00</t>
  </si>
  <si>
    <t>4 750,00</t>
  </si>
  <si>
    <t>7 500,00</t>
  </si>
  <si>
    <t>15 000,00</t>
  </si>
  <si>
    <t>228 540,00</t>
  </si>
  <si>
    <t>Итого</t>
  </si>
  <si>
    <t>по оплате труда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</si>
</sst>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5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/>
    <xf numFmtId="2" fontId="0" fillId="0" borderId="1" xfId="0" applyNumberFormat="1" applyBorder="1"/>
    <xf numFmtId="0" fontId="2" fillId="0" borderId="0" xfId="0" applyFont="1" applyBorder="1"/>
    <xf numFmtId="2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0C2D-806A-4380-8D73-BE015EBA4D4A}">
  <dimension ref="A1:Q197"/>
  <sheetViews>
    <sheetView topLeftCell="A122" zoomScale="55" zoomScaleNormal="55" workbookViewId="0">
      <selection activeCell="A153" sqref="A153:E154"/>
    </sheetView>
  </sheetViews>
  <sheetFormatPr defaultRowHeight="14.4" x14ac:dyDescent="0.3"/>
  <cols>
    <col min="2" max="2" width="44.77734375" customWidth="1"/>
    <col min="3" max="3" width="14.88671875" customWidth="1"/>
    <col min="4" max="4" width="11.44140625" customWidth="1"/>
    <col min="5" max="5" width="10" customWidth="1"/>
    <col min="8" max="8" width="12" customWidth="1"/>
    <col min="9" max="9" width="11.88671875" customWidth="1"/>
    <col min="10" max="10" width="9.44140625" bestFit="1" customWidth="1"/>
    <col min="11" max="11" width="10.5546875" customWidth="1"/>
    <col min="13" max="13" width="12.21875" customWidth="1"/>
    <col min="14" max="14" width="12.109375" customWidth="1"/>
  </cols>
  <sheetData>
    <row r="1" spans="1:5" x14ac:dyDescent="0.3">
      <c r="A1" s="57" t="s">
        <v>0</v>
      </c>
      <c r="B1" s="58" t="s">
        <v>1</v>
      </c>
      <c r="C1" s="60" t="s">
        <v>2</v>
      </c>
      <c r="D1" s="61"/>
      <c r="E1" s="59" t="s">
        <v>3</v>
      </c>
    </row>
    <row r="2" spans="1:5" x14ac:dyDescent="0.3">
      <c r="A2" s="57"/>
      <c r="B2" s="58"/>
      <c r="C2" s="3" t="s">
        <v>4</v>
      </c>
      <c r="D2" s="3" t="s">
        <v>5</v>
      </c>
      <c r="E2" s="59"/>
    </row>
    <row r="3" spans="1:5" ht="43.2" x14ac:dyDescent="0.3">
      <c r="A3" s="7" t="s">
        <v>516</v>
      </c>
      <c r="B3" s="5" t="s">
        <v>6</v>
      </c>
      <c r="C3" s="41">
        <v>7</v>
      </c>
      <c r="D3" s="41">
        <v>60</v>
      </c>
      <c r="E3" s="42">
        <v>20044</v>
      </c>
    </row>
    <row r="4" spans="1:5" ht="28.8" x14ac:dyDescent="0.3">
      <c r="A4" s="7" t="s">
        <v>517</v>
      </c>
      <c r="B4" s="5" t="s">
        <v>7</v>
      </c>
      <c r="C4" s="43" t="s">
        <v>25</v>
      </c>
      <c r="D4" s="41">
        <v>60</v>
      </c>
      <c r="E4" s="42">
        <f>E3*0.2</f>
        <v>4008.8</v>
      </c>
    </row>
    <row r="5" spans="1:5" ht="28.8" x14ac:dyDescent="0.3">
      <c r="A5" s="7" t="s">
        <v>518</v>
      </c>
      <c r="B5" s="5" t="s">
        <v>8</v>
      </c>
      <c r="C5" s="41">
        <v>60</v>
      </c>
      <c r="D5" s="41">
        <v>51</v>
      </c>
      <c r="E5" s="42">
        <f>E3+E4</f>
        <v>24052.799999999999</v>
      </c>
    </row>
    <row r="6" spans="1:5" x14ac:dyDescent="0.3">
      <c r="A6" s="7" t="s">
        <v>542</v>
      </c>
      <c r="B6" s="5" t="s">
        <v>9</v>
      </c>
      <c r="C6" s="41" t="s">
        <v>10</v>
      </c>
      <c r="D6" s="43" t="s">
        <v>25</v>
      </c>
      <c r="E6" s="42">
        <f>E4</f>
        <v>4008.8</v>
      </c>
    </row>
    <row r="7" spans="1:5" ht="43.2" x14ac:dyDescent="0.3">
      <c r="A7" s="7" t="s">
        <v>519</v>
      </c>
      <c r="B7" s="5" t="s">
        <v>11</v>
      </c>
      <c r="C7" s="41">
        <v>7</v>
      </c>
      <c r="D7" s="41">
        <v>60</v>
      </c>
      <c r="E7" s="42">
        <f>E3*0.1</f>
        <v>2004.4</v>
      </c>
    </row>
    <row r="8" spans="1:5" x14ac:dyDescent="0.3">
      <c r="A8" s="7" t="s">
        <v>520</v>
      </c>
      <c r="B8" s="5" t="s">
        <v>12</v>
      </c>
      <c r="C8" s="43" t="s">
        <v>25</v>
      </c>
      <c r="D8" s="41">
        <v>60</v>
      </c>
      <c r="E8" s="42">
        <f>E7*0.2</f>
        <v>400.88000000000005</v>
      </c>
    </row>
    <row r="9" spans="1:5" ht="28.8" x14ac:dyDescent="0.3">
      <c r="A9" s="7" t="s">
        <v>521</v>
      </c>
      <c r="B9" s="5" t="s">
        <v>13</v>
      </c>
      <c r="C9" s="41">
        <v>60</v>
      </c>
      <c r="D9" s="41">
        <v>51</v>
      </c>
      <c r="E9" s="42">
        <f>E7+E8</f>
        <v>2405.2800000000002</v>
      </c>
    </row>
    <row r="10" spans="1:5" x14ac:dyDescent="0.3">
      <c r="A10" s="7" t="s">
        <v>522</v>
      </c>
      <c r="B10" s="5" t="s">
        <v>14</v>
      </c>
      <c r="C10" s="41" t="s">
        <v>10</v>
      </c>
      <c r="D10" s="43" t="s">
        <v>25</v>
      </c>
      <c r="E10" s="42">
        <f>E8</f>
        <v>400.88000000000005</v>
      </c>
    </row>
    <row r="11" spans="1:5" ht="28.8" x14ac:dyDescent="0.3">
      <c r="A11" s="7" t="s">
        <v>523</v>
      </c>
      <c r="B11" s="5" t="s">
        <v>15</v>
      </c>
      <c r="C11" s="41">
        <v>7</v>
      </c>
      <c r="D11" s="41">
        <v>60</v>
      </c>
      <c r="E11" s="42">
        <f>0.1*E3</f>
        <v>2004.4</v>
      </c>
    </row>
    <row r="12" spans="1:5" x14ac:dyDescent="0.3">
      <c r="A12" s="7" t="s">
        <v>524</v>
      </c>
      <c r="B12" s="5" t="s">
        <v>16</v>
      </c>
      <c r="C12" s="43" t="s">
        <v>25</v>
      </c>
      <c r="D12" s="41">
        <v>60</v>
      </c>
      <c r="E12" s="42">
        <f>0.2*E11</f>
        <v>400.88000000000005</v>
      </c>
    </row>
    <row r="13" spans="1:5" ht="43.2" x14ac:dyDescent="0.3">
      <c r="A13" s="7" t="s">
        <v>525</v>
      </c>
      <c r="B13" s="5" t="s">
        <v>17</v>
      </c>
      <c r="C13" s="41">
        <v>60</v>
      </c>
      <c r="D13" s="41">
        <v>51</v>
      </c>
      <c r="E13" s="42">
        <f>E11+E12</f>
        <v>2405.2800000000002</v>
      </c>
    </row>
    <row r="14" spans="1:5" x14ac:dyDescent="0.3">
      <c r="A14" s="7" t="s">
        <v>526</v>
      </c>
      <c r="B14" s="5" t="s">
        <v>18</v>
      </c>
      <c r="C14" s="41" t="s">
        <v>10</v>
      </c>
      <c r="D14" s="43" t="s">
        <v>25</v>
      </c>
      <c r="E14" s="42">
        <f>E12</f>
        <v>400.88000000000005</v>
      </c>
    </row>
    <row r="15" spans="1:5" ht="28.8" x14ac:dyDescent="0.3">
      <c r="A15" s="7" t="s">
        <v>527</v>
      </c>
      <c r="B15" s="5" t="s">
        <v>19</v>
      </c>
      <c r="C15" s="41">
        <v>8</v>
      </c>
      <c r="D15" s="41">
        <v>7</v>
      </c>
      <c r="E15" s="42">
        <f>E3+E7+E11</f>
        <v>24052.800000000003</v>
      </c>
    </row>
    <row r="16" spans="1:5" ht="72" x14ac:dyDescent="0.3">
      <c r="A16" s="7" t="s">
        <v>528</v>
      </c>
      <c r="B16" s="5" t="s">
        <v>20</v>
      </c>
      <c r="C16" s="41">
        <v>8</v>
      </c>
      <c r="D16" s="41">
        <v>60</v>
      </c>
      <c r="E16" s="42">
        <f>0.2*E15</f>
        <v>4810.5600000000004</v>
      </c>
    </row>
    <row r="17" spans="1:17" x14ac:dyDescent="0.3">
      <c r="A17" s="7" t="s">
        <v>529</v>
      </c>
      <c r="B17" s="5" t="s">
        <v>21</v>
      </c>
      <c r="C17" s="43" t="s">
        <v>25</v>
      </c>
      <c r="D17" s="41">
        <v>60</v>
      </c>
      <c r="E17" s="42">
        <f>0.2*E16</f>
        <v>962.11200000000008</v>
      </c>
      <c r="M17" s="13"/>
      <c r="N17" s="13"/>
      <c r="O17" s="13"/>
      <c r="P17" s="13"/>
      <c r="Q17" s="13"/>
    </row>
    <row r="18" spans="1:17" ht="43.2" x14ac:dyDescent="0.3">
      <c r="A18" s="7" t="s">
        <v>530</v>
      </c>
      <c r="B18" s="5" t="s">
        <v>22</v>
      </c>
      <c r="C18" s="41">
        <v>60</v>
      </c>
      <c r="D18" s="41">
        <v>51</v>
      </c>
      <c r="E18" s="42">
        <f>E16+E17</f>
        <v>5772.6720000000005</v>
      </c>
      <c r="M18" s="13"/>
      <c r="N18" s="20"/>
      <c r="O18" s="56"/>
      <c r="P18" s="56"/>
      <c r="Q18" s="20"/>
    </row>
    <row r="19" spans="1:17" ht="15.6" x14ac:dyDescent="0.3">
      <c r="A19" s="7" t="s">
        <v>531</v>
      </c>
      <c r="B19" s="5" t="s">
        <v>23</v>
      </c>
      <c r="C19" s="41" t="s">
        <v>10</v>
      </c>
      <c r="D19" s="43" t="s">
        <v>25</v>
      </c>
      <c r="E19" s="42">
        <f>E17</f>
        <v>962.11200000000008</v>
      </c>
      <c r="M19" s="13"/>
      <c r="N19" s="20"/>
      <c r="O19" s="19"/>
      <c r="P19" s="20"/>
      <c r="Q19" s="20"/>
    </row>
    <row r="20" spans="1:17" ht="28.8" x14ac:dyDescent="0.3">
      <c r="A20" s="7" t="s">
        <v>532</v>
      </c>
      <c r="B20" s="5" t="s">
        <v>24</v>
      </c>
      <c r="C20" s="41">
        <v>1</v>
      </c>
      <c r="D20" s="41">
        <v>8</v>
      </c>
      <c r="E20" s="42">
        <f>E15+E16</f>
        <v>28863.360000000004</v>
      </c>
      <c r="M20" s="13"/>
      <c r="N20" s="19"/>
      <c r="O20" s="19"/>
      <c r="P20" s="19"/>
      <c r="Q20" s="19"/>
    </row>
    <row r="21" spans="1:17" ht="28.8" x14ac:dyDescent="0.3">
      <c r="A21" s="7" t="s">
        <v>533</v>
      </c>
      <c r="B21" s="5" t="s">
        <v>26</v>
      </c>
      <c r="C21" s="41">
        <v>8</v>
      </c>
      <c r="D21" s="41">
        <v>98</v>
      </c>
      <c r="E21" s="42">
        <v>1000.44</v>
      </c>
      <c r="M21" s="13"/>
      <c r="N21" s="19"/>
      <c r="O21" s="19"/>
      <c r="P21" s="19"/>
      <c r="Q21" s="19"/>
    </row>
    <row r="22" spans="1:17" ht="28.8" x14ac:dyDescent="0.3">
      <c r="A22" s="7" t="s">
        <v>534</v>
      </c>
      <c r="B22" s="5" t="s">
        <v>27</v>
      </c>
      <c r="C22" s="41">
        <v>1</v>
      </c>
      <c r="D22" s="41">
        <v>8</v>
      </c>
      <c r="E22" s="42">
        <v>1000.44</v>
      </c>
      <c r="M22" s="13"/>
      <c r="N22" s="19"/>
      <c r="O22" s="19"/>
      <c r="P22" s="19"/>
      <c r="Q22" s="19"/>
    </row>
    <row r="23" spans="1:17" x14ac:dyDescent="0.3">
      <c r="A23" s="7" t="s">
        <v>535</v>
      </c>
      <c r="B23" s="5" t="s">
        <v>28</v>
      </c>
      <c r="C23" s="43" t="s">
        <v>25</v>
      </c>
      <c r="D23" s="41">
        <v>98</v>
      </c>
      <c r="E23" s="42">
        <f>0.2*E21</f>
        <v>200.08800000000002</v>
      </c>
      <c r="M23" s="13"/>
      <c r="N23" s="19"/>
      <c r="O23" s="19"/>
      <c r="P23" s="19"/>
      <c r="Q23" s="19"/>
    </row>
    <row r="24" spans="1:17" x14ac:dyDescent="0.3">
      <c r="A24" s="7" t="s">
        <v>536</v>
      </c>
      <c r="B24" s="5" t="s">
        <v>29</v>
      </c>
      <c r="C24" s="41" t="s">
        <v>10</v>
      </c>
      <c r="D24" s="43" t="s">
        <v>25</v>
      </c>
      <c r="E24" s="42">
        <f>E23</f>
        <v>200.08800000000002</v>
      </c>
      <c r="M24" s="13"/>
      <c r="N24" s="19"/>
      <c r="O24" s="19"/>
      <c r="P24" s="19"/>
      <c r="Q24" s="19"/>
    </row>
    <row r="25" spans="1:17" x14ac:dyDescent="0.3">
      <c r="A25" s="7">
        <v>6</v>
      </c>
      <c r="B25" s="5" t="s">
        <v>30</v>
      </c>
      <c r="C25" s="50"/>
      <c r="D25" s="51"/>
      <c r="E25" s="52"/>
      <c r="M25" s="13"/>
      <c r="N25" s="19"/>
      <c r="O25" s="19"/>
      <c r="P25" s="19"/>
      <c r="Q25" s="19"/>
    </row>
    <row r="26" spans="1:17" x14ac:dyDescent="0.3">
      <c r="A26" s="7" t="s">
        <v>537</v>
      </c>
      <c r="B26" s="5" t="s">
        <v>31</v>
      </c>
      <c r="C26" s="41" t="s">
        <v>35</v>
      </c>
      <c r="D26" s="41">
        <v>1</v>
      </c>
      <c r="E26" s="42">
        <v>25044</v>
      </c>
      <c r="M26" s="13"/>
      <c r="N26" s="19"/>
      <c r="O26" s="19"/>
      <c r="P26" s="19"/>
      <c r="Q26" s="19"/>
    </row>
    <row r="27" spans="1:17" ht="28.8" x14ac:dyDescent="0.3">
      <c r="A27" s="7" t="s">
        <v>538</v>
      </c>
      <c r="B27" s="5" t="s">
        <v>32</v>
      </c>
      <c r="C27" s="41">
        <v>2</v>
      </c>
      <c r="D27" s="41" t="s">
        <v>35</v>
      </c>
      <c r="E27" s="42">
        <f>0.9*E26</f>
        <v>22539.600000000002</v>
      </c>
      <c r="M27" s="13"/>
      <c r="N27" s="19"/>
      <c r="O27" s="19"/>
      <c r="P27" s="19"/>
      <c r="Q27" s="19"/>
    </row>
    <row r="28" spans="1:17" ht="15.6" x14ac:dyDescent="0.3">
      <c r="A28" s="7" t="s">
        <v>539</v>
      </c>
      <c r="B28" s="5" t="s">
        <v>33</v>
      </c>
      <c r="C28" s="41">
        <v>91</v>
      </c>
      <c r="D28" s="41" t="s">
        <v>35</v>
      </c>
      <c r="E28" s="42">
        <f>E26-E27</f>
        <v>2504.3999999999978</v>
      </c>
      <c r="M28" s="13"/>
      <c r="N28" s="16"/>
      <c r="O28" s="26"/>
      <c r="P28" s="26"/>
      <c r="Q28" s="16"/>
    </row>
    <row r="29" spans="1:17" ht="28.8" x14ac:dyDescent="0.3">
      <c r="A29" s="7" t="s">
        <v>540</v>
      </c>
      <c r="B29" s="5" t="s">
        <v>34</v>
      </c>
      <c r="C29" s="41">
        <v>10</v>
      </c>
      <c r="D29" s="41">
        <v>91</v>
      </c>
      <c r="E29" s="42">
        <v>1000.44</v>
      </c>
      <c r="M29" s="13"/>
      <c r="N29" s="20"/>
      <c r="O29" s="19"/>
      <c r="P29" s="19"/>
      <c r="Q29" s="20"/>
    </row>
    <row r="30" spans="1:17" ht="28.8" x14ac:dyDescent="0.3">
      <c r="A30" s="7" t="s">
        <v>541</v>
      </c>
      <c r="B30" s="5" t="s">
        <v>36</v>
      </c>
      <c r="C30" s="41">
        <v>99</v>
      </c>
      <c r="D30" s="41">
        <v>91</v>
      </c>
      <c r="E30" s="42">
        <v>1503.96</v>
      </c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57.6" x14ac:dyDescent="0.3">
      <c r="A31" s="7" t="s">
        <v>41</v>
      </c>
      <c r="B31" s="5" t="s">
        <v>42</v>
      </c>
      <c r="C31" s="50"/>
      <c r="D31" s="51"/>
      <c r="E31" s="52"/>
      <c r="I31" s="20"/>
      <c r="J31" s="56"/>
      <c r="K31" s="56"/>
      <c r="L31" s="20"/>
      <c r="M31" s="13"/>
      <c r="N31" s="20"/>
      <c r="O31" s="56"/>
      <c r="P31" s="56"/>
      <c r="Q31" s="20"/>
    </row>
    <row r="32" spans="1:17" ht="28.8" x14ac:dyDescent="0.3">
      <c r="A32" s="7" t="s">
        <v>43</v>
      </c>
      <c r="B32" s="5" t="s">
        <v>46</v>
      </c>
      <c r="C32" s="41">
        <v>25</v>
      </c>
      <c r="D32" s="41">
        <v>2</v>
      </c>
      <c r="E32" s="42">
        <f>Таблы!G3</f>
        <v>1791</v>
      </c>
      <c r="I32" s="19"/>
      <c r="J32" s="19"/>
      <c r="K32" s="19"/>
      <c r="L32" s="19"/>
      <c r="M32" s="13"/>
      <c r="N32" s="19"/>
      <c r="O32" s="19"/>
      <c r="P32" s="19"/>
      <c r="Q32" s="19"/>
    </row>
    <row r="33" spans="1:17" ht="28.8" x14ac:dyDescent="0.3">
      <c r="A33" s="7" t="s">
        <v>43</v>
      </c>
      <c r="B33" s="5" t="s">
        <v>47</v>
      </c>
      <c r="C33" s="41">
        <v>25</v>
      </c>
      <c r="D33" s="41">
        <v>2</v>
      </c>
      <c r="E33" s="42">
        <f>Таблы!G4</f>
        <v>710.36666666666667</v>
      </c>
      <c r="I33" s="19"/>
      <c r="J33" s="19"/>
      <c r="K33" s="19"/>
      <c r="L33" s="19"/>
      <c r="M33" s="13"/>
      <c r="N33" s="19"/>
      <c r="O33" s="19"/>
      <c r="P33" s="19"/>
      <c r="Q33" s="19"/>
    </row>
    <row r="34" spans="1:17" ht="28.8" x14ac:dyDescent="0.3">
      <c r="A34" s="7" t="s">
        <v>44</v>
      </c>
      <c r="B34" s="5" t="s">
        <v>48</v>
      </c>
      <c r="C34" s="41">
        <v>25</v>
      </c>
      <c r="D34" s="41">
        <v>2</v>
      </c>
      <c r="E34" s="42">
        <f>Таблы!G5</f>
        <v>604.11111111111097</v>
      </c>
      <c r="I34" s="19"/>
      <c r="J34" s="19"/>
      <c r="K34" s="19"/>
      <c r="L34" s="20"/>
      <c r="M34" s="13"/>
      <c r="N34" s="19"/>
      <c r="O34" s="19"/>
      <c r="P34" s="19"/>
      <c r="Q34" s="19"/>
    </row>
    <row r="35" spans="1:17" ht="28.8" x14ac:dyDescent="0.3">
      <c r="A35" s="7" t="s">
        <v>45</v>
      </c>
      <c r="B35" s="5" t="s">
        <v>49</v>
      </c>
      <c r="C35" s="41">
        <v>26</v>
      </c>
      <c r="D35" s="41">
        <v>2</v>
      </c>
      <c r="E35" s="42">
        <f>Таблы!G6</f>
        <v>3747.9674796747968</v>
      </c>
      <c r="I35" s="19"/>
      <c r="J35" s="19"/>
      <c r="K35" s="19"/>
      <c r="L35" s="20"/>
      <c r="M35" s="13"/>
      <c r="N35" s="19"/>
      <c r="O35" s="19"/>
      <c r="P35" s="19"/>
      <c r="Q35" s="19"/>
    </row>
    <row r="36" spans="1:17" ht="28.8" x14ac:dyDescent="0.3">
      <c r="A36" s="7" t="s">
        <v>63</v>
      </c>
      <c r="B36" s="5" t="s">
        <v>64</v>
      </c>
      <c r="C36" s="50"/>
      <c r="D36" s="51"/>
      <c r="E36" s="52"/>
      <c r="I36" s="19"/>
      <c r="J36" s="19"/>
      <c r="K36" s="19"/>
      <c r="L36" s="20"/>
      <c r="M36" s="13"/>
      <c r="N36" s="19"/>
      <c r="O36" s="19"/>
      <c r="P36" s="19"/>
      <c r="Q36" s="19"/>
    </row>
    <row r="37" spans="1:17" ht="15.6" x14ac:dyDescent="0.3">
      <c r="A37" s="7" t="s">
        <v>65</v>
      </c>
      <c r="B37" s="5" t="s">
        <v>66</v>
      </c>
      <c r="C37" s="41">
        <v>25</v>
      </c>
      <c r="D37" s="41">
        <v>60</v>
      </c>
      <c r="E37" s="42">
        <v>2044</v>
      </c>
      <c r="I37" s="19"/>
      <c r="J37" s="19"/>
      <c r="K37" s="19"/>
      <c r="L37" s="20"/>
      <c r="M37" s="13"/>
      <c r="N37" s="16"/>
      <c r="O37" s="26"/>
      <c r="P37" s="26"/>
      <c r="Q37" s="16"/>
    </row>
    <row r="38" spans="1:17" x14ac:dyDescent="0.3">
      <c r="A38" s="7" t="s">
        <v>67</v>
      </c>
      <c r="B38" s="5" t="s">
        <v>68</v>
      </c>
      <c r="C38" s="41">
        <v>25</v>
      </c>
      <c r="D38" s="41">
        <v>60</v>
      </c>
      <c r="E38" s="42">
        <v>3044</v>
      </c>
      <c r="M38" s="13"/>
      <c r="N38" s="13"/>
      <c r="O38" s="13"/>
      <c r="P38" s="13"/>
      <c r="Q38" s="13"/>
    </row>
    <row r="39" spans="1:17" ht="28.8" x14ac:dyDescent="0.3">
      <c r="A39" s="7" t="s">
        <v>69</v>
      </c>
      <c r="B39" s="5" t="s">
        <v>70</v>
      </c>
      <c r="C39" s="41">
        <v>26</v>
      </c>
      <c r="D39" s="41">
        <v>60</v>
      </c>
      <c r="E39" s="42">
        <v>1044</v>
      </c>
      <c r="M39" s="13"/>
    </row>
    <row r="40" spans="1:17" ht="28.8" x14ac:dyDescent="0.3">
      <c r="A40" s="7" t="s">
        <v>71</v>
      </c>
      <c r="B40" s="5" t="s">
        <v>80</v>
      </c>
      <c r="C40" s="41">
        <v>60</v>
      </c>
      <c r="D40" s="41">
        <v>51</v>
      </c>
      <c r="E40" s="42">
        <f>Таблы!D9*2000</f>
        <v>70880</v>
      </c>
      <c r="M40" s="13"/>
    </row>
    <row r="41" spans="1:17" ht="43.2" x14ac:dyDescent="0.3">
      <c r="A41" s="7" t="s">
        <v>72</v>
      </c>
      <c r="B41" s="5" t="s">
        <v>89</v>
      </c>
      <c r="C41" s="41">
        <v>60</v>
      </c>
      <c r="D41" s="41">
        <v>51</v>
      </c>
      <c r="E41" s="42">
        <f>E40*0.08</f>
        <v>5670.4000000000005</v>
      </c>
      <c r="M41" s="13"/>
    </row>
    <row r="42" spans="1:17" ht="72" x14ac:dyDescent="0.3">
      <c r="A42" s="7" t="s">
        <v>73</v>
      </c>
      <c r="B42" s="5" t="s">
        <v>74</v>
      </c>
      <c r="C42" s="41">
        <v>10</v>
      </c>
      <c r="D42" s="41">
        <v>60</v>
      </c>
      <c r="E42" s="42">
        <f>Таблы!D12*1850</f>
        <v>98346</v>
      </c>
      <c r="M42" s="13"/>
    </row>
    <row r="43" spans="1:17" x14ac:dyDescent="0.3">
      <c r="A43" s="7" t="s">
        <v>75</v>
      </c>
      <c r="B43" s="5" t="s">
        <v>76</v>
      </c>
      <c r="C43" s="43" t="s">
        <v>25</v>
      </c>
      <c r="D43" s="41">
        <v>60</v>
      </c>
      <c r="E43" s="42">
        <f>(E40+E41)*20/120</f>
        <v>12758.4</v>
      </c>
      <c r="M43" s="13"/>
    </row>
    <row r="44" spans="1:17" x14ac:dyDescent="0.3">
      <c r="A44" s="7" t="s">
        <v>77</v>
      </c>
      <c r="B44" s="5" t="s">
        <v>78</v>
      </c>
      <c r="C44" s="41" t="s">
        <v>79</v>
      </c>
      <c r="D44" s="43" t="s">
        <v>25</v>
      </c>
      <c r="E44" s="42">
        <f>E43</f>
        <v>12758.4</v>
      </c>
      <c r="M44" s="13"/>
    </row>
    <row r="45" spans="1:17" ht="57.6" x14ac:dyDescent="0.3">
      <c r="A45" s="7" t="s">
        <v>90</v>
      </c>
      <c r="B45" s="5" t="s">
        <v>91</v>
      </c>
      <c r="C45" s="41">
        <v>60</v>
      </c>
      <c r="D45" s="41">
        <v>10</v>
      </c>
      <c r="E45" s="42">
        <f>Таблы!D12*150</f>
        <v>7973.9999999999991</v>
      </c>
      <c r="M45" s="13"/>
    </row>
    <row r="46" spans="1:17" x14ac:dyDescent="0.3">
      <c r="A46" s="7" t="s">
        <v>92</v>
      </c>
      <c r="B46" s="5" t="s">
        <v>93</v>
      </c>
      <c r="C46" s="41">
        <v>60</v>
      </c>
      <c r="D46" s="43" t="s">
        <v>25</v>
      </c>
      <c r="E46" s="42">
        <f>0.2*E45</f>
        <v>1594.8</v>
      </c>
      <c r="M46" s="13"/>
      <c r="N46" s="13"/>
      <c r="O46" s="13"/>
      <c r="P46" s="13"/>
      <c r="Q46" s="13"/>
    </row>
    <row r="47" spans="1:17" ht="57.6" x14ac:dyDescent="0.3">
      <c r="A47" s="7" t="s">
        <v>94</v>
      </c>
      <c r="B47" s="5" t="s">
        <v>95</v>
      </c>
      <c r="C47" s="41">
        <v>10</v>
      </c>
      <c r="D47" s="41">
        <v>60</v>
      </c>
      <c r="E47" s="42">
        <f>Таблы!D12*150</f>
        <v>7973.9999999999991</v>
      </c>
      <c r="M47" s="13"/>
      <c r="N47" s="13"/>
      <c r="O47" s="13"/>
      <c r="P47" s="13"/>
      <c r="Q47" s="13"/>
    </row>
    <row r="48" spans="1:17" x14ac:dyDescent="0.3">
      <c r="A48" s="7" t="s">
        <v>96</v>
      </c>
      <c r="B48" s="5" t="s">
        <v>97</v>
      </c>
      <c r="C48" s="43" t="s">
        <v>25</v>
      </c>
      <c r="D48" s="41">
        <v>60</v>
      </c>
      <c r="E48" s="42">
        <f>0.2*E47</f>
        <v>1594.8</v>
      </c>
      <c r="M48" s="13"/>
      <c r="N48" s="13"/>
      <c r="O48" s="13"/>
      <c r="P48" s="13"/>
      <c r="Q48" s="13"/>
    </row>
    <row r="49" spans="1:13" ht="100.8" x14ac:dyDescent="0.3">
      <c r="A49" s="7" t="s">
        <v>98</v>
      </c>
      <c r="B49" s="5" t="s">
        <v>99</v>
      </c>
      <c r="C49" s="43" t="s">
        <v>106</v>
      </c>
      <c r="D49" s="41">
        <v>10</v>
      </c>
      <c r="E49" s="42">
        <f>50*Таблы!C17</f>
        <v>2200.3389830508477</v>
      </c>
    </row>
    <row r="50" spans="1:13" ht="28.8" x14ac:dyDescent="0.3">
      <c r="A50" s="7" t="s">
        <v>107</v>
      </c>
      <c r="B50" s="5" t="s">
        <v>108</v>
      </c>
      <c r="C50" s="43" t="s">
        <v>182</v>
      </c>
      <c r="D50" s="41">
        <v>10</v>
      </c>
      <c r="E50" s="42">
        <f>40*Таблы!C17</f>
        <v>1760.2711864406779</v>
      </c>
    </row>
    <row r="51" spans="1:13" ht="57.6" x14ac:dyDescent="0.3">
      <c r="A51" s="7" t="s">
        <v>109</v>
      </c>
      <c r="B51" s="5" t="s">
        <v>110</v>
      </c>
      <c r="C51" s="41">
        <v>94</v>
      </c>
      <c r="D51" s="41">
        <v>10</v>
      </c>
      <c r="E51" s="42">
        <f>10*Таблы!C17</f>
        <v>440.06779661016947</v>
      </c>
    </row>
    <row r="52" spans="1:13" ht="28.8" x14ac:dyDescent="0.3">
      <c r="A52" s="7" t="s">
        <v>111</v>
      </c>
      <c r="B52" s="5" t="s">
        <v>112</v>
      </c>
      <c r="C52" s="41">
        <v>94</v>
      </c>
      <c r="D52" s="41">
        <v>91</v>
      </c>
      <c r="E52" s="42">
        <f>E51*0.3</f>
        <v>132.02033898305083</v>
      </c>
      <c r="M52" s="13"/>
    </row>
    <row r="53" spans="1:13" ht="28.8" x14ac:dyDescent="0.3">
      <c r="A53" s="7" t="s">
        <v>113</v>
      </c>
      <c r="B53" s="5" t="s">
        <v>114</v>
      </c>
      <c r="C53" s="41">
        <v>73</v>
      </c>
      <c r="D53" s="41">
        <v>94</v>
      </c>
      <c r="E53" s="42">
        <f>E51+E52</f>
        <v>572.08813559322027</v>
      </c>
      <c r="M53" s="13"/>
    </row>
    <row r="54" spans="1:13" x14ac:dyDescent="0.3">
      <c r="A54" s="7" t="s">
        <v>115</v>
      </c>
      <c r="B54" s="5" t="s">
        <v>116</v>
      </c>
      <c r="C54" s="50"/>
      <c r="D54" s="51"/>
      <c r="E54" s="52"/>
      <c r="M54" s="13"/>
    </row>
    <row r="55" spans="1:13" x14ac:dyDescent="0.3">
      <c r="A55" s="7" t="s">
        <v>117</v>
      </c>
      <c r="B55" s="5" t="s">
        <v>118</v>
      </c>
      <c r="C55" s="41">
        <v>62</v>
      </c>
      <c r="D55" s="41">
        <v>91</v>
      </c>
      <c r="E55" s="42">
        <f>500*40</f>
        <v>20000</v>
      </c>
      <c r="M55" s="13"/>
    </row>
    <row r="56" spans="1:13" x14ac:dyDescent="0.3">
      <c r="A56" s="7" t="s">
        <v>119</v>
      </c>
      <c r="B56" s="5" t="s">
        <v>120</v>
      </c>
      <c r="C56" s="41">
        <v>91</v>
      </c>
      <c r="D56" s="41">
        <v>10</v>
      </c>
      <c r="E56" s="42">
        <f>500*Таблы!C17</f>
        <v>22003.389830508473</v>
      </c>
      <c r="M56" s="13"/>
    </row>
    <row r="57" spans="1:13" x14ac:dyDescent="0.3">
      <c r="A57" s="7" t="s">
        <v>121</v>
      </c>
      <c r="B57" s="5" t="s">
        <v>122</v>
      </c>
      <c r="C57" s="41">
        <v>91</v>
      </c>
      <c r="D57" s="41">
        <v>68</v>
      </c>
      <c r="E57" s="42">
        <f>E55*0.2/1.2</f>
        <v>3333.3333333333335</v>
      </c>
      <c r="M57" s="13"/>
    </row>
    <row r="58" spans="1:13" ht="28.8" x14ac:dyDescent="0.3">
      <c r="A58" s="7" t="s">
        <v>123</v>
      </c>
      <c r="B58" s="5" t="s">
        <v>124</v>
      </c>
      <c r="C58" s="41">
        <v>91</v>
      </c>
      <c r="D58" s="41">
        <v>99</v>
      </c>
      <c r="E58" s="44">
        <f>E55+E52-E56-E57</f>
        <v>-5204.7028248587576</v>
      </c>
      <c r="M58" s="13"/>
    </row>
    <row r="59" spans="1:13" x14ac:dyDescent="0.3">
      <c r="A59" s="7" t="s">
        <v>125</v>
      </c>
      <c r="B59" s="5" t="s">
        <v>126</v>
      </c>
      <c r="C59" s="50"/>
      <c r="D59" s="51"/>
      <c r="E59" s="52"/>
      <c r="M59" s="13"/>
    </row>
    <row r="60" spans="1:13" ht="15" thickBot="1" x14ac:dyDescent="0.35">
      <c r="A60" s="7" t="s">
        <v>127</v>
      </c>
      <c r="B60" s="5" t="s">
        <v>128</v>
      </c>
      <c r="C60" s="43" t="s">
        <v>106</v>
      </c>
      <c r="D60" s="41">
        <v>70</v>
      </c>
      <c r="E60" s="42">
        <v>18144</v>
      </c>
      <c r="M60" s="25"/>
    </row>
    <row r="61" spans="1:13" x14ac:dyDescent="0.3">
      <c r="A61" s="7" t="s">
        <v>129</v>
      </c>
      <c r="B61" s="5" t="s">
        <v>130</v>
      </c>
      <c r="C61" s="43" t="s">
        <v>182</v>
      </c>
      <c r="D61" s="41">
        <v>70</v>
      </c>
      <c r="E61" s="42">
        <v>6544</v>
      </c>
      <c r="M61" s="15"/>
    </row>
    <row r="62" spans="1:13" x14ac:dyDescent="0.3">
      <c r="A62" s="7" t="s">
        <v>131</v>
      </c>
      <c r="B62" s="5" t="s">
        <v>132</v>
      </c>
      <c r="C62" s="43">
        <v>25</v>
      </c>
      <c r="D62" s="41">
        <v>70</v>
      </c>
      <c r="E62" s="42">
        <v>5144</v>
      </c>
      <c r="M62" s="13"/>
    </row>
    <row r="63" spans="1:13" x14ac:dyDescent="0.3">
      <c r="A63" s="7" t="s">
        <v>133</v>
      </c>
      <c r="B63" s="5" t="s">
        <v>134</v>
      </c>
      <c r="C63" s="43">
        <v>26</v>
      </c>
      <c r="D63" s="41">
        <v>70</v>
      </c>
      <c r="E63" s="42">
        <v>4044</v>
      </c>
      <c r="M63" s="13"/>
    </row>
    <row r="64" spans="1:13" x14ac:dyDescent="0.3">
      <c r="A64" s="7" t="s">
        <v>135</v>
      </c>
      <c r="B64" s="5" t="s">
        <v>136</v>
      </c>
      <c r="C64" s="43">
        <v>28</v>
      </c>
      <c r="D64" s="41">
        <v>70</v>
      </c>
      <c r="E64" s="42">
        <v>2744</v>
      </c>
      <c r="M64" s="13"/>
    </row>
    <row r="65" spans="1:17" ht="43.2" x14ac:dyDescent="0.3">
      <c r="A65" s="7" t="s">
        <v>137</v>
      </c>
      <c r="B65" s="5" t="s">
        <v>138</v>
      </c>
      <c r="C65" s="53"/>
      <c r="D65" s="54"/>
      <c r="E65" s="55"/>
      <c r="M65" s="13"/>
    </row>
    <row r="66" spans="1:17" x14ac:dyDescent="0.3">
      <c r="A66" s="7" t="s">
        <v>155</v>
      </c>
      <c r="B66" s="5" t="s">
        <v>139</v>
      </c>
      <c r="C66" s="43" t="s">
        <v>106</v>
      </c>
      <c r="D66" s="41">
        <v>69</v>
      </c>
      <c r="E66" s="42">
        <f>E60*0.34</f>
        <v>6168.96</v>
      </c>
      <c r="M66" s="13"/>
    </row>
    <row r="67" spans="1:17" x14ac:dyDescent="0.3">
      <c r="A67" s="7" t="s">
        <v>156</v>
      </c>
      <c r="B67" s="5" t="s">
        <v>140</v>
      </c>
      <c r="C67" s="43" t="s">
        <v>182</v>
      </c>
      <c r="D67" s="41">
        <v>69</v>
      </c>
      <c r="E67" s="42">
        <f>E61*0.34</f>
        <v>2224.96</v>
      </c>
      <c r="M67" s="13"/>
    </row>
    <row r="68" spans="1:17" x14ac:dyDescent="0.3">
      <c r="A68" s="7" t="s">
        <v>157</v>
      </c>
      <c r="B68" s="5" t="s">
        <v>132</v>
      </c>
      <c r="C68" s="43">
        <v>25</v>
      </c>
      <c r="D68" s="41">
        <v>69</v>
      </c>
      <c r="E68" s="42">
        <f>E62*0.34</f>
        <v>1748.96</v>
      </c>
      <c r="M68" s="13"/>
    </row>
    <row r="69" spans="1:17" x14ac:dyDescent="0.3">
      <c r="A69" s="7" t="s">
        <v>158</v>
      </c>
      <c r="B69" s="5" t="s">
        <v>134</v>
      </c>
      <c r="C69" s="43">
        <v>26</v>
      </c>
      <c r="D69" s="41">
        <v>69</v>
      </c>
      <c r="E69" s="42">
        <f>E63*0.34</f>
        <v>1374.96</v>
      </c>
      <c r="M69" s="13"/>
    </row>
    <row r="70" spans="1:17" x14ac:dyDescent="0.3">
      <c r="A70" s="7" t="s">
        <v>159</v>
      </c>
      <c r="B70" s="5" t="s">
        <v>136</v>
      </c>
      <c r="C70" s="43">
        <v>28</v>
      </c>
      <c r="D70" s="41">
        <v>69</v>
      </c>
      <c r="E70" s="42">
        <f>E64*0.34</f>
        <v>932.96</v>
      </c>
      <c r="M70" s="13"/>
    </row>
    <row r="71" spans="1:17" ht="43.2" x14ac:dyDescent="0.3">
      <c r="A71" s="7" t="s">
        <v>141</v>
      </c>
      <c r="B71" s="5" t="s">
        <v>142</v>
      </c>
      <c r="C71" s="53"/>
      <c r="D71" s="54"/>
      <c r="E71" s="55"/>
      <c r="M71" s="13"/>
    </row>
    <row r="72" spans="1:17" x14ac:dyDescent="0.3">
      <c r="A72" s="7" t="s">
        <v>160</v>
      </c>
      <c r="B72" s="5" t="s">
        <v>139</v>
      </c>
      <c r="C72" s="43" t="s">
        <v>106</v>
      </c>
      <c r="D72" s="41">
        <v>76</v>
      </c>
      <c r="E72" s="42">
        <f>E60*0.6/100</f>
        <v>108.86399999999999</v>
      </c>
      <c r="M72" s="13"/>
    </row>
    <row r="73" spans="1:17" x14ac:dyDescent="0.3">
      <c r="A73" s="7" t="s">
        <v>161</v>
      </c>
      <c r="B73" s="5" t="s">
        <v>140</v>
      </c>
      <c r="C73" s="43" t="s">
        <v>182</v>
      </c>
      <c r="D73" s="41">
        <v>76</v>
      </c>
      <c r="E73" s="42">
        <f>E61*0.6/100</f>
        <v>39.263999999999996</v>
      </c>
      <c r="I73" s="25"/>
      <c r="J73" s="25"/>
      <c r="K73" s="25"/>
      <c r="L73" s="25"/>
      <c r="M73" s="13"/>
      <c r="N73" s="13"/>
      <c r="O73" s="13"/>
      <c r="P73" s="13"/>
      <c r="Q73" s="13"/>
    </row>
    <row r="74" spans="1:17" x14ac:dyDescent="0.3">
      <c r="A74" s="7" t="s">
        <v>162</v>
      </c>
      <c r="B74" s="5" t="s">
        <v>132</v>
      </c>
      <c r="C74" s="43">
        <v>25</v>
      </c>
      <c r="D74" s="41">
        <v>76</v>
      </c>
      <c r="E74" s="42">
        <f>E62*0.6/100</f>
        <v>30.864000000000001</v>
      </c>
      <c r="M74" s="13"/>
    </row>
    <row r="75" spans="1:17" x14ac:dyDescent="0.3">
      <c r="A75" s="7" t="s">
        <v>163</v>
      </c>
      <c r="B75" s="5" t="s">
        <v>134</v>
      </c>
      <c r="C75" s="43">
        <v>26</v>
      </c>
      <c r="D75" s="41">
        <v>76</v>
      </c>
      <c r="E75" s="42">
        <f>E63*0.6/100</f>
        <v>24.263999999999999</v>
      </c>
      <c r="M75" s="13"/>
    </row>
    <row r="76" spans="1:17" x14ac:dyDescent="0.3">
      <c r="A76" s="7" t="s">
        <v>164</v>
      </c>
      <c r="B76" s="5" t="s">
        <v>136</v>
      </c>
      <c r="C76" s="43">
        <v>28</v>
      </c>
      <c r="D76" s="41">
        <v>76</v>
      </c>
      <c r="E76" s="42">
        <f>E64*0.6/100</f>
        <v>16.463999999999999</v>
      </c>
      <c r="M76" s="13"/>
    </row>
    <row r="77" spans="1:17" x14ac:dyDescent="0.3">
      <c r="A77" s="7" t="s">
        <v>143</v>
      </c>
      <c r="B77" s="5" t="s">
        <v>144</v>
      </c>
      <c r="C77" s="53"/>
      <c r="D77" s="54"/>
      <c r="E77" s="55"/>
      <c r="M77" s="13"/>
    </row>
    <row r="78" spans="1:17" x14ac:dyDescent="0.3">
      <c r="A78" s="7" t="s">
        <v>165</v>
      </c>
      <c r="B78" s="5" t="s">
        <v>145</v>
      </c>
      <c r="C78" s="53"/>
      <c r="D78" s="54"/>
      <c r="E78" s="55"/>
      <c r="M78" s="13"/>
      <c r="N78" s="13"/>
      <c r="O78" s="13"/>
      <c r="P78" s="13"/>
      <c r="Q78" s="13"/>
    </row>
    <row r="79" spans="1:17" x14ac:dyDescent="0.3">
      <c r="A79" s="7" t="s">
        <v>166</v>
      </c>
      <c r="B79" s="5" t="s">
        <v>139</v>
      </c>
      <c r="C79" s="43">
        <v>70</v>
      </c>
      <c r="D79" s="41">
        <v>68</v>
      </c>
      <c r="E79" s="42" t="s">
        <v>184</v>
      </c>
      <c r="I79" s="13"/>
      <c r="J79" s="13"/>
      <c r="K79" s="13"/>
      <c r="L79" s="13"/>
      <c r="M79" s="13"/>
    </row>
    <row r="80" spans="1:17" x14ac:dyDescent="0.3">
      <c r="A80" s="7" t="s">
        <v>167</v>
      </c>
      <c r="B80" s="5" t="s">
        <v>140</v>
      </c>
      <c r="C80" s="43">
        <v>70</v>
      </c>
      <c r="D80" s="41">
        <v>68</v>
      </c>
      <c r="E80" s="42">
        <v>845.44</v>
      </c>
      <c r="I80" s="13"/>
      <c r="J80" s="13"/>
      <c r="K80" s="13"/>
      <c r="L80" s="13"/>
      <c r="M80" s="13"/>
    </row>
    <row r="81" spans="1:17" x14ac:dyDescent="0.3">
      <c r="A81" s="7" t="s">
        <v>168</v>
      </c>
      <c r="B81" s="5" t="s">
        <v>132</v>
      </c>
      <c r="C81" s="43">
        <v>70</v>
      </c>
      <c r="D81" s="41">
        <v>68</v>
      </c>
      <c r="E81" s="42">
        <v>650.44000000000005</v>
      </c>
      <c r="I81" s="13"/>
      <c r="J81" s="13"/>
      <c r="K81" s="13"/>
      <c r="L81" s="13"/>
      <c r="M81" s="13"/>
    </row>
    <row r="82" spans="1:17" x14ac:dyDescent="0.3">
      <c r="A82" s="7" t="s">
        <v>169</v>
      </c>
      <c r="B82" s="5" t="s">
        <v>134</v>
      </c>
      <c r="C82" s="43">
        <v>70</v>
      </c>
      <c r="D82" s="41">
        <v>68</v>
      </c>
      <c r="E82" s="42">
        <v>520.44000000000005</v>
      </c>
      <c r="I82" s="13"/>
      <c r="J82" s="13"/>
      <c r="K82" s="13"/>
      <c r="L82" s="13"/>
      <c r="M82" s="13"/>
    </row>
    <row r="83" spans="1:17" x14ac:dyDescent="0.3">
      <c r="A83" s="7" t="s">
        <v>170</v>
      </c>
      <c r="B83" s="5" t="s">
        <v>136</v>
      </c>
      <c r="C83" s="43">
        <v>70</v>
      </c>
      <c r="D83" s="41">
        <v>68</v>
      </c>
      <c r="E83" s="42">
        <v>364.44</v>
      </c>
      <c r="I83" s="13"/>
      <c r="J83" s="13"/>
      <c r="K83" s="13"/>
      <c r="L83" s="13"/>
      <c r="M83" s="25"/>
    </row>
    <row r="84" spans="1:17" ht="28.8" x14ac:dyDescent="0.3">
      <c r="A84" s="7" t="s">
        <v>146</v>
      </c>
      <c r="B84" s="5" t="s">
        <v>147</v>
      </c>
      <c r="C84" s="53"/>
      <c r="D84" s="54"/>
      <c r="E84" s="55"/>
      <c r="I84" s="25"/>
      <c r="J84" s="25"/>
      <c r="K84" s="25"/>
      <c r="L84" s="13"/>
      <c r="M84" s="13"/>
      <c r="N84" s="13"/>
      <c r="O84" s="13"/>
      <c r="P84" s="13"/>
      <c r="Q84" s="13"/>
    </row>
    <row r="85" spans="1:17" x14ac:dyDescent="0.3">
      <c r="A85" s="7" t="s">
        <v>171</v>
      </c>
      <c r="B85" s="5" t="s">
        <v>139</v>
      </c>
      <c r="C85" s="43">
        <v>70</v>
      </c>
      <c r="D85" s="41">
        <v>69</v>
      </c>
      <c r="E85" s="42">
        <f>E60*1/100</f>
        <v>181.44</v>
      </c>
      <c r="M85" s="13"/>
    </row>
    <row r="86" spans="1:17" x14ac:dyDescent="0.3">
      <c r="A86" s="7" t="s">
        <v>172</v>
      </c>
      <c r="B86" s="5" t="s">
        <v>140</v>
      </c>
      <c r="C86" s="43">
        <v>70</v>
      </c>
      <c r="D86" s="41">
        <v>69</v>
      </c>
      <c r="E86" s="42">
        <f>E61*1/100</f>
        <v>65.44</v>
      </c>
      <c r="M86" s="13"/>
    </row>
    <row r="87" spans="1:17" x14ac:dyDescent="0.3">
      <c r="A87" s="7" t="s">
        <v>173</v>
      </c>
      <c r="B87" s="5" t="s">
        <v>132</v>
      </c>
      <c r="C87" s="43">
        <v>70</v>
      </c>
      <c r="D87" s="41">
        <v>69</v>
      </c>
      <c r="E87" s="42">
        <f>E62*1/100</f>
        <v>51.44</v>
      </c>
      <c r="M87" s="13"/>
    </row>
    <row r="88" spans="1:17" x14ac:dyDescent="0.3">
      <c r="A88" s="7" t="s">
        <v>174</v>
      </c>
      <c r="B88" s="5" t="s">
        <v>134</v>
      </c>
      <c r="C88" s="43">
        <v>70</v>
      </c>
      <c r="D88" s="41">
        <v>69</v>
      </c>
      <c r="E88" s="42">
        <f>E63*1/100</f>
        <v>40.44</v>
      </c>
      <c r="M88" s="13"/>
    </row>
    <row r="89" spans="1:17" x14ac:dyDescent="0.3">
      <c r="A89" s="7" t="s">
        <v>175</v>
      </c>
      <c r="B89" s="5" t="s">
        <v>136</v>
      </c>
      <c r="C89" s="43">
        <v>70</v>
      </c>
      <c r="D89" s="41">
        <v>69</v>
      </c>
      <c r="E89" s="42">
        <f>E64*1/100</f>
        <v>27.44</v>
      </c>
      <c r="M89" s="13"/>
    </row>
    <row r="90" spans="1:17" x14ac:dyDescent="0.3">
      <c r="A90" s="7" t="s">
        <v>148</v>
      </c>
      <c r="B90" s="5" t="s">
        <v>149</v>
      </c>
      <c r="C90" s="53"/>
      <c r="D90" s="54"/>
      <c r="E90" s="55"/>
      <c r="M90" s="13"/>
    </row>
    <row r="91" spans="1:17" x14ac:dyDescent="0.3">
      <c r="A91" s="7" t="s">
        <v>176</v>
      </c>
      <c r="B91" s="5" t="s">
        <v>150</v>
      </c>
      <c r="C91" s="43" t="s">
        <v>106</v>
      </c>
      <c r="D91" s="41">
        <v>10</v>
      </c>
      <c r="E91" s="42">
        <v>3544</v>
      </c>
      <c r="M91" s="13"/>
    </row>
    <row r="92" spans="1:17" x14ac:dyDescent="0.3">
      <c r="A92" s="7" t="s">
        <v>177</v>
      </c>
      <c r="B92" s="5" t="s">
        <v>151</v>
      </c>
      <c r="C92" s="43" t="s">
        <v>182</v>
      </c>
      <c r="D92" s="41">
        <v>10</v>
      </c>
      <c r="E92" s="42">
        <v>2444</v>
      </c>
      <c r="M92" s="13"/>
    </row>
    <row r="93" spans="1:17" x14ac:dyDescent="0.3">
      <c r="A93" s="7" t="s">
        <v>178</v>
      </c>
      <c r="B93" s="5" t="s">
        <v>152</v>
      </c>
      <c r="C93" s="43">
        <v>25</v>
      </c>
      <c r="D93" s="41">
        <v>10</v>
      </c>
      <c r="E93" s="42">
        <v>1044</v>
      </c>
      <c r="M93" s="13"/>
    </row>
    <row r="94" spans="1:17" x14ac:dyDescent="0.3">
      <c r="A94" s="7" t="s">
        <v>179</v>
      </c>
      <c r="B94" s="5" t="s">
        <v>153</v>
      </c>
      <c r="C94" s="43">
        <v>28</v>
      </c>
      <c r="D94" s="41">
        <v>10</v>
      </c>
      <c r="E94" s="42">
        <v>950.44</v>
      </c>
      <c r="M94" s="13"/>
    </row>
    <row r="95" spans="1:17" ht="28.8" x14ac:dyDescent="0.3">
      <c r="A95" s="7" t="s">
        <v>154</v>
      </c>
      <c r="B95" s="5" t="s">
        <v>183</v>
      </c>
      <c r="C95" s="53"/>
      <c r="D95" s="54"/>
      <c r="E95" s="55"/>
      <c r="M95" s="13"/>
      <c r="N95" s="13"/>
      <c r="O95" s="13"/>
      <c r="P95" s="13"/>
      <c r="Q95" s="13"/>
    </row>
    <row r="96" spans="1:17" x14ac:dyDescent="0.3">
      <c r="A96" s="7" t="s">
        <v>180</v>
      </c>
      <c r="B96" s="5" t="s">
        <v>150</v>
      </c>
      <c r="C96" s="43" t="s">
        <v>106</v>
      </c>
      <c r="D96" s="41">
        <v>25</v>
      </c>
      <c r="E96" s="42">
        <f>Таблы!C22</f>
        <v>11877.457042125729</v>
      </c>
      <c r="M96" s="13"/>
    </row>
    <row r="97" spans="1:17" x14ac:dyDescent="0.3">
      <c r="A97" s="7" t="s">
        <v>181</v>
      </c>
      <c r="B97" s="5" t="s">
        <v>151</v>
      </c>
      <c r="C97" s="43" t="s">
        <v>182</v>
      </c>
      <c r="D97" s="41">
        <v>25</v>
      </c>
      <c r="E97" s="42">
        <f>Таблы!C23</f>
        <v>4283.8447356520483</v>
      </c>
      <c r="M97" s="13"/>
    </row>
    <row r="98" spans="1:17" x14ac:dyDescent="0.3">
      <c r="A98" s="7" t="s">
        <v>195</v>
      </c>
      <c r="B98" s="3" t="s">
        <v>196</v>
      </c>
      <c r="C98" s="50"/>
      <c r="D98" s="51"/>
      <c r="E98" s="52"/>
      <c r="M98" s="13"/>
    </row>
    <row r="99" spans="1:17" ht="15.6" x14ac:dyDescent="0.3">
      <c r="A99" s="7" t="s">
        <v>197</v>
      </c>
      <c r="B99" s="3" t="s">
        <v>150</v>
      </c>
      <c r="C99" s="41" t="s">
        <v>198</v>
      </c>
      <c r="D99" s="45">
        <v>26</v>
      </c>
      <c r="E99" s="42">
        <f>Таблы!C27</f>
        <v>7522.1692404090845</v>
      </c>
      <c r="M99" s="13"/>
    </row>
    <row r="100" spans="1:17" ht="15.6" x14ac:dyDescent="0.3">
      <c r="A100" s="7" t="s">
        <v>199</v>
      </c>
      <c r="B100" s="3" t="s">
        <v>151</v>
      </c>
      <c r="C100" s="41" t="s">
        <v>200</v>
      </c>
      <c r="D100" s="45">
        <v>26</v>
      </c>
      <c r="E100" s="42">
        <f>Таблы!C28</f>
        <v>2713.0222392657101</v>
      </c>
      <c r="M100" s="63"/>
      <c r="N100" s="64"/>
      <c r="O100" s="64"/>
      <c r="P100" s="64"/>
      <c r="Q100" s="64"/>
    </row>
    <row r="101" spans="1:17" ht="28.8" x14ac:dyDescent="0.3">
      <c r="A101" s="7" t="s">
        <v>210</v>
      </c>
      <c r="B101" s="5" t="s">
        <v>211</v>
      </c>
      <c r="C101" s="43" t="s">
        <v>182</v>
      </c>
      <c r="D101" s="41">
        <v>28</v>
      </c>
      <c r="E101" s="42">
        <f>Таблица2!T29</f>
        <v>4643.8639999999996</v>
      </c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72" x14ac:dyDescent="0.3">
      <c r="A102" s="7" t="s">
        <v>213</v>
      </c>
      <c r="B102" s="5" t="s">
        <v>230</v>
      </c>
      <c r="C102" s="50"/>
      <c r="D102" s="51"/>
      <c r="E102" s="52"/>
      <c r="I102" s="14"/>
    </row>
    <row r="103" spans="1:17" ht="28.8" x14ac:dyDescent="0.3">
      <c r="A103" s="7" t="s">
        <v>214</v>
      </c>
      <c r="B103" s="5" t="s">
        <v>245</v>
      </c>
      <c r="C103" s="41" t="s">
        <v>215</v>
      </c>
      <c r="D103" s="43" t="s">
        <v>106</v>
      </c>
      <c r="E103" s="42">
        <f>110.44*218</f>
        <v>24075.919999999998</v>
      </c>
    </row>
    <row r="104" spans="1:17" ht="28.8" x14ac:dyDescent="0.3">
      <c r="A104" s="7" t="s">
        <v>216</v>
      </c>
      <c r="B104" s="5" t="s">
        <v>246</v>
      </c>
      <c r="C104" s="41" t="s">
        <v>217</v>
      </c>
      <c r="D104" s="43" t="s">
        <v>182</v>
      </c>
      <c r="E104" s="42">
        <f>500.44*106</f>
        <v>53046.64</v>
      </c>
      <c r="I104" s="14"/>
    </row>
    <row r="105" spans="1:17" ht="28.8" x14ac:dyDescent="0.3">
      <c r="A105" s="7" t="s">
        <v>218</v>
      </c>
      <c r="B105" s="5" t="s">
        <v>219</v>
      </c>
      <c r="C105" s="50"/>
      <c r="D105" s="51"/>
      <c r="E105" s="52"/>
      <c r="I105" s="20"/>
      <c r="J105" s="56"/>
      <c r="K105" s="56"/>
      <c r="L105" s="20"/>
      <c r="M105" s="13"/>
      <c r="N105" s="20"/>
      <c r="O105" s="56"/>
      <c r="P105" s="56"/>
      <c r="Q105" s="20"/>
    </row>
    <row r="106" spans="1:17" ht="28.8" x14ac:dyDescent="0.3">
      <c r="A106" s="7" t="s">
        <v>220</v>
      </c>
      <c r="B106" s="5" t="s">
        <v>247</v>
      </c>
      <c r="C106" s="41" t="s">
        <v>198</v>
      </c>
      <c r="D106" s="41" t="s">
        <v>215</v>
      </c>
      <c r="E106" s="42">
        <f>210*340.44</f>
        <v>71492.399999999994</v>
      </c>
      <c r="I106" s="19"/>
      <c r="J106" s="19"/>
      <c r="K106" s="19"/>
      <c r="L106" s="19"/>
      <c r="M106" s="13"/>
      <c r="N106" s="19"/>
      <c r="O106" s="19"/>
      <c r="P106" s="19"/>
      <c r="Q106" s="19"/>
    </row>
    <row r="107" spans="1:17" ht="28.8" x14ac:dyDescent="0.3">
      <c r="A107" s="7" t="s">
        <v>221</v>
      </c>
      <c r="B107" s="5" t="s">
        <v>248</v>
      </c>
      <c r="C107" s="41" t="s">
        <v>200</v>
      </c>
      <c r="D107" s="41" t="s">
        <v>217</v>
      </c>
      <c r="E107" s="42">
        <f>92*480.44</f>
        <v>44200.480000000003</v>
      </c>
      <c r="I107" s="19"/>
      <c r="J107" s="19"/>
      <c r="K107" s="19"/>
      <c r="L107" s="19"/>
      <c r="M107" s="13"/>
      <c r="N107" s="19"/>
      <c r="O107" s="19"/>
      <c r="P107" s="19"/>
      <c r="Q107" s="19"/>
    </row>
    <row r="108" spans="1:17" ht="28.8" x14ac:dyDescent="0.3">
      <c r="A108" s="7" t="s">
        <v>222</v>
      </c>
      <c r="B108" s="5" t="s">
        <v>223</v>
      </c>
      <c r="C108" s="41">
        <v>62</v>
      </c>
      <c r="D108" s="41" t="s">
        <v>198</v>
      </c>
      <c r="E108" s="42">
        <f>E106</f>
        <v>71492.399999999994</v>
      </c>
      <c r="I108" s="19"/>
      <c r="J108" s="19"/>
      <c r="K108" s="19"/>
      <c r="L108" s="19"/>
      <c r="M108" s="13"/>
      <c r="N108" s="19"/>
      <c r="O108" s="19"/>
      <c r="P108" s="19"/>
      <c r="Q108" s="19"/>
    </row>
    <row r="109" spans="1:17" ht="28.8" x14ac:dyDescent="0.3">
      <c r="A109" s="7" t="s">
        <v>224</v>
      </c>
      <c r="B109" s="5" t="s">
        <v>225</v>
      </c>
      <c r="C109" s="41">
        <v>62</v>
      </c>
      <c r="D109" s="41" t="s">
        <v>200</v>
      </c>
      <c r="E109" s="42">
        <f>E107</f>
        <v>44200.480000000003</v>
      </c>
      <c r="I109" s="19"/>
      <c r="J109" s="19"/>
      <c r="K109" s="19"/>
      <c r="L109" s="19"/>
      <c r="M109" s="13"/>
      <c r="N109" s="19"/>
      <c r="O109" s="19"/>
      <c r="P109" s="19"/>
      <c r="Q109" s="19"/>
    </row>
    <row r="110" spans="1:17" ht="72" x14ac:dyDescent="0.3">
      <c r="A110" s="7" t="s">
        <v>226</v>
      </c>
      <c r="B110" s="5" t="s">
        <v>227</v>
      </c>
      <c r="C110" s="41" t="s">
        <v>198</v>
      </c>
      <c r="D110" s="41" t="s">
        <v>215</v>
      </c>
      <c r="E110" s="42">
        <f>Таблы!C34</f>
        <v>-48300</v>
      </c>
      <c r="I110" s="19"/>
      <c r="J110" s="19"/>
      <c r="K110" s="19"/>
      <c r="L110" s="19"/>
      <c r="M110" s="13"/>
      <c r="N110" s="19"/>
      <c r="O110" s="19"/>
      <c r="P110" s="19"/>
      <c r="Q110" s="19"/>
    </row>
    <row r="111" spans="1:17" ht="72" x14ac:dyDescent="0.3">
      <c r="A111" s="7" t="s">
        <v>228</v>
      </c>
      <c r="B111" s="5" t="s">
        <v>229</v>
      </c>
      <c r="C111" s="41" t="s">
        <v>200</v>
      </c>
      <c r="D111" s="41" t="s">
        <v>217</v>
      </c>
      <c r="E111" s="42">
        <f>Таблы!C39</f>
        <v>1840</v>
      </c>
      <c r="I111" s="17"/>
      <c r="J111" s="23"/>
      <c r="K111" s="23"/>
      <c r="L111" s="17"/>
      <c r="M111" s="13"/>
      <c r="N111" s="17"/>
      <c r="O111" s="23"/>
      <c r="P111" s="23"/>
      <c r="Q111" s="17"/>
    </row>
    <row r="112" spans="1:17" ht="43.2" x14ac:dyDescent="0.3">
      <c r="A112" s="7" t="s">
        <v>249</v>
      </c>
      <c r="B112" s="5" t="s">
        <v>250</v>
      </c>
      <c r="C112" s="50"/>
      <c r="D112" s="51"/>
      <c r="E112" s="52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5.6" x14ac:dyDescent="0.3">
      <c r="A113" s="7" t="s">
        <v>257</v>
      </c>
      <c r="B113" s="5" t="s">
        <v>251</v>
      </c>
      <c r="C113" s="41" t="s">
        <v>198</v>
      </c>
      <c r="D113" s="41">
        <v>68</v>
      </c>
      <c r="E113" s="42">
        <f>E106*20/120</f>
        <v>11915.4</v>
      </c>
      <c r="M113" s="13"/>
      <c r="N113" s="20" t="s">
        <v>37</v>
      </c>
      <c r="O113" s="56" t="s">
        <v>443</v>
      </c>
      <c r="P113" s="56"/>
      <c r="Q113" s="20" t="s">
        <v>38</v>
      </c>
    </row>
    <row r="114" spans="1:17" x14ac:dyDescent="0.3">
      <c r="A114" s="7" t="s">
        <v>258</v>
      </c>
      <c r="B114" s="5" t="s">
        <v>252</v>
      </c>
      <c r="C114" s="41" t="s">
        <v>200</v>
      </c>
      <c r="D114" s="41">
        <v>68</v>
      </c>
      <c r="E114" s="42">
        <f>E107*20/120</f>
        <v>7366.7466666666678</v>
      </c>
      <c r="M114" s="13"/>
      <c r="N114" s="19"/>
      <c r="O114" s="19"/>
      <c r="P114" s="19"/>
      <c r="Q114" s="19"/>
    </row>
    <row r="115" spans="1:17" ht="129.6" x14ac:dyDescent="0.3">
      <c r="A115" s="7" t="s">
        <v>253</v>
      </c>
      <c r="B115" s="5" t="s">
        <v>254</v>
      </c>
      <c r="C115" s="50"/>
      <c r="D115" s="51"/>
      <c r="E115" s="52"/>
      <c r="M115" s="13"/>
      <c r="N115" s="19"/>
      <c r="O115" s="19"/>
      <c r="P115" s="19"/>
      <c r="Q115" s="19"/>
    </row>
    <row r="116" spans="1:17" x14ac:dyDescent="0.3">
      <c r="A116" s="7" t="s">
        <v>259</v>
      </c>
      <c r="B116" s="5" t="s">
        <v>255</v>
      </c>
      <c r="C116" s="41" t="s">
        <v>215</v>
      </c>
      <c r="D116" s="43" t="s">
        <v>106</v>
      </c>
      <c r="E116" s="42">
        <f>Таблица2!P25</f>
        <v>19067.700025176578</v>
      </c>
      <c r="M116" s="13"/>
      <c r="N116" s="19"/>
      <c r="O116" s="19"/>
      <c r="P116" s="19"/>
      <c r="Q116" s="19"/>
    </row>
    <row r="117" spans="1:17" x14ac:dyDescent="0.3">
      <c r="A117" s="7" t="s">
        <v>260</v>
      </c>
      <c r="B117" s="5" t="s">
        <v>256</v>
      </c>
      <c r="C117" s="41" t="s">
        <v>217</v>
      </c>
      <c r="D117" s="43" t="s">
        <v>182</v>
      </c>
      <c r="E117" s="42">
        <f>Таблица2!Z17</f>
        <v>-30656.436077907274</v>
      </c>
      <c r="M117" s="13"/>
      <c r="N117" s="19"/>
      <c r="O117" s="19"/>
      <c r="P117" s="19"/>
      <c r="Q117" s="19"/>
    </row>
    <row r="118" spans="1:17" ht="72" x14ac:dyDescent="0.3">
      <c r="A118" s="7" t="s">
        <v>284</v>
      </c>
      <c r="B118" s="5" t="s">
        <v>285</v>
      </c>
      <c r="C118" s="41" t="s">
        <v>198</v>
      </c>
      <c r="D118" s="41" t="s">
        <v>215</v>
      </c>
      <c r="E118" s="42">
        <f>Таблы!C62</f>
        <v>18367.967914160923</v>
      </c>
      <c r="M118" s="13"/>
      <c r="N118" s="19"/>
      <c r="O118" s="19"/>
      <c r="P118" s="19"/>
      <c r="Q118" s="19"/>
    </row>
    <row r="119" spans="1:17" ht="72" x14ac:dyDescent="0.3">
      <c r="A119" s="7" t="s">
        <v>286</v>
      </c>
      <c r="B119" s="5" t="s">
        <v>287</v>
      </c>
      <c r="C119" s="41" t="s">
        <v>200</v>
      </c>
      <c r="D119" s="41" t="s">
        <v>217</v>
      </c>
      <c r="E119" s="42">
        <f>Таблы!C67</f>
        <v>-26607.472822334614</v>
      </c>
      <c r="M119" s="13"/>
      <c r="N119" s="19"/>
      <c r="O119" s="19"/>
      <c r="P119" s="19"/>
      <c r="Q119" s="19"/>
    </row>
    <row r="120" spans="1:17" ht="28.8" x14ac:dyDescent="0.3">
      <c r="A120" s="7" t="s">
        <v>292</v>
      </c>
      <c r="B120" s="5" t="s">
        <v>293</v>
      </c>
      <c r="C120" s="50"/>
      <c r="D120" s="51"/>
      <c r="E120" s="52"/>
      <c r="I120" s="13"/>
      <c r="J120" s="13"/>
      <c r="K120" s="13"/>
      <c r="L120" s="13"/>
      <c r="M120" s="13"/>
      <c r="N120" s="19"/>
      <c r="O120" s="19"/>
      <c r="P120" s="19"/>
      <c r="Q120" s="19"/>
    </row>
    <row r="121" spans="1:17" ht="28.8" x14ac:dyDescent="0.3">
      <c r="A121" s="7" t="s">
        <v>294</v>
      </c>
      <c r="B121" s="5" t="s">
        <v>297</v>
      </c>
      <c r="C121" s="41" t="s">
        <v>198</v>
      </c>
      <c r="D121" s="41">
        <v>99</v>
      </c>
      <c r="E121" s="42">
        <v>10494.46</v>
      </c>
      <c r="M121" s="13"/>
      <c r="N121" s="17" t="s">
        <v>39</v>
      </c>
      <c r="O121" s="23">
        <f>SUM(O114:O120)</f>
        <v>0</v>
      </c>
      <c r="P121" s="23">
        <f>SUM(P114:P120)</f>
        <v>0</v>
      </c>
      <c r="Q121" s="17" t="s">
        <v>40</v>
      </c>
    </row>
    <row r="122" spans="1:17" ht="28.8" x14ac:dyDescent="0.3">
      <c r="A122" s="7" t="s">
        <v>295</v>
      </c>
      <c r="B122" s="5" t="s">
        <v>296</v>
      </c>
      <c r="C122" s="41" t="s">
        <v>200</v>
      </c>
      <c r="D122" s="41">
        <v>99</v>
      </c>
      <c r="E122" s="42">
        <v>14687.7</v>
      </c>
      <c r="M122" s="13"/>
      <c r="N122" s="13"/>
      <c r="O122" s="13"/>
      <c r="P122" s="13"/>
      <c r="Q122" s="13"/>
    </row>
    <row r="123" spans="1:17" ht="28.8" x14ac:dyDescent="0.3">
      <c r="A123" s="7" t="s">
        <v>300</v>
      </c>
      <c r="B123" s="5" t="s">
        <v>301</v>
      </c>
      <c r="C123" s="41">
        <v>51</v>
      </c>
      <c r="D123" s="41">
        <v>62</v>
      </c>
      <c r="E123" s="42">
        <f>E108+E109</f>
        <v>115692.88</v>
      </c>
      <c r="M123" s="13"/>
      <c r="N123" s="13"/>
      <c r="O123" s="13"/>
      <c r="P123" s="13"/>
      <c r="Q123" s="13"/>
    </row>
    <row r="124" spans="1:17" ht="28.8" x14ac:dyDescent="0.3">
      <c r="A124" s="7" t="s">
        <v>302</v>
      </c>
      <c r="B124" s="5" t="s">
        <v>303</v>
      </c>
      <c r="C124" s="41">
        <v>68</v>
      </c>
      <c r="D124" s="41" t="s">
        <v>10</v>
      </c>
      <c r="E124" s="42">
        <f>E6+E10+E14+E19+E24</f>
        <v>5972.76</v>
      </c>
      <c r="M124" s="13"/>
      <c r="N124" s="13"/>
      <c r="O124" s="13"/>
      <c r="P124" s="13"/>
      <c r="Q124" s="13"/>
    </row>
    <row r="125" spans="1:17" ht="28.8" x14ac:dyDescent="0.3">
      <c r="A125" s="7" t="s">
        <v>304</v>
      </c>
      <c r="B125" s="5" t="s">
        <v>305</v>
      </c>
      <c r="C125" s="41">
        <v>68</v>
      </c>
      <c r="D125" s="41" t="s">
        <v>79</v>
      </c>
      <c r="E125" s="42">
        <f>E44</f>
        <v>12758.4</v>
      </c>
      <c r="M125" s="13"/>
      <c r="N125" s="13"/>
      <c r="O125" s="13"/>
      <c r="P125" s="13"/>
      <c r="Q125" s="13"/>
    </row>
    <row r="126" spans="1:17" x14ac:dyDescent="0.3">
      <c r="A126" s="7" t="s">
        <v>306</v>
      </c>
      <c r="B126" s="5" t="s">
        <v>307</v>
      </c>
      <c r="C126" s="62"/>
      <c r="D126" s="62"/>
      <c r="E126" s="62"/>
      <c r="M126" s="13"/>
      <c r="N126" s="13"/>
      <c r="O126" s="13"/>
      <c r="P126" s="13"/>
      <c r="Q126" s="13"/>
    </row>
    <row r="127" spans="1:17" x14ac:dyDescent="0.3">
      <c r="A127" s="7" t="s">
        <v>308</v>
      </c>
      <c r="B127" s="5" t="s">
        <v>309</v>
      </c>
      <c r="C127" s="41">
        <v>58</v>
      </c>
      <c r="D127" s="41">
        <v>51</v>
      </c>
      <c r="E127" s="42">
        <v>20544</v>
      </c>
      <c r="M127" s="13"/>
      <c r="N127" s="13"/>
      <c r="O127" s="13"/>
      <c r="P127" s="13"/>
      <c r="Q127" s="13"/>
    </row>
    <row r="128" spans="1:17" x14ac:dyDescent="0.3">
      <c r="A128" s="7" t="s">
        <v>310</v>
      </c>
      <c r="B128" s="5" t="s">
        <v>311</v>
      </c>
      <c r="C128" s="41">
        <v>51</v>
      </c>
      <c r="D128" s="41">
        <v>91</v>
      </c>
      <c r="E128" s="42">
        <v>450.44</v>
      </c>
    </row>
    <row r="129" spans="1:5" ht="28.8" x14ac:dyDescent="0.3">
      <c r="A129" s="7" t="s">
        <v>312</v>
      </c>
      <c r="B129" s="5" t="s">
        <v>313</v>
      </c>
      <c r="C129" s="41">
        <v>91</v>
      </c>
      <c r="D129" s="41">
        <v>99</v>
      </c>
      <c r="E129" s="42">
        <v>450.44</v>
      </c>
    </row>
    <row r="130" spans="1:5" ht="28.8" x14ac:dyDescent="0.3">
      <c r="A130" s="7" t="s">
        <v>314</v>
      </c>
      <c r="B130" s="5" t="s">
        <v>315</v>
      </c>
      <c r="C130" s="41">
        <v>99</v>
      </c>
      <c r="D130" s="41">
        <v>51</v>
      </c>
      <c r="E130" s="42">
        <v>5044</v>
      </c>
    </row>
    <row r="131" spans="1:5" x14ac:dyDescent="0.3">
      <c r="A131" s="7" t="s">
        <v>316</v>
      </c>
      <c r="B131" s="5" t="s">
        <v>317</v>
      </c>
      <c r="C131" s="41">
        <v>99</v>
      </c>
      <c r="D131" s="41">
        <v>51</v>
      </c>
      <c r="E131" s="42">
        <v>5544</v>
      </c>
    </row>
    <row r="132" spans="1:5" ht="28.8" x14ac:dyDescent="0.3">
      <c r="A132" s="7" t="s">
        <v>318</v>
      </c>
      <c r="B132" s="5" t="s">
        <v>319</v>
      </c>
      <c r="C132" s="41"/>
      <c r="D132" s="41"/>
      <c r="E132" s="42"/>
    </row>
    <row r="133" spans="1:5" x14ac:dyDescent="0.3">
      <c r="A133" s="7" t="s">
        <v>320</v>
      </c>
      <c r="B133" s="5" t="s">
        <v>321</v>
      </c>
      <c r="C133" s="41">
        <v>68</v>
      </c>
      <c r="D133" s="41">
        <v>51</v>
      </c>
      <c r="E133" s="42">
        <v>1044</v>
      </c>
    </row>
    <row r="134" spans="1:5" x14ac:dyDescent="0.3">
      <c r="A134" s="7" t="s">
        <v>322</v>
      </c>
      <c r="B134" s="5" t="s">
        <v>323</v>
      </c>
      <c r="C134" s="41">
        <v>69</v>
      </c>
      <c r="D134" s="41">
        <v>51</v>
      </c>
      <c r="E134" s="42">
        <v>1544</v>
      </c>
    </row>
    <row r="135" spans="1:5" x14ac:dyDescent="0.3">
      <c r="A135" s="7" t="s">
        <v>324</v>
      </c>
      <c r="B135" s="5" t="s">
        <v>325</v>
      </c>
      <c r="C135" s="41">
        <v>68</v>
      </c>
      <c r="D135" s="41">
        <v>51</v>
      </c>
      <c r="E135" s="42">
        <v>2544</v>
      </c>
    </row>
    <row r="136" spans="1:5" x14ac:dyDescent="0.3">
      <c r="A136" s="7" t="s">
        <v>326</v>
      </c>
      <c r="B136" s="5" t="s">
        <v>327</v>
      </c>
      <c r="C136" s="62"/>
      <c r="D136" s="62"/>
      <c r="E136" s="62"/>
    </row>
    <row r="137" spans="1:5" ht="43.2" x14ac:dyDescent="0.3">
      <c r="A137" s="7" t="s">
        <v>328</v>
      </c>
      <c r="B137" s="5" t="s">
        <v>329</v>
      </c>
      <c r="C137" s="41">
        <v>68</v>
      </c>
      <c r="D137" s="41">
        <v>51</v>
      </c>
      <c r="E137" s="42">
        <f>Таблы!C76</f>
        <v>3884.3199999999997</v>
      </c>
    </row>
    <row r="138" spans="1:5" x14ac:dyDescent="0.3">
      <c r="A138" s="7" t="s">
        <v>339</v>
      </c>
      <c r="B138" s="5" t="s">
        <v>340</v>
      </c>
      <c r="C138" s="41">
        <v>67</v>
      </c>
      <c r="D138" s="41">
        <v>51</v>
      </c>
      <c r="E138" s="42">
        <v>4044</v>
      </c>
    </row>
    <row r="139" spans="1:5" ht="28.8" x14ac:dyDescent="0.3">
      <c r="A139" s="7" t="s">
        <v>341</v>
      </c>
      <c r="B139" s="5" t="s">
        <v>342</v>
      </c>
      <c r="C139" s="41">
        <v>99</v>
      </c>
      <c r="D139" s="41">
        <v>51</v>
      </c>
      <c r="E139" s="42">
        <v>1544</v>
      </c>
    </row>
    <row r="140" spans="1:5" x14ac:dyDescent="0.3">
      <c r="A140" s="7" t="s">
        <v>343</v>
      </c>
      <c r="B140" s="5" t="s">
        <v>344</v>
      </c>
      <c r="C140" s="50"/>
      <c r="D140" s="51"/>
      <c r="E140" s="52"/>
    </row>
    <row r="141" spans="1:5" x14ac:dyDescent="0.3">
      <c r="A141" s="7" t="s">
        <v>345</v>
      </c>
      <c r="B141" s="5" t="s">
        <v>346</v>
      </c>
      <c r="C141" s="41">
        <v>50</v>
      </c>
      <c r="D141" s="41">
        <v>51</v>
      </c>
      <c r="E141" s="42">
        <f>SUM(E60:E64)</f>
        <v>36620</v>
      </c>
    </row>
    <row r="142" spans="1:5" x14ac:dyDescent="0.3">
      <c r="A142" s="7" t="s">
        <v>347</v>
      </c>
      <c r="B142" s="5" t="s">
        <v>348</v>
      </c>
      <c r="C142" s="41">
        <v>50</v>
      </c>
      <c r="D142" s="41">
        <v>51</v>
      </c>
      <c r="E142" s="42">
        <v>344</v>
      </c>
    </row>
    <row r="143" spans="1:5" x14ac:dyDescent="0.3">
      <c r="A143" s="7" t="s">
        <v>349</v>
      </c>
      <c r="B143" s="5" t="s">
        <v>350</v>
      </c>
      <c r="C143" s="50"/>
      <c r="D143" s="51"/>
      <c r="E143" s="52"/>
    </row>
    <row r="144" spans="1:5" x14ac:dyDescent="0.3">
      <c r="A144" s="7" t="s">
        <v>351</v>
      </c>
      <c r="B144" s="5" t="s">
        <v>352</v>
      </c>
      <c r="C144" s="41">
        <v>70</v>
      </c>
      <c r="D144" s="41">
        <v>50</v>
      </c>
      <c r="E144" s="42">
        <f>E141</f>
        <v>36620</v>
      </c>
    </row>
    <row r="145" spans="1:5" x14ac:dyDescent="0.3">
      <c r="A145" s="7" t="s">
        <v>353</v>
      </c>
      <c r="B145" s="5" t="s">
        <v>354</v>
      </c>
      <c r="C145" s="41">
        <v>71</v>
      </c>
      <c r="D145" s="41">
        <v>50</v>
      </c>
      <c r="E145" s="42">
        <v>444</v>
      </c>
    </row>
    <row r="146" spans="1:5" ht="28.8" x14ac:dyDescent="0.3">
      <c r="A146" s="7" t="s">
        <v>355</v>
      </c>
      <c r="B146" s="5" t="s">
        <v>356</v>
      </c>
      <c r="C146" s="41">
        <v>70</v>
      </c>
      <c r="D146" s="41">
        <v>76</v>
      </c>
      <c r="E146" s="42">
        <v>1544</v>
      </c>
    </row>
    <row r="147" spans="1:5" x14ac:dyDescent="0.3">
      <c r="A147" s="7" t="s">
        <v>357</v>
      </c>
      <c r="B147" s="5" t="s">
        <v>358</v>
      </c>
      <c r="C147" s="41">
        <v>51</v>
      </c>
      <c r="D147" s="41">
        <v>50</v>
      </c>
      <c r="E147" s="42">
        <f>E146</f>
        <v>1544</v>
      </c>
    </row>
    <row r="148" spans="1:5" ht="43.2" x14ac:dyDescent="0.3">
      <c r="A148" s="7" t="s">
        <v>359</v>
      </c>
      <c r="B148" s="5" t="s">
        <v>360</v>
      </c>
      <c r="C148" s="41">
        <v>10</v>
      </c>
      <c r="D148" s="41">
        <v>71</v>
      </c>
      <c r="E148" s="42">
        <v>644</v>
      </c>
    </row>
    <row r="149" spans="1:5" x14ac:dyDescent="0.3">
      <c r="A149" s="7" t="s">
        <v>361</v>
      </c>
      <c r="B149" s="5" t="s">
        <v>362</v>
      </c>
      <c r="C149" s="50"/>
      <c r="D149" s="51"/>
      <c r="E149" s="52"/>
    </row>
    <row r="150" spans="1:5" ht="28.8" x14ac:dyDescent="0.3">
      <c r="A150" s="7" t="s">
        <v>363</v>
      </c>
      <c r="B150" s="5" t="s">
        <v>364</v>
      </c>
      <c r="C150" s="41">
        <v>99</v>
      </c>
      <c r="D150" s="41">
        <v>68</v>
      </c>
      <c r="E150" s="42">
        <f>Таблы!C82</f>
        <v>1566.925</v>
      </c>
    </row>
    <row r="151" spans="1:5" x14ac:dyDescent="0.3">
      <c r="A151" s="7" t="s">
        <v>365</v>
      </c>
      <c r="B151" s="5" t="s">
        <v>366</v>
      </c>
      <c r="C151" s="41">
        <v>68</v>
      </c>
      <c r="D151" s="41">
        <v>51</v>
      </c>
      <c r="E151" s="42">
        <f>E150</f>
        <v>1566.925</v>
      </c>
    </row>
    <row r="152" spans="1:5" ht="28.8" x14ac:dyDescent="0.3">
      <c r="A152" s="7" t="s">
        <v>367</v>
      </c>
      <c r="B152" s="5" t="s">
        <v>368</v>
      </c>
      <c r="C152" s="41">
        <v>99</v>
      </c>
      <c r="D152" s="41">
        <v>68</v>
      </c>
      <c r="E152" s="42">
        <f>Таблы!C98</f>
        <v>940.50219152542388</v>
      </c>
    </row>
    <row r="153" spans="1:5" x14ac:dyDescent="0.3">
      <c r="A153" s="7" t="s">
        <v>369</v>
      </c>
      <c r="B153" s="5" t="s">
        <v>370</v>
      </c>
      <c r="C153" s="41">
        <v>68</v>
      </c>
      <c r="D153" s="41">
        <v>51</v>
      </c>
      <c r="E153" s="42">
        <f>E152</f>
        <v>940.50219152542388</v>
      </c>
    </row>
    <row r="154" spans="1:5" ht="28.8" x14ac:dyDescent="0.3">
      <c r="A154" s="7" t="s">
        <v>371</v>
      </c>
      <c r="B154" s="5" t="s">
        <v>372</v>
      </c>
      <c r="C154" s="41">
        <v>99</v>
      </c>
      <c r="D154" s="41">
        <v>84</v>
      </c>
      <c r="E154" s="42">
        <f>Таблы!C99</f>
        <v>4284.5099836158197</v>
      </c>
    </row>
    <row r="196" spans="7:15" x14ac:dyDescent="0.3"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7:15" x14ac:dyDescent="0.3">
      <c r="G197" s="14"/>
    </row>
  </sheetData>
  <autoFilter ref="C1:C197" xr:uid="{0C8D56B2-3622-45AF-BD1F-895E240689BD}"/>
  <mergeCells count="34">
    <mergeCell ref="M100:Q100"/>
    <mergeCell ref="J105:K105"/>
    <mergeCell ref="O105:P105"/>
    <mergeCell ref="O113:P113"/>
    <mergeCell ref="C143:E143"/>
    <mergeCell ref="C149:E149"/>
    <mergeCell ref="C36:E36"/>
    <mergeCell ref="C31:E31"/>
    <mergeCell ref="C126:E126"/>
    <mergeCell ref="C136:E136"/>
    <mergeCell ref="C120:E120"/>
    <mergeCell ref="C105:E105"/>
    <mergeCell ref="C102:E102"/>
    <mergeCell ref="C112:E112"/>
    <mergeCell ref="C115:E115"/>
    <mergeCell ref="C71:E71"/>
    <mergeCell ref="C77:E77"/>
    <mergeCell ref="C78:E78"/>
    <mergeCell ref="C84:E84"/>
    <mergeCell ref="A1:A2"/>
    <mergeCell ref="B1:B2"/>
    <mergeCell ref="E1:E2"/>
    <mergeCell ref="C1:D1"/>
    <mergeCell ref="C140:E140"/>
    <mergeCell ref="C98:E98"/>
    <mergeCell ref="C95:E95"/>
    <mergeCell ref="C59:E59"/>
    <mergeCell ref="O18:P18"/>
    <mergeCell ref="J31:K31"/>
    <mergeCell ref="O31:P31"/>
    <mergeCell ref="C65:E65"/>
    <mergeCell ref="C54:E54"/>
    <mergeCell ref="C25:E25"/>
    <mergeCell ref="C90:E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9C6-81B7-47D2-9715-E856F761544E}">
  <dimension ref="A1:AA126"/>
  <sheetViews>
    <sheetView topLeftCell="A43" workbookViewId="0">
      <selection activeCell="A52" sqref="A52:G68"/>
    </sheetView>
  </sheetViews>
  <sheetFormatPr defaultRowHeight="14.4" x14ac:dyDescent="0.3"/>
  <cols>
    <col min="2" max="2" width="14.77734375" customWidth="1"/>
    <col min="3" max="3" width="14.33203125" customWidth="1"/>
    <col min="4" max="4" width="16.77734375" customWidth="1"/>
    <col min="5" max="6" width="14.77734375" customWidth="1"/>
    <col min="7" max="7" width="15" customWidth="1"/>
    <col min="10" max="10" width="10.21875" customWidth="1"/>
    <col min="11" max="11" width="10.5546875" customWidth="1"/>
    <col min="15" max="15" width="11.21875" customWidth="1"/>
    <col min="16" max="16" width="11.109375" customWidth="1"/>
    <col min="20" max="20" width="9.6640625" customWidth="1"/>
    <col min="21" max="21" width="9.88671875" customWidth="1"/>
    <col min="25" max="25" width="10.33203125" customWidth="1"/>
    <col min="26" max="26" width="10.77734375" customWidth="1"/>
  </cols>
  <sheetData>
    <row r="1" spans="1:27" ht="26.4" customHeight="1" x14ac:dyDescent="0.3">
      <c r="A1" s="33" t="s">
        <v>543</v>
      </c>
      <c r="B1" s="68" t="s">
        <v>544</v>
      </c>
      <c r="C1" s="69"/>
      <c r="D1" s="68" t="s">
        <v>545</v>
      </c>
      <c r="E1" s="69"/>
      <c r="F1" s="68" t="s">
        <v>546</v>
      </c>
      <c r="G1" s="69"/>
    </row>
    <row r="2" spans="1:27" ht="15.6" x14ac:dyDescent="0.3">
      <c r="A2" s="33"/>
      <c r="B2" s="33" t="s">
        <v>37</v>
      </c>
      <c r="C2" s="33" t="s">
        <v>38</v>
      </c>
      <c r="D2" s="33" t="s">
        <v>37</v>
      </c>
      <c r="E2" s="33" t="s">
        <v>38</v>
      </c>
      <c r="F2" s="33" t="s">
        <v>37</v>
      </c>
      <c r="G2" s="33" t="s">
        <v>38</v>
      </c>
      <c r="I2" s="20" t="s">
        <v>37</v>
      </c>
      <c r="J2" s="56" t="s">
        <v>413</v>
      </c>
      <c r="K2" s="56"/>
      <c r="L2" s="20" t="s">
        <v>38</v>
      </c>
      <c r="N2" s="20" t="s">
        <v>37</v>
      </c>
      <c r="O2" s="56" t="s">
        <v>414</v>
      </c>
      <c r="P2" s="56"/>
      <c r="Q2" s="20" t="s">
        <v>38</v>
      </c>
      <c r="S2" s="20" t="s">
        <v>37</v>
      </c>
      <c r="T2" s="56" t="s">
        <v>419</v>
      </c>
      <c r="U2" s="56"/>
      <c r="V2" s="20" t="s">
        <v>38</v>
      </c>
      <c r="X2" s="16" t="s">
        <v>37</v>
      </c>
      <c r="Y2" s="56" t="s">
        <v>423</v>
      </c>
      <c r="Z2" s="56"/>
      <c r="AA2" s="16" t="s">
        <v>38</v>
      </c>
    </row>
    <row r="3" spans="1:27" ht="15.6" x14ac:dyDescent="0.3">
      <c r="A3" s="33">
        <v>1</v>
      </c>
      <c r="B3" s="32" t="s">
        <v>547</v>
      </c>
      <c r="C3" s="32"/>
      <c r="D3" s="4">
        <f>J6</f>
        <v>29863.800000000003</v>
      </c>
      <c r="E3" s="4">
        <f>K6</f>
        <v>25044</v>
      </c>
      <c r="F3" s="4">
        <f>J7</f>
        <v>2505129.7999999998</v>
      </c>
      <c r="G3" s="32"/>
      <c r="I3" s="20" t="s">
        <v>271</v>
      </c>
      <c r="J3" s="18">
        <v>2500310</v>
      </c>
      <c r="K3" s="19"/>
      <c r="L3" s="16"/>
      <c r="N3" s="16"/>
      <c r="O3" s="19"/>
      <c r="P3" s="19">
        <v>620000</v>
      </c>
      <c r="Q3" s="20" t="s">
        <v>337</v>
      </c>
      <c r="S3" s="19"/>
      <c r="T3" s="18">
        <f>Таблица1!E15</f>
        <v>24052.800000000003</v>
      </c>
      <c r="U3" s="18">
        <f>Таблица1!E20</f>
        <v>28863.360000000004</v>
      </c>
      <c r="V3" s="19"/>
      <c r="X3" s="19"/>
      <c r="Y3" s="18">
        <f>Таблица1!E44</f>
        <v>12758.4</v>
      </c>
      <c r="Z3" s="18">
        <f>Таблица1!E125</f>
        <v>12758.4</v>
      </c>
      <c r="AA3" s="19"/>
    </row>
    <row r="4" spans="1:27" ht="15.6" x14ac:dyDescent="0.3">
      <c r="A4" s="33">
        <v>2</v>
      </c>
      <c r="B4" s="32"/>
      <c r="C4" s="32" t="s">
        <v>548</v>
      </c>
      <c r="D4" s="4">
        <f>O8</f>
        <v>22539.600000000002</v>
      </c>
      <c r="E4" s="4">
        <f>P8</f>
        <v>6853.4452574525749</v>
      </c>
      <c r="F4" s="32"/>
      <c r="G4" s="4">
        <f>P9</f>
        <v>604313.84525745257</v>
      </c>
      <c r="I4" s="19"/>
      <c r="J4" s="18">
        <f>Таблица1!E20</f>
        <v>28863.360000000004</v>
      </c>
      <c r="K4" s="18">
        <f>Таблица1!E26</f>
        <v>25044</v>
      </c>
      <c r="L4" s="19"/>
      <c r="N4" s="19"/>
      <c r="O4" s="18">
        <f>Таблица1!E27</f>
        <v>22539.600000000002</v>
      </c>
      <c r="P4" s="18">
        <f>Таблица1!E32</f>
        <v>1791</v>
      </c>
      <c r="Q4" s="19"/>
      <c r="S4" s="19"/>
      <c r="T4" s="18">
        <f>Таблица1!E16</f>
        <v>4810.5600000000004</v>
      </c>
      <c r="U4" s="18">
        <f>Таблица1!E22</f>
        <v>1000.44</v>
      </c>
      <c r="V4" s="19"/>
      <c r="X4" s="16" t="s">
        <v>39</v>
      </c>
      <c r="Y4" s="26">
        <f>SUM(Y3:Y3)</f>
        <v>12758.4</v>
      </c>
      <c r="Z4" s="26">
        <f>SUM(Z3:Z3)</f>
        <v>12758.4</v>
      </c>
      <c r="AA4" s="16" t="s">
        <v>40</v>
      </c>
    </row>
    <row r="5" spans="1:27" x14ac:dyDescent="0.3">
      <c r="A5" s="33">
        <v>3</v>
      </c>
      <c r="B5" s="32"/>
      <c r="C5" s="32"/>
      <c r="D5" s="46"/>
      <c r="E5" s="46"/>
      <c r="F5" s="32"/>
      <c r="G5" s="32"/>
      <c r="I5" s="19"/>
      <c r="J5" s="18">
        <f>Таблица1!E22</f>
        <v>1000.44</v>
      </c>
      <c r="K5" s="19"/>
      <c r="L5" s="19"/>
      <c r="N5" s="19"/>
      <c r="O5" s="19"/>
      <c r="P5" s="18">
        <f>Таблица1!E33</f>
        <v>710.36666666666667</v>
      </c>
      <c r="Q5" s="19"/>
      <c r="S5" s="19"/>
      <c r="T5" s="1">
        <f>Таблица1!E21</f>
        <v>1000.44</v>
      </c>
      <c r="U5" s="19"/>
      <c r="V5" s="19"/>
    </row>
    <row r="6" spans="1:27" ht="15.6" x14ac:dyDescent="0.3">
      <c r="A6" s="33">
        <v>4</v>
      </c>
      <c r="B6" s="32" t="s">
        <v>549</v>
      </c>
      <c r="C6" s="32"/>
      <c r="D6" s="4">
        <f>J18</f>
        <v>0</v>
      </c>
      <c r="E6" s="4">
        <f>K18</f>
        <v>0</v>
      </c>
      <c r="F6" s="32">
        <f>J19</f>
        <v>10000</v>
      </c>
      <c r="G6" s="32"/>
      <c r="I6" s="16" t="s">
        <v>39</v>
      </c>
      <c r="J6" s="23">
        <f>SUM(J4:J5)</f>
        <v>29863.800000000003</v>
      </c>
      <c r="K6" s="23">
        <f>SUM(K4:K5)</f>
        <v>25044</v>
      </c>
      <c r="L6" s="16" t="s">
        <v>40</v>
      </c>
      <c r="N6" s="19"/>
      <c r="O6" s="19"/>
      <c r="P6" s="18">
        <f>Таблица1!E34</f>
        <v>604.11111111111097</v>
      </c>
      <c r="Q6" s="19"/>
      <c r="S6" s="19"/>
      <c r="T6" s="19"/>
      <c r="U6" s="19"/>
      <c r="V6" s="19"/>
      <c r="X6" s="20" t="s">
        <v>37</v>
      </c>
      <c r="Y6" s="56" t="s">
        <v>428</v>
      </c>
      <c r="Z6" s="56"/>
      <c r="AA6" s="20" t="s">
        <v>38</v>
      </c>
    </row>
    <row r="7" spans="1:27" ht="15.6" x14ac:dyDescent="0.3">
      <c r="A7" s="33">
        <v>5</v>
      </c>
      <c r="B7" s="32"/>
      <c r="C7" s="32" t="s">
        <v>550</v>
      </c>
      <c r="D7" s="32">
        <f>O13</f>
        <v>0</v>
      </c>
      <c r="E7" s="32">
        <f>P13</f>
        <v>0</v>
      </c>
      <c r="F7" s="32"/>
      <c r="G7" s="32">
        <f>P14</f>
        <v>4000</v>
      </c>
      <c r="I7" s="20" t="s">
        <v>272</v>
      </c>
      <c r="J7" s="18">
        <f>J3+J6-K6</f>
        <v>2505129.7999999998</v>
      </c>
      <c r="K7" s="19"/>
      <c r="L7" s="16"/>
      <c r="N7" s="19"/>
      <c r="O7" s="19"/>
      <c r="P7" s="18">
        <f>Таблица1!E35</f>
        <v>3747.9674796747968</v>
      </c>
      <c r="Q7" s="19"/>
      <c r="S7" s="19"/>
      <c r="T7" s="19"/>
      <c r="U7" s="19"/>
      <c r="V7" s="19"/>
      <c r="X7" s="20" t="s">
        <v>271</v>
      </c>
      <c r="Y7" s="19">
        <v>7500</v>
      </c>
      <c r="Z7" s="19"/>
      <c r="AA7" s="19"/>
    </row>
    <row r="8" spans="1:27" ht="15.6" x14ac:dyDescent="0.3">
      <c r="A8" s="33">
        <v>7</v>
      </c>
      <c r="B8" s="32"/>
      <c r="C8" s="32"/>
      <c r="D8" s="4">
        <f>O20</f>
        <v>24052.800000000003</v>
      </c>
      <c r="E8" s="4">
        <f>P20</f>
        <v>24052.800000000003</v>
      </c>
      <c r="F8" s="32"/>
      <c r="G8" s="32"/>
      <c r="N8" s="16" t="s">
        <v>39</v>
      </c>
      <c r="O8" s="23">
        <f>SUM(O4:O7)</f>
        <v>22539.600000000002</v>
      </c>
      <c r="P8" s="23">
        <f>SUM(P4:P7)</f>
        <v>6853.4452574525749</v>
      </c>
      <c r="Q8" s="16" t="s">
        <v>40</v>
      </c>
      <c r="S8" s="16" t="s">
        <v>39</v>
      </c>
      <c r="T8" s="23">
        <f>SUM(T3:T7)</f>
        <v>29863.800000000003</v>
      </c>
      <c r="U8" s="23">
        <f>SUM(U3:U7)</f>
        <v>29863.800000000003</v>
      </c>
      <c r="V8" s="16" t="s">
        <v>40</v>
      </c>
      <c r="X8" s="19"/>
      <c r="Y8" s="18">
        <f>Таблица1!E117</f>
        <v>-30656.436077907274</v>
      </c>
      <c r="Z8" s="18">
        <f>Таблица1!E119</f>
        <v>-26607.472822334614</v>
      </c>
      <c r="AA8" s="19"/>
    </row>
    <row r="9" spans="1:27" ht="15.6" x14ac:dyDescent="0.3">
      <c r="A9" s="33">
        <v>8</v>
      </c>
      <c r="B9" s="32"/>
      <c r="C9" s="32"/>
      <c r="D9" s="4">
        <f>T8</f>
        <v>29863.800000000003</v>
      </c>
      <c r="E9" s="4">
        <f>U8</f>
        <v>29863.800000000003</v>
      </c>
      <c r="F9" s="32"/>
      <c r="G9" s="32"/>
      <c r="I9" s="20" t="s">
        <v>37</v>
      </c>
      <c r="J9" s="56" t="s">
        <v>415</v>
      </c>
      <c r="K9" s="56"/>
      <c r="L9" s="20" t="s">
        <v>38</v>
      </c>
      <c r="N9" s="16"/>
      <c r="O9" s="19"/>
      <c r="P9" s="24">
        <f>P3+P8-O8</f>
        <v>604313.84525745257</v>
      </c>
      <c r="Q9" s="20" t="s">
        <v>338</v>
      </c>
      <c r="S9" s="13"/>
      <c r="T9" s="13"/>
      <c r="U9" s="13"/>
      <c r="V9" s="13"/>
      <c r="X9" s="19"/>
      <c r="Y9" s="18">
        <f>Таблица1!E104</f>
        <v>53046.64</v>
      </c>
      <c r="Z9" s="18">
        <f>Таблица1!E111</f>
        <v>1840</v>
      </c>
      <c r="AA9" s="19"/>
    </row>
    <row r="10" spans="1:27" ht="15.6" x14ac:dyDescent="0.3">
      <c r="A10" s="33">
        <v>9</v>
      </c>
      <c r="B10" s="32"/>
      <c r="C10" s="32"/>
      <c r="D10" s="32"/>
      <c r="E10" s="32"/>
      <c r="F10" s="32"/>
      <c r="G10" s="32"/>
      <c r="I10" s="21"/>
      <c r="J10" s="18">
        <f>Таблица1!E26</f>
        <v>25044</v>
      </c>
      <c r="K10" s="18">
        <f>Таблица1!E27</f>
        <v>22539.600000000002</v>
      </c>
      <c r="L10" s="19"/>
      <c r="S10" s="20" t="s">
        <v>37</v>
      </c>
      <c r="T10" s="56" t="s">
        <v>420</v>
      </c>
      <c r="U10" s="56"/>
      <c r="V10" s="20" t="s">
        <v>38</v>
      </c>
      <c r="X10" s="19"/>
      <c r="Y10" s="19"/>
      <c r="Z10" s="18">
        <f>Таблица1!E107</f>
        <v>44200.480000000003</v>
      </c>
      <c r="AA10" s="19"/>
    </row>
    <row r="11" spans="1:27" ht="15.6" x14ac:dyDescent="0.3">
      <c r="A11" s="33">
        <v>10</v>
      </c>
      <c r="B11" s="6">
        <v>100044</v>
      </c>
      <c r="C11" s="32"/>
      <c r="D11" s="4">
        <f>T21</f>
        <v>107964.44</v>
      </c>
      <c r="E11" s="4">
        <f>U21</f>
        <v>42360.507796610167</v>
      </c>
      <c r="F11" s="4">
        <f>T22</f>
        <v>165647.93220338982</v>
      </c>
      <c r="G11" s="32"/>
      <c r="I11" s="16"/>
      <c r="J11" s="19"/>
      <c r="K11" s="18">
        <f>Таблица1!E28</f>
        <v>2504.3999999999978</v>
      </c>
      <c r="L11" s="19"/>
      <c r="N11" s="20" t="s">
        <v>37</v>
      </c>
      <c r="O11" s="56" t="s">
        <v>416</v>
      </c>
      <c r="P11" s="56"/>
      <c r="Q11" s="20" t="s">
        <v>38</v>
      </c>
      <c r="S11" s="20" t="s">
        <v>271</v>
      </c>
      <c r="T11" s="19">
        <v>100044</v>
      </c>
      <c r="U11" s="19"/>
      <c r="V11" s="16"/>
      <c r="X11" s="16" t="s">
        <v>39</v>
      </c>
      <c r="Y11" s="26">
        <f>SUM(Y8:Y10)</f>
        <v>22390.203922092725</v>
      </c>
      <c r="Z11" s="26">
        <f>SUM(Z8:Z10)</f>
        <v>19433.007177665389</v>
      </c>
      <c r="AA11" s="16" t="s">
        <v>40</v>
      </c>
    </row>
    <row r="12" spans="1:27" ht="15.6" x14ac:dyDescent="0.3">
      <c r="A12" s="33">
        <v>14</v>
      </c>
      <c r="B12" s="32"/>
      <c r="C12" s="32"/>
      <c r="D12" s="32"/>
      <c r="E12" s="32"/>
      <c r="F12" s="32"/>
      <c r="G12" s="32"/>
      <c r="I12" s="16" t="s">
        <v>39</v>
      </c>
      <c r="J12" s="23">
        <f>SUM(J9:J11)</f>
        <v>25044</v>
      </c>
      <c r="K12" s="23">
        <f>SUM(K9:K11)</f>
        <v>25044</v>
      </c>
      <c r="L12" s="16" t="s">
        <v>40</v>
      </c>
      <c r="N12" s="16"/>
      <c r="O12" s="19"/>
      <c r="P12" s="19">
        <v>4000</v>
      </c>
      <c r="Q12" s="20" t="s">
        <v>337</v>
      </c>
      <c r="S12" s="19"/>
      <c r="T12" s="18">
        <f>Таблица1!E29</f>
        <v>1000.44</v>
      </c>
      <c r="U12" s="18">
        <f>Таблица1!E45</f>
        <v>7973.9999999999991</v>
      </c>
      <c r="V12" s="19"/>
      <c r="X12" s="20" t="s">
        <v>272</v>
      </c>
      <c r="Y12" s="18">
        <f>Y7+Y11-Z11</f>
        <v>10457.196744427336</v>
      </c>
      <c r="Z12" s="19"/>
      <c r="AA12" s="20"/>
    </row>
    <row r="13" spans="1:27" ht="15.6" x14ac:dyDescent="0.3">
      <c r="A13" s="47" t="s">
        <v>25</v>
      </c>
      <c r="B13" s="32"/>
      <c r="C13" s="32"/>
      <c r="D13" s="4">
        <f>J29</f>
        <v>20325.96</v>
      </c>
      <c r="E13" s="4">
        <f>K29</f>
        <v>20325.96</v>
      </c>
      <c r="F13" s="32"/>
      <c r="G13" s="32"/>
      <c r="I13" s="13"/>
      <c r="J13" s="13"/>
      <c r="K13" s="13"/>
      <c r="L13" s="13"/>
      <c r="N13" s="16" t="s">
        <v>39</v>
      </c>
      <c r="O13" s="22">
        <v>0</v>
      </c>
      <c r="P13" s="22">
        <v>0</v>
      </c>
      <c r="Q13" s="16" t="s">
        <v>40</v>
      </c>
      <c r="S13" s="19"/>
      <c r="T13" s="18">
        <f>Таблица1!E42</f>
        <v>98346</v>
      </c>
      <c r="U13" s="18">
        <f>Таблица1!E49</f>
        <v>2200.3389830508477</v>
      </c>
      <c r="V13" s="19"/>
    </row>
    <row r="14" spans="1:27" ht="15.6" x14ac:dyDescent="0.3">
      <c r="A14" s="33" t="s">
        <v>10</v>
      </c>
      <c r="B14" s="32"/>
      <c r="C14" s="32"/>
      <c r="D14" s="4">
        <f>J37</f>
        <v>5972.76</v>
      </c>
      <c r="E14" s="4">
        <f>K37</f>
        <v>5972.76</v>
      </c>
      <c r="F14" s="32"/>
      <c r="G14" s="32"/>
      <c r="I14" s="20" t="s">
        <v>37</v>
      </c>
      <c r="J14" s="56" t="s">
        <v>417</v>
      </c>
      <c r="K14" s="56"/>
      <c r="L14" s="20" t="s">
        <v>38</v>
      </c>
      <c r="N14" s="16"/>
      <c r="O14" s="19"/>
      <c r="P14" s="19">
        <f>P12+P13-O13</f>
        <v>4000</v>
      </c>
      <c r="Q14" s="20" t="s">
        <v>338</v>
      </c>
      <c r="S14" s="19"/>
      <c r="T14" s="18">
        <f>Таблица1!E47</f>
        <v>7973.9999999999991</v>
      </c>
      <c r="U14" s="18">
        <f>Таблица1!E50</f>
        <v>1760.2711864406779</v>
      </c>
      <c r="V14" s="19"/>
      <c r="X14" s="3" t="s">
        <v>37</v>
      </c>
      <c r="Y14" s="66" t="s">
        <v>282</v>
      </c>
      <c r="Z14" s="67"/>
      <c r="AA14" s="3" t="s">
        <v>38</v>
      </c>
    </row>
    <row r="15" spans="1:27" ht="15.6" x14ac:dyDescent="0.3">
      <c r="A15" s="47" t="s">
        <v>79</v>
      </c>
      <c r="B15" s="46"/>
      <c r="C15" s="46"/>
      <c r="D15" s="4">
        <f>Y4</f>
        <v>12758.4</v>
      </c>
      <c r="E15" s="4">
        <f>Z4</f>
        <v>12758.4</v>
      </c>
      <c r="F15" s="46"/>
      <c r="G15" s="46"/>
      <c r="I15" s="20" t="s">
        <v>271</v>
      </c>
      <c r="J15" s="19">
        <v>10000</v>
      </c>
      <c r="K15" s="19"/>
      <c r="L15" s="20"/>
      <c r="N15" s="13"/>
      <c r="O15" s="13"/>
      <c r="P15" s="13"/>
      <c r="Q15" s="13"/>
      <c r="S15" s="19"/>
      <c r="T15" s="1">
        <f>Таблица1!E148</f>
        <v>644</v>
      </c>
      <c r="U15" s="18">
        <f>Таблица1!E51</f>
        <v>440.06779661016947</v>
      </c>
      <c r="V15" s="19"/>
      <c r="X15" s="3" t="s">
        <v>271</v>
      </c>
      <c r="Y15" s="11">
        <f>Таблы!C51</f>
        <v>4250</v>
      </c>
      <c r="Z15" s="12"/>
      <c r="AA15" s="3"/>
    </row>
    <row r="16" spans="1:27" ht="28.8" x14ac:dyDescent="0.3">
      <c r="A16" s="40" t="s">
        <v>551</v>
      </c>
      <c r="B16" s="32" t="s">
        <v>552</v>
      </c>
      <c r="C16" s="32"/>
      <c r="D16" s="4">
        <f>O30</f>
        <v>42043.620025176577</v>
      </c>
      <c r="E16" s="4">
        <f>P30</f>
        <v>43143.620025176577</v>
      </c>
      <c r="F16" s="32" t="s">
        <v>553</v>
      </c>
      <c r="G16" s="32"/>
      <c r="I16" s="19"/>
      <c r="J16" s="19">
        <v>0</v>
      </c>
      <c r="K16" s="19">
        <v>0</v>
      </c>
      <c r="L16" s="19"/>
      <c r="N16" s="20" t="s">
        <v>37</v>
      </c>
      <c r="O16" s="56" t="s">
        <v>418</v>
      </c>
      <c r="P16" s="56"/>
      <c r="Q16" s="20" t="s">
        <v>38</v>
      </c>
      <c r="S16" s="19"/>
      <c r="T16" s="19"/>
      <c r="U16" s="18">
        <f>Таблица1!E56</f>
        <v>22003.389830508473</v>
      </c>
      <c r="V16" s="19"/>
      <c r="X16" s="3"/>
      <c r="Y16" s="4">
        <f>Таблица1!E50</f>
        <v>1760.2711864406779</v>
      </c>
      <c r="Z16" s="4">
        <f>Таблица1!E104</f>
        <v>53046.64</v>
      </c>
      <c r="AA16" s="3"/>
    </row>
    <row r="17" spans="1:27" ht="28.8" x14ac:dyDescent="0.3">
      <c r="A17" s="40" t="s">
        <v>554</v>
      </c>
      <c r="B17" s="32" t="s">
        <v>555</v>
      </c>
      <c r="C17" s="32"/>
      <c r="D17" s="4">
        <f>Y23</f>
        <v>21940.203922092725</v>
      </c>
      <c r="E17" s="4">
        <f>Z23</f>
        <v>22390.203922092725</v>
      </c>
      <c r="F17" s="32" t="s">
        <v>556</v>
      </c>
      <c r="G17" s="32"/>
      <c r="I17" s="19"/>
      <c r="J17" s="19"/>
      <c r="K17" s="19"/>
      <c r="L17" s="19"/>
      <c r="N17" s="19"/>
      <c r="O17" s="18">
        <f>Таблица1!E3</f>
        <v>20044</v>
      </c>
      <c r="P17" s="18">
        <f>Таблица1!E15</f>
        <v>24052.800000000003</v>
      </c>
      <c r="Q17" s="19"/>
      <c r="S17" s="19"/>
      <c r="T17" s="19"/>
      <c r="U17" s="18">
        <f>Таблица1!E91</f>
        <v>3544</v>
      </c>
      <c r="V17" s="19"/>
      <c r="X17" s="3"/>
      <c r="Y17" s="4">
        <f>Таблица1!E61</f>
        <v>6544</v>
      </c>
      <c r="Z17" s="4">
        <f>Таблы!C57</f>
        <v>-30656.436077907274</v>
      </c>
      <c r="AA17" s="3"/>
    </row>
    <row r="18" spans="1:27" ht="15.6" x14ac:dyDescent="0.3">
      <c r="A18" s="33">
        <v>21</v>
      </c>
      <c r="B18" s="32"/>
      <c r="C18" s="32"/>
      <c r="D18" s="32"/>
      <c r="E18" s="32"/>
      <c r="F18" s="32"/>
      <c r="G18" s="32"/>
      <c r="I18" s="16" t="s">
        <v>39</v>
      </c>
      <c r="J18" s="23">
        <f>SUM(J16:J17)</f>
        <v>0</v>
      </c>
      <c r="K18" s="23">
        <f>SUM(K16:K17)</f>
        <v>0</v>
      </c>
      <c r="L18" s="16" t="s">
        <v>40</v>
      </c>
      <c r="N18" s="19"/>
      <c r="O18" s="18">
        <f>Таблица1!E7</f>
        <v>2004.4</v>
      </c>
      <c r="P18" s="19"/>
      <c r="Q18" s="19"/>
      <c r="S18" s="19"/>
      <c r="T18" s="19"/>
      <c r="U18" s="18">
        <f>Таблица1!E92</f>
        <v>2444</v>
      </c>
      <c r="V18" s="19"/>
      <c r="X18" s="3"/>
      <c r="Y18" s="4">
        <f>Таблица1!E67</f>
        <v>2224.96</v>
      </c>
      <c r="Z18" s="4"/>
      <c r="AA18" s="3"/>
    </row>
    <row r="19" spans="1:27" ht="15.6" x14ac:dyDescent="0.3">
      <c r="A19" s="33">
        <v>23</v>
      </c>
      <c r="B19" s="32"/>
      <c r="C19" s="32"/>
      <c r="D19" s="32"/>
      <c r="E19" s="32"/>
      <c r="F19" s="32"/>
      <c r="G19" s="32"/>
      <c r="I19" s="20" t="s">
        <v>272</v>
      </c>
      <c r="J19" s="19">
        <f>J15+J18-K18</f>
        <v>10000</v>
      </c>
      <c r="K19" s="19"/>
      <c r="L19" s="16"/>
      <c r="N19" s="19"/>
      <c r="O19" s="18">
        <f>Таблица1!E11</f>
        <v>2004.4</v>
      </c>
      <c r="P19" s="19"/>
      <c r="Q19" s="19"/>
      <c r="S19" s="19"/>
      <c r="T19" s="19"/>
      <c r="U19" s="18">
        <f>Таблица1!E93</f>
        <v>1044</v>
      </c>
      <c r="V19" s="19"/>
      <c r="X19" s="3"/>
      <c r="Y19" s="4">
        <f>Таблица1!E73</f>
        <v>39.263999999999996</v>
      </c>
      <c r="Z19" s="4"/>
      <c r="AA19" s="3"/>
    </row>
    <row r="20" spans="1:27" ht="15.6" x14ac:dyDescent="0.3">
      <c r="A20" s="33">
        <v>25</v>
      </c>
      <c r="B20" s="32"/>
      <c r="C20" s="32"/>
      <c r="D20" s="6">
        <f>Y64</f>
        <v>16161.301777777777</v>
      </c>
      <c r="E20" s="4">
        <f>Z64</f>
        <v>16161.301777777777</v>
      </c>
      <c r="F20" s="32"/>
      <c r="G20" s="32"/>
      <c r="N20" s="16" t="s">
        <v>39</v>
      </c>
      <c r="O20" s="23">
        <f>SUM(O17:O19)</f>
        <v>24052.800000000003</v>
      </c>
      <c r="P20" s="23">
        <f>SUM(P17:P19)</f>
        <v>24052.800000000003</v>
      </c>
      <c r="Q20" s="16" t="s">
        <v>40</v>
      </c>
      <c r="S20" s="19"/>
      <c r="T20" s="19"/>
      <c r="U20" s="18">
        <f>Таблица1!E94</f>
        <v>950.44</v>
      </c>
      <c r="V20" s="19"/>
      <c r="X20" s="3"/>
      <c r="Y20" s="4">
        <f>Таблица1!E92</f>
        <v>2444</v>
      </c>
      <c r="Z20" s="4"/>
      <c r="AA20" s="3"/>
    </row>
    <row r="21" spans="1:27" ht="15.6" x14ac:dyDescent="0.3">
      <c r="A21" s="33">
        <v>26</v>
      </c>
      <c r="B21" s="32"/>
      <c r="C21" s="32"/>
      <c r="D21" s="6">
        <f>T37</f>
        <v>10235.191479674795</v>
      </c>
      <c r="E21" s="4">
        <f>U37</f>
        <v>10235.191479674795</v>
      </c>
      <c r="F21" s="32"/>
      <c r="G21" s="32"/>
      <c r="I21" s="20" t="s">
        <v>37</v>
      </c>
      <c r="J21" s="56" t="s">
        <v>421</v>
      </c>
      <c r="K21" s="56"/>
      <c r="L21" s="20" t="s">
        <v>38</v>
      </c>
      <c r="S21" s="16" t="s">
        <v>39</v>
      </c>
      <c r="T21" s="23">
        <f>SUM(T12:T20)</f>
        <v>107964.44</v>
      </c>
      <c r="U21" s="23">
        <f>SUM(U12:U20)</f>
        <v>42360.507796610167</v>
      </c>
      <c r="V21" s="16" t="s">
        <v>40</v>
      </c>
      <c r="X21" s="3"/>
      <c r="Y21" s="4">
        <f>Таблица1!E97</f>
        <v>4283.8447356520483</v>
      </c>
      <c r="Z21" s="4"/>
      <c r="AA21" s="3"/>
    </row>
    <row r="22" spans="1:27" ht="15.6" x14ac:dyDescent="0.3">
      <c r="A22" s="33">
        <v>28</v>
      </c>
      <c r="B22" s="32"/>
      <c r="C22" s="32"/>
      <c r="D22" s="32"/>
      <c r="E22" s="32"/>
      <c r="F22" s="32"/>
      <c r="G22" s="32"/>
      <c r="I22" s="19"/>
      <c r="J22" s="18">
        <f>Таблица1!E4</f>
        <v>4008.8</v>
      </c>
      <c r="K22" s="18">
        <f>Таблица1!E6</f>
        <v>4008.8</v>
      </c>
      <c r="L22" s="19"/>
      <c r="N22" s="3" t="s">
        <v>37</v>
      </c>
      <c r="O22" s="66" t="s">
        <v>424</v>
      </c>
      <c r="P22" s="67"/>
      <c r="Q22" s="3" t="s">
        <v>38</v>
      </c>
      <c r="S22" s="20" t="s">
        <v>272</v>
      </c>
      <c r="T22" s="18">
        <f>T11+T21-U21</f>
        <v>165647.93220338982</v>
      </c>
      <c r="U22" s="19"/>
      <c r="V22" s="16"/>
      <c r="X22" s="3"/>
      <c r="Y22" s="4">
        <f>Таблица1!E101</f>
        <v>4643.8639999999996</v>
      </c>
      <c r="Z22" s="4"/>
      <c r="AA22" s="3"/>
    </row>
    <row r="23" spans="1:27" x14ac:dyDescent="0.3">
      <c r="A23" s="33">
        <v>29</v>
      </c>
      <c r="B23" s="32"/>
      <c r="C23" s="32"/>
      <c r="D23" s="6">
        <f>T29</f>
        <v>4643.8639999999996</v>
      </c>
      <c r="E23" s="4">
        <f>U29</f>
        <v>4643.8639999999996</v>
      </c>
      <c r="F23" s="32"/>
      <c r="G23" s="32"/>
      <c r="I23" s="19"/>
      <c r="J23" s="18">
        <f>Таблица1!E8</f>
        <v>400.88000000000005</v>
      </c>
      <c r="K23" s="18">
        <f>Таблица1!E10</f>
        <v>400.88000000000005</v>
      </c>
      <c r="L23" s="19"/>
      <c r="N23" s="3" t="s">
        <v>271</v>
      </c>
      <c r="O23" s="11">
        <v>4600</v>
      </c>
      <c r="P23" s="12"/>
      <c r="Q23" s="3"/>
      <c r="X23" s="8" t="s">
        <v>39</v>
      </c>
      <c r="Y23" s="10">
        <f>SUM(Y16:Y22)</f>
        <v>21940.203922092725</v>
      </c>
      <c r="Z23" s="10">
        <f>SUM(Z16:Z22)</f>
        <v>22390.203922092725</v>
      </c>
      <c r="AA23" s="8" t="s">
        <v>40</v>
      </c>
    </row>
    <row r="24" spans="1:27" x14ac:dyDescent="0.3">
      <c r="A24" s="33">
        <v>41</v>
      </c>
      <c r="B24" s="32"/>
      <c r="C24" s="32"/>
      <c r="D24" s="32"/>
      <c r="E24" s="32"/>
      <c r="F24" s="32"/>
      <c r="G24" s="32"/>
      <c r="I24" s="19"/>
      <c r="J24" s="18">
        <f>Таблица1!E12</f>
        <v>400.88000000000005</v>
      </c>
      <c r="K24" s="18">
        <f>Таблица1!E14</f>
        <v>400.88000000000005</v>
      </c>
      <c r="L24" s="19"/>
      <c r="N24" s="3"/>
      <c r="O24" s="4">
        <f>Таблица1!E49</f>
        <v>2200.3389830508477</v>
      </c>
      <c r="P24" s="4">
        <f>Таблица1!E103</f>
        <v>24075.919999999998</v>
      </c>
      <c r="Q24" s="3"/>
      <c r="S24" s="3" t="s">
        <v>37</v>
      </c>
      <c r="T24" s="66" t="s">
        <v>212</v>
      </c>
      <c r="U24" s="67"/>
      <c r="V24" s="3" t="s">
        <v>38</v>
      </c>
      <c r="X24" s="3" t="s">
        <v>272</v>
      </c>
      <c r="Y24" s="11">
        <f>Таблы!C52</f>
        <v>3800</v>
      </c>
      <c r="Z24" s="12"/>
      <c r="AA24" s="3"/>
    </row>
    <row r="25" spans="1:27" x14ac:dyDescent="0.3">
      <c r="A25" s="33">
        <v>42</v>
      </c>
      <c r="B25" s="32"/>
      <c r="C25" s="32"/>
      <c r="D25" s="32"/>
      <c r="E25" s="32"/>
      <c r="F25" s="32"/>
      <c r="G25" s="32"/>
      <c r="I25" s="19"/>
      <c r="J25" s="18">
        <f>Таблица1!E17</f>
        <v>962.11200000000008</v>
      </c>
      <c r="K25" s="18">
        <f>Таблица1!E19</f>
        <v>962.11200000000008</v>
      </c>
      <c r="L25" s="19"/>
      <c r="N25" s="3"/>
      <c r="O25" s="4">
        <f>Таблица1!E60</f>
        <v>18144</v>
      </c>
      <c r="P25" s="4">
        <f>P30-P24</f>
        <v>19067.700025176578</v>
      </c>
      <c r="Q25" s="3"/>
      <c r="S25" s="3"/>
      <c r="T25" s="4">
        <f>Таблица1!E64</f>
        <v>2744</v>
      </c>
      <c r="U25" s="4">
        <f>Таблица1!E101</f>
        <v>4643.8639999999996</v>
      </c>
      <c r="V25" s="3"/>
    </row>
    <row r="26" spans="1:27" ht="15.6" x14ac:dyDescent="0.3">
      <c r="A26" s="33" t="s">
        <v>215</v>
      </c>
      <c r="B26" s="32" t="s">
        <v>557</v>
      </c>
      <c r="C26" s="32"/>
      <c r="D26" s="4">
        <f>T93</f>
        <v>43143.620025176577</v>
      </c>
      <c r="E26" s="4">
        <f>U93</f>
        <v>41560.367914160917</v>
      </c>
      <c r="F26" s="4">
        <f>T94</f>
        <v>6333.2521110156595</v>
      </c>
      <c r="G26" s="32"/>
      <c r="I26" s="19"/>
      <c r="J26" s="18">
        <f>Таблица1!E23</f>
        <v>200.08800000000002</v>
      </c>
      <c r="K26" s="18">
        <f>Таблица1!E24</f>
        <v>200.08800000000002</v>
      </c>
      <c r="L26" s="19"/>
      <c r="N26" s="3"/>
      <c r="O26" s="4">
        <f>Таблица1!E66</f>
        <v>6168.96</v>
      </c>
      <c r="P26" s="4"/>
      <c r="Q26" s="3"/>
      <c r="S26" s="3"/>
      <c r="T26" s="4">
        <f>Таблица1!E70</f>
        <v>932.96</v>
      </c>
      <c r="U26" s="4"/>
      <c r="V26" s="3"/>
      <c r="X26" s="20" t="s">
        <v>37</v>
      </c>
      <c r="Y26" s="56" t="s">
        <v>426</v>
      </c>
      <c r="Z26" s="56"/>
      <c r="AA26" s="20" t="s">
        <v>427</v>
      </c>
    </row>
    <row r="27" spans="1:27" ht="15.6" x14ac:dyDescent="0.3">
      <c r="A27" s="33" t="s">
        <v>217</v>
      </c>
      <c r="B27" s="32" t="s">
        <v>558</v>
      </c>
      <c r="C27" s="32"/>
      <c r="D27" s="4">
        <f>Y11</f>
        <v>22390.203922092725</v>
      </c>
      <c r="E27" s="4">
        <f>Z11</f>
        <v>19433.007177665389</v>
      </c>
      <c r="F27" s="4">
        <f>Y12</f>
        <v>10457.196744427336</v>
      </c>
      <c r="G27" s="32"/>
      <c r="I27" s="19"/>
      <c r="J27" s="18">
        <f>Таблица1!E43</f>
        <v>12758.4</v>
      </c>
      <c r="K27" s="18">
        <f>Таблица1!E44</f>
        <v>12758.4</v>
      </c>
      <c r="L27" s="19"/>
      <c r="N27" s="3"/>
      <c r="O27" s="4">
        <f>Таблица1!E72</f>
        <v>108.86399999999999</v>
      </c>
      <c r="P27" s="4"/>
      <c r="Q27" s="3"/>
      <c r="S27" s="3"/>
      <c r="T27" s="4">
        <f>Таблица1!E76</f>
        <v>16.463999999999999</v>
      </c>
      <c r="U27" s="4"/>
      <c r="V27" s="3"/>
      <c r="X27" s="20" t="s">
        <v>271</v>
      </c>
      <c r="Y27" s="19">
        <f>15000</f>
        <v>15000</v>
      </c>
      <c r="Z27" s="19"/>
      <c r="AA27" s="19"/>
    </row>
    <row r="28" spans="1:27" x14ac:dyDescent="0.3">
      <c r="A28" s="33">
        <v>44</v>
      </c>
      <c r="B28" s="32"/>
      <c r="C28" s="32"/>
      <c r="D28" s="32"/>
      <c r="E28" s="32"/>
      <c r="F28" s="32"/>
      <c r="G28" s="32"/>
      <c r="I28" s="19"/>
      <c r="J28" s="18">
        <f>Таблица1!E48</f>
        <v>1594.8</v>
      </c>
      <c r="K28" s="18">
        <f>Таблица1!E46</f>
        <v>1594.8</v>
      </c>
      <c r="L28" s="19"/>
      <c r="N28" s="3"/>
      <c r="O28" s="4">
        <f>Таблица1!E91</f>
        <v>3544</v>
      </c>
      <c r="P28" s="4"/>
      <c r="Q28" s="3"/>
      <c r="S28" s="3"/>
      <c r="T28" s="4">
        <f>Таблица1!E94</f>
        <v>950.44</v>
      </c>
      <c r="U28" s="4"/>
      <c r="V28" s="3"/>
      <c r="X28" s="19"/>
      <c r="Y28" s="18">
        <f>Таблица1!E141</f>
        <v>36620</v>
      </c>
      <c r="Z28" s="18">
        <f>Таблица1!E144</f>
        <v>36620</v>
      </c>
      <c r="AA28" s="19"/>
    </row>
    <row r="29" spans="1:27" ht="15.6" x14ac:dyDescent="0.3">
      <c r="A29" s="33">
        <v>45</v>
      </c>
      <c r="B29" s="32"/>
      <c r="C29" s="32"/>
      <c r="D29" s="32"/>
      <c r="E29" s="32"/>
      <c r="F29" s="32"/>
      <c r="G29" s="32"/>
      <c r="I29" s="16" t="s">
        <v>39</v>
      </c>
      <c r="J29" s="26">
        <f>SUM(J22:J28)</f>
        <v>20325.96</v>
      </c>
      <c r="K29" s="26">
        <f>SUM(K22:K28)</f>
        <v>20325.96</v>
      </c>
      <c r="L29" s="16" t="s">
        <v>40</v>
      </c>
      <c r="N29" s="3"/>
      <c r="O29" s="4">
        <f>Таблица1!E96</f>
        <v>11877.457042125729</v>
      </c>
      <c r="P29" s="4"/>
      <c r="Q29" s="3"/>
      <c r="S29" s="8" t="s">
        <v>39</v>
      </c>
      <c r="T29" s="9">
        <f>SUM(T25:T28)</f>
        <v>4643.8639999999996</v>
      </c>
      <c r="U29" s="10">
        <f>SUM(U25:U28)</f>
        <v>4643.8639999999996</v>
      </c>
      <c r="V29" s="8" t="s">
        <v>40</v>
      </c>
      <c r="X29" s="20"/>
      <c r="Y29" s="18">
        <f>Таблица1!E142</f>
        <v>344</v>
      </c>
      <c r="Z29" s="18">
        <f>Таблица1!E145</f>
        <v>444</v>
      </c>
      <c r="AA29" s="19"/>
    </row>
    <row r="30" spans="1:27" x14ac:dyDescent="0.3">
      <c r="A30" s="33">
        <v>47</v>
      </c>
      <c r="B30" s="32"/>
      <c r="C30" s="32"/>
      <c r="D30" s="32"/>
      <c r="E30" s="32"/>
      <c r="F30" s="32"/>
      <c r="G30" s="32"/>
      <c r="N30" s="8" t="s">
        <v>39</v>
      </c>
      <c r="O30" s="10">
        <f>SUM(O24:O29)</f>
        <v>42043.620025176577</v>
      </c>
      <c r="P30" s="10">
        <f>Таблы!C44</f>
        <v>43143.620025176577</v>
      </c>
      <c r="Q30" s="8" t="s">
        <v>40</v>
      </c>
      <c r="X30" s="19"/>
      <c r="Y30" s="19"/>
      <c r="Z30" s="18">
        <f>Таблица1!E147</f>
        <v>1544</v>
      </c>
      <c r="AA30" s="19"/>
    </row>
    <row r="31" spans="1:27" ht="15.6" x14ac:dyDescent="0.3">
      <c r="A31" s="33">
        <v>50</v>
      </c>
      <c r="B31" s="32" t="s">
        <v>559</v>
      </c>
      <c r="C31" s="32"/>
      <c r="D31" s="4">
        <f>Y31</f>
        <v>36964</v>
      </c>
      <c r="E31" s="4">
        <f>Z31</f>
        <v>38608</v>
      </c>
      <c r="F31" s="4">
        <f>Y32</f>
        <v>13356</v>
      </c>
      <c r="G31" s="32"/>
      <c r="I31" s="20" t="s">
        <v>37</v>
      </c>
      <c r="J31" s="56" t="s">
        <v>422</v>
      </c>
      <c r="K31" s="56"/>
      <c r="L31" s="20" t="s">
        <v>38</v>
      </c>
      <c r="N31" s="3" t="s">
        <v>272</v>
      </c>
      <c r="O31" s="11">
        <v>3500</v>
      </c>
      <c r="P31" s="12"/>
      <c r="Q31" s="3"/>
      <c r="S31" s="3" t="s">
        <v>37</v>
      </c>
      <c r="T31" s="66" t="s">
        <v>209</v>
      </c>
      <c r="U31" s="67"/>
      <c r="V31" s="3" t="s">
        <v>38</v>
      </c>
      <c r="X31" s="16" t="s">
        <v>39</v>
      </c>
      <c r="Y31" s="26">
        <f>SUM(Y28:Y30)</f>
        <v>36964</v>
      </c>
      <c r="Z31" s="26">
        <f>SUM(Z28:Z30)</f>
        <v>38608</v>
      </c>
      <c r="AA31" s="16" t="s">
        <v>40</v>
      </c>
    </row>
    <row r="32" spans="1:27" ht="15.6" x14ac:dyDescent="0.3">
      <c r="A32" s="33">
        <v>51</v>
      </c>
      <c r="B32" s="32" t="s">
        <v>560</v>
      </c>
      <c r="C32" s="32"/>
      <c r="D32" s="4">
        <f>O75</f>
        <v>117687.32</v>
      </c>
      <c r="E32" s="4">
        <f>P75</f>
        <v>196394.17919152541</v>
      </c>
      <c r="F32" s="4">
        <f>O76</f>
        <v>149833.14080847459</v>
      </c>
      <c r="G32" s="32"/>
      <c r="I32" s="19"/>
      <c r="J32" s="18">
        <f>Таблица1!E6</f>
        <v>4008.8</v>
      </c>
      <c r="K32" s="18">
        <f>Таблица1!E124</f>
        <v>5972.76</v>
      </c>
      <c r="L32" s="19"/>
      <c r="S32" s="3"/>
      <c r="T32" s="4">
        <f>Таблица1!E35</f>
        <v>3747.9674796747968</v>
      </c>
      <c r="U32" s="4">
        <f>Таблица1!E99</f>
        <v>7522.1692404090845</v>
      </c>
      <c r="V32" s="3"/>
      <c r="X32" s="20" t="s">
        <v>272</v>
      </c>
      <c r="Y32" s="18">
        <f>Y27+Y31-Z31</f>
        <v>13356</v>
      </c>
      <c r="Z32" s="19"/>
      <c r="AA32" s="20"/>
    </row>
    <row r="33" spans="1:27" x14ac:dyDescent="0.3">
      <c r="A33" s="33">
        <v>52</v>
      </c>
      <c r="B33" s="32" t="s">
        <v>550</v>
      </c>
      <c r="C33" s="32"/>
      <c r="D33" s="32"/>
      <c r="E33" s="32"/>
      <c r="F33" s="32"/>
      <c r="G33" s="32"/>
      <c r="I33" s="19"/>
      <c r="J33" s="18">
        <f>Таблица1!E10</f>
        <v>400.88000000000005</v>
      </c>
      <c r="K33" s="19"/>
      <c r="L33" s="19"/>
      <c r="S33" s="3"/>
      <c r="T33" s="4">
        <f>Таблица1!E39</f>
        <v>1044</v>
      </c>
      <c r="U33" s="4">
        <f>Таблица1!E100</f>
        <v>2713.0222392657101</v>
      </c>
      <c r="V33" s="3"/>
    </row>
    <row r="34" spans="1:27" ht="15.6" x14ac:dyDescent="0.3">
      <c r="A34" s="33">
        <v>55</v>
      </c>
      <c r="B34" s="32"/>
      <c r="C34" s="32"/>
      <c r="D34" s="32"/>
      <c r="E34" s="32"/>
      <c r="F34" s="32"/>
      <c r="G34" s="32"/>
      <c r="I34" s="19"/>
      <c r="J34" s="18">
        <f>Таблица1!E14</f>
        <v>400.88000000000005</v>
      </c>
      <c r="K34" s="19"/>
      <c r="L34" s="19"/>
      <c r="S34" s="3"/>
      <c r="T34" s="4">
        <f>Таблица1!E63</f>
        <v>4044</v>
      </c>
      <c r="U34" s="4"/>
      <c r="V34" s="3"/>
      <c r="X34" s="20" t="s">
        <v>37</v>
      </c>
      <c r="Y34" s="56" t="s">
        <v>430</v>
      </c>
      <c r="Z34" s="56"/>
      <c r="AA34" s="20" t="s">
        <v>38</v>
      </c>
    </row>
    <row r="35" spans="1:27" ht="15.6" x14ac:dyDescent="0.3">
      <c r="A35" s="33">
        <v>57</v>
      </c>
      <c r="B35" s="32"/>
      <c r="C35" s="32"/>
      <c r="D35" s="32"/>
      <c r="E35" s="32"/>
      <c r="F35" s="32"/>
      <c r="G35" s="32"/>
      <c r="I35" s="19"/>
      <c r="J35" s="18">
        <f>Таблица1!E19</f>
        <v>962.11200000000008</v>
      </c>
      <c r="K35" s="19"/>
      <c r="L35" s="19"/>
      <c r="S35" s="3"/>
      <c r="T35" s="4">
        <f>Таблица1!E69</f>
        <v>1374.96</v>
      </c>
      <c r="U35" s="4"/>
      <c r="V35" s="3"/>
      <c r="X35" s="19"/>
      <c r="Y35" s="18">
        <f>Таблица1!E127</f>
        <v>20544</v>
      </c>
      <c r="Z35" s="20"/>
      <c r="AA35" s="20"/>
    </row>
    <row r="36" spans="1:27" ht="15.6" x14ac:dyDescent="0.3">
      <c r="A36" s="33">
        <v>58</v>
      </c>
      <c r="B36" s="32"/>
      <c r="C36" s="32"/>
      <c r="D36" s="4">
        <f>Y36</f>
        <v>20544</v>
      </c>
      <c r="E36" s="4">
        <f>Z36</f>
        <v>0</v>
      </c>
      <c r="F36" s="32"/>
      <c r="G36" s="32"/>
      <c r="I36" s="19"/>
      <c r="J36" s="18">
        <f>Таблица1!E24</f>
        <v>200.08800000000002</v>
      </c>
      <c r="K36" s="19"/>
      <c r="L36" s="19"/>
      <c r="S36" s="3"/>
      <c r="T36" s="4">
        <f>Таблица1!E75</f>
        <v>24.263999999999999</v>
      </c>
      <c r="U36" s="4"/>
      <c r="V36" s="3"/>
      <c r="X36" s="16" t="s">
        <v>39</v>
      </c>
      <c r="Y36" s="26">
        <f>SUM(Y35:Y35)</f>
        <v>20544</v>
      </c>
      <c r="Z36" s="26">
        <f>SUM(Z35:Z35)</f>
        <v>0</v>
      </c>
      <c r="AA36" s="16" t="s">
        <v>40</v>
      </c>
    </row>
    <row r="37" spans="1:27" ht="15.6" x14ac:dyDescent="0.3">
      <c r="A37" s="33">
        <v>59</v>
      </c>
      <c r="B37" s="32"/>
      <c r="C37" s="32"/>
      <c r="D37" s="32"/>
      <c r="E37" s="32"/>
      <c r="F37" s="32"/>
      <c r="G37" s="32"/>
      <c r="I37" s="16" t="s">
        <v>39</v>
      </c>
      <c r="J37" s="26">
        <f>SUM(J32:J36)</f>
        <v>5972.76</v>
      </c>
      <c r="K37" s="26">
        <f>SUM(K32:K36)</f>
        <v>5972.76</v>
      </c>
      <c r="L37" s="16" t="s">
        <v>40</v>
      </c>
      <c r="S37" s="8" t="s">
        <v>39</v>
      </c>
      <c r="T37" s="9">
        <f>SUM(T32:T36)</f>
        <v>10235.191479674795</v>
      </c>
      <c r="U37" s="10">
        <f>SUM(U32:U36)</f>
        <v>10235.191479674795</v>
      </c>
      <c r="V37" s="8" t="s">
        <v>40</v>
      </c>
    </row>
    <row r="38" spans="1:27" ht="15.6" x14ac:dyDescent="0.3">
      <c r="A38" s="33">
        <v>60</v>
      </c>
      <c r="B38" s="32"/>
      <c r="C38" s="32">
        <v>78420</v>
      </c>
      <c r="D38" s="4">
        <f>Y83</f>
        <v>120755.232</v>
      </c>
      <c r="E38" s="4">
        <f>Z83</f>
        <v>161441.23199999999</v>
      </c>
      <c r="F38" s="32"/>
      <c r="G38" s="4">
        <f>Z84</f>
        <v>119105.99999999999</v>
      </c>
      <c r="I38" s="27" t="s">
        <v>272</v>
      </c>
      <c r="J38" s="19"/>
      <c r="K38" s="19"/>
      <c r="L38" s="19"/>
    </row>
    <row r="39" spans="1:27" x14ac:dyDescent="0.3">
      <c r="A39" s="33">
        <v>62</v>
      </c>
      <c r="B39" s="32">
        <v>22500</v>
      </c>
      <c r="C39" s="32"/>
      <c r="D39" s="4">
        <f>T59</f>
        <v>135692.88</v>
      </c>
      <c r="E39" s="4">
        <f>U59</f>
        <v>115692.88</v>
      </c>
      <c r="F39" s="4">
        <f>T60</f>
        <v>42500</v>
      </c>
      <c r="G39" s="32"/>
      <c r="I39" s="13"/>
      <c r="J39" s="13"/>
      <c r="K39" s="13"/>
      <c r="L39" s="13"/>
    </row>
    <row r="40" spans="1:27" x14ac:dyDescent="0.3">
      <c r="A40" s="33">
        <v>63</v>
      </c>
      <c r="B40" s="32"/>
      <c r="C40" s="32"/>
      <c r="D40" s="32"/>
      <c r="E40" s="32"/>
      <c r="F40" s="32"/>
      <c r="G40" s="32"/>
    </row>
    <row r="41" spans="1:27" x14ac:dyDescent="0.3">
      <c r="A41" s="33">
        <v>66</v>
      </c>
      <c r="B41" s="32"/>
      <c r="C41" s="32"/>
      <c r="D41" s="32"/>
      <c r="E41" s="32"/>
      <c r="F41" s="32"/>
      <c r="G41" s="32"/>
    </row>
    <row r="42" spans="1:27" x14ac:dyDescent="0.3">
      <c r="A42" s="33">
        <v>67</v>
      </c>
      <c r="B42" s="32"/>
      <c r="C42" s="32">
        <v>22055</v>
      </c>
      <c r="D42" s="4">
        <f>J77</f>
        <v>4044</v>
      </c>
      <c r="E42" s="4">
        <f>K77</f>
        <v>1763.7199999999998</v>
      </c>
      <c r="F42" s="32"/>
      <c r="G42" s="4">
        <f>K78</f>
        <v>19774.72</v>
      </c>
    </row>
    <row r="43" spans="1:27" x14ac:dyDescent="0.3">
      <c r="A43" s="33">
        <v>68</v>
      </c>
      <c r="B43" s="32"/>
      <c r="C43" s="32">
        <v>15325</v>
      </c>
      <c r="D43" s="4">
        <f>J66</f>
        <v>28710.907191525424</v>
      </c>
      <c r="E43" s="4">
        <f>K66</f>
        <v>27503.667191525423</v>
      </c>
      <c r="F43" s="32"/>
      <c r="G43" s="4">
        <f>K67</f>
        <v>14117.760000000002</v>
      </c>
    </row>
    <row r="44" spans="1:27" x14ac:dyDescent="0.3">
      <c r="A44" s="33">
        <v>69</v>
      </c>
      <c r="B44" s="32"/>
      <c r="C44" s="32">
        <v>12000</v>
      </c>
      <c r="D44" s="4">
        <f>O90</f>
        <v>1544</v>
      </c>
      <c r="E44" s="4">
        <f>P90</f>
        <v>12817.000000000002</v>
      </c>
      <c r="F44" s="32"/>
      <c r="G44" s="4">
        <f>P91</f>
        <v>23273</v>
      </c>
    </row>
    <row r="45" spans="1:27" x14ac:dyDescent="0.3">
      <c r="A45" s="33">
        <v>70</v>
      </c>
      <c r="B45" s="32"/>
      <c r="C45" s="32">
        <v>16750</v>
      </c>
      <c r="D45" s="4">
        <f>T76</f>
        <v>40910.959999999999</v>
      </c>
      <c r="E45" s="4">
        <f>U76</f>
        <v>36620</v>
      </c>
      <c r="F45" s="32"/>
      <c r="G45" s="4">
        <f>U77</f>
        <v>12459.04</v>
      </c>
    </row>
    <row r="46" spans="1:27" x14ac:dyDescent="0.3">
      <c r="A46" s="33">
        <v>71</v>
      </c>
      <c r="B46" s="32">
        <v>750</v>
      </c>
      <c r="C46" s="32"/>
      <c r="D46" s="4">
        <f>T82</f>
        <v>444</v>
      </c>
      <c r="E46" s="4">
        <f>U82</f>
        <v>644</v>
      </c>
      <c r="F46" s="4">
        <f>T83</f>
        <v>550</v>
      </c>
      <c r="G46" s="32"/>
    </row>
    <row r="47" spans="1:27" x14ac:dyDescent="0.3">
      <c r="A47" s="33">
        <v>73</v>
      </c>
      <c r="B47" s="32"/>
      <c r="C47" s="32"/>
      <c r="D47" s="4">
        <f>Y90</f>
        <v>572.08813559322027</v>
      </c>
      <c r="E47" s="4">
        <f>Z90</f>
        <v>0</v>
      </c>
      <c r="F47" s="32"/>
      <c r="G47" s="32"/>
    </row>
    <row r="48" spans="1:27" x14ac:dyDescent="0.3">
      <c r="A48" s="33">
        <v>75</v>
      </c>
      <c r="B48" s="4">
        <v>1560</v>
      </c>
      <c r="C48" s="32"/>
      <c r="D48" s="48">
        <v>0</v>
      </c>
      <c r="E48" s="48">
        <v>0</v>
      </c>
      <c r="F48" s="4">
        <f>1560</f>
        <v>1560</v>
      </c>
      <c r="G48" s="32"/>
    </row>
    <row r="49" spans="1:27" x14ac:dyDescent="0.3">
      <c r="A49" s="33">
        <v>76</v>
      </c>
      <c r="B49" s="32">
        <v>600</v>
      </c>
      <c r="C49" s="32"/>
      <c r="D49" s="4">
        <f>J88</f>
        <v>0</v>
      </c>
      <c r="E49" s="4">
        <f>K88</f>
        <v>1763.72</v>
      </c>
      <c r="F49" s="4">
        <f>J89</f>
        <v>-1163.72</v>
      </c>
      <c r="G49" s="32"/>
    </row>
    <row r="50" spans="1:27" x14ac:dyDescent="0.3">
      <c r="A50" s="33">
        <v>77</v>
      </c>
      <c r="B50" s="32"/>
      <c r="C50" s="32"/>
      <c r="D50" s="32"/>
      <c r="E50" s="32"/>
      <c r="F50" s="32"/>
      <c r="G50" s="32"/>
    </row>
    <row r="51" spans="1:27" x14ac:dyDescent="0.3">
      <c r="A51" s="33">
        <v>79</v>
      </c>
      <c r="B51" s="32"/>
      <c r="C51" s="32"/>
      <c r="D51" s="32"/>
      <c r="E51" s="32"/>
      <c r="F51" s="32"/>
      <c r="G51" s="32"/>
    </row>
    <row r="52" spans="1:27" x14ac:dyDescent="0.3">
      <c r="A52" s="33">
        <v>80</v>
      </c>
      <c r="B52" s="32"/>
      <c r="C52" s="6">
        <v>2120044</v>
      </c>
      <c r="D52" s="32">
        <v>0</v>
      </c>
      <c r="E52" s="32">
        <v>0</v>
      </c>
      <c r="F52" s="32"/>
      <c r="G52" s="6">
        <f>2120044</f>
        <v>2120044</v>
      </c>
    </row>
    <row r="53" spans="1:27" x14ac:dyDescent="0.3">
      <c r="A53" s="33">
        <v>81</v>
      </c>
      <c r="B53" s="32"/>
      <c r="C53" s="32"/>
      <c r="D53" s="32"/>
      <c r="E53" s="32"/>
      <c r="F53" s="32"/>
      <c r="G53" s="32"/>
    </row>
    <row r="54" spans="1:27" ht="15.6" x14ac:dyDescent="0.3">
      <c r="A54" s="33">
        <v>82</v>
      </c>
      <c r="B54" s="32"/>
      <c r="C54" s="32" t="s">
        <v>487</v>
      </c>
      <c r="D54" s="32">
        <v>0</v>
      </c>
      <c r="E54" s="32">
        <v>0</v>
      </c>
      <c r="F54" s="32"/>
      <c r="G54" s="32" t="str">
        <f>C54</f>
        <v>15 810,00</v>
      </c>
      <c r="I54" s="20" t="s">
        <v>37</v>
      </c>
      <c r="J54" s="56" t="s">
        <v>434</v>
      </c>
      <c r="K54" s="56"/>
      <c r="L54" s="20" t="s">
        <v>38</v>
      </c>
      <c r="N54" s="20" t="s">
        <v>37</v>
      </c>
      <c r="O54" s="56" t="s">
        <v>431</v>
      </c>
      <c r="P54" s="56"/>
      <c r="Q54" s="20" t="s">
        <v>38</v>
      </c>
      <c r="S54" s="20" t="s">
        <v>37</v>
      </c>
      <c r="T54" s="79" t="s">
        <v>429</v>
      </c>
      <c r="U54" s="80"/>
      <c r="V54" s="20" t="s">
        <v>38</v>
      </c>
      <c r="X54" s="3" t="s">
        <v>37</v>
      </c>
      <c r="Y54" s="66" t="s">
        <v>194</v>
      </c>
      <c r="Z54" s="67"/>
      <c r="AA54" s="3" t="s">
        <v>38</v>
      </c>
    </row>
    <row r="55" spans="1:27" ht="15.6" x14ac:dyDescent="0.3">
      <c r="A55" s="33">
        <v>83</v>
      </c>
      <c r="B55" s="32"/>
      <c r="C55" s="32"/>
      <c r="D55" s="32"/>
      <c r="E55" s="32"/>
      <c r="F55" s="32"/>
      <c r="G55" s="32"/>
      <c r="I55" s="20"/>
      <c r="J55" s="19"/>
      <c r="K55" s="19">
        <v>15325</v>
      </c>
      <c r="L55" s="20" t="s">
        <v>337</v>
      </c>
      <c r="N55" s="20" t="s">
        <v>271</v>
      </c>
      <c r="O55" s="19">
        <v>228540</v>
      </c>
      <c r="P55" s="19"/>
      <c r="Q55" s="19"/>
      <c r="S55" s="20" t="s">
        <v>271</v>
      </c>
      <c r="T55" s="19">
        <v>22500</v>
      </c>
      <c r="U55" s="19"/>
      <c r="V55" s="20"/>
      <c r="X55" s="3"/>
      <c r="Y55" s="4">
        <f>Таблица1!E32</f>
        <v>1791</v>
      </c>
      <c r="Z55" s="4">
        <f>Таблица1!E96</f>
        <v>11877.457042125729</v>
      </c>
      <c r="AA55" s="3"/>
    </row>
    <row r="56" spans="1:27" x14ac:dyDescent="0.3">
      <c r="A56" s="33">
        <v>84</v>
      </c>
      <c r="B56" s="32"/>
      <c r="C56" s="32"/>
      <c r="D56" s="4">
        <f>T112</f>
        <v>0</v>
      </c>
      <c r="E56" s="4">
        <f>U112</f>
        <v>4284.5099836158197</v>
      </c>
      <c r="F56" s="32"/>
      <c r="G56" s="32"/>
      <c r="I56" s="19"/>
      <c r="J56" s="18">
        <f>Таблица1!E133</f>
        <v>1044</v>
      </c>
      <c r="K56" s="18">
        <f>Таблица1!E57</f>
        <v>3333.3333333333335</v>
      </c>
      <c r="L56" s="19"/>
      <c r="N56" s="19"/>
      <c r="O56" s="18">
        <f>Таблица1!E128</f>
        <v>450.44</v>
      </c>
      <c r="P56" s="18">
        <f>Таблица1!E5</f>
        <v>24052.799999999999</v>
      </c>
      <c r="Q56" s="19"/>
      <c r="S56" s="19"/>
      <c r="T56" s="18">
        <f>Таблица1!E55</f>
        <v>20000</v>
      </c>
      <c r="U56" s="18">
        <f>Таблица1!E123</f>
        <v>115692.88</v>
      </c>
      <c r="V56" s="19"/>
      <c r="X56" s="3"/>
      <c r="Y56" s="4">
        <f>Таблица1!E33</f>
        <v>710.36666666666667</v>
      </c>
      <c r="Z56" s="4">
        <f>Таблица1!E97</f>
        <v>4283.8447356520483</v>
      </c>
      <c r="AA56" s="3"/>
    </row>
    <row r="57" spans="1:27" ht="15.6" x14ac:dyDescent="0.3">
      <c r="A57" s="33">
        <v>86</v>
      </c>
      <c r="B57" s="32"/>
      <c r="C57" s="32"/>
      <c r="D57" s="32"/>
      <c r="E57" s="32"/>
      <c r="F57" s="32"/>
      <c r="G57" s="32"/>
      <c r="I57" s="19"/>
      <c r="J57" s="18">
        <f>Таблица1!E135</f>
        <v>2544</v>
      </c>
      <c r="K57" s="18" t="str">
        <f>Таблица1!E79</f>
        <v>2 350,44</v>
      </c>
      <c r="L57" s="19"/>
      <c r="N57" s="19"/>
      <c r="O57" s="18">
        <f>Таблица1!E147</f>
        <v>1544</v>
      </c>
      <c r="P57" s="18">
        <f>Таблица1!E9</f>
        <v>2405.2800000000002</v>
      </c>
      <c r="Q57" s="19"/>
      <c r="S57" s="19"/>
      <c r="T57" s="18">
        <f>Таблица1!E108</f>
        <v>71492.399999999994</v>
      </c>
      <c r="U57" s="19"/>
      <c r="V57" s="20"/>
      <c r="X57" s="3"/>
      <c r="Y57" s="4">
        <f>Таблица1!E34</f>
        <v>604.11111111111097</v>
      </c>
      <c r="Z57" s="4"/>
      <c r="AA57" s="3"/>
    </row>
    <row r="58" spans="1:27" ht="15.6" x14ac:dyDescent="0.3">
      <c r="A58" s="33" t="s">
        <v>198</v>
      </c>
      <c r="B58" s="32"/>
      <c r="C58" s="32"/>
      <c r="D58" s="4">
        <f>O107</f>
        <v>71492.397154570004</v>
      </c>
      <c r="E58" s="4">
        <f>P107</f>
        <v>71492.399999999994</v>
      </c>
      <c r="F58" s="32"/>
      <c r="G58" s="32"/>
      <c r="I58" s="19"/>
      <c r="J58" s="18">
        <f>Таблица1!E137</f>
        <v>3884.3199999999997</v>
      </c>
      <c r="K58" s="18">
        <f>Таблица1!E80</f>
        <v>845.44</v>
      </c>
      <c r="L58" s="19"/>
      <c r="N58" s="19"/>
      <c r="O58" s="18">
        <f>Таблица1!E123</f>
        <v>115692.88</v>
      </c>
      <c r="P58" s="18">
        <f>Таблица1!E13</f>
        <v>2405.2800000000002</v>
      </c>
      <c r="Q58" s="19"/>
      <c r="S58" s="19"/>
      <c r="T58" s="18">
        <f>Таблица1!E109</f>
        <v>44200.480000000003</v>
      </c>
      <c r="U58" s="19"/>
      <c r="V58" s="20"/>
      <c r="X58" s="3"/>
      <c r="Y58" s="4">
        <f>Таблица1!E37</f>
        <v>2044</v>
      </c>
      <c r="Z58" s="4"/>
      <c r="AA58" s="3"/>
    </row>
    <row r="59" spans="1:27" ht="15.6" x14ac:dyDescent="0.3">
      <c r="A59" s="33" t="s">
        <v>200</v>
      </c>
      <c r="B59" s="32"/>
      <c r="C59" s="32"/>
      <c r="D59" s="4">
        <f>O116</f>
        <v>44200.476083597765</v>
      </c>
      <c r="E59" s="4">
        <f>P116</f>
        <v>44200.480000000003</v>
      </c>
      <c r="F59" s="32"/>
      <c r="G59" s="32"/>
      <c r="I59" s="19"/>
      <c r="J59" s="18">
        <f>Таблица1!E151</f>
        <v>1566.925</v>
      </c>
      <c r="K59" s="18">
        <f>Таблица1!E81</f>
        <v>650.44000000000005</v>
      </c>
      <c r="L59" s="19"/>
      <c r="N59" s="20"/>
      <c r="O59" s="19"/>
      <c r="P59" s="18">
        <f>Таблица1!E18</f>
        <v>5772.6720000000005</v>
      </c>
      <c r="Q59" s="19"/>
      <c r="S59" s="35" t="s">
        <v>39</v>
      </c>
      <c r="T59" s="26">
        <f>SUM(T56:T58)</f>
        <v>135692.88</v>
      </c>
      <c r="U59" s="26">
        <f>SUM(U56:U58)</f>
        <v>115692.88</v>
      </c>
      <c r="V59" s="35" t="s">
        <v>40</v>
      </c>
      <c r="X59" s="3"/>
      <c r="Y59" s="4">
        <f>Таблица1!E38</f>
        <v>3044</v>
      </c>
      <c r="Z59" s="4"/>
      <c r="AA59" s="3"/>
    </row>
    <row r="60" spans="1:27" ht="15.6" x14ac:dyDescent="0.3">
      <c r="A60" s="33">
        <v>91</v>
      </c>
      <c r="B60" s="32"/>
      <c r="C60" s="32"/>
      <c r="D60" s="4">
        <f>T120</f>
        <v>23086.860338983042</v>
      </c>
      <c r="E60" s="4">
        <f>U120</f>
        <v>23086.86033898305</v>
      </c>
      <c r="F60" s="32"/>
      <c r="G60" s="32"/>
      <c r="I60" s="19"/>
      <c r="J60" s="18">
        <f>Таблица1!E153</f>
        <v>940.50219152542388</v>
      </c>
      <c r="K60" s="18">
        <f>Таблица1!E82</f>
        <v>520.44000000000005</v>
      </c>
      <c r="L60" s="19"/>
      <c r="N60" s="20"/>
      <c r="O60" s="19"/>
      <c r="P60" s="18">
        <f>Таблица1!E40</f>
        <v>70880</v>
      </c>
      <c r="Q60" s="19"/>
      <c r="S60" s="20" t="s">
        <v>272</v>
      </c>
      <c r="T60" s="18">
        <f>T55+T59-U59</f>
        <v>42500</v>
      </c>
      <c r="U60" s="19"/>
      <c r="V60" s="20"/>
      <c r="X60" s="3"/>
      <c r="Y60" s="6">
        <f>Таблица1!E62</f>
        <v>5144</v>
      </c>
      <c r="Z60" s="4"/>
      <c r="AA60" s="3"/>
    </row>
    <row r="61" spans="1:27" ht="15.6" x14ac:dyDescent="0.3">
      <c r="A61" s="33">
        <v>93</v>
      </c>
      <c r="B61" s="32"/>
      <c r="C61" s="32"/>
      <c r="D61" s="32"/>
      <c r="E61" s="32"/>
      <c r="F61" s="32"/>
      <c r="G61" s="32"/>
      <c r="I61" s="19"/>
      <c r="J61" s="18">
        <f>Таблица1!E124</f>
        <v>5972.76</v>
      </c>
      <c r="K61" s="18">
        <f>Таблица1!E83</f>
        <v>364.44</v>
      </c>
      <c r="L61" s="19"/>
      <c r="N61" s="20"/>
      <c r="O61" s="19"/>
      <c r="P61" s="18">
        <f>Таблица1!E41</f>
        <v>5670.4000000000005</v>
      </c>
      <c r="Q61" s="19"/>
      <c r="X61" s="3"/>
      <c r="Y61" s="4">
        <f>Таблица1!E68</f>
        <v>1748.96</v>
      </c>
      <c r="Z61" s="4"/>
      <c r="AA61" s="3"/>
    </row>
    <row r="62" spans="1:27" ht="15.6" x14ac:dyDescent="0.3">
      <c r="A62" s="33">
        <v>94</v>
      </c>
      <c r="B62" s="32"/>
      <c r="C62" s="32"/>
      <c r="D62" s="4">
        <f>O121</f>
        <v>572.08813559322027</v>
      </c>
      <c r="E62" s="4">
        <f>P121</f>
        <v>572.08813559322027</v>
      </c>
      <c r="F62" s="32"/>
      <c r="G62" s="32"/>
      <c r="I62" s="19"/>
      <c r="J62" s="18">
        <f>Таблица1!E125</f>
        <v>12758.4</v>
      </c>
      <c r="K62" s="18">
        <f>Таблица1!E113</f>
        <v>11915.4</v>
      </c>
      <c r="L62" s="19"/>
      <c r="N62" s="20"/>
      <c r="O62" s="19"/>
      <c r="P62" s="18">
        <f>Таблица1!E127</f>
        <v>20544</v>
      </c>
      <c r="Q62" s="19"/>
      <c r="S62" s="20" t="s">
        <v>37</v>
      </c>
      <c r="T62" s="56" t="s">
        <v>439</v>
      </c>
      <c r="U62" s="56"/>
      <c r="V62" s="20" t="s">
        <v>38</v>
      </c>
      <c r="X62" s="3"/>
      <c r="Y62" s="4">
        <f>Таблица1!E74</f>
        <v>30.864000000000001</v>
      </c>
      <c r="Z62" s="4"/>
      <c r="AA62" s="3"/>
    </row>
    <row r="63" spans="1:27" ht="15.6" x14ac:dyDescent="0.3">
      <c r="A63" s="33">
        <v>95</v>
      </c>
      <c r="B63" s="32"/>
      <c r="C63" s="32"/>
      <c r="D63" s="32"/>
      <c r="E63" s="32"/>
      <c r="F63" s="32"/>
      <c r="G63" s="32"/>
      <c r="I63" s="20"/>
      <c r="J63" s="19"/>
      <c r="K63" s="18">
        <f>Таблица1!E114</f>
        <v>7366.7466666666678</v>
      </c>
      <c r="L63" s="19"/>
      <c r="N63" s="20"/>
      <c r="O63" s="19"/>
      <c r="P63" s="18">
        <f>Таблица1!E130</f>
        <v>5044</v>
      </c>
      <c r="Q63" s="19"/>
      <c r="S63" s="19"/>
      <c r="T63" s="19"/>
      <c r="U63" s="19">
        <v>16750</v>
      </c>
      <c r="V63" s="20" t="s">
        <v>337</v>
      </c>
      <c r="X63" s="3"/>
      <c r="Y63" s="4">
        <f>Таблица1!E93</f>
        <v>1044</v>
      </c>
      <c r="Z63" s="4"/>
      <c r="AA63" s="3"/>
    </row>
    <row r="64" spans="1:27" ht="15.6" x14ac:dyDescent="0.3">
      <c r="A64" s="33">
        <v>96</v>
      </c>
      <c r="B64" s="32"/>
      <c r="C64" s="32"/>
      <c r="D64" s="32"/>
      <c r="E64" s="32"/>
      <c r="F64" s="32"/>
      <c r="G64" s="32"/>
      <c r="I64" s="20"/>
      <c r="J64" s="19"/>
      <c r="K64" s="18">
        <f>Таблица1!E150</f>
        <v>1566.925</v>
      </c>
      <c r="L64" s="19"/>
      <c r="N64" s="20"/>
      <c r="O64" s="19"/>
      <c r="P64" s="18">
        <f>Таблица1!E131</f>
        <v>5544</v>
      </c>
      <c r="Q64" s="19"/>
      <c r="S64" s="19"/>
      <c r="T64" s="18" t="str">
        <f>Таблица1!E79</f>
        <v>2 350,44</v>
      </c>
      <c r="U64" s="18">
        <f>Таблица1!E60</f>
        <v>18144</v>
      </c>
      <c r="V64" s="19"/>
      <c r="X64" s="8" t="s">
        <v>39</v>
      </c>
      <c r="Y64" s="9">
        <f>SUM(Y55:Y63)</f>
        <v>16161.301777777777</v>
      </c>
      <c r="Z64" s="10">
        <f>SUM(Z55:Z63)</f>
        <v>16161.301777777777</v>
      </c>
      <c r="AA64" s="8" t="s">
        <v>40</v>
      </c>
    </row>
    <row r="65" spans="1:27" ht="15.6" x14ac:dyDescent="0.3">
      <c r="A65" s="33">
        <v>97</v>
      </c>
      <c r="B65" s="32"/>
      <c r="C65" s="32"/>
      <c r="D65" s="32"/>
      <c r="E65" s="32"/>
      <c r="F65" s="32"/>
      <c r="G65" s="32"/>
      <c r="I65" s="20"/>
      <c r="J65" s="19"/>
      <c r="K65" s="18">
        <f>Таблица1!E152</f>
        <v>940.50219152542388</v>
      </c>
      <c r="L65" s="19"/>
      <c r="N65" s="20"/>
      <c r="O65" s="19"/>
      <c r="P65" s="18">
        <f>Таблица1!E133</f>
        <v>1044</v>
      </c>
      <c r="Q65" s="19"/>
      <c r="S65" s="19"/>
      <c r="T65" s="18">
        <f>Таблица1!E80</f>
        <v>845.44</v>
      </c>
      <c r="U65" s="18">
        <f>Таблица1!E61</f>
        <v>6544</v>
      </c>
      <c r="V65" s="19"/>
    </row>
    <row r="66" spans="1:27" ht="15.6" x14ac:dyDescent="0.3">
      <c r="A66" s="33">
        <v>98</v>
      </c>
      <c r="B66" s="32"/>
      <c r="C66" s="32"/>
      <c r="D66" s="4">
        <f>O126</f>
        <v>0</v>
      </c>
      <c r="E66" s="4">
        <f>P126</f>
        <v>1200.528</v>
      </c>
      <c r="F66" s="32"/>
      <c r="G66" s="32"/>
      <c r="I66" s="17" t="s">
        <v>39</v>
      </c>
      <c r="J66" s="23">
        <f>SUM(J56:J65)</f>
        <v>28710.907191525424</v>
      </c>
      <c r="K66" s="23">
        <f>SUM(K56:K65)</f>
        <v>27503.667191525423</v>
      </c>
      <c r="L66" s="17" t="s">
        <v>40</v>
      </c>
      <c r="N66" s="20"/>
      <c r="O66" s="19"/>
      <c r="P66" s="18">
        <f>Таблица1!E134</f>
        <v>1544</v>
      </c>
      <c r="Q66" s="19"/>
      <c r="S66" s="19"/>
      <c r="T66" s="18">
        <f>Таблица1!E81</f>
        <v>650.44000000000005</v>
      </c>
      <c r="U66" s="18">
        <f>Таблица1!E62</f>
        <v>5144</v>
      </c>
      <c r="V66" s="19"/>
      <c r="X66" s="20" t="s">
        <v>37</v>
      </c>
      <c r="Y66" s="56" t="s">
        <v>432</v>
      </c>
      <c r="Z66" s="56"/>
      <c r="AA66" s="20" t="s">
        <v>38</v>
      </c>
    </row>
    <row r="67" spans="1:27" ht="15.6" x14ac:dyDescent="0.3">
      <c r="A67" s="33">
        <v>99</v>
      </c>
      <c r="B67" s="32"/>
      <c r="C67" s="32"/>
      <c r="D67" s="4">
        <f>T108</f>
        <v>16143.387191525422</v>
      </c>
      <c r="E67" s="4">
        <f>U108</f>
        <v>20427.897175141243</v>
      </c>
      <c r="F67" s="32"/>
      <c r="G67" s="32"/>
      <c r="I67" s="20"/>
      <c r="J67" s="19"/>
      <c r="K67" s="18">
        <f>K55+K66-J66</f>
        <v>14117.760000000002</v>
      </c>
      <c r="L67" s="20" t="s">
        <v>338</v>
      </c>
      <c r="N67" s="20"/>
      <c r="O67" s="19"/>
      <c r="P67" s="18">
        <f>Таблица1!E135</f>
        <v>2544</v>
      </c>
      <c r="Q67" s="19"/>
      <c r="S67" s="19"/>
      <c r="T67" s="18">
        <f>Таблица1!E82</f>
        <v>520.44000000000005</v>
      </c>
      <c r="U67" s="18">
        <f>Таблица1!E63</f>
        <v>4044</v>
      </c>
      <c r="V67" s="19"/>
      <c r="X67" s="20"/>
      <c r="Y67" s="19"/>
      <c r="Z67" s="19">
        <v>78420</v>
      </c>
      <c r="AA67" s="20" t="s">
        <v>337</v>
      </c>
    </row>
    <row r="68" spans="1:27" ht="15.6" x14ac:dyDescent="0.3">
      <c r="A68" s="33" t="s">
        <v>561</v>
      </c>
      <c r="B68" s="33">
        <f>SUM(B3:B67)</f>
        <v>125454</v>
      </c>
      <c r="C68" s="33">
        <f t="shared" ref="C68:G68" si="0">SUM(C3:C67)</f>
        <v>2264594</v>
      </c>
      <c r="D68" s="33">
        <f t="shared" si="0"/>
        <v>1077264.161383379</v>
      </c>
      <c r="E68" s="33">
        <f t="shared" si="0"/>
        <v>1083312.3913669947</v>
      </c>
      <c r="F68" s="33">
        <f t="shared" si="0"/>
        <v>2904203.6018673074</v>
      </c>
      <c r="G68" s="33">
        <f t="shared" si="0"/>
        <v>2917088.3652574527</v>
      </c>
      <c r="N68" s="20"/>
      <c r="O68" s="19"/>
      <c r="P68" s="18">
        <f>Таблица1!E137</f>
        <v>3884.3199999999997</v>
      </c>
      <c r="Q68" s="19"/>
      <c r="S68" s="19"/>
      <c r="T68" s="18">
        <f>Таблица1!E83</f>
        <v>364.44</v>
      </c>
      <c r="U68" s="18">
        <f>Таблица1!E64</f>
        <v>2744</v>
      </c>
      <c r="V68" s="19"/>
      <c r="X68" s="19"/>
      <c r="Y68" s="18">
        <f>Таблица1!E5</f>
        <v>24052.799999999999</v>
      </c>
      <c r="Z68" s="18">
        <f>Таблица1!E3</f>
        <v>20044</v>
      </c>
      <c r="AA68" s="19"/>
    </row>
    <row r="69" spans="1:27" ht="15.6" x14ac:dyDescent="0.3">
      <c r="I69" s="20" t="s">
        <v>37</v>
      </c>
      <c r="J69" s="56" t="s">
        <v>433</v>
      </c>
      <c r="K69" s="56"/>
      <c r="L69" s="20" t="s">
        <v>38</v>
      </c>
      <c r="N69" s="20"/>
      <c r="O69" s="19"/>
      <c r="P69" s="18">
        <f>Таблица1!E138</f>
        <v>4044</v>
      </c>
      <c r="Q69" s="19"/>
      <c r="S69" s="19"/>
      <c r="T69" s="18">
        <f>Таблица1!E85</f>
        <v>181.44</v>
      </c>
      <c r="U69" s="19"/>
      <c r="V69" s="19"/>
      <c r="X69" s="19"/>
      <c r="Y69" s="18">
        <f>Таблица1!E9</f>
        <v>2405.2800000000002</v>
      </c>
      <c r="Z69" s="18">
        <f>Таблица1!E4</f>
        <v>4008.8</v>
      </c>
      <c r="AA69" s="19"/>
    </row>
    <row r="70" spans="1:27" ht="15.6" x14ac:dyDescent="0.3">
      <c r="I70" s="20"/>
      <c r="J70" s="18">
        <f>Таблица1!E138</f>
        <v>4044</v>
      </c>
      <c r="K70" s="19">
        <v>22055</v>
      </c>
      <c r="L70" s="20" t="s">
        <v>337</v>
      </c>
      <c r="N70" s="20"/>
      <c r="O70" s="19"/>
      <c r="P70" s="18">
        <f>Таблица1!E139</f>
        <v>1544</v>
      </c>
      <c r="Q70" s="19"/>
      <c r="S70" s="19"/>
      <c r="T70" s="18">
        <f>Таблица1!E86</f>
        <v>65.44</v>
      </c>
      <c r="U70" s="19"/>
      <c r="V70" s="19"/>
      <c r="X70" s="19"/>
      <c r="Y70" s="18">
        <f>Таблица1!E13</f>
        <v>2405.2800000000002</v>
      </c>
      <c r="Z70" s="18">
        <f>Таблица1!E7</f>
        <v>2004.4</v>
      </c>
      <c r="AA70" s="19"/>
    </row>
    <row r="71" spans="1:27" ht="15.6" x14ac:dyDescent="0.3">
      <c r="I71" s="19"/>
      <c r="J71" s="19"/>
      <c r="K71" s="18">
        <f>Таблица1!E146</f>
        <v>1544</v>
      </c>
      <c r="L71" s="20"/>
      <c r="N71" s="20"/>
      <c r="O71" s="19"/>
      <c r="P71" s="18">
        <f>Таблица1!E141</f>
        <v>36620</v>
      </c>
      <c r="Q71" s="19"/>
      <c r="S71" s="19"/>
      <c r="T71" s="18">
        <f>Таблица1!E87</f>
        <v>51.44</v>
      </c>
      <c r="U71" s="19"/>
      <c r="V71" s="19"/>
      <c r="X71" s="19"/>
      <c r="Y71" s="18">
        <f>Таблица1!E18</f>
        <v>5772.6720000000005</v>
      </c>
      <c r="Z71" s="18">
        <f>Таблица1!E8</f>
        <v>400.88000000000005</v>
      </c>
      <c r="AA71" s="19"/>
    </row>
    <row r="72" spans="1:27" ht="15.6" x14ac:dyDescent="0.3">
      <c r="I72" s="19"/>
      <c r="J72" s="19"/>
      <c r="K72" s="18">
        <f>Таблица1!E72</f>
        <v>108.86399999999999</v>
      </c>
      <c r="L72" s="20"/>
      <c r="N72" s="20"/>
      <c r="O72" s="19"/>
      <c r="P72" s="18">
        <f>Таблица1!E142</f>
        <v>344</v>
      </c>
      <c r="Q72" s="19"/>
      <c r="S72" s="19"/>
      <c r="T72" s="18">
        <f>Таблица1!E88</f>
        <v>40.44</v>
      </c>
      <c r="U72" s="19"/>
      <c r="V72" s="19"/>
      <c r="X72" s="19"/>
      <c r="Y72" s="18">
        <f>Таблица1!E40</f>
        <v>70880</v>
      </c>
      <c r="Z72" s="18">
        <f>Таблица1!E11</f>
        <v>2004.4</v>
      </c>
      <c r="AA72" s="19"/>
    </row>
    <row r="73" spans="1:27" ht="15.6" x14ac:dyDescent="0.3">
      <c r="I73" s="19"/>
      <c r="J73" s="19"/>
      <c r="K73" s="18">
        <f>Таблица1!E73</f>
        <v>39.263999999999996</v>
      </c>
      <c r="L73" s="20"/>
      <c r="N73" s="20"/>
      <c r="O73" s="19"/>
      <c r="P73" s="18">
        <f>Таблица1!E151</f>
        <v>1566.925</v>
      </c>
      <c r="Q73" s="19"/>
      <c r="S73" s="19"/>
      <c r="T73" s="18">
        <f>Таблица1!E89</f>
        <v>27.44</v>
      </c>
      <c r="U73" s="19"/>
      <c r="V73" s="19"/>
      <c r="X73" s="19"/>
      <c r="Y73" s="18">
        <f>Таблица1!E41</f>
        <v>5670.4000000000005</v>
      </c>
      <c r="Z73" s="18">
        <f>Таблица1!E12</f>
        <v>400.88000000000005</v>
      </c>
      <c r="AA73" s="19"/>
    </row>
    <row r="74" spans="1:27" ht="15.6" x14ac:dyDescent="0.3">
      <c r="I74" s="19"/>
      <c r="J74" s="19"/>
      <c r="K74" s="18">
        <f>Таблица1!E74</f>
        <v>30.864000000000001</v>
      </c>
      <c r="L74" s="20"/>
      <c r="N74" s="20"/>
      <c r="O74" s="19"/>
      <c r="P74" s="18">
        <f>Таблица1!E153</f>
        <v>940.50219152542388</v>
      </c>
      <c r="Q74" s="19"/>
      <c r="S74" s="19"/>
      <c r="T74" s="18">
        <f>Таблица1!E144</f>
        <v>36620</v>
      </c>
      <c r="U74" s="19"/>
      <c r="V74" s="19"/>
      <c r="X74" s="19"/>
      <c r="Y74" s="18">
        <f>Таблица1!E45</f>
        <v>7973.9999999999991</v>
      </c>
      <c r="Z74" s="18">
        <f>Таблица1!E16</f>
        <v>4810.5600000000004</v>
      </c>
      <c r="AA74" s="19"/>
    </row>
    <row r="75" spans="1:27" ht="15.6" x14ac:dyDescent="0.3">
      <c r="I75" s="19"/>
      <c r="J75" s="19"/>
      <c r="K75" s="18">
        <f>Таблица1!E75</f>
        <v>24.263999999999999</v>
      </c>
      <c r="L75" s="20"/>
      <c r="N75" s="16" t="s">
        <v>39</v>
      </c>
      <c r="O75" s="26">
        <f>SUM(O56:O74)</f>
        <v>117687.32</v>
      </c>
      <c r="P75" s="26">
        <f>SUM(P56:P74)</f>
        <v>196394.17919152541</v>
      </c>
      <c r="Q75" s="16" t="s">
        <v>40</v>
      </c>
      <c r="S75" s="19"/>
      <c r="T75" s="18">
        <f>Таблица1!E146</f>
        <v>1544</v>
      </c>
      <c r="U75" s="19"/>
      <c r="V75" s="19"/>
      <c r="X75" s="19"/>
      <c r="Y75" s="18">
        <f>Таблица1!E46</f>
        <v>1594.8</v>
      </c>
      <c r="Z75" s="18">
        <f>Таблица1!E17</f>
        <v>962.11200000000008</v>
      </c>
      <c r="AA75" s="19"/>
    </row>
    <row r="76" spans="1:27" ht="15.6" x14ac:dyDescent="0.3">
      <c r="I76" s="19"/>
      <c r="J76" s="19"/>
      <c r="K76" s="18">
        <f>Таблица1!E76</f>
        <v>16.463999999999999</v>
      </c>
      <c r="L76" s="20"/>
      <c r="N76" s="20" t="s">
        <v>272</v>
      </c>
      <c r="O76" s="18">
        <f>O55+O75-P75</f>
        <v>149833.14080847459</v>
      </c>
      <c r="P76" s="19"/>
      <c r="Q76" s="20"/>
      <c r="S76" s="17" t="s">
        <v>39</v>
      </c>
      <c r="T76" s="23">
        <f>SUM(T64:T75)</f>
        <v>40910.959999999999</v>
      </c>
      <c r="U76" s="23">
        <f>SUM(U64:U75)</f>
        <v>36620</v>
      </c>
      <c r="V76" s="17" t="s">
        <v>40</v>
      </c>
      <c r="X76" s="19"/>
      <c r="Y76" s="19"/>
      <c r="Z76" s="18">
        <f>Таблица1!E37</f>
        <v>2044</v>
      </c>
      <c r="AA76" s="19"/>
    </row>
    <row r="77" spans="1:27" ht="15.6" x14ac:dyDescent="0.3">
      <c r="I77" s="16" t="s">
        <v>39</v>
      </c>
      <c r="J77" s="26">
        <f>SUM(J70:J76)</f>
        <v>4044</v>
      </c>
      <c r="K77" s="26">
        <f>SUM(K71:K76)</f>
        <v>1763.7199999999998</v>
      </c>
      <c r="L77" s="16" t="s">
        <v>40</v>
      </c>
      <c r="S77" s="20"/>
      <c r="T77" s="19"/>
      <c r="U77" s="18">
        <f>U63+U76-T76</f>
        <v>12459.04</v>
      </c>
      <c r="V77" s="20" t="s">
        <v>338</v>
      </c>
      <c r="X77" s="19"/>
      <c r="Y77" s="19"/>
      <c r="Z77" s="18">
        <f>Таблица1!E38</f>
        <v>3044</v>
      </c>
      <c r="AA77" s="19"/>
    </row>
    <row r="78" spans="1:27" ht="15.6" x14ac:dyDescent="0.3">
      <c r="I78" s="20"/>
      <c r="J78" s="20"/>
      <c r="K78" s="28">
        <f>K70+K77-J77</f>
        <v>19774.72</v>
      </c>
      <c r="L78" s="20" t="s">
        <v>338</v>
      </c>
      <c r="N78" s="20" t="s">
        <v>37</v>
      </c>
      <c r="O78" s="56" t="s">
        <v>435</v>
      </c>
      <c r="P78" s="56"/>
      <c r="Q78" s="20" t="s">
        <v>38</v>
      </c>
      <c r="X78" s="19"/>
      <c r="Y78" s="19"/>
      <c r="Z78" s="18">
        <f>Таблица1!E39</f>
        <v>1044</v>
      </c>
      <c r="AA78" s="19"/>
    </row>
    <row r="79" spans="1:27" ht="15.6" x14ac:dyDescent="0.3">
      <c r="N79" s="19"/>
      <c r="O79" s="19"/>
      <c r="P79" s="19">
        <v>12000</v>
      </c>
      <c r="Q79" s="20" t="s">
        <v>337</v>
      </c>
      <c r="S79" s="20" t="s">
        <v>37</v>
      </c>
      <c r="T79" s="56" t="s">
        <v>436</v>
      </c>
      <c r="U79" s="56"/>
      <c r="V79" s="20" t="s">
        <v>38</v>
      </c>
      <c r="X79" s="19"/>
      <c r="Y79" s="19"/>
      <c r="Z79" s="18">
        <f>Таблица1!E42</f>
        <v>98346</v>
      </c>
      <c r="AA79" s="19"/>
    </row>
    <row r="80" spans="1:27" ht="15.6" x14ac:dyDescent="0.3">
      <c r="I80" s="20" t="s">
        <v>37</v>
      </c>
      <c r="J80" s="56" t="s">
        <v>440</v>
      </c>
      <c r="K80" s="56"/>
      <c r="L80" s="20" t="s">
        <v>38</v>
      </c>
      <c r="N80" s="19"/>
      <c r="O80" s="18">
        <f>Таблица1!E134</f>
        <v>1544</v>
      </c>
      <c r="P80" s="18">
        <f>Таблица1!E66</f>
        <v>6168.96</v>
      </c>
      <c r="Q80" s="19"/>
      <c r="S80" s="20" t="s">
        <v>271</v>
      </c>
      <c r="T80" s="19">
        <v>750</v>
      </c>
      <c r="U80" s="19"/>
      <c r="V80" s="20"/>
      <c r="X80" s="19"/>
      <c r="Y80" s="19"/>
      <c r="Z80" s="18">
        <f>Таблица1!E43</f>
        <v>12758.4</v>
      </c>
      <c r="AA80" s="19"/>
    </row>
    <row r="81" spans="9:27" ht="15.6" x14ac:dyDescent="0.3">
      <c r="I81" s="20" t="s">
        <v>271</v>
      </c>
      <c r="J81" s="19">
        <v>600</v>
      </c>
      <c r="K81" s="19"/>
      <c r="L81" s="20"/>
      <c r="N81" s="20"/>
      <c r="O81" s="19"/>
      <c r="P81" s="18">
        <f>Таблица1!E67</f>
        <v>2224.96</v>
      </c>
      <c r="Q81" s="19"/>
      <c r="S81" s="19"/>
      <c r="T81" s="18">
        <f>Таблица1!E145</f>
        <v>444</v>
      </c>
      <c r="U81" s="18">
        <f>Таблица1!E148</f>
        <v>644</v>
      </c>
      <c r="V81" s="19"/>
      <c r="X81" s="19"/>
      <c r="Y81" s="19"/>
      <c r="Z81" s="18">
        <f>Таблица1!E47</f>
        <v>7973.9999999999991</v>
      </c>
      <c r="AA81" s="19"/>
    </row>
    <row r="82" spans="9:27" ht="15.6" x14ac:dyDescent="0.3">
      <c r="I82" s="19"/>
      <c r="J82" s="19"/>
      <c r="K82" s="18">
        <f>Таблица1!E72</f>
        <v>108.86399999999999</v>
      </c>
      <c r="L82" s="19"/>
      <c r="N82" s="20"/>
      <c r="O82" s="19"/>
      <c r="P82" s="18">
        <f>Таблица1!E68</f>
        <v>1748.96</v>
      </c>
      <c r="Q82" s="19"/>
      <c r="S82" s="17" t="s">
        <v>39</v>
      </c>
      <c r="T82" s="23">
        <f>SUM(T81)</f>
        <v>444</v>
      </c>
      <c r="U82" s="23">
        <f>SUM(U81)</f>
        <v>644</v>
      </c>
      <c r="V82" s="17" t="s">
        <v>40</v>
      </c>
      <c r="X82" s="19"/>
      <c r="Y82" s="19"/>
      <c r="Z82" s="18">
        <f>Таблица1!E48</f>
        <v>1594.8</v>
      </c>
      <c r="AA82" s="19"/>
    </row>
    <row r="83" spans="9:27" ht="15.6" x14ac:dyDescent="0.3">
      <c r="I83" s="19"/>
      <c r="J83" s="19"/>
      <c r="K83" s="18">
        <f>Таблица1!E73</f>
        <v>39.263999999999996</v>
      </c>
      <c r="L83" s="19"/>
      <c r="N83" s="19"/>
      <c r="O83" s="19"/>
      <c r="P83" s="18">
        <f>Таблица1!E69</f>
        <v>1374.96</v>
      </c>
      <c r="Q83" s="19"/>
      <c r="S83" s="20" t="s">
        <v>272</v>
      </c>
      <c r="T83" s="18">
        <f>T80+T82-U82</f>
        <v>550</v>
      </c>
      <c r="U83" s="19"/>
      <c r="V83" s="20"/>
      <c r="X83" s="16" t="s">
        <v>39</v>
      </c>
      <c r="Y83" s="26">
        <f>SUM(Y68:Y82)</f>
        <v>120755.232</v>
      </c>
      <c r="Z83" s="26">
        <f>SUM(Z68:Z82)</f>
        <v>161441.23199999999</v>
      </c>
      <c r="AA83" s="16" t="s">
        <v>40</v>
      </c>
    </row>
    <row r="84" spans="9:27" ht="15.6" x14ac:dyDescent="0.3">
      <c r="I84" s="19"/>
      <c r="J84" s="19"/>
      <c r="K84" s="18">
        <f>Таблица1!E74</f>
        <v>30.864000000000001</v>
      </c>
      <c r="L84" s="19"/>
      <c r="N84" s="20"/>
      <c r="O84" s="19"/>
      <c r="P84" s="18">
        <f>Таблица1!E70</f>
        <v>932.96</v>
      </c>
      <c r="Q84" s="19"/>
      <c r="X84" s="20"/>
      <c r="Y84" s="19"/>
      <c r="Z84" s="18">
        <f>Z83+Z67-Y83</f>
        <v>119105.99999999999</v>
      </c>
      <c r="AA84" s="20" t="s">
        <v>338</v>
      </c>
    </row>
    <row r="85" spans="9:27" ht="15.6" x14ac:dyDescent="0.3">
      <c r="I85" s="19"/>
      <c r="J85" s="19"/>
      <c r="K85" s="18">
        <f>Таблица1!E75</f>
        <v>24.263999999999999</v>
      </c>
      <c r="L85" s="19"/>
      <c r="N85" s="20"/>
      <c r="O85" s="19"/>
      <c r="P85" s="18">
        <f>Таблица1!E85</f>
        <v>181.44</v>
      </c>
      <c r="Q85" s="19"/>
    </row>
    <row r="86" spans="9:27" ht="15.6" x14ac:dyDescent="0.3">
      <c r="I86" s="19"/>
      <c r="J86" s="19"/>
      <c r="K86" s="18">
        <f>Таблица1!E76</f>
        <v>16.463999999999999</v>
      </c>
      <c r="L86" s="19"/>
      <c r="N86" s="20"/>
      <c r="O86" s="19"/>
      <c r="P86" s="18">
        <f>Таблица1!E86</f>
        <v>65.44</v>
      </c>
      <c r="Q86" s="19"/>
    </row>
    <row r="87" spans="9:27" ht="15.6" x14ac:dyDescent="0.3">
      <c r="I87" s="19"/>
      <c r="J87" s="19"/>
      <c r="K87" s="18">
        <f>Таблица1!E146</f>
        <v>1544</v>
      </c>
      <c r="L87" s="19"/>
      <c r="N87" s="20"/>
      <c r="O87" s="19"/>
      <c r="P87" s="18">
        <f>Таблица1!E87</f>
        <v>51.44</v>
      </c>
      <c r="Q87" s="19"/>
    </row>
    <row r="88" spans="9:27" ht="15.6" x14ac:dyDescent="0.3">
      <c r="I88" s="17" t="s">
        <v>39</v>
      </c>
      <c r="J88" s="23">
        <f>SUM(J82:J87)</f>
        <v>0</v>
      </c>
      <c r="K88" s="23">
        <f>SUM(K82:K87)</f>
        <v>1763.72</v>
      </c>
      <c r="L88" s="17" t="s">
        <v>40</v>
      </c>
      <c r="N88" s="20"/>
      <c r="O88" s="19"/>
      <c r="P88" s="18">
        <f>Таблица1!E88</f>
        <v>40.44</v>
      </c>
      <c r="Q88" s="19"/>
      <c r="S88" s="20" t="s">
        <v>37</v>
      </c>
      <c r="T88" s="56" t="s">
        <v>425</v>
      </c>
      <c r="U88" s="56"/>
      <c r="V88" s="20" t="s">
        <v>38</v>
      </c>
      <c r="X88" s="20" t="s">
        <v>37</v>
      </c>
      <c r="Y88" s="56" t="s">
        <v>437</v>
      </c>
      <c r="Z88" s="56"/>
      <c r="AA88" s="20" t="s">
        <v>38</v>
      </c>
    </row>
    <row r="89" spans="9:27" ht="15.6" x14ac:dyDescent="0.3">
      <c r="I89" s="20" t="s">
        <v>272</v>
      </c>
      <c r="J89" s="18">
        <f>J81+J88-K88</f>
        <v>-1163.72</v>
      </c>
      <c r="K89" s="19"/>
      <c r="L89" s="20"/>
      <c r="N89" s="20"/>
      <c r="O89" s="19"/>
      <c r="P89" s="18">
        <f>Таблица1!E89</f>
        <v>27.44</v>
      </c>
      <c r="Q89" s="19"/>
      <c r="S89" s="20" t="s">
        <v>271</v>
      </c>
      <c r="T89" s="19">
        <v>4750</v>
      </c>
      <c r="U89" s="19"/>
      <c r="V89" s="20"/>
      <c r="X89" s="19"/>
      <c r="Y89" s="18">
        <f>Таблица1!E53</f>
        <v>572.08813559322027</v>
      </c>
      <c r="Z89" s="19"/>
      <c r="AA89" s="19"/>
    </row>
    <row r="90" spans="9:27" ht="15.6" x14ac:dyDescent="0.3">
      <c r="N90" s="17" t="s">
        <v>39</v>
      </c>
      <c r="O90" s="23">
        <f>SUM(O80:O89)</f>
        <v>1544</v>
      </c>
      <c r="P90" s="23">
        <f>SUM(P80:P89)</f>
        <v>12817.000000000002</v>
      </c>
      <c r="Q90" s="17" t="s">
        <v>40</v>
      </c>
      <c r="S90" s="19"/>
      <c r="T90" s="18">
        <f>Таблица1!E116</f>
        <v>19067.700025176578</v>
      </c>
      <c r="U90" s="18">
        <f>Таблица1!E118</f>
        <v>18367.967914160923</v>
      </c>
      <c r="V90" s="19"/>
      <c r="X90" s="17" t="s">
        <v>39</v>
      </c>
      <c r="Y90" s="23">
        <f>SUM(Y89:Y89)</f>
        <v>572.08813559322027</v>
      </c>
      <c r="Z90" s="23">
        <f>SUM(Z89:Z89)</f>
        <v>0</v>
      </c>
      <c r="AA90" s="17" t="s">
        <v>40</v>
      </c>
    </row>
    <row r="91" spans="9:27" ht="15.6" x14ac:dyDescent="0.3">
      <c r="N91" s="20"/>
      <c r="O91" s="19"/>
      <c r="P91" s="18">
        <f>P79+P90-O90</f>
        <v>23273</v>
      </c>
      <c r="Q91" s="20" t="s">
        <v>338</v>
      </c>
      <c r="S91" s="19"/>
      <c r="T91" s="18">
        <f>Таблица1!E103</f>
        <v>24075.919999999998</v>
      </c>
      <c r="U91" s="18">
        <f>Таблица1!E106</f>
        <v>71492.399999999994</v>
      </c>
      <c r="V91" s="19"/>
    </row>
    <row r="92" spans="9:27" x14ac:dyDescent="0.3">
      <c r="S92" s="19"/>
      <c r="T92" s="19"/>
      <c r="U92" s="18">
        <f>Таблица1!E110</f>
        <v>-48300</v>
      </c>
      <c r="V92" s="19"/>
    </row>
    <row r="93" spans="9:27" ht="15.6" x14ac:dyDescent="0.3">
      <c r="S93" s="16" t="s">
        <v>39</v>
      </c>
      <c r="T93" s="26">
        <f>SUM(T90:T92)</f>
        <v>43143.620025176577</v>
      </c>
      <c r="U93" s="26">
        <f>SUM(U90:U92)</f>
        <v>41560.367914160917</v>
      </c>
      <c r="V93" s="16" t="s">
        <v>40</v>
      </c>
    </row>
    <row r="94" spans="9:27" ht="15.6" x14ac:dyDescent="0.3">
      <c r="S94" s="20" t="s">
        <v>272</v>
      </c>
      <c r="T94" s="18">
        <f>T89+T93-U93</f>
        <v>6333.2521110156595</v>
      </c>
      <c r="U94" s="19"/>
      <c r="V94" s="20"/>
    </row>
    <row r="97" spans="9:22" x14ac:dyDescent="0.3">
      <c r="I97" s="19"/>
      <c r="J97" s="18"/>
      <c r="K97" s="18"/>
      <c r="L97" s="19"/>
    </row>
    <row r="98" spans="9:22" ht="15.6" x14ac:dyDescent="0.3">
      <c r="I98" s="29"/>
      <c r="J98" s="23"/>
      <c r="K98" s="23"/>
      <c r="L98" s="29"/>
    </row>
    <row r="99" spans="9:22" ht="15.6" x14ac:dyDescent="0.3">
      <c r="I99" s="20"/>
      <c r="J99" s="18"/>
      <c r="K99" s="19"/>
      <c r="L99" s="20"/>
    </row>
    <row r="100" spans="9:22" x14ac:dyDescent="0.3">
      <c r="N100" s="3" t="s">
        <v>37</v>
      </c>
      <c r="O100" s="65" t="s">
        <v>298</v>
      </c>
      <c r="P100" s="65"/>
      <c r="Q100" s="3" t="s">
        <v>38</v>
      </c>
      <c r="S100" s="3" t="s">
        <v>37</v>
      </c>
      <c r="T100" s="65" t="s">
        <v>412</v>
      </c>
      <c r="U100" s="65"/>
      <c r="V100" s="3" t="s">
        <v>38</v>
      </c>
    </row>
    <row r="101" spans="9:22" x14ac:dyDescent="0.3">
      <c r="N101" s="3"/>
      <c r="O101" s="4">
        <f>Таблица1!E99</f>
        <v>7522.1692404090845</v>
      </c>
      <c r="P101" s="4">
        <f>Таблица1!E108</f>
        <v>71492.399999999994</v>
      </c>
      <c r="Q101" s="3"/>
      <c r="S101" s="3"/>
      <c r="T101" s="4">
        <f>Таблица1!E30</f>
        <v>1503.96</v>
      </c>
      <c r="U101" s="4">
        <f>Таблица1!E58</f>
        <v>-5204.7028248587576</v>
      </c>
      <c r="V101" s="3"/>
    </row>
    <row r="102" spans="9:22" x14ac:dyDescent="0.3">
      <c r="N102" s="3"/>
      <c r="O102" s="4">
        <f>Таблица1!E106</f>
        <v>71492.399999999994</v>
      </c>
      <c r="P102" s="4"/>
      <c r="Q102" s="3"/>
      <c r="S102" s="3"/>
      <c r="T102" s="4">
        <f>Таблица1!E130</f>
        <v>5044</v>
      </c>
      <c r="U102" s="4">
        <f>Таблица1!E121</f>
        <v>10494.46</v>
      </c>
      <c r="V102" s="3"/>
    </row>
    <row r="103" spans="9:22" x14ac:dyDescent="0.3">
      <c r="N103" s="3"/>
      <c r="O103" s="4">
        <f>Таблица1!E110</f>
        <v>-48300</v>
      </c>
      <c r="P103" s="4"/>
      <c r="Q103" s="3"/>
      <c r="S103" s="3"/>
      <c r="T103" s="4">
        <f>Таблица1!E131</f>
        <v>5544</v>
      </c>
      <c r="U103" s="4">
        <f>Таблица1!E122</f>
        <v>14687.7</v>
      </c>
      <c r="V103" s="3"/>
    </row>
    <row r="104" spans="9:22" x14ac:dyDescent="0.3">
      <c r="N104" s="3"/>
      <c r="O104" s="4">
        <f>Таблица1!E113</f>
        <v>11915.4</v>
      </c>
      <c r="P104" s="4"/>
      <c r="Q104" s="3"/>
      <c r="S104" s="3"/>
      <c r="T104" s="4">
        <f>Таблица1!E139</f>
        <v>1544</v>
      </c>
      <c r="U104" s="4">
        <f>Таблица1!E129</f>
        <v>450.44</v>
      </c>
      <c r="V104" s="3"/>
    </row>
    <row r="105" spans="9:22" x14ac:dyDescent="0.3">
      <c r="N105" s="3"/>
      <c r="O105" s="4">
        <f>Таблица1!E118</f>
        <v>18367.967914160923</v>
      </c>
      <c r="P105" s="4"/>
      <c r="Q105" s="3"/>
      <c r="S105" s="3"/>
      <c r="T105" s="4">
        <f>Таблица1!E150</f>
        <v>1566.925</v>
      </c>
      <c r="U105" s="4"/>
      <c r="V105" s="3"/>
    </row>
    <row r="106" spans="9:22" x14ac:dyDescent="0.3">
      <c r="N106" s="3"/>
      <c r="O106" s="4">
        <f>Таблица1!E121</f>
        <v>10494.46</v>
      </c>
      <c r="P106" s="4"/>
      <c r="Q106" s="3"/>
      <c r="S106" s="3"/>
      <c r="T106" s="4">
        <f>Таблица1!E152</f>
        <v>940.50219152542388</v>
      </c>
      <c r="U106" s="4"/>
      <c r="V106" s="3"/>
    </row>
    <row r="107" spans="9:22" x14ac:dyDescent="0.3">
      <c r="N107" s="8" t="s">
        <v>39</v>
      </c>
      <c r="O107" s="10">
        <f>SUM(O101:O106)</f>
        <v>71492.397154570004</v>
      </c>
      <c r="P107" s="10">
        <f>SUM(P101:P106)</f>
        <v>71492.399999999994</v>
      </c>
      <c r="Q107" s="8" t="s">
        <v>40</v>
      </c>
      <c r="S107" s="3"/>
      <c r="T107" s="4">
        <f>Таблица1!E154</f>
        <v>4284.5099836158197</v>
      </c>
      <c r="U107" s="4"/>
      <c r="V107" s="3"/>
    </row>
    <row r="108" spans="9:22" x14ac:dyDescent="0.3">
      <c r="S108" s="8" t="s">
        <v>39</v>
      </c>
      <c r="T108" s="10">
        <f>SUM(T101:T106)</f>
        <v>16143.387191525422</v>
      </c>
      <c r="U108" s="10">
        <f>SUM(U101:U105)</f>
        <v>20427.897175141243</v>
      </c>
      <c r="V108" s="8" t="s">
        <v>40</v>
      </c>
    </row>
    <row r="109" spans="9:22" x14ac:dyDescent="0.3">
      <c r="N109" s="36" t="s">
        <v>37</v>
      </c>
      <c r="O109" s="66" t="s">
        <v>299</v>
      </c>
      <c r="P109" s="67"/>
      <c r="Q109" s="36" t="s">
        <v>38</v>
      </c>
    </row>
    <row r="110" spans="9:22" ht="15.6" x14ac:dyDescent="0.3">
      <c r="N110" s="36"/>
      <c r="O110" s="4">
        <f>Таблица1!E100</f>
        <v>2713.0222392657101</v>
      </c>
      <c r="P110" s="4">
        <f>Таблица1!E109</f>
        <v>44200.480000000003</v>
      </c>
      <c r="Q110" s="36"/>
      <c r="S110" s="20" t="s">
        <v>37</v>
      </c>
      <c r="T110" s="56" t="s">
        <v>438</v>
      </c>
      <c r="U110" s="56"/>
      <c r="V110" s="20" t="s">
        <v>38</v>
      </c>
    </row>
    <row r="111" spans="9:22" ht="15.6" x14ac:dyDescent="0.3">
      <c r="N111" s="36"/>
      <c r="O111" s="4">
        <f>Таблица1!E107</f>
        <v>44200.480000000003</v>
      </c>
      <c r="P111" s="4"/>
      <c r="Q111" s="36"/>
      <c r="S111" s="20"/>
      <c r="T111" s="20"/>
      <c r="U111" s="18">
        <f>Таблица1!E154</f>
        <v>4284.5099836158197</v>
      </c>
      <c r="V111" s="19"/>
    </row>
    <row r="112" spans="9:22" ht="15.6" x14ac:dyDescent="0.3">
      <c r="N112" s="36"/>
      <c r="O112" s="4">
        <f>Таблица1!E111</f>
        <v>1840</v>
      </c>
      <c r="P112" s="4"/>
      <c r="Q112" s="36"/>
      <c r="S112" s="17" t="s">
        <v>39</v>
      </c>
      <c r="T112" s="23">
        <f>SUM(T111:T111)</f>
        <v>0</v>
      </c>
      <c r="U112" s="23">
        <f>SUM(U111:U111)</f>
        <v>4284.5099836158197</v>
      </c>
      <c r="V112" s="17" t="s">
        <v>40</v>
      </c>
    </row>
    <row r="113" spans="14:22" x14ac:dyDescent="0.3">
      <c r="N113" s="36"/>
      <c r="O113" s="4">
        <f>Таблица1!E114</f>
        <v>7366.7466666666678</v>
      </c>
      <c r="P113" s="4"/>
      <c r="Q113" s="36"/>
    </row>
    <row r="114" spans="14:22" ht="15.6" x14ac:dyDescent="0.3">
      <c r="N114" s="36"/>
      <c r="O114" s="4">
        <f>Таблица1!E119</f>
        <v>-26607.472822334614</v>
      </c>
      <c r="P114" s="4"/>
      <c r="Q114" s="36"/>
      <c r="S114" s="20" t="s">
        <v>37</v>
      </c>
      <c r="T114" s="56" t="s">
        <v>442</v>
      </c>
      <c r="U114" s="56"/>
      <c r="V114" s="20" t="s">
        <v>38</v>
      </c>
    </row>
    <row r="115" spans="14:22" x14ac:dyDescent="0.3">
      <c r="N115" s="36"/>
      <c r="O115" s="4">
        <f>Таблица1!E122</f>
        <v>14687.7</v>
      </c>
      <c r="P115" s="4"/>
      <c r="Q115" s="36"/>
      <c r="S115" s="19"/>
      <c r="T115" s="18">
        <f>Таблица1!E129</f>
        <v>450.44</v>
      </c>
      <c r="U115" s="18">
        <f>Таблица1!E128</f>
        <v>450.44</v>
      </c>
      <c r="V115" s="19"/>
    </row>
    <row r="116" spans="14:22" x14ac:dyDescent="0.3">
      <c r="N116" s="8" t="s">
        <v>39</v>
      </c>
      <c r="O116" s="10">
        <f>SUM(O110:O115)</f>
        <v>44200.476083597765</v>
      </c>
      <c r="P116" s="10">
        <f>SUM(P110:P114)</f>
        <v>44200.480000000003</v>
      </c>
      <c r="Q116" s="8" t="s">
        <v>40</v>
      </c>
      <c r="S116" s="19"/>
      <c r="T116" s="6">
        <f>Таблица1!E56</f>
        <v>22003.389830508473</v>
      </c>
      <c r="U116" s="4">
        <f>Таблица1!E52</f>
        <v>132.02033898305083</v>
      </c>
      <c r="V116" s="19"/>
    </row>
    <row r="117" spans="14:22" x14ac:dyDescent="0.3">
      <c r="S117" s="19"/>
      <c r="T117" s="4">
        <f>Таблица1!E57</f>
        <v>3333.3333333333335</v>
      </c>
      <c r="U117" s="4">
        <f>Таблица1!E55</f>
        <v>20000</v>
      </c>
      <c r="V117" s="19"/>
    </row>
    <row r="118" spans="14:22" ht="15.6" x14ac:dyDescent="0.3">
      <c r="N118" s="20" t="s">
        <v>37</v>
      </c>
      <c r="O118" s="79" t="s">
        <v>441</v>
      </c>
      <c r="P118" s="80"/>
      <c r="Q118" s="20" t="s">
        <v>38</v>
      </c>
      <c r="S118" s="19"/>
      <c r="T118" s="4">
        <f>Таблица1!E58</f>
        <v>-5204.7028248587576</v>
      </c>
      <c r="U118" s="18">
        <f>Таблица1!E29</f>
        <v>1000.44</v>
      </c>
      <c r="V118" s="19"/>
    </row>
    <row r="119" spans="14:22" x14ac:dyDescent="0.3">
      <c r="N119" s="19"/>
      <c r="O119" s="18">
        <f>Таблица1!E51</f>
        <v>440.06779661016947</v>
      </c>
      <c r="P119" s="18">
        <f>Таблица1!E53</f>
        <v>572.08813559322027</v>
      </c>
      <c r="Q119" s="19"/>
      <c r="S119" s="19"/>
      <c r="T119" s="18">
        <f>Таблица1!E28</f>
        <v>2504.3999999999978</v>
      </c>
      <c r="U119" s="18">
        <f>Таблица1!E30</f>
        <v>1503.96</v>
      </c>
      <c r="V119" s="19"/>
    </row>
    <row r="120" spans="14:22" ht="15.6" x14ac:dyDescent="0.3">
      <c r="N120" s="19"/>
      <c r="O120" s="18">
        <f>Таблица1!E52</f>
        <v>132.02033898305083</v>
      </c>
      <c r="P120" s="19"/>
      <c r="Q120" s="19"/>
      <c r="S120" s="17" t="s">
        <v>39</v>
      </c>
      <c r="T120" s="23">
        <f>SUM(T115:T119)</f>
        <v>23086.860338983042</v>
      </c>
      <c r="U120" s="23">
        <f>SUM(U115:U119)</f>
        <v>23086.86033898305</v>
      </c>
      <c r="V120" s="17" t="s">
        <v>40</v>
      </c>
    </row>
    <row r="121" spans="14:22" ht="15.6" x14ac:dyDescent="0.3">
      <c r="N121" s="17" t="s">
        <v>39</v>
      </c>
      <c r="O121" s="23">
        <f>SUM(O119:O120)</f>
        <v>572.08813559322027</v>
      </c>
      <c r="P121" s="23">
        <f>SUM(P119:P120)</f>
        <v>572.08813559322027</v>
      </c>
      <c r="Q121" s="17" t="s">
        <v>40</v>
      </c>
    </row>
    <row r="123" spans="14:22" ht="15.6" x14ac:dyDescent="0.3">
      <c r="N123" s="20" t="s">
        <v>37</v>
      </c>
      <c r="O123" s="56" t="s">
        <v>444</v>
      </c>
      <c r="P123" s="56"/>
      <c r="Q123" s="20" t="s">
        <v>38</v>
      </c>
    </row>
    <row r="124" spans="14:22" ht="15.6" x14ac:dyDescent="0.3">
      <c r="N124" s="20"/>
      <c r="O124" s="19"/>
      <c r="P124" s="18">
        <f>Таблица1!E21</f>
        <v>1000.44</v>
      </c>
      <c r="Q124" s="19"/>
    </row>
    <row r="125" spans="14:22" ht="15.6" x14ac:dyDescent="0.3">
      <c r="N125" s="20"/>
      <c r="O125" s="19"/>
      <c r="P125" s="18">
        <f>Таблица1!E23</f>
        <v>200.08800000000002</v>
      </c>
      <c r="Q125" s="19"/>
    </row>
    <row r="126" spans="14:22" ht="15.6" x14ac:dyDescent="0.3">
      <c r="N126" s="17" t="s">
        <v>39</v>
      </c>
      <c r="O126" s="23">
        <f>SUM(O124:O125)</f>
        <v>0</v>
      </c>
      <c r="P126" s="23">
        <f>SUM(P124:P125)</f>
        <v>1200.528</v>
      </c>
      <c r="Q126" s="17" t="s">
        <v>40</v>
      </c>
    </row>
  </sheetData>
  <mergeCells count="40">
    <mergeCell ref="J21:K21"/>
    <mergeCell ref="B1:C1"/>
    <mergeCell ref="D1:E1"/>
    <mergeCell ref="F1:G1"/>
    <mergeCell ref="J2:K2"/>
    <mergeCell ref="J9:K9"/>
    <mergeCell ref="J14:K14"/>
    <mergeCell ref="O11:P11"/>
    <mergeCell ref="O16:P16"/>
    <mergeCell ref="T2:U2"/>
    <mergeCell ref="T10:U10"/>
    <mergeCell ref="O2:P2"/>
    <mergeCell ref="Y66:Z66"/>
    <mergeCell ref="J69:K69"/>
    <mergeCell ref="O22:P22"/>
    <mergeCell ref="Y14:Z14"/>
    <mergeCell ref="J31:K31"/>
    <mergeCell ref="Y2:Z2"/>
    <mergeCell ref="T24:U24"/>
    <mergeCell ref="T31:U31"/>
    <mergeCell ref="Y54:Z54"/>
    <mergeCell ref="T54:U54"/>
    <mergeCell ref="Y6:Z6"/>
    <mergeCell ref="Y26:Z26"/>
    <mergeCell ref="O54:P54"/>
    <mergeCell ref="T88:U88"/>
    <mergeCell ref="Y34:Z34"/>
    <mergeCell ref="T100:U100"/>
    <mergeCell ref="O123:P123"/>
    <mergeCell ref="J54:K54"/>
    <mergeCell ref="O78:P78"/>
    <mergeCell ref="T62:U62"/>
    <mergeCell ref="T79:U79"/>
    <mergeCell ref="Y88:Z88"/>
    <mergeCell ref="J80:K80"/>
    <mergeCell ref="O109:P109"/>
    <mergeCell ref="O118:P118"/>
    <mergeCell ref="T110:U110"/>
    <mergeCell ref="O100:P100"/>
    <mergeCell ref="T114:U1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807-12ED-42CE-8544-A7013B5E45FB}">
  <dimension ref="A1:I93"/>
  <sheetViews>
    <sheetView tabSelected="1" topLeftCell="A58" workbookViewId="0">
      <selection activeCell="A60" sqref="A60:D75"/>
    </sheetView>
  </sheetViews>
  <sheetFormatPr defaultRowHeight="14.4" x14ac:dyDescent="0.3"/>
  <cols>
    <col min="1" max="1" width="33.88671875" style="34" customWidth="1"/>
    <col min="2" max="2" width="11.6640625" style="34" customWidth="1"/>
    <col min="3" max="3" width="22" style="34" customWidth="1"/>
    <col min="4" max="4" width="20.88671875" style="34" customWidth="1"/>
    <col min="5" max="16384" width="8.88671875" style="34"/>
  </cols>
  <sheetData>
    <row r="1" spans="1:5" x14ac:dyDescent="0.3">
      <c r="A1" s="73" t="s">
        <v>445</v>
      </c>
      <c r="B1" s="73"/>
      <c r="C1" s="73"/>
      <c r="D1" s="73"/>
      <c r="E1" s="37"/>
    </row>
    <row r="2" spans="1:5" ht="28.8" x14ac:dyDescent="0.3">
      <c r="A2" s="33" t="s">
        <v>446</v>
      </c>
      <c r="B2" s="33" t="s">
        <v>447</v>
      </c>
      <c r="C2" s="40" t="s">
        <v>448</v>
      </c>
      <c r="D2" s="40" t="s">
        <v>449</v>
      </c>
    </row>
    <row r="3" spans="1:5" x14ac:dyDescent="0.3">
      <c r="A3" s="32">
        <v>1</v>
      </c>
      <c r="B3" s="32">
        <v>2</v>
      </c>
      <c r="C3" s="32">
        <v>3</v>
      </c>
      <c r="D3" s="32">
        <v>4</v>
      </c>
    </row>
    <row r="4" spans="1:5" x14ac:dyDescent="0.3">
      <c r="A4" s="49" t="s">
        <v>450</v>
      </c>
      <c r="B4" s="70"/>
      <c r="C4" s="71"/>
      <c r="D4" s="72"/>
    </row>
    <row r="5" spans="1:5" x14ac:dyDescent="0.3">
      <c r="A5" s="39" t="s">
        <v>460</v>
      </c>
      <c r="B5" s="32">
        <v>110</v>
      </c>
      <c r="C5" s="30">
        <f>2500310-620000</f>
        <v>1880310</v>
      </c>
      <c r="D5" s="4">
        <f>Таблица2!F3-Таблица2!G4</f>
        <v>1900815.9547425471</v>
      </c>
    </row>
    <row r="6" spans="1:5" x14ac:dyDescent="0.3">
      <c r="A6" s="39" t="s">
        <v>461</v>
      </c>
      <c r="B6" s="32">
        <v>120</v>
      </c>
      <c r="C6" s="30">
        <f>10000-4000</f>
        <v>6000</v>
      </c>
      <c r="D6" s="32">
        <f>Таблица2!F6-Таблица2!G7</f>
        <v>6000</v>
      </c>
    </row>
    <row r="7" spans="1:5" ht="28.8" x14ac:dyDescent="0.3">
      <c r="A7" s="39" t="s">
        <v>462</v>
      </c>
      <c r="B7" s="32">
        <v>130</v>
      </c>
      <c r="C7" s="30">
        <v>0</v>
      </c>
      <c r="D7" s="32">
        <v>0</v>
      </c>
    </row>
    <row r="8" spans="1:5" x14ac:dyDescent="0.3">
      <c r="A8" s="39" t="s">
        <v>451</v>
      </c>
      <c r="B8" s="70"/>
      <c r="C8" s="71"/>
      <c r="D8" s="72"/>
    </row>
    <row r="9" spans="1:5" x14ac:dyDescent="0.3">
      <c r="A9" s="39" t="s">
        <v>452</v>
      </c>
      <c r="B9" s="32">
        <v>131</v>
      </c>
      <c r="C9" s="30">
        <v>0</v>
      </c>
      <c r="D9" s="32">
        <v>0</v>
      </c>
    </row>
    <row r="10" spans="1:5" ht="28.8" x14ac:dyDescent="0.3">
      <c r="A10" s="39" t="s">
        <v>453</v>
      </c>
      <c r="B10" s="32">
        <v>132</v>
      </c>
      <c r="C10" s="30">
        <v>0</v>
      </c>
      <c r="D10" s="32">
        <v>0</v>
      </c>
    </row>
    <row r="11" spans="1:5" ht="28.8" x14ac:dyDescent="0.3">
      <c r="A11" s="39" t="s">
        <v>454</v>
      </c>
      <c r="B11" s="32">
        <v>133</v>
      </c>
      <c r="C11" s="30">
        <v>0</v>
      </c>
      <c r="D11" s="32">
        <v>0</v>
      </c>
    </row>
    <row r="12" spans="1:5" ht="28.8" x14ac:dyDescent="0.3">
      <c r="A12" s="39" t="s">
        <v>463</v>
      </c>
      <c r="B12" s="32">
        <v>140</v>
      </c>
      <c r="C12" s="30">
        <v>0</v>
      </c>
      <c r="D12" s="32">
        <v>0</v>
      </c>
    </row>
    <row r="13" spans="1:5" ht="28.8" x14ac:dyDescent="0.3">
      <c r="A13" s="39" t="s">
        <v>464</v>
      </c>
      <c r="B13" s="32">
        <v>150</v>
      </c>
      <c r="C13" s="30">
        <v>0</v>
      </c>
      <c r="D13" s="32">
        <v>0</v>
      </c>
    </row>
    <row r="14" spans="1:5" x14ac:dyDescent="0.3">
      <c r="A14" s="39" t="s">
        <v>465</v>
      </c>
      <c r="B14" s="32">
        <v>160</v>
      </c>
      <c r="C14" s="30">
        <v>0</v>
      </c>
      <c r="D14" s="32">
        <v>0</v>
      </c>
    </row>
    <row r="15" spans="1:5" ht="43.2" x14ac:dyDescent="0.3">
      <c r="A15" s="39" t="s">
        <v>466</v>
      </c>
      <c r="B15" s="32">
        <v>170</v>
      </c>
      <c r="C15" s="30">
        <v>0</v>
      </c>
      <c r="D15" s="32">
        <v>0</v>
      </c>
    </row>
    <row r="16" spans="1:5" x14ac:dyDescent="0.3">
      <c r="A16" s="39" t="s">
        <v>467</v>
      </c>
      <c r="B16" s="32">
        <v>180</v>
      </c>
      <c r="C16" s="30">
        <v>0</v>
      </c>
      <c r="D16" s="32">
        <v>0</v>
      </c>
    </row>
    <row r="17" spans="1:4" x14ac:dyDescent="0.3">
      <c r="A17" s="49" t="s">
        <v>455</v>
      </c>
      <c r="B17" s="32">
        <v>190</v>
      </c>
      <c r="C17" s="30">
        <f>SUM(C5:C6)</f>
        <v>1886310</v>
      </c>
      <c r="D17" s="30">
        <f>SUM(D5:D6)</f>
        <v>1906815.9547425471</v>
      </c>
    </row>
    <row r="18" spans="1:4" x14ac:dyDescent="0.3">
      <c r="A18" s="49" t="s">
        <v>456</v>
      </c>
      <c r="B18" s="74"/>
      <c r="C18" s="75"/>
      <c r="D18" s="76"/>
    </row>
    <row r="19" spans="1:4" x14ac:dyDescent="0.3">
      <c r="A19" s="39" t="s">
        <v>457</v>
      </c>
      <c r="B19" s="32">
        <v>210</v>
      </c>
      <c r="C19" s="30">
        <f>SUM(C21:C26)</f>
        <v>121144</v>
      </c>
      <c r="D19" s="30">
        <f>SUM(D21:D26)</f>
        <v>189738.38105883281</v>
      </c>
    </row>
    <row r="20" spans="1:4" x14ac:dyDescent="0.3">
      <c r="A20" s="39" t="s">
        <v>451</v>
      </c>
      <c r="B20" s="70"/>
      <c r="C20" s="71"/>
      <c r="D20" s="72"/>
    </row>
    <row r="21" spans="1:4" x14ac:dyDescent="0.3">
      <c r="A21" s="39" t="s">
        <v>468</v>
      </c>
      <c r="B21" s="32">
        <v>211</v>
      </c>
      <c r="C21" s="30">
        <v>100044</v>
      </c>
      <c r="D21" s="4">
        <f>Таблица2!F11</f>
        <v>165647.93220338982</v>
      </c>
    </row>
    <row r="22" spans="1:4" ht="28.8" x14ac:dyDescent="0.3">
      <c r="A22" s="39" t="s">
        <v>469</v>
      </c>
      <c r="B22" s="32">
        <v>212</v>
      </c>
      <c r="C22" s="30">
        <v>0</v>
      </c>
      <c r="D22" s="32">
        <v>0</v>
      </c>
    </row>
    <row r="23" spans="1:4" ht="28.8" x14ac:dyDescent="0.3">
      <c r="A23" s="39" t="s">
        <v>470</v>
      </c>
      <c r="B23" s="32">
        <v>213</v>
      </c>
      <c r="C23" s="30">
        <f>4600+4250</f>
        <v>8850</v>
      </c>
      <c r="D23" s="32">
        <f>3500+3800</f>
        <v>7300</v>
      </c>
    </row>
    <row r="24" spans="1:4" ht="28.8" x14ac:dyDescent="0.3">
      <c r="A24" s="39" t="s">
        <v>471</v>
      </c>
      <c r="B24" s="32">
        <v>214</v>
      </c>
      <c r="C24" s="30">
        <f>4750+7500</f>
        <v>12250</v>
      </c>
      <c r="D24" s="4">
        <f>Таблица2!F26+Таблица2!F27</f>
        <v>16790.448855442995</v>
      </c>
    </row>
    <row r="25" spans="1:4" x14ac:dyDescent="0.3">
      <c r="A25" s="39" t="s">
        <v>472</v>
      </c>
      <c r="B25" s="32">
        <v>215</v>
      </c>
      <c r="C25" s="30">
        <v>0</v>
      </c>
      <c r="D25" s="32">
        <v>0</v>
      </c>
    </row>
    <row r="26" spans="1:4" x14ac:dyDescent="0.3">
      <c r="A26" s="39" t="s">
        <v>473</v>
      </c>
      <c r="B26" s="32">
        <v>216</v>
      </c>
      <c r="C26" s="30">
        <v>0</v>
      </c>
      <c r="D26" s="32">
        <v>0</v>
      </c>
    </row>
    <row r="27" spans="1:4" ht="43.2" x14ac:dyDescent="0.3">
      <c r="A27" s="39" t="s">
        <v>474</v>
      </c>
      <c r="B27" s="32">
        <v>220</v>
      </c>
      <c r="C27" s="30">
        <v>0</v>
      </c>
      <c r="D27" s="32">
        <v>0</v>
      </c>
    </row>
    <row r="28" spans="1:4" x14ac:dyDescent="0.3">
      <c r="A28" s="39" t="s">
        <v>475</v>
      </c>
      <c r="B28" s="32">
        <v>230</v>
      </c>
      <c r="C28" s="30">
        <v>0</v>
      </c>
      <c r="D28" s="32">
        <v>0</v>
      </c>
    </row>
    <row r="29" spans="1:4" ht="43.2" x14ac:dyDescent="0.3">
      <c r="A29" s="39" t="s">
        <v>476</v>
      </c>
      <c r="B29" s="32">
        <v>240</v>
      </c>
      <c r="C29" s="30">
        <v>0</v>
      </c>
      <c r="D29" s="32">
        <v>0</v>
      </c>
    </row>
    <row r="30" spans="1:4" ht="43.2" x14ac:dyDescent="0.3">
      <c r="A30" s="39" t="s">
        <v>477</v>
      </c>
      <c r="B30" s="32">
        <v>250</v>
      </c>
      <c r="C30" s="30">
        <f>22500+750+1560+600</f>
        <v>25410</v>
      </c>
      <c r="D30" s="4">
        <f>Таблица2!F39+Таблица2!F46+Таблица2!F48+Таблица2!F49-Таблица2!G38</f>
        <v>-75659.719999999987</v>
      </c>
    </row>
    <row r="31" spans="1:4" ht="28.8" x14ac:dyDescent="0.3">
      <c r="A31" s="39" t="s">
        <v>478</v>
      </c>
      <c r="B31" s="32">
        <v>260</v>
      </c>
      <c r="C31" s="30">
        <v>0</v>
      </c>
      <c r="D31" s="32">
        <v>0</v>
      </c>
    </row>
    <row r="32" spans="1:4" ht="28.8" x14ac:dyDescent="0.3">
      <c r="A32" s="39" t="s">
        <v>479</v>
      </c>
      <c r="B32" s="32">
        <v>270</v>
      </c>
      <c r="C32" s="30">
        <f>15000+228540+4000</f>
        <v>247540</v>
      </c>
      <c r="D32" s="4">
        <f>Таблица2!F31+Таблица2!F32</f>
        <v>163189.14080847459</v>
      </c>
    </row>
    <row r="33" spans="1:4" x14ac:dyDescent="0.3">
      <c r="A33" s="39" t="s">
        <v>480</v>
      </c>
      <c r="B33" s="32">
        <v>280</v>
      </c>
      <c r="C33" s="30">
        <v>0</v>
      </c>
      <c r="D33" s="32">
        <v>0</v>
      </c>
    </row>
    <row r="34" spans="1:4" x14ac:dyDescent="0.3">
      <c r="A34" s="49" t="s">
        <v>458</v>
      </c>
      <c r="B34" s="32">
        <v>290</v>
      </c>
      <c r="C34" s="30">
        <f>SUM(C21:C33)</f>
        <v>394094</v>
      </c>
      <c r="D34" s="30">
        <f>SUM(D21:D33)</f>
        <v>277267.8018673074</v>
      </c>
    </row>
    <row r="35" spans="1:4" x14ac:dyDescent="0.3">
      <c r="A35" s="49" t="s">
        <v>459</v>
      </c>
      <c r="B35" s="32">
        <v>300</v>
      </c>
      <c r="C35" s="40">
        <f>C34+C17</f>
        <v>2280404</v>
      </c>
      <c r="D35" s="40">
        <f>D34+D17</f>
        <v>2184083.7566098543</v>
      </c>
    </row>
    <row r="37" spans="1:4" ht="28.8" x14ac:dyDescent="0.3">
      <c r="A37" s="33" t="s">
        <v>481</v>
      </c>
      <c r="B37" s="33" t="s">
        <v>447</v>
      </c>
      <c r="C37" s="40" t="s">
        <v>448</v>
      </c>
      <c r="D37" s="40" t="s">
        <v>449</v>
      </c>
    </row>
    <row r="38" spans="1:4" x14ac:dyDescent="0.3">
      <c r="A38" s="32">
        <v>1</v>
      </c>
      <c r="B38" s="32">
        <v>2</v>
      </c>
      <c r="C38" s="32">
        <v>3</v>
      </c>
      <c r="D38" s="32">
        <v>4</v>
      </c>
    </row>
    <row r="39" spans="1:4" x14ac:dyDescent="0.3">
      <c r="A39" s="49" t="s">
        <v>482</v>
      </c>
      <c r="B39" s="70"/>
      <c r="C39" s="71"/>
      <c r="D39" s="72"/>
    </row>
    <row r="40" spans="1:4" x14ac:dyDescent="0.3">
      <c r="A40" s="39" t="s">
        <v>483</v>
      </c>
      <c r="B40" s="32">
        <v>410</v>
      </c>
      <c r="C40" s="30">
        <v>2120044</v>
      </c>
      <c r="D40" s="6">
        <f>Таблица2!G52</f>
        <v>2120044</v>
      </c>
    </row>
    <row r="41" spans="1:4" ht="28.8" x14ac:dyDescent="0.3">
      <c r="A41" s="39" t="s">
        <v>484</v>
      </c>
      <c r="B41" s="32">
        <v>420</v>
      </c>
      <c r="C41" s="30">
        <f>-Таблица2!B48</f>
        <v>-1560</v>
      </c>
      <c r="D41" s="4">
        <f>-Таблица2!F48</f>
        <v>-1560</v>
      </c>
    </row>
    <row r="42" spans="1:4" ht="28.8" x14ac:dyDescent="0.3">
      <c r="A42" s="39" t="s">
        <v>485</v>
      </c>
      <c r="B42" s="32">
        <v>430</v>
      </c>
      <c r="C42" s="30">
        <v>0</v>
      </c>
      <c r="D42" s="32">
        <v>0</v>
      </c>
    </row>
    <row r="43" spans="1:4" x14ac:dyDescent="0.3">
      <c r="A43" s="39" t="s">
        <v>486</v>
      </c>
      <c r="B43" s="32">
        <v>440</v>
      </c>
      <c r="C43" s="30" t="s">
        <v>487</v>
      </c>
      <c r="D43" s="32" t="str">
        <f>Таблица2!G54</f>
        <v>15 810,00</v>
      </c>
    </row>
    <row r="44" spans="1:4" x14ac:dyDescent="0.3">
      <c r="A44" s="39" t="s">
        <v>488</v>
      </c>
      <c r="B44" s="32">
        <v>450</v>
      </c>
      <c r="C44" s="30">
        <v>0</v>
      </c>
      <c r="D44" s="32">
        <v>0</v>
      </c>
    </row>
    <row r="45" spans="1:4" ht="28.8" x14ac:dyDescent="0.3">
      <c r="A45" s="39" t="s">
        <v>489</v>
      </c>
      <c r="B45" s="32">
        <v>460</v>
      </c>
      <c r="C45" s="30">
        <v>0</v>
      </c>
      <c r="D45" s="32">
        <v>0</v>
      </c>
    </row>
    <row r="46" spans="1:4" ht="28.8" x14ac:dyDescent="0.3">
      <c r="A46" s="39" t="s">
        <v>490</v>
      </c>
      <c r="B46" s="32">
        <v>470</v>
      </c>
      <c r="C46" s="30">
        <v>0</v>
      </c>
      <c r="D46" s="32">
        <v>0</v>
      </c>
    </row>
    <row r="47" spans="1:4" x14ac:dyDescent="0.3">
      <c r="A47" s="39" t="s">
        <v>491</v>
      </c>
      <c r="B47" s="32">
        <v>480</v>
      </c>
      <c r="C47" s="30">
        <v>0</v>
      </c>
      <c r="D47" s="32">
        <v>0</v>
      </c>
    </row>
    <row r="48" spans="1:4" x14ac:dyDescent="0.3">
      <c r="A48" s="49" t="s">
        <v>492</v>
      </c>
      <c r="B48" s="32">
        <v>490</v>
      </c>
      <c r="C48" s="30">
        <f>SUM(C40:C47)</f>
        <v>2118484</v>
      </c>
      <c r="D48" s="30">
        <f>SUM(D40:D47)</f>
        <v>2118484</v>
      </c>
    </row>
    <row r="49" spans="1:4" ht="19.2" customHeight="1" x14ac:dyDescent="0.3">
      <c r="A49" s="49" t="s">
        <v>493</v>
      </c>
      <c r="B49" s="70"/>
      <c r="C49" s="71"/>
      <c r="D49" s="72"/>
    </row>
    <row r="50" spans="1:4" x14ac:dyDescent="0.3">
      <c r="A50" s="39" t="s">
        <v>494</v>
      </c>
      <c r="B50" s="32">
        <v>510</v>
      </c>
      <c r="C50" s="30" t="s">
        <v>495</v>
      </c>
      <c r="D50" s="4">
        <f>Таблица2!G42</f>
        <v>19774.72</v>
      </c>
    </row>
    <row r="51" spans="1:4" ht="28.8" x14ac:dyDescent="0.3">
      <c r="A51" s="39" t="s">
        <v>496</v>
      </c>
      <c r="B51" s="32">
        <v>520</v>
      </c>
      <c r="C51" s="30">
        <f>-Таблица2!B49</f>
        <v>-600</v>
      </c>
      <c r="D51" s="4">
        <f>-Таблица2!F49</f>
        <v>1163.72</v>
      </c>
    </row>
    <row r="52" spans="1:4" ht="28.8" x14ac:dyDescent="0.3">
      <c r="A52" s="39" t="s">
        <v>497</v>
      </c>
      <c r="B52" s="32">
        <v>530</v>
      </c>
      <c r="C52" s="30">
        <v>0</v>
      </c>
      <c r="D52" s="32">
        <v>0</v>
      </c>
    </row>
    <row r="53" spans="1:4" x14ac:dyDescent="0.3">
      <c r="A53" s="39" t="s">
        <v>498</v>
      </c>
      <c r="B53" s="32">
        <v>540</v>
      </c>
      <c r="C53" s="30">
        <v>0</v>
      </c>
      <c r="D53" s="32">
        <v>0</v>
      </c>
    </row>
    <row r="54" spans="1:4" x14ac:dyDescent="0.3">
      <c r="A54" s="39" t="s">
        <v>499</v>
      </c>
      <c r="B54" s="32">
        <v>550</v>
      </c>
      <c r="C54" s="30">
        <v>0</v>
      </c>
      <c r="D54" s="32">
        <v>0</v>
      </c>
    </row>
    <row r="55" spans="1:4" ht="28.8" x14ac:dyDescent="0.3">
      <c r="A55" s="39" t="s">
        <v>500</v>
      </c>
      <c r="B55" s="32">
        <v>560</v>
      </c>
      <c r="C55" s="30">
        <f>Таблица2!C38-Таблица2!B39+Таблица2!C43+Таблица2!C44-Таблица2!B49</f>
        <v>82645</v>
      </c>
      <c r="D55" s="4">
        <f>Таблица2!G38-Таблица2!F39+Таблица2!G43+Таблица2!G44-Таблица2!F49</f>
        <v>115160.47999999998</v>
      </c>
    </row>
    <row r="56" spans="1:4" x14ac:dyDescent="0.3">
      <c r="A56" s="49" t="s">
        <v>501</v>
      </c>
      <c r="B56" s="32">
        <v>590</v>
      </c>
      <c r="C56" s="30">
        <f>SUM(C50:C55)</f>
        <v>82045</v>
      </c>
      <c r="D56" s="30">
        <f>SUM(D50:D55)</f>
        <v>136098.91999999998</v>
      </c>
    </row>
    <row r="57" spans="1:4" ht="18.600000000000001" customHeight="1" x14ac:dyDescent="0.3">
      <c r="A57" s="49" t="s">
        <v>502</v>
      </c>
      <c r="B57" s="70"/>
      <c r="C57" s="71"/>
      <c r="D57" s="72"/>
    </row>
    <row r="58" spans="1:4" x14ac:dyDescent="0.3">
      <c r="A58" s="39" t="s">
        <v>503</v>
      </c>
      <c r="B58" s="32">
        <v>610</v>
      </c>
      <c r="C58" s="30">
        <v>0</v>
      </c>
      <c r="D58" s="32">
        <v>0</v>
      </c>
    </row>
    <row r="59" spans="1:4" ht="28.8" x14ac:dyDescent="0.3">
      <c r="A59" s="39" t="s">
        <v>504</v>
      </c>
      <c r="B59" s="32">
        <v>620</v>
      </c>
      <c r="C59" s="30">
        <f>Таблица2!C42</f>
        <v>22055</v>
      </c>
      <c r="D59" s="4">
        <f>Таблица2!G42</f>
        <v>19774.72</v>
      </c>
    </row>
    <row r="60" spans="1:4" ht="28.8" x14ac:dyDescent="0.3">
      <c r="A60" s="39" t="s">
        <v>505</v>
      </c>
      <c r="B60" s="32">
        <v>630</v>
      </c>
      <c r="C60" s="30">
        <f>SUM(C62:C73)</f>
        <v>146690</v>
      </c>
      <c r="D60" s="30">
        <f>SUM(D62:D73)</f>
        <v>160070.72</v>
      </c>
    </row>
    <row r="61" spans="1:4" x14ac:dyDescent="0.3">
      <c r="A61" s="39" t="s">
        <v>451</v>
      </c>
      <c r="B61" s="70"/>
      <c r="C61" s="71"/>
      <c r="D61" s="72"/>
    </row>
    <row r="62" spans="1:4" ht="28.8" x14ac:dyDescent="0.3">
      <c r="A62" s="39" t="s">
        <v>506</v>
      </c>
      <c r="B62" s="32">
        <v>631</v>
      </c>
      <c r="C62" s="30">
        <v>78420</v>
      </c>
      <c r="D62" s="4">
        <f>Таблица2!G38</f>
        <v>119105.99999999999</v>
      </c>
    </row>
    <row r="63" spans="1:4" x14ac:dyDescent="0.3">
      <c r="A63" s="39" t="s">
        <v>507</v>
      </c>
      <c r="B63" s="32">
        <v>632</v>
      </c>
      <c r="C63" s="30">
        <f>-Таблица2!B39</f>
        <v>-22500</v>
      </c>
      <c r="D63" s="4">
        <f>-Таблица2!F39</f>
        <v>-42500</v>
      </c>
    </row>
    <row r="64" spans="1:4" x14ac:dyDescent="0.3">
      <c r="A64" s="39" t="s">
        <v>508</v>
      </c>
      <c r="B64" s="32">
        <v>633</v>
      </c>
      <c r="C64" s="30">
        <f>15325+12000</f>
        <v>27325</v>
      </c>
      <c r="D64" s="4">
        <f>Таблица2!G43</f>
        <v>14117.760000000002</v>
      </c>
    </row>
    <row r="65" spans="1:4" ht="28.8" x14ac:dyDescent="0.3">
      <c r="A65" s="39" t="s">
        <v>509</v>
      </c>
      <c r="B65" s="32">
        <v>634</v>
      </c>
      <c r="C65" s="30">
        <f>Таблица2!C44</f>
        <v>12000</v>
      </c>
      <c r="D65" s="4">
        <f>Таблица2!G44</f>
        <v>23273</v>
      </c>
    </row>
    <row r="66" spans="1:4" x14ac:dyDescent="0.3">
      <c r="A66" s="39" t="s">
        <v>562</v>
      </c>
      <c r="B66" s="32">
        <v>635</v>
      </c>
      <c r="C66" s="30">
        <v>16750</v>
      </c>
      <c r="D66" s="4">
        <f>Таблица2!G45</f>
        <v>12459.04</v>
      </c>
    </row>
    <row r="67" spans="1:4" x14ac:dyDescent="0.3">
      <c r="A67" s="39" t="s">
        <v>510</v>
      </c>
      <c r="B67" s="32">
        <v>636</v>
      </c>
      <c r="C67" s="30">
        <f>-Таблица2!B49</f>
        <v>-600</v>
      </c>
      <c r="D67" s="4">
        <f>-Таблица2!F49</f>
        <v>1163.72</v>
      </c>
    </row>
    <row r="68" spans="1:4" ht="28.8" x14ac:dyDescent="0.3">
      <c r="A68" s="39" t="s">
        <v>511</v>
      </c>
      <c r="B68" s="32">
        <v>637</v>
      </c>
      <c r="C68" s="31">
        <f>Таблица2!C45-Таблица2!B48</f>
        <v>15190</v>
      </c>
      <c r="D68" s="4">
        <f>Таблица2!G45-Таблица2!F48</f>
        <v>10899.04</v>
      </c>
    </row>
    <row r="69" spans="1:4" ht="28.8" x14ac:dyDescent="0.3">
      <c r="A69" s="39" t="s">
        <v>512</v>
      </c>
      <c r="B69" s="32">
        <v>638</v>
      </c>
      <c r="C69" s="30">
        <f>Таблица2!C42-Таблица2!B46-Таблица2!B49</f>
        <v>20705</v>
      </c>
      <c r="D69" s="4">
        <f>Таблица2!G42-Таблица2!F46-Таблица2!F49</f>
        <v>20388.440000000002</v>
      </c>
    </row>
    <row r="70" spans="1:4" ht="28.8" x14ac:dyDescent="0.3">
      <c r="A70" s="39" t="s">
        <v>513</v>
      </c>
      <c r="B70" s="32">
        <v>640</v>
      </c>
      <c r="C70" s="30">
        <f>-Таблица2!B49</f>
        <v>-600</v>
      </c>
      <c r="D70" s="4">
        <f>-Таблица2!F49</f>
        <v>1163.72</v>
      </c>
    </row>
    <row r="71" spans="1:4" x14ac:dyDescent="0.3">
      <c r="A71" s="39" t="s">
        <v>498</v>
      </c>
      <c r="B71" s="32">
        <v>650</v>
      </c>
      <c r="C71" s="30">
        <v>0</v>
      </c>
      <c r="D71" s="32">
        <v>0</v>
      </c>
    </row>
    <row r="72" spans="1:4" x14ac:dyDescent="0.3">
      <c r="A72" s="39" t="s">
        <v>499</v>
      </c>
      <c r="B72" s="32">
        <v>660</v>
      </c>
      <c r="C72" s="30">
        <v>0</v>
      </c>
      <c r="D72" s="32">
        <v>0</v>
      </c>
    </row>
    <row r="73" spans="1:4" ht="28.8" x14ac:dyDescent="0.3">
      <c r="A73" s="39" t="s">
        <v>514</v>
      </c>
      <c r="B73" s="32">
        <v>670</v>
      </c>
      <c r="C73" s="30">
        <v>0</v>
      </c>
      <c r="D73" s="32">
        <v>0</v>
      </c>
    </row>
    <row r="74" spans="1:4" x14ac:dyDescent="0.3">
      <c r="A74" s="49" t="s">
        <v>515</v>
      </c>
      <c r="B74" s="32">
        <v>690</v>
      </c>
      <c r="C74" s="30">
        <f>SUM(C58:C59)+SUM(C62:C73)</f>
        <v>168745</v>
      </c>
      <c r="D74" s="30">
        <f>SUM(D58:D60)+SUM(D62:D73)</f>
        <v>339916.16000000003</v>
      </c>
    </row>
    <row r="75" spans="1:4" x14ac:dyDescent="0.3">
      <c r="A75" s="49" t="s">
        <v>459</v>
      </c>
      <c r="B75" s="32">
        <v>700</v>
      </c>
      <c r="C75" s="40">
        <f>C74+C56+C48</f>
        <v>2369274</v>
      </c>
      <c r="D75" s="40">
        <f>D74+D56+D48</f>
        <v>2594499.08</v>
      </c>
    </row>
    <row r="90" spans="1:9" x14ac:dyDescent="0.3">
      <c r="A90" s="38"/>
      <c r="B90" s="38"/>
      <c r="C90" s="38"/>
      <c r="D90" s="38"/>
    </row>
    <row r="91" spans="1:9" x14ac:dyDescent="0.3">
      <c r="A91" s="37"/>
      <c r="E91" s="38"/>
      <c r="F91" s="38"/>
      <c r="G91" s="38"/>
      <c r="H91" s="38"/>
      <c r="I91" s="38"/>
    </row>
    <row r="93" spans="1:9" x14ac:dyDescent="0.3">
      <c r="A93" s="37"/>
    </row>
  </sheetData>
  <mergeCells count="9">
    <mergeCell ref="B61:D61"/>
    <mergeCell ref="B49:D49"/>
    <mergeCell ref="B57:D57"/>
    <mergeCell ref="A1:D1"/>
    <mergeCell ref="B4:D4"/>
    <mergeCell ref="B8:D8"/>
    <mergeCell ref="B39:D39"/>
    <mergeCell ref="B18:D18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D1B9-5A41-4F3F-8152-0B2AC1852B0D}">
  <dimension ref="A1:G99"/>
  <sheetViews>
    <sheetView topLeftCell="A88" workbookViewId="0">
      <selection activeCell="D87" sqref="D87"/>
    </sheetView>
  </sheetViews>
  <sheetFormatPr defaultRowHeight="14.4" x14ac:dyDescent="0.3"/>
  <cols>
    <col min="1" max="1" width="34.44140625" customWidth="1"/>
    <col min="2" max="2" width="20.33203125" customWidth="1"/>
    <col min="3" max="3" width="10.88671875" customWidth="1"/>
    <col min="4" max="4" width="11" customWidth="1"/>
    <col min="5" max="5" width="11.109375" customWidth="1"/>
  </cols>
  <sheetData>
    <row r="1" spans="1:7" x14ac:dyDescent="0.3">
      <c r="A1" s="78" t="s">
        <v>50</v>
      </c>
      <c r="B1" s="78"/>
      <c r="C1" s="78"/>
      <c r="D1" s="78"/>
      <c r="E1" s="78"/>
      <c r="F1" s="78"/>
      <c r="G1" s="78"/>
    </row>
    <row r="2" spans="1:7" ht="72" x14ac:dyDescent="0.3">
      <c r="A2" s="3" t="s">
        <v>60</v>
      </c>
      <c r="B2" s="5" t="s">
        <v>52</v>
      </c>
      <c r="C2" s="5" t="s">
        <v>61</v>
      </c>
      <c r="D2" s="5" t="s">
        <v>53</v>
      </c>
      <c r="E2" s="5" t="s">
        <v>54</v>
      </c>
      <c r="F2" s="5" t="s">
        <v>55</v>
      </c>
      <c r="G2" s="5" t="s">
        <v>62</v>
      </c>
    </row>
    <row r="3" spans="1:7" x14ac:dyDescent="0.3">
      <c r="A3" s="3">
        <v>1</v>
      </c>
      <c r="B3" s="5" t="s">
        <v>56</v>
      </c>
      <c r="C3" s="4">
        <v>150444</v>
      </c>
      <c r="D3" s="3">
        <v>7</v>
      </c>
      <c r="E3" s="4">
        <f>C3*F3/12</f>
        <v>179100</v>
      </c>
      <c r="F3" s="4">
        <f>1/D3*100</f>
        <v>14.285714285714285</v>
      </c>
      <c r="G3" s="4">
        <f>C3*F3/12/100</f>
        <v>1791</v>
      </c>
    </row>
    <row r="4" spans="1:7" x14ac:dyDescent="0.3">
      <c r="A4" s="3">
        <v>2</v>
      </c>
      <c r="B4" s="5" t="s">
        <v>57</v>
      </c>
      <c r="C4" s="4">
        <v>85244</v>
      </c>
      <c r="D4" s="3">
        <v>10</v>
      </c>
      <c r="E4" s="4">
        <f>C4*F4/12</f>
        <v>71036.666666666672</v>
      </c>
      <c r="F4" s="4">
        <f>1/D4*100</f>
        <v>10</v>
      </c>
      <c r="G4" s="4">
        <f>C4*F4/12/100</f>
        <v>710.36666666666667</v>
      </c>
    </row>
    <row r="5" spans="1:7" x14ac:dyDescent="0.3">
      <c r="A5" s="3">
        <v>3</v>
      </c>
      <c r="B5" s="5" t="s">
        <v>58</v>
      </c>
      <c r="C5" s="4">
        <v>65244</v>
      </c>
      <c r="D5" s="3">
        <v>9</v>
      </c>
      <c r="E5" s="4">
        <f>C5*F5/12</f>
        <v>60411.111111111102</v>
      </c>
      <c r="F5" s="4">
        <f>1/D5*100</f>
        <v>11.111111111111111</v>
      </c>
      <c r="G5" s="4">
        <f>C5*F5/12/100</f>
        <v>604.11111111111097</v>
      </c>
    </row>
    <row r="6" spans="1:7" ht="28.8" x14ac:dyDescent="0.3">
      <c r="A6" s="3">
        <v>4</v>
      </c>
      <c r="B6" s="5" t="s">
        <v>59</v>
      </c>
      <c r="C6" s="4">
        <v>1844000</v>
      </c>
      <c r="D6" s="3">
        <v>41</v>
      </c>
      <c r="E6" s="4">
        <f>C6*F6/12</f>
        <v>374796.74796747969</v>
      </c>
      <c r="F6" s="4">
        <f>1/D6*100</f>
        <v>2.4390243902439024</v>
      </c>
      <c r="G6" s="4">
        <f>C6*F6/12/100</f>
        <v>3747.9674796747968</v>
      </c>
    </row>
    <row r="8" spans="1:7" ht="16.8" customHeight="1" x14ac:dyDescent="0.3"/>
    <row r="9" spans="1:7" ht="28.2" customHeight="1" x14ac:dyDescent="0.3">
      <c r="A9" s="5" t="s">
        <v>81</v>
      </c>
      <c r="B9" s="58" t="s">
        <v>85</v>
      </c>
      <c r="C9" s="58"/>
      <c r="D9" s="10">
        <v>35.44</v>
      </c>
    </row>
    <row r="10" spans="1:7" ht="42.6" customHeight="1" x14ac:dyDescent="0.3">
      <c r="A10" s="5" t="s">
        <v>82</v>
      </c>
      <c r="B10" s="58" t="s">
        <v>86</v>
      </c>
      <c r="C10" s="58"/>
      <c r="D10" s="10">
        <f>D9*0.8</f>
        <v>28.352</v>
      </c>
    </row>
    <row r="11" spans="1:7" x14ac:dyDescent="0.3">
      <c r="A11" s="5" t="s">
        <v>83</v>
      </c>
      <c r="B11" s="58" t="s">
        <v>87</v>
      </c>
      <c r="C11" s="58"/>
      <c r="D11" s="10">
        <f>(D9+D10)*20/120</f>
        <v>10.632000000000001</v>
      </c>
    </row>
    <row r="12" spans="1:7" ht="44.4" customHeight="1" x14ac:dyDescent="0.3">
      <c r="A12" s="5" t="s">
        <v>84</v>
      </c>
      <c r="B12" s="74" t="s">
        <v>88</v>
      </c>
      <c r="C12" s="76"/>
      <c r="D12" s="10">
        <f>D9+D10-D11</f>
        <v>53.16</v>
      </c>
    </row>
    <row r="15" spans="1:7" ht="66" customHeight="1" x14ac:dyDescent="0.3">
      <c r="A15" s="5" t="s">
        <v>100</v>
      </c>
      <c r="B15" s="5" t="s">
        <v>103</v>
      </c>
      <c r="C15" s="8">
        <f>23500+Таблица1!E42+Таблица1!E47</f>
        <v>129820</v>
      </c>
    </row>
    <row r="16" spans="1:7" ht="42" customHeight="1" x14ac:dyDescent="0.3">
      <c r="A16" s="5" t="s">
        <v>101</v>
      </c>
      <c r="B16" s="5" t="s">
        <v>104</v>
      </c>
      <c r="C16" s="8">
        <f>2000+950</f>
        <v>2950</v>
      </c>
    </row>
    <row r="17" spans="1:3" ht="51" customHeight="1" x14ac:dyDescent="0.3">
      <c r="A17" s="5" t="s">
        <v>102</v>
      </c>
      <c r="B17" s="5" t="s">
        <v>105</v>
      </c>
      <c r="C17" s="10">
        <f>C15/C16</f>
        <v>44.006779661016949</v>
      </c>
    </row>
    <row r="19" spans="1:3" x14ac:dyDescent="0.3">
      <c r="A19" s="58" t="s">
        <v>185</v>
      </c>
      <c r="B19" s="58"/>
      <c r="C19" s="58"/>
    </row>
    <row r="20" spans="1:3" ht="43.2" x14ac:dyDescent="0.3">
      <c r="A20" s="5" t="s">
        <v>186</v>
      </c>
      <c r="B20" s="5" t="s">
        <v>187</v>
      </c>
      <c r="C20" s="4">
        <f>Таблица1!E60/(Таблица1!E60+Таблица1!E61)</f>
        <v>0.73493195074530138</v>
      </c>
    </row>
    <row r="21" spans="1:3" ht="43.2" x14ac:dyDescent="0.3">
      <c r="A21" s="5" t="s">
        <v>188</v>
      </c>
      <c r="B21" s="5" t="s">
        <v>193</v>
      </c>
      <c r="C21" s="4">
        <f>Таблица1!E61/(Таблица1!E60+Таблица1!E61)</f>
        <v>0.26506804925469862</v>
      </c>
    </row>
    <row r="22" spans="1:3" ht="43.2" x14ac:dyDescent="0.3">
      <c r="A22" s="5" t="s">
        <v>189</v>
      </c>
      <c r="B22" s="5" t="s">
        <v>190</v>
      </c>
      <c r="C22" s="4">
        <f>C20*Таблица2!Y64</f>
        <v>11877.457042125729</v>
      </c>
    </row>
    <row r="23" spans="1:3" ht="43.2" x14ac:dyDescent="0.3">
      <c r="A23" s="5" t="s">
        <v>191</v>
      </c>
      <c r="B23" s="5" t="s">
        <v>192</v>
      </c>
      <c r="C23" s="4">
        <f>C21*Таблица2!Y64</f>
        <v>4283.8447356520483</v>
      </c>
    </row>
    <row r="25" spans="1:3" ht="43.2" x14ac:dyDescent="0.3">
      <c r="A25" s="5" t="s">
        <v>201</v>
      </c>
      <c r="B25" s="5" t="s">
        <v>202</v>
      </c>
      <c r="C25" s="4">
        <f>Таблы!C20</f>
        <v>0.73493195074530138</v>
      </c>
    </row>
    <row r="26" spans="1:3" ht="43.2" x14ac:dyDescent="0.3">
      <c r="A26" s="5" t="s">
        <v>203</v>
      </c>
      <c r="B26" s="5" t="s">
        <v>208</v>
      </c>
      <c r="C26" s="4">
        <f>Таблы!C21</f>
        <v>0.26506804925469862</v>
      </c>
    </row>
    <row r="27" spans="1:3" ht="28.8" x14ac:dyDescent="0.3">
      <c r="A27" s="5" t="s">
        <v>204</v>
      </c>
      <c r="B27" s="5" t="s">
        <v>205</v>
      </c>
      <c r="C27" s="4">
        <f>C25*Таблица2!T37</f>
        <v>7522.1692404090845</v>
      </c>
    </row>
    <row r="28" spans="1:3" ht="28.8" x14ac:dyDescent="0.3">
      <c r="A28" s="5" t="s">
        <v>206</v>
      </c>
      <c r="B28" s="5" t="s">
        <v>207</v>
      </c>
      <c r="C28" s="4">
        <f>C26*Таблица2!T37</f>
        <v>2713.0222392657101</v>
      </c>
    </row>
    <row r="31" spans="1:3" ht="28.8" x14ac:dyDescent="0.3">
      <c r="A31" s="5" t="s">
        <v>231</v>
      </c>
      <c r="B31" s="5" t="s">
        <v>235</v>
      </c>
      <c r="C31" s="3">
        <v>340.44</v>
      </c>
    </row>
    <row r="32" spans="1:3" ht="28.8" x14ac:dyDescent="0.3">
      <c r="A32" s="5" t="s">
        <v>232</v>
      </c>
      <c r="B32" s="5" t="s">
        <v>236</v>
      </c>
      <c r="C32" s="3">
        <v>110.44</v>
      </c>
    </row>
    <row r="33" spans="1:3" ht="43.2" x14ac:dyDescent="0.3">
      <c r="A33" s="5" t="s">
        <v>233</v>
      </c>
      <c r="B33" s="5" t="s">
        <v>237</v>
      </c>
      <c r="C33" s="3">
        <f>C32-C31</f>
        <v>-230</v>
      </c>
    </row>
    <row r="34" spans="1:3" x14ac:dyDescent="0.3">
      <c r="A34" s="74" t="s">
        <v>234</v>
      </c>
      <c r="B34" s="76"/>
      <c r="C34" s="3">
        <f>210*C33</f>
        <v>-48300</v>
      </c>
    </row>
    <row r="35" spans="1:3" x14ac:dyDescent="0.3">
      <c r="A35" s="2"/>
      <c r="B35" s="2"/>
      <c r="C35" s="2"/>
    </row>
    <row r="36" spans="1:3" ht="28.8" x14ac:dyDescent="0.3">
      <c r="A36" s="5" t="s">
        <v>238</v>
      </c>
      <c r="B36" s="5" t="s">
        <v>242</v>
      </c>
      <c r="C36" s="3">
        <v>480.44</v>
      </c>
    </row>
    <row r="37" spans="1:3" ht="28.8" x14ac:dyDescent="0.3">
      <c r="A37" s="5" t="s">
        <v>239</v>
      </c>
      <c r="B37" s="5" t="s">
        <v>243</v>
      </c>
      <c r="C37" s="3">
        <v>500.44</v>
      </c>
    </row>
    <row r="38" spans="1:3" ht="43.2" x14ac:dyDescent="0.3">
      <c r="A38" s="5" t="s">
        <v>240</v>
      </c>
      <c r="B38" s="5" t="s">
        <v>244</v>
      </c>
      <c r="C38" s="3">
        <f>500.44-480.44</f>
        <v>20</v>
      </c>
    </row>
    <row r="39" spans="1:3" x14ac:dyDescent="0.3">
      <c r="A39" s="74" t="s">
        <v>241</v>
      </c>
      <c r="B39" s="76"/>
      <c r="C39" s="3">
        <f>92*C38</f>
        <v>1840</v>
      </c>
    </row>
    <row r="42" spans="1:3" ht="43.2" x14ac:dyDescent="0.3">
      <c r="A42" s="5" t="s">
        <v>261</v>
      </c>
      <c r="B42" s="5" t="s">
        <v>262</v>
      </c>
      <c r="C42" s="3">
        <v>4600</v>
      </c>
    </row>
    <row r="43" spans="1:3" ht="43.2" x14ac:dyDescent="0.3">
      <c r="A43" s="5" t="s">
        <v>263</v>
      </c>
      <c r="B43" s="5" t="s">
        <v>264</v>
      </c>
      <c r="C43" s="3">
        <v>3500</v>
      </c>
    </row>
    <row r="44" spans="1:3" ht="43.2" x14ac:dyDescent="0.3">
      <c r="A44" s="5" t="s">
        <v>265</v>
      </c>
      <c r="B44" s="5" t="s">
        <v>266</v>
      </c>
      <c r="C44" s="4">
        <f>Таблица2!O30+Таблица2!O23-Таблица2!O31</f>
        <v>43143.620025176577</v>
      </c>
    </row>
    <row r="45" spans="1:3" x14ac:dyDescent="0.3">
      <c r="A45" s="74" t="s">
        <v>267</v>
      </c>
      <c r="B45" s="76"/>
      <c r="C45" s="4">
        <f>C44/218</f>
        <v>197.90651387695678</v>
      </c>
    </row>
    <row r="46" spans="1:3" ht="28.8" x14ac:dyDescent="0.3">
      <c r="A46" s="5" t="s">
        <v>268</v>
      </c>
      <c r="B46" s="5" t="s">
        <v>236</v>
      </c>
      <c r="C46" s="3">
        <v>110.44</v>
      </c>
    </row>
    <row r="47" spans="1:3" ht="43.2" x14ac:dyDescent="0.3">
      <c r="A47" s="5" t="s">
        <v>269</v>
      </c>
      <c r="B47" s="5" t="s">
        <v>273</v>
      </c>
      <c r="C47" s="4">
        <f>C45-C46</f>
        <v>87.466513876956782</v>
      </c>
    </row>
    <row r="48" spans="1:3" x14ac:dyDescent="0.3">
      <c r="A48" s="58" t="s">
        <v>270</v>
      </c>
      <c r="B48" s="58"/>
      <c r="C48" s="4">
        <f>C47*218</f>
        <v>19067.700025176578</v>
      </c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ht="43.2" x14ac:dyDescent="0.3">
      <c r="A51" s="5" t="s">
        <v>274</v>
      </c>
      <c r="B51" s="5" t="s">
        <v>275</v>
      </c>
      <c r="C51" s="3">
        <v>4250</v>
      </c>
    </row>
    <row r="52" spans="1:3" ht="43.2" x14ac:dyDescent="0.3">
      <c r="A52" s="5" t="s">
        <v>276</v>
      </c>
      <c r="B52" s="5" t="s">
        <v>277</v>
      </c>
      <c r="C52" s="3">
        <v>3800</v>
      </c>
    </row>
    <row r="53" spans="1:3" ht="43.2" x14ac:dyDescent="0.3">
      <c r="A53" s="5" t="s">
        <v>278</v>
      </c>
      <c r="B53" s="5" t="s">
        <v>266</v>
      </c>
      <c r="C53" s="4">
        <f>Таблица2!Y23+C51-C52</f>
        <v>22390.203922092725</v>
      </c>
    </row>
    <row r="54" spans="1:3" x14ac:dyDescent="0.3">
      <c r="A54" s="58" t="s">
        <v>279</v>
      </c>
      <c r="B54" s="58"/>
      <c r="C54" s="4">
        <f>C53/106</f>
        <v>211.22833888766723</v>
      </c>
    </row>
    <row r="55" spans="1:3" ht="28.8" x14ac:dyDescent="0.3">
      <c r="A55" s="5" t="s">
        <v>280</v>
      </c>
      <c r="B55" s="5" t="s">
        <v>243</v>
      </c>
      <c r="C55" s="3">
        <v>500.44</v>
      </c>
    </row>
    <row r="56" spans="1:3" ht="43.2" x14ac:dyDescent="0.3">
      <c r="A56" s="5" t="s">
        <v>269</v>
      </c>
      <c r="B56" s="5" t="s">
        <v>283</v>
      </c>
      <c r="C56" s="4">
        <f>C54-C55</f>
        <v>-289.21166111233276</v>
      </c>
    </row>
    <row r="57" spans="1:3" x14ac:dyDescent="0.3">
      <c r="A57" s="58" t="s">
        <v>281</v>
      </c>
      <c r="B57" s="58"/>
      <c r="C57" s="4">
        <f>C56*106</f>
        <v>-30656.436077907274</v>
      </c>
    </row>
    <row r="59" spans="1:3" x14ac:dyDescent="0.3">
      <c r="A59" s="74" t="s">
        <v>267</v>
      </c>
      <c r="B59" s="76"/>
      <c r="C59" s="4">
        <f>Таблы!C45</f>
        <v>197.90651387695678</v>
      </c>
    </row>
    <row r="60" spans="1:3" ht="28.8" x14ac:dyDescent="0.3">
      <c r="A60" s="5" t="s">
        <v>268</v>
      </c>
      <c r="B60" s="5" t="s">
        <v>236</v>
      </c>
      <c r="C60" s="3">
        <v>110.44</v>
      </c>
    </row>
    <row r="61" spans="1:3" ht="43.2" x14ac:dyDescent="0.3">
      <c r="A61" s="5" t="s">
        <v>269</v>
      </c>
      <c r="B61" s="5" t="s">
        <v>290</v>
      </c>
      <c r="C61" s="4">
        <f>C59-C60</f>
        <v>87.466513876956782</v>
      </c>
    </row>
    <row r="62" spans="1:3" x14ac:dyDescent="0.3">
      <c r="A62" s="74" t="s">
        <v>288</v>
      </c>
      <c r="B62" s="76"/>
      <c r="C62" s="4">
        <f>C61*210</f>
        <v>18367.967914160923</v>
      </c>
    </row>
    <row r="63" spans="1:3" x14ac:dyDescent="0.3">
      <c r="A63" s="2"/>
      <c r="B63" s="2"/>
      <c r="C63" s="2"/>
    </row>
    <row r="64" spans="1:3" x14ac:dyDescent="0.3">
      <c r="A64" s="74" t="s">
        <v>279</v>
      </c>
      <c r="B64" s="76"/>
      <c r="C64" s="4">
        <f>Таблы!C54</f>
        <v>211.22833888766723</v>
      </c>
    </row>
    <row r="65" spans="1:3" ht="28.8" x14ac:dyDescent="0.3">
      <c r="A65" s="5" t="s">
        <v>280</v>
      </c>
      <c r="B65" s="5" t="s">
        <v>243</v>
      </c>
      <c r="C65" s="3">
        <v>500.44</v>
      </c>
    </row>
    <row r="66" spans="1:3" ht="43.2" x14ac:dyDescent="0.3">
      <c r="A66" s="5" t="s">
        <v>269</v>
      </c>
      <c r="B66" s="5" t="s">
        <v>291</v>
      </c>
      <c r="C66" s="4">
        <f>C64-C65</f>
        <v>-289.21166111233276</v>
      </c>
    </row>
    <row r="67" spans="1:3" x14ac:dyDescent="0.3">
      <c r="A67" s="74" t="s">
        <v>289</v>
      </c>
      <c r="B67" s="76"/>
      <c r="C67" s="4">
        <f>C66*92</f>
        <v>-26607.472822334614</v>
      </c>
    </row>
    <row r="70" spans="1:3" x14ac:dyDescent="0.3">
      <c r="A70" s="77" t="s">
        <v>335</v>
      </c>
      <c r="B70" s="77"/>
      <c r="C70" s="4">
        <f>Таблица1!E124</f>
        <v>5972.76</v>
      </c>
    </row>
    <row r="71" spans="1:3" x14ac:dyDescent="0.3">
      <c r="A71" s="77" t="s">
        <v>336</v>
      </c>
      <c r="B71" s="77"/>
      <c r="C71" s="4">
        <f>Таблица1!E125</f>
        <v>12758.4</v>
      </c>
    </row>
    <row r="72" spans="1:3" x14ac:dyDescent="0.3">
      <c r="A72" s="77" t="s">
        <v>330</v>
      </c>
      <c r="B72" s="77"/>
      <c r="C72" s="4">
        <f>C70+C71</f>
        <v>18731.16</v>
      </c>
    </row>
    <row r="73" spans="1:3" x14ac:dyDescent="0.3">
      <c r="A73" s="77" t="s">
        <v>331</v>
      </c>
      <c r="B73" s="77"/>
      <c r="C73" s="4">
        <f>Таблица1!E113+Таблица1!E114</f>
        <v>19282.146666666667</v>
      </c>
    </row>
    <row r="74" spans="1:3" x14ac:dyDescent="0.3">
      <c r="A74" s="77" t="s">
        <v>332</v>
      </c>
      <c r="B74" s="77"/>
      <c r="C74" s="4">
        <f>+Таблица1!E57</f>
        <v>3333.3333333333335</v>
      </c>
    </row>
    <row r="75" spans="1:3" x14ac:dyDescent="0.3">
      <c r="A75" s="77" t="s">
        <v>333</v>
      </c>
      <c r="B75" s="77"/>
      <c r="C75" s="4">
        <f>C73+C74</f>
        <v>22615.48</v>
      </c>
    </row>
    <row r="76" spans="1:3" x14ac:dyDescent="0.3">
      <c r="A76" s="77" t="s">
        <v>334</v>
      </c>
      <c r="B76" s="77"/>
      <c r="C76" s="4">
        <f>C75-C72</f>
        <v>3884.3199999999997</v>
      </c>
    </row>
    <row r="79" spans="1:3" ht="43.2" x14ac:dyDescent="0.3">
      <c r="A79" s="5" t="s">
        <v>373</v>
      </c>
      <c r="B79" s="5" t="s">
        <v>374</v>
      </c>
      <c r="C79" s="4">
        <v>2500310</v>
      </c>
    </row>
    <row r="80" spans="1:3" ht="43.2" x14ac:dyDescent="0.3">
      <c r="A80" s="5" t="s">
        <v>375</v>
      </c>
      <c r="B80" s="5" t="s">
        <v>376</v>
      </c>
      <c r="C80" s="4">
        <v>620000</v>
      </c>
    </row>
    <row r="81" spans="1:4" ht="43.2" x14ac:dyDescent="0.3">
      <c r="A81" s="5" t="s">
        <v>377</v>
      </c>
      <c r="B81" s="5" t="s">
        <v>378</v>
      </c>
      <c r="C81" s="3">
        <f>C79-C80</f>
        <v>1880310</v>
      </c>
    </row>
    <row r="82" spans="1:4" ht="43.2" x14ac:dyDescent="0.3">
      <c r="A82" s="5" t="s">
        <v>379</v>
      </c>
      <c r="B82" s="5" t="s">
        <v>380</v>
      </c>
      <c r="C82" s="3">
        <f>C81*1/100/12</f>
        <v>1566.925</v>
      </c>
    </row>
    <row r="85" spans="1:4" ht="28.8" x14ac:dyDescent="0.3">
      <c r="A85" s="7" t="s">
        <v>51</v>
      </c>
      <c r="B85" s="5" t="s">
        <v>381</v>
      </c>
      <c r="C85" s="3" t="s">
        <v>382</v>
      </c>
      <c r="D85" s="3" t="s">
        <v>383</v>
      </c>
    </row>
    <row r="86" spans="1:4" ht="43.2" x14ac:dyDescent="0.3">
      <c r="A86" s="7" t="s">
        <v>384</v>
      </c>
      <c r="B86" s="5" t="s">
        <v>385</v>
      </c>
      <c r="C86" s="4">
        <f>Таблица1!E30</f>
        <v>1503.96</v>
      </c>
      <c r="D86" s="3"/>
    </row>
    <row r="87" spans="1:4" ht="57.6" x14ac:dyDescent="0.3">
      <c r="A87" s="7" t="s">
        <v>386</v>
      </c>
      <c r="B87" s="5" t="s">
        <v>387</v>
      </c>
      <c r="C87" s="3"/>
      <c r="D87" s="6">
        <f>Таблица1!E58</f>
        <v>-5204.7028248587576</v>
      </c>
    </row>
    <row r="88" spans="1:4" ht="28.8" x14ac:dyDescent="0.3">
      <c r="A88" s="7" t="s">
        <v>388</v>
      </c>
      <c r="B88" s="5" t="s">
        <v>389</v>
      </c>
      <c r="C88" s="3"/>
      <c r="D88" s="4">
        <f>Таблица1!E121</f>
        <v>10494.46</v>
      </c>
    </row>
    <row r="89" spans="1:4" ht="28.8" x14ac:dyDescent="0.3">
      <c r="A89" s="7" t="s">
        <v>390</v>
      </c>
      <c r="B89" s="5" t="s">
        <v>391</v>
      </c>
      <c r="C89" s="3"/>
      <c r="D89" s="4">
        <f>Таблица1!E122</f>
        <v>14687.7</v>
      </c>
    </row>
    <row r="90" spans="1:4" ht="43.2" x14ac:dyDescent="0.3">
      <c r="A90" s="7" t="s">
        <v>392</v>
      </c>
      <c r="B90" s="5" t="s">
        <v>393</v>
      </c>
      <c r="C90" s="3"/>
      <c r="D90" s="4">
        <f>Таблица1!E129</f>
        <v>450.44</v>
      </c>
    </row>
    <row r="91" spans="1:4" ht="57.6" x14ac:dyDescent="0.3">
      <c r="A91" s="7" t="s">
        <v>394</v>
      </c>
      <c r="B91" s="5" t="s">
        <v>395</v>
      </c>
      <c r="C91" s="4">
        <f>Таблица1!E130</f>
        <v>5044</v>
      </c>
      <c r="D91" s="3"/>
    </row>
    <row r="92" spans="1:4" ht="43.2" x14ac:dyDescent="0.3">
      <c r="A92" s="7" t="s">
        <v>396</v>
      </c>
      <c r="B92" s="5" t="s">
        <v>397</v>
      </c>
      <c r="C92" s="4">
        <f>Таблица1!E131</f>
        <v>5544</v>
      </c>
      <c r="D92" s="3"/>
    </row>
    <row r="93" spans="1:4" ht="57.6" x14ac:dyDescent="0.3">
      <c r="A93" s="7" t="s">
        <v>398</v>
      </c>
      <c r="B93" s="5" t="s">
        <v>399</v>
      </c>
      <c r="C93" s="4">
        <f>Таблица1!E139</f>
        <v>1544</v>
      </c>
      <c r="D93" s="3"/>
    </row>
    <row r="94" spans="1:4" x14ac:dyDescent="0.3">
      <c r="A94" s="7" t="s">
        <v>400</v>
      </c>
      <c r="B94" s="5" t="s">
        <v>401</v>
      </c>
      <c r="C94" s="4">
        <f>SUM(C86:C93)</f>
        <v>13635.96</v>
      </c>
      <c r="D94" s="4">
        <f>SUM(D86:D93)</f>
        <v>20427.897175141243</v>
      </c>
    </row>
    <row r="95" spans="1:4" ht="28.8" x14ac:dyDescent="0.3">
      <c r="A95" s="7" t="s">
        <v>402</v>
      </c>
      <c r="B95" s="5" t="s">
        <v>403</v>
      </c>
      <c r="C95" s="3"/>
      <c r="D95" s="4">
        <f>D94-C94</f>
        <v>6791.9371751412436</v>
      </c>
    </row>
    <row r="96" spans="1:4" ht="28.8" x14ac:dyDescent="0.3">
      <c r="A96" s="7" t="s">
        <v>404</v>
      </c>
      <c r="B96" s="5" t="s">
        <v>405</v>
      </c>
      <c r="C96" s="4">
        <f>Таблица1!E150</f>
        <v>1566.925</v>
      </c>
      <c r="D96" s="3"/>
    </row>
    <row r="97" spans="1:4" ht="43.2" x14ac:dyDescent="0.3">
      <c r="A97" s="7" t="s">
        <v>406</v>
      </c>
      <c r="B97" s="5" t="s">
        <v>407</v>
      </c>
      <c r="C97" s="3"/>
      <c r="D97" s="4">
        <f>D95-C96</f>
        <v>5225.0121751412435</v>
      </c>
    </row>
    <row r="98" spans="1:4" ht="28.8" x14ac:dyDescent="0.3">
      <c r="A98" s="7" t="s">
        <v>408</v>
      </c>
      <c r="B98" s="5" t="s">
        <v>409</v>
      </c>
      <c r="C98" s="4">
        <f>D97*18/100</f>
        <v>940.50219152542388</v>
      </c>
      <c r="D98" s="3"/>
    </row>
    <row r="99" spans="1:4" ht="43.2" x14ac:dyDescent="0.3">
      <c r="A99" s="7" t="s">
        <v>410</v>
      </c>
      <c r="B99" s="5" t="s">
        <v>411</v>
      </c>
      <c r="C99" s="4">
        <f>D97-C98</f>
        <v>4284.5099836158197</v>
      </c>
      <c r="D99" s="3"/>
    </row>
  </sheetData>
  <mergeCells count="23">
    <mergeCell ref="A57:B57"/>
    <mergeCell ref="A1:G1"/>
    <mergeCell ref="B9:C9"/>
    <mergeCell ref="B10:C10"/>
    <mergeCell ref="B11:C11"/>
    <mergeCell ref="B12:C12"/>
    <mergeCell ref="A19:C19"/>
    <mergeCell ref="A34:B34"/>
    <mergeCell ref="A39:B39"/>
    <mergeCell ref="A48:B48"/>
    <mergeCell ref="A45:B45"/>
    <mergeCell ref="A54:B54"/>
    <mergeCell ref="A62:B62"/>
    <mergeCell ref="A59:B59"/>
    <mergeCell ref="A67:B67"/>
    <mergeCell ref="A64:B64"/>
    <mergeCell ref="A76:B76"/>
    <mergeCell ref="A70:B70"/>
    <mergeCell ref="A71:B71"/>
    <mergeCell ref="A72:B72"/>
    <mergeCell ref="A73:B73"/>
    <mergeCell ref="A74:B74"/>
    <mergeCell ref="A75:B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Таблица1</vt:lpstr>
      <vt:lpstr>Таблица2</vt:lpstr>
      <vt:lpstr>Т4</vt:lpstr>
      <vt:lpstr>Таблы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2021-04-04T17:06:40Z</dcterms:created>
  <dcterms:modified xsi:type="dcterms:W3CDTF">2021-04-07T09:06:30Z</dcterms:modified>
</cp:coreProperties>
</file>