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универ\University\3 course\2 semester\BuhUchet\"/>
    </mc:Choice>
  </mc:AlternateContent>
  <xr:revisionPtr revIDLastSave="0" documentId="13_ncr:1_{158B030D-6984-44BE-93FF-F2D79319E182}" xr6:coauthVersionLast="46" xr6:coauthVersionMax="46" xr10:uidLastSave="{00000000-0000-0000-0000-000000000000}"/>
  <bookViews>
    <workbookView xWindow="-108" yWindow="-108" windowWidth="23256" windowHeight="12576" activeTab="8" xr2:uid="{00000000-000D-0000-FFFF-FFFF00000000}"/>
  </bookViews>
  <sheets>
    <sheet name="Табл1" sheetId="1" r:id="rId1"/>
    <sheet name="Табл 2" sheetId="2" r:id="rId2"/>
    <sheet name="Табл3" sheetId="3" r:id="rId3"/>
    <sheet name="Табл4" sheetId="4" r:id="rId4"/>
    <sheet name="Табл5" sheetId="5" r:id="rId5"/>
    <sheet name="Табл6" sheetId="6" r:id="rId6"/>
    <sheet name="Табл7" sheetId="8" r:id="rId7"/>
    <sheet name="Табл8" sheetId="9" r:id="rId8"/>
    <sheet name="Счета" sheetId="7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2" l="1"/>
  <c r="H10" i="6"/>
  <c r="H11" i="6"/>
  <c r="H13" i="6"/>
  <c r="I13" i="6"/>
  <c r="I11" i="6"/>
  <c r="I10" i="6"/>
  <c r="F9" i="6"/>
  <c r="G9" i="6"/>
  <c r="D16" i="6"/>
  <c r="D8" i="6"/>
  <c r="E8" i="6"/>
  <c r="D12" i="6"/>
  <c r="E12" i="6"/>
  <c r="K3" i="4"/>
  <c r="K4" i="4"/>
  <c r="L4" i="4" s="1"/>
  <c r="K5" i="4"/>
  <c r="L5" i="4" s="1"/>
  <c r="K2" i="4"/>
  <c r="L2" i="4"/>
  <c r="L3" i="4"/>
  <c r="N3" i="4" s="1"/>
  <c r="H9" i="2"/>
  <c r="H7" i="2"/>
  <c r="H4" i="2"/>
  <c r="H6" i="2" s="1"/>
  <c r="H5" i="2"/>
  <c r="H3" i="2"/>
  <c r="G9" i="2"/>
  <c r="G11" i="2"/>
  <c r="H11" i="2" s="1"/>
  <c r="G10" i="2"/>
  <c r="H10" i="2" s="1"/>
  <c r="G7" i="2"/>
  <c r="G5" i="2"/>
  <c r="G4" i="2"/>
  <c r="G3" i="2"/>
  <c r="H27" i="7"/>
  <c r="I26" i="7"/>
  <c r="I25" i="7"/>
  <c r="I24" i="7"/>
  <c r="I23" i="7"/>
  <c r="I22" i="7"/>
  <c r="I21" i="7"/>
  <c r="I20" i="7"/>
  <c r="I19" i="7"/>
  <c r="I18" i="7"/>
  <c r="I17" i="7"/>
  <c r="I16" i="7"/>
  <c r="I15" i="7"/>
  <c r="H66" i="7"/>
  <c r="D28" i="7"/>
  <c r="C27" i="7"/>
  <c r="C26" i="7"/>
  <c r="C25" i="7"/>
  <c r="C24" i="7"/>
  <c r="C23" i="7"/>
  <c r="C22" i="7"/>
  <c r="H79" i="7"/>
  <c r="C80" i="7"/>
  <c r="C71" i="7"/>
  <c r="I46" i="7"/>
  <c r="H46" i="7"/>
  <c r="I45" i="7"/>
  <c r="D46" i="7"/>
  <c r="I70" i="7"/>
  <c r="D64" i="7"/>
  <c r="H58" i="7"/>
  <c r="I57" i="7"/>
  <c r="I56" i="7"/>
  <c r="I55" i="7"/>
  <c r="I50" i="7"/>
  <c r="I51" i="7"/>
  <c r="I52" i="7"/>
  <c r="I53" i="7"/>
  <c r="I54" i="7"/>
  <c r="I49" i="7"/>
  <c r="M84" i="7"/>
  <c r="M83" i="7"/>
  <c r="M82" i="7"/>
  <c r="C13" i="7"/>
  <c r="C4" i="7"/>
  <c r="C3" i="7"/>
  <c r="K13" i="9"/>
  <c r="K11" i="9"/>
  <c r="K10" i="9"/>
  <c r="L14" i="9"/>
  <c r="K9" i="9"/>
  <c r="C59" i="7"/>
  <c r="C57" i="7"/>
  <c r="C56" i="7"/>
  <c r="C55" i="7"/>
  <c r="C54" i="7"/>
  <c r="C53" i="7"/>
  <c r="K8" i="9"/>
  <c r="K7" i="9"/>
  <c r="F55" i="5"/>
  <c r="F53" i="5"/>
  <c r="F49" i="5"/>
  <c r="F46" i="5"/>
  <c r="F43" i="5"/>
  <c r="H40" i="5"/>
  <c r="J8" i="8"/>
  <c r="J7" i="8"/>
  <c r="J6" i="8"/>
  <c r="J5" i="8"/>
  <c r="K13" i="8"/>
  <c r="H7" i="7"/>
  <c r="H6" i="7"/>
  <c r="H5" i="7"/>
  <c r="H4" i="7"/>
  <c r="H32" i="5"/>
  <c r="F27" i="5"/>
  <c r="F24" i="5"/>
  <c r="H19" i="5"/>
  <c r="H16" i="5"/>
  <c r="H13" i="5"/>
  <c r="F9" i="5"/>
  <c r="F8" i="5"/>
  <c r="F7" i="5"/>
  <c r="F6" i="5"/>
  <c r="F5" i="5"/>
  <c r="F4" i="5"/>
  <c r="I6" i="3"/>
  <c r="L6" i="3" s="1"/>
  <c r="I7" i="3"/>
  <c r="L7" i="3" s="1"/>
  <c r="I8" i="3"/>
  <c r="L8" i="3" s="1"/>
  <c r="M8" i="3" s="1"/>
  <c r="F30" i="5" s="1"/>
  <c r="I5" i="3"/>
  <c r="K6" i="3"/>
  <c r="K7" i="3"/>
  <c r="K5" i="3"/>
  <c r="J5" i="3"/>
  <c r="J6" i="3"/>
  <c r="J7" i="3"/>
  <c r="J9" i="2"/>
  <c r="G12" i="2"/>
  <c r="H12" i="2" s="1"/>
  <c r="F4" i="1"/>
  <c r="F5" i="1"/>
  <c r="F6" i="1"/>
  <c r="F7" i="1"/>
  <c r="F8" i="1"/>
  <c r="F3" i="1"/>
  <c r="F31" i="5" l="1"/>
  <c r="I64" i="7"/>
  <c r="H8" i="7"/>
  <c r="J9" i="8"/>
  <c r="F32" i="5"/>
  <c r="M7" i="3"/>
  <c r="F17" i="5" s="1"/>
  <c r="C28" i="7"/>
  <c r="I27" i="7"/>
  <c r="I28" i="7" s="1"/>
  <c r="I58" i="7"/>
  <c r="M4" i="4"/>
  <c r="O4" i="4"/>
  <c r="M5" i="4"/>
  <c r="N5" i="4"/>
  <c r="O5" i="4" s="1"/>
  <c r="M3" i="4"/>
  <c r="O3" i="4"/>
  <c r="M2" i="4"/>
  <c r="N2" i="4"/>
  <c r="O2" i="4"/>
  <c r="N4" i="4"/>
  <c r="F33" i="5"/>
  <c r="H11" i="7" s="1"/>
  <c r="H13" i="2"/>
  <c r="F54" i="5" s="1"/>
  <c r="C58" i="7" s="1"/>
  <c r="J12" i="8"/>
  <c r="D69" i="7"/>
  <c r="F21" i="5"/>
  <c r="D68" i="7" s="1"/>
  <c r="L5" i="3"/>
  <c r="M5" i="3" s="1"/>
  <c r="F11" i="5" s="1"/>
  <c r="M6" i="3"/>
  <c r="F14" i="5"/>
  <c r="H10" i="7" l="1"/>
  <c r="D78" i="7"/>
  <c r="J11" i="8"/>
  <c r="E14" i="6"/>
  <c r="D14" i="6" s="1"/>
  <c r="I61" i="7"/>
  <c r="H4" i="9"/>
  <c r="F12" i="5"/>
  <c r="G4" i="8"/>
  <c r="C5" i="7"/>
  <c r="F13" i="5"/>
  <c r="C14" i="7"/>
  <c r="G14" i="6"/>
  <c r="F14" i="6" s="1"/>
  <c r="F16" i="5"/>
  <c r="F15" i="5"/>
  <c r="I62" i="7"/>
  <c r="H5" i="9"/>
  <c r="G5" i="8"/>
  <c r="I77" i="7"/>
  <c r="H9" i="7"/>
  <c r="J10" i="8"/>
  <c r="I63" i="7"/>
  <c r="F19" i="5"/>
  <c r="H6" i="9"/>
  <c r="G6" i="8"/>
  <c r="M85" i="7"/>
  <c r="F18" i="5"/>
  <c r="I14" i="6"/>
  <c r="H14" i="6" s="1"/>
  <c r="H3" i="7"/>
  <c r="H12" i="7" s="1"/>
  <c r="K12" i="9"/>
  <c r="D70" i="7"/>
  <c r="D71" i="7" s="1"/>
  <c r="J4" i="8"/>
  <c r="I76" i="7" l="1"/>
  <c r="M86" i="7"/>
  <c r="I16" i="6"/>
  <c r="H16" i="6" s="1"/>
  <c r="D76" i="7"/>
  <c r="G17" i="6"/>
  <c r="F17" i="6" s="1"/>
  <c r="C16" i="7"/>
  <c r="G7" i="8"/>
  <c r="C6" i="7"/>
  <c r="I74" i="7"/>
  <c r="G16" i="6"/>
  <c r="F16" i="6" s="1"/>
  <c r="I75" i="7"/>
  <c r="C15" i="7"/>
  <c r="M87" i="7"/>
  <c r="D77" i="7"/>
  <c r="I17" i="6"/>
  <c r="H17" i="6" s="1"/>
  <c r="C7" i="7"/>
  <c r="E17" i="6"/>
  <c r="D17" i="6" s="1"/>
  <c r="D75" i="7"/>
  <c r="J13" i="8"/>
  <c r="D9" i="8" s="1"/>
  <c r="E6" i="8" s="1"/>
  <c r="F36" i="5" s="1"/>
  <c r="H7" i="9"/>
  <c r="O6" i="4"/>
  <c r="F38" i="5" s="1"/>
  <c r="F40" i="5" s="1"/>
  <c r="D79" i="7" s="1"/>
  <c r="E4" i="8"/>
  <c r="F34" i="5" s="1"/>
  <c r="E18" i="6" s="1"/>
  <c r="D18" i="6" s="1"/>
  <c r="E5" i="8"/>
  <c r="F35" i="5" s="1"/>
  <c r="I5" i="7"/>
  <c r="M88" i="7"/>
  <c r="I18" i="6"/>
  <c r="H18" i="6" s="1"/>
  <c r="D80" i="7" l="1"/>
  <c r="D81" i="7" s="1"/>
  <c r="C17" i="7"/>
  <c r="G18" i="6"/>
  <c r="F18" i="6" s="1"/>
  <c r="K6" i="9"/>
  <c r="C52" i="7"/>
  <c r="K4" i="9"/>
  <c r="C50" i="7"/>
  <c r="F39" i="5"/>
  <c r="I78" i="7" s="1"/>
  <c r="I79" i="7" s="1"/>
  <c r="I65" i="7"/>
  <c r="I66" i="7" s="1"/>
  <c r="E7" i="8"/>
  <c r="I4" i="7"/>
  <c r="I3" i="7"/>
  <c r="I12" i="7" s="1"/>
  <c r="C8" i="7"/>
  <c r="C51" i="7" l="1"/>
  <c r="C60" i="7" s="1"/>
  <c r="K5" i="9"/>
  <c r="K14" i="9" s="1"/>
  <c r="D9" i="9" s="1"/>
  <c r="E4" i="9" s="1"/>
  <c r="E19" i="6" s="1"/>
  <c r="D19" i="6" l="1"/>
  <c r="F56" i="5"/>
  <c r="E5" i="9"/>
  <c r="G19" i="6" s="1"/>
  <c r="E6" i="9"/>
  <c r="E20" i="6"/>
  <c r="D20" i="6"/>
  <c r="E7" i="9" l="1"/>
  <c r="I19" i="6"/>
  <c r="F19" i="6"/>
  <c r="F20" i="6" s="1"/>
  <c r="F57" i="5"/>
  <c r="G20" i="6"/>
  <c r="D50" i="7"/>
  <c r="C9" i="7"/>
  <c r="C10" i="7" s="1"/>
  <c r="F59" i="5" s="1"/>
  <c r="C18" i="7" l="1"/>
  <c r="C19" i="7" s="1"/>
  <c r="F60" i="5" s="1"/>
  <c r="D51" i="7"/>
  <c r="F58" i="5"/>
  <c r="H19" i="6"/>
  <c r="H20" i="6" s="1"/>
  <c r="I20" i="6"/>
  <c r="D3" i="7"/>
  <c r="D10" i="7" s="1"/>
  <c r="C45" i="7"/>
  <c r="C46" i="7" s="1"/>
  <c r="C47" i="7" s="1"/>
  <c r="M89" i="7" l="1"/>
  <c r="M90" i="7" s="1"/>
  <c r="F61" i="5" s="1"/>
  <c r="D52" i="7"/>
  <c r="D60" i="7" s="1"/>
  <c r="D13" i="7"/>
  <c r="D19" i="7" s="1"/>
  <c r="C63" i="7"/>
  <c r="C64" i="7" s="1"/>
  <c r="C65" i="7" s="1"/>
  <c r="N82" i="7" l="1"/>
  <c r="N90" i="7" s="1"/>
  <c r="H69" i="7"/>
  <c r="H70" i="7" s="1"/>
  <c r="H71" i="7" s="1"/>
</calcChain>
</file>

<file path=xl/sharedStrings.xml><?xml version="1.0" encoding="utf-8"?>
<sst xmlns="http://schemas.openxmlformats.org/spreadsheetml/2006/main" count="401" uniqueCount="220">
  <si>
    <t>№ п/п</t>
  </si>
  <si>
    <t>Наименование</t>
  </si>
  <si>
    <t>Количество</t>
  </si>
  <si>
    <t>Цена за ед. руб.</t>
  </si>
  <si>
    <t>Сумма, руб.</t>
  </si>
  <si>
    <t>ДСП 1500х70</t>
  </si>
  <si>
    <t>шт.</t>
  </si>
  <si>
    <t>ДСП 1500х50</t>
  </si>
  <si>
    <t>3.</t>
  </si>
  <si>
    <t>Ткань обивочная</t>
  </si>
  <si>
    <t>м.п.</t>
  </si>
  <si>
    <t>4.</t>
  </si>
  <si>
    <t>Брус</t>
  </si>
  <si>
    <t>м3</t>
  </si>
  <si>
    <t>5.</t>
  </si>
  <si>
    <t>Метизы</t>
  </si>
  <si>
    <t>кг</t>
  </si>
  <si>
    <t>6.</t>
  </si>
  <si>
    <t>Поролон</t>
  </si>
  <si>
    <t>м2</t>
  </si>
  <si>
    <t>Ед. изм.</t>
  </si>
  <si>
    <t>Срок полезного использования, лет.</t>
  </si>
  <si>
    <t>Год эксплуатации</t>
  </si>
  <si>
    <t>1.</t>
  </si>
  <si>
    <t>Здание производственное</t>
  </si>
  <si>
    <t>Линейный</t>
  </si>
  <si>
    <t>Станок деревообрабатывающий</t>
  </si>
  <si>
    <t>Шлифовальный станок</t>
  </si>
  <si>
    <t>линейный</t>
  </si>
  <si>
    <t>Оборудование для ремонта</t>
  </si>
  <si>
    <t>Компьютер (4 шт.)</t>
  </si>
  <si>
    <t>Ксерокс</t>
  </si>
  <si>
    <t>Факс</t>
  </si>
  <si>
    <t>Автомобиль</t>
  </si>
  <si>
    <t>Производительный</t>
  </si>
  <si>
    <t>Основное производство сч.25</t>
  </si>
  <si>
    <t>Ремонтный участок сч.25</t>
  </si>
  <si>
    <t>Общехозяйственные расходы сч.26</t>
  </si>
  <si>
    <t>Ресурс 280000 км</t>
  </si>
  <si>
    <t>Метод начисления амортизации, согласно учетной политики</t>
  </si>
  <si>
    <t>Первоначальная стоимость, руб.</t>
  </si>
  <si>
    <t>Пробег 800км за месяц</t>
  </si>
  <si>
    <t>Сумма чисел лет (1-й  год эксплуатации)</t>
  </si>
  <si>
    <t>844,00 х 4шт</t>
  </si>
  <si>
    <t>Норма амортизации</t>
  </si>
  <si>
    <t>Сумма амортизации</t>
  </si>
  <si>
    <t>счл</t>
  </si>
  <si>
    <t>Рабочие</t>
  </si>
  <si>
    <t>ЧТС, руб.</t>
  </si>
  <si>
    <t>Отработано часов</t>
  </si>
  <si>
    <t>Премия</t>
  </si>
  <si>
    <t>Всего</t>
  </si>
  <si>
    <t>В том числе часов</t>
  </si>
  <si>
    <t>Дубовик В.Н.(шкаф)</t>
  </si>
  <si>
    <t>-</t>
  </si>
  <si>
    <t>2.</t>
  </si>
  <si>
    <t>Мохнач В.А. (стул)</t>
  </si>
  <si>
    <t>Ночные (величина доплат 40%)</t>
  </si>
  <si>
    <t>Сверхурочные (величина доплат 100%)</t>
  </si>
  <si>
    <t>Выходные и праздничные дни (величина доплат 100%)</t>
  </si>
  <si>
    <t>Премия (%)</t>
  </si>
  <si>
    <t>Ритвинский Д.А. Рабочий по ремонту оборудования</t>
  </si>
  <si>
    <t>Тарасевич В.И. (стол)</t>
  </si>
  <si>
    <t>ЗП ф. отр. Время</t>
  </si>
  <si>
    <t>Доплата (ночное время)</t>
  </si>
  <si>
    <t>Доплата (сверхурочное время)</t>
  </si>
  <si>
    <t>ЗП начисл.</t>
  </si>
  <si>
    <t>Должность</t>
  </si>
  <si>
    <t>ДО, руб.</t>
  </si>
  <si>
    <t>Отработано за месяц, дней.</t>
  </si>
  <si>
    <t>За стаж</t>
  </si>
  <si>
    <t>Директор</t>
  </si>
  <si>
    <t>Зам.директора</t>
  </si>
  <si>
    <t>Гл.бухгалтер</t>
  </si>
  <si>
    <t>Кассир</t>
  </si>
  <si>
    <t>За стаж (%)</t>
  </si>
  <si>
    <t>За сложность и напряженность (%)</t>
  </si>
  <si>
    <t>ЗП начислено</t>
  </si>
  <si>
    <t>Кол-во рабочих дней:</t>
  </si>
  <si>
    <t>За сложность и напряг</t>
  </si>
  <si>
    <t>Зп отраб дни</t>
  </si>
  <si>
    <t>Документ</t>
  </si>
  <si>
    <t>Содержание операции</t>
  </si>
  <si>
    <t>Д-т</t>
  </si>
  <si>
    <t>К-т</t>
  </si>
  <si>
    <t>Расходы на основное производство:</t>
  </si>
  <si>
    <t>Накладная</t>
  </si>
  <si>
    <t>Со склада отпущены  материалы (на партию изделий):</t>
  </si>
  <si>
    <t>-ДСП 1500х70 -20 шт. (шкаф сч.20/1)</t>
  </si>
  <si>
    <t>20/1</t>
  </si>
  <si>
    <t>-ДСП 1500х50 -15 шт. (стол сч.20/2)</t>
  </si>
  <si>
    <t>20/2</t>
  </si>
  <si>
    <t>-Ткань – 8 м.п. (стул сч.20/3 )</t>
  </si>
  <si>
    <t>20/3</t>
  </si>
  <si>
    <t>-брус - 0,5 м3 (стул сч.20/3)</t>
  </si>
  <si>
    <t>-Метизы - 0,9 кг. (шкаф сч.20/1 )</t>
  </si>
  <si>
    <t>-Поролон – 6 м2. (стул сч.20/3)</t>
  </si>
  <si>
    <t>(сумму рассчитать, цены см. табл. 1)</t>
  </si>
  <si>
    <t>Ведомость начисления заработной платы</t>
  </si>
  <si>
    <t xml:space="preserve">Начислены отчисления на социальное страхование (от п.2) </t>
  </si>
  <si>
    <t>Начислены платежи на страхование от несчастных случаев на производстве и профессиональных заболеваний Белгосстрах (от п.2)</t>
  </si>
  <si>
    <t>Начислены отчисления на социальное страхование (от п.5)</t>
  </si>
  <si>
    <t>Начислены платежи на страхование от несчастных случаев на производстве и профессиональных  заболеваний (от п.5)</t>
  </si>
  <si>
    <t>Начислены отчисления на социальное страхование (от п.8)</t>
  </si>
  <si>
    <t>Начислены платежи на страхование от несчастных случаев на производстве и профессиональных  заболеваний (от п.8)</t>
  </si>
  <si>
    <t>Общепроизводственные расходы</t>
  </si>
  <si>
    <t>Ведомость начисления амортизации</t>
  </si>
  <si>
    <t>Начислена амортизация основных производственных фондов (производственный цех)</t>
  </si>
  <si>
    <t>Счет-фактура</t>
  </si>
  <si>
    <t>Принят счет  организации за электроэнергию:</t>
  </si>
  <si>
    <t>- отражена стоимость работ услуг</t>
  </si>
  <si>
    <t>- отражен НДС, подлежащий уплате</t>
  </si>
  <si>
    <t>25</t>
  </si>
  <si>
    <t>Принят счет водоканала за потребление воды:</t>
  </si>
  <si>
    <t xml:space="preserve">Со склада отпущены  вспомогательные материалы </t>
  </si>
  <si>
    <t>Со склада отпущены запасные части для технического обслуживания шлифовального станка</t>
  </si>
  <si>
    <t>Начислены отчисления на социальное страхование (от п.16)</t>
  </si>
  <si>
    <t>Начислены платежи на страхование от несчастных случаев на производстве и профессиональных  заболеваний Белгосстрах (от п.16)</t>
  </si>
  <si>
    <t>Начислена амортизация оборудования ремонтной службы</t>
  </si>
  <si>
    <t>Расчет бухгалтерии</t>
  </si>
  <si>
    <t>Списание общепроизводственных расходов на основное производство, табл. 7</t>
  </si>
  <si>
    <t>Общехозяйственные расходы, счет 26:</t>
  </si>
  <si>
    <t>Начислена заработная плата администрации, табл.4</t>
  </si>
  <si>
    <t>Начислены отчисления на социальное страхование (от п.21)</t>
  </si>
  <si>
    <t>Начислены платежи на страхование от несчастных случаев на производстве и профессиональных  заболеваний Белгосстрах (от п.21)</t>
  </si>
  <si>
    <t>Принят счет  Белтелеком:</t>
  </si>
  <si>
    <t>- отражена стоимость  услуг;</t>
  </si>
  <si>
    <t>- отражен НДС, подлежащий уплате;</t>
  </si>
  <si>
    <t>26</t>
  </si>
  <si>
    <t>Принят счет организации за электроэнергию:</t>
  </si>
  <si>
    <t>- отражена стоимость электроэнергии;</t>
  </si>
  <si>
    <t>Принят счет  водоканала за расход воды:</t>
  </si>
  <si>
    <t>- отражена стоимость работ услуг;</t>
  </si>
  <si>
    <t>Авансовый отчет</t>
  </si>
  <si>
    <t>Предоставлен авансовый отчет о командировочных расходах директора</t>
  </si>
  <si>
    <t xml:space="preserve">Принят счет организации за аренду административного задания; </t>
  </si>
  <si>
    <t>- отражена стоимость аренды;</t>
  </si>
  <si>
    <t>Начислена амортизация основных средств (офис предприятия)</t>
  </si>
  <si>
    <t>Справка о реализации нефтепродуктов (расчет бухгалтерии)</t>
  </si>
  <si>
    <t>Списание общехозяйственных расходов, табл. 8</t>
  </si>
  <si>
    <t xml:space="preserve">Накладная </t>
  </si>
  <si>
    <t xml:space="preserve">Оприходована на складе партия готовой продукция </t>
  </si>
  <si>
    <t>43/1</t>
  </si>
  <si>
    <t>43/2</t>
  </si>
  <si>
    <t>43/3</t>
  </si>
  <si>
    <t>Сумма руб.</t>
  </si>
  <si>
    <t>Начислена заработная плата Дубовик В.Н.</t>
  </si>
  <si>
    <t>Начислена заработная плата Тарасевич В.И.</t>
  </si>
  <si>
    <t>Общепроизводственные расходы (Расходы на содержание и эксплуатацию оборудования) , счет 25:</t>
  </si>
  <si>
    <t>Начислена заработная плата Мохнач В.А.</t>
  </si>
  <si>
    <t>18/1</t>
  </si>
  <si>
    <t>Начислена заработная плата Ритвинском Д.А.</t>
  </si>
  <si>
    <t xml:space="preserve">Списано автомобильное топливо на служебном автомобиле по норме. Норма расхода 10,8 л. на 100 км. пробега. Цена 1 л. 1,50  руб., пробег 800 км за месяц. </t>
  </si>
  <si>
    <t>Дт</t>
  </si>
  <si>
    <t>Кт</t>
  </si>
  <si>
    <t>Од</t>
  </si>
  <si>
    <t>Ок</t>
  </si>
  <si>
    <t>Наименование статей</t>
  </si>
  <si>
    <t>Шкаф  сч 20/1</t>
  </si>
  <si>
    <t>Стол  сч 20/2</t>
  </si>
  <si>
    <t>Стул  сч 20/3</t>
  </si>
  <si>
    <t>На ед.</t>
  </si>
  <si>
    <t>1.Материалы всего:</t>
  </si>
  <si>
    <t>в том числе</t>
  </si>
  <si>
    <t>-ДСП 1500х70</t>
  </si>
  <si>
    <t>-ДСП 1500х50</t>
  </si>
  <si>
    <t>-Ткань</t>
  </si>
  <si>
    <t>-Брус</t>
  </si>
  <si>
    <t>- Метизы</t>
  </si>
  <si>
    <t>-Поролон</t>
  </si>
  <si>
    <t>2. Заработная плата основных рабочих</t>
  </si>
  <si>
    <t>Начисление на заработную плату:</t>
  </si>
  <si>
    <t>3 ФСЗН</t>
  </si>
  <si>
    <t>4. Платежи на страхование от несчастных случаев Белгосстрах</t>
  </si>
  <si>
    <t>5. Общепроизводственные расходы</t>
  </si>
  <si>
    <t>6.Общехозяйственные расходы</t>
  </si>
  <si>
    <t>ИТОГО   СЕБЕСТОИМОСТЬ</t>
  </si>
  <si>
    <t>На партию, 7 штук (табл. 5)</t>
  </si>
  <si>
    <t>На партию, 5 штук (табл. 5)</t>
  </si>
  <si>
    <t>На партию, 12 штук (табл. 5)</t>
  </si>
  <si>
    <t>Счет 25</t>
  </si>
  <si>
    <t>Наименование продукции</t>
  </si>
  <si>
    <t>Расчет</t>
  </si>
  <si>
    <t xml:space="preserve">Итого: </t>
  </si>
  <si>
    <t>Шкаф</t>
  </si>
  <si>
    <t>Стол</t>
  </si>
  <si>
    <t>Стул</t>
  </si>
  <si>
    <r>
      <t xml:space="preserve">ЗП </t>
    </r>
    <r>
      <rPr>
        <vertAlign val="subscript"/>
        <sz val="11"/>
        <color theme="1"/>
        <rFont val="Calibri"/>
        <family val="2"/>
        <charset val="204"/>
        <scheme val="minor"/>
      </rPr>
      <t>шкаф</t>
    </r>
    <r>
      <rPr>
        <sz val="11"/>
        <color theme="1"/>
        <rFont val="Calibri"/>
        <family val="2"/>
        <scheme val="minor"/>
      </rPr>
      <t xml:space="preserve"> * К</t>
    </r>
    <r>
      <rPr>
        <vertAlign val="subscript"/>
        <sz val="11"/>
        <color theme="1"/>
        <rFont val="Calibri"/>
        <family val="2"/>
        <charset val="204"/>
        <scheme val="minor"/>
      </rPr>
      <t>распред</t>
    </r>
  </si>
  <si>
    <r>
      <t xml:space="preserve">ЗП </t>
    </r>
    <r>
      <rPr>
        <vertAlign val="subscript"/>
        <sz val="11"/>
        <color theme="1"/>
        <rFont val="Calibri"/>
        <family val="2"/>
        <charset val="204"/>
        <scheme val="minor"/>
      </rPr>
      <t>стол</t>
    </r>
    <r>
      <rPr>
        <sz val="11"/>
        <color theme="1"/>
        <rFont val="Calibri"/>
        <family val="2"/>
        <scheme val="minor"/>
      </rPr>
      <t xml:space="preserve"> * К</t>
    </r>
    <r>
      <rPr>
        <vertAlign val="subscript"/>
        <sz val="11"/>
        <color theme="1"/>
        <rFont val="Calibri"/>
        <family val="2"/>
        <charset val="204"/>
        <scheme val="minor"/>
      </rPr>
      <t>распред</t>
    </r>
  </si>
  <si>
    <r>
      <t xml:space="preserve">ЗП </t>
    </r>
    <r>
      <rPr>
        <vertAlign val="subscript"/>
        <sz val="11"/>
        <color theme="1"/>
        <rFont val="Calibri"/>
        <family val="2"/>
        <charset val="204"/>
        <scheme val="minor"/>
      </rPr>
      <t>стул</t>
    </r>
    <r>
      <rPr>
        <sz val="11"/>
        <color theme="1"/>
        <rFont val="Calibri"/>
        <family val="2"/>
        <scheme val="minor"/>
      </rPr>
      <t xml:space="preserve"> * К</t>
    </r>
    <r>
      <rPr>
        <vertAlign val="subscript"/>
        <sz val="11"/>
        <color theme="1"/>
        <rFont val="Calibri"/>
        <family val="2"/>
        <charset val="204"/>
        <scheme val="minor"/>
      </rPr>
      <t>распред</t>
    </r>
  </si>
  <si>
    <t>Счет 26</t>
  </si>
  <si>
    <t>Общехозяйственные расходы</t>
  </si>
  <si>
    <t>Счет 10</t>
  </si>
  <si>
    <t>Счет 02</t>
  </si>
  <si>
    <t>Счет 69</t>
  </si>
  <si>
    <t>Счет 70</t>
  </si>
  <si>
    <t>Счет 76</t>
  </si>
  <si>
    <t>Счет 18/1</t>
  </si>
  <si>
    <t>Счет 71</t>
  </si>
  <si>
    <t>Счет 60</t>
  </si>
  <si>
    <t>Счет 43/1</t>
  </si>
  <si>
    <t>Счет 43/2</t>
  </si>
  <si>
    <t>Счет 43/3</t>
  </si>
  <si>
    <r>
      <t>К</t>
    </r>
    <r>
      <rPr>
        <vertAlign val="subscript"/>
        <sz val="11"/>
        <color theme="1"/>
        <rFont val="Calibri"/>
        <family val="2"/>
        <charset val="204"/>
        <scheme val="minor"/>
      </rPr>
      <t>распред</t>
    </r>
    <r>
      <rPr>
        <sz val="11"/>
        <color theme="1"/>
        <rFont val="Calibri"/>
        <family val="2"/>
        <scheme val="minor"/>
      </rPr>
      <t xml:space="preserve"> =</t>
    </r>
  </si>
  <si>
    <t>ЗП</t>
  </si>
  <si>
    <t>Итого:</t>
  </si>
  <si>
    <t>573,89*1,16</t>
  </si>
  <si>
    <t>555,34*1,16</t>
  </si>
  <si>
    <t>589,5*1,16</t>
  </si>
  <si>
    <t>Офис</t>
  </si>
  <si>
    <t>Ремонтное оборудование</t>
  </si>
  <si>
    <t>Основное производство</t>
  </si>
  <si>
    <t>573,89*6,73</t>
  </si>
  <si>
    <t>555,34*6,73</t>
  </si>
  <si>
    <t>589,5*6,73</t>
  </si>
  <si>
    <t>Счет 20/1</t>
  </si>
  <si>
    <t>Счет 20/2</t>
  </si>
  <si>
    <t>Счет 20/3</t>
  </si>
  <si>
    <t>СКК</t>
  </si>
  <si>
    <t>СКД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</si>
</sst>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0"/>
      <color theme="1"/>
      <name val="Times New Roman"/>
      <family val="1"/>
      <charset val="204"/>
    </font>
    <font>
      <vertAlign val="subscript"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2" fontId="0" fillId="0" borderId="1" xfId="0" applyNumberFormat="1" applyBorder="1"/>
    <xf numFmtId="2" fontId="2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2" fillId="0" borderId="1" xfId="0" applyNumberFormat="1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sqref="A1:F8"/>
    </sheetView>
  </sheetViews>
  <sheetFormatPr defaultRowHeight="14.4" x14ac:dyDescent="0.3"/>
  <cols>
    <col min="1" max="1" width="7.88671875" style="5" customWidth="1"/>
    <col min="2" max="2" width="20.109375" style="5" customWidth="1"/>
    <col min="3" max="3" width="9.33203125" style="5" customWidth="1"/>
    <col min="4" max="4" width="11" style="5" customWidth="1"/>
    <col min="5" max="5" width="10.6640625" style="5" customWidth="1"/>
    <col min="6" max="6" width="11.88671875" style="5" customWidth="1"/>
    <col min="7" max="7" width="8.88671875" style="5"/>
    <col min="8" max="8" width="6.109375" style="5" customWidth="1"/>
    <col min="9" max="9" width="8.88671875" style="5" customWidth="1"/>
    <col min="10" max="10" width="13.5546875" style="5" customWidth="1"/>
    <col min="11" max="16384" width="8.88671875" style="5"/>
  </cols>
  <sheetData>
    <row r="1" spans="1:6" ht="34.799999999999997" customHeight="1" x14ac:dyDescent="0.3">
      <c r="A1" s="35" t="s">
        <v>0</v>
      </c>
      <c r="B1" s="35" t="s">
        <v>1</v>
      </c>
      <c r="C1" s="35" t="s">
        <v>20</v>
      </c>
      <c r="D1" s="37" t="s">
        <v>2</v>
      </c>
      <c r="E1" s="37" t="s">
        <v>3</v>
      </c>
      <c r="F1" s="37" t="s">
        <v>4</v>
      </c>
    </row>
    <row r="2" spans="1:6" hidden="1" x14ac:dyDescent="0.3">
      <c r="A2" s="36"/>
      <c r="B2" s="36"/>
      <c r="C2" s="36"/>
      <c r="D2" s="38"/>
      <c r="E2" s="38"/>
      <c r="F2" s="38"/>
    </row>
    <row r="3" spans="1:6" x14ac:dyDescent="0.3">
      <c r="A3" s="4">
        <v>1</v>
      </c>
      <c r="B3" s="4" t="s">
        <v>5</v>
      </c>
      <c r="C3" s="4" t="s">
        <v>6</v>
      </c>
      <c r="D3" s="4">
        <v>56</v>
      </c>
      <c r="E3" s="4">
        <v>34.4</v>
      </c>
      <c r="F3" s="4">
        <f t="shared" ref="F3:F8" si="0">E3*D3</f>
        <v>1926.3999999999999</v>
      </c>
    </row>
    <row r="4" spans="1:6" x14ac:dyDescent="0.3">
      <c r="A4" s="4">
        <v>2</v>
      </c>
      <c r="B4" s="4" t="s">
        <v>7</v>
      </c>
      <c r="C4" s="4" t="s">
        <v>6</v>
      </c>
      <c r="D4" s="4">
        <v>70</v>
      </c>
      <c r="E4" s="4">
        <v>24.4</v>
      </c>
      <c r="F4" s="4">
        <f t="shared" si="0"/>
        <v>1708</v>
      </c>
    </row>
    <row r="5" spans="1:6" ht="18.600000000000001" customHeight="1" x14ac:dyDescent="0.3">
      <c r="A5" s="4" t="s">
        <v>8</v>
      </c>
      <c r="B5" s="4" t="s">
        <v>9</v>
      </c>
      <c r="C5" s="4" t="s">
        <v>10</v>
      </c>
      <c r="D5" s="4">
        <v>120</v>
      </c>
      <c r="E5" s="4">
        <v>7.44</v>
      </c>
      <c r="F5" s="4">
        <f t="shared" si="0"/>
        <v>892.80000000000007</v>
      </c>
    </row>
    <row r="6" spans="1:6" x14ac:dyDescent="0.3">
      <c r="A6" s="4" t="s">
        <v>11</v>
      </c>
      <c r="B6" s="4" t="s">
        <v>12</v>
      </c>
      <c r="C6" s="4" t="s">
        <v>13</v>
      </c>
      <c r="D6" s="4">
        <v>2</v>
      </c>
      <c r="E6" s="4">
        <v>84.4</v>
      </c>
      <c r="F6" s="4">
        <f t="shared" si="0"/>
        <v>168.8</v>
      </c>
    </row>
    <row r="7" spans="1:6" x14ac:dyDescent="0.3">
      <c r="A7" s="4" t="s">
        <v>14</v>
      </c>
      <c r="B7" s="4" t="s">
        <v>15</v>
      </c>
      <c r="C7" s="4" t="s">
        <v>16</v>
      </c>
      <c r="D7" s="4">
        <v>4.8</v>
      </c>
      <c r="E7" s="4">
        <v>5.44</v>
      </c>
      <c r="F7" s="4">
        <f t="shared" si="0"/>
        <v>26.112000000000002</v>
      </c>
    </row>
    <row r="8" spans="1:6" x14ac:dyDescent="0.3">
      <c r="A8" s="4" t="s">
        <v>17</v>
      </c>
      <c r="B8" s="4" t="s">
        <v>18</v>
      </c>
      <c r="C8" s="4" t="s">
        <v>19</v>
      </c>
      <c r="D8" s="4">
        <v>20</v>
      </c>
      <c r="E8" s="4">
        <v>14.4</v>
      </c>
      <c r="F8" s="4">
        <f t="shared" si="0"/>
        <v>288</v>
      </c>
    </row>
  </sheetData>
  <mergeCells count="6">
    <mergeCell ref="A1:A2"/>
    <mergeCell ref="B1:B2"/>
    <mergeCell ref="D1:D2"/>
    <mergeCell ref="E1:E2"/>
    <mergeCell ref="F1:F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8CC1B-AD20-4C7A-A470-4C2ED650D774}">
  <dimension ref="A1:K14"/>
  <sheetViews>
    <sheetView workbookViewId="0">
      <selection sqref="A1:H13"/>
    </sheetView>
  </sheetViews>
  <sheetFormatPr defaultRowHeight="14.4" x14ac:dyDescent="0.3"/>
  <cols>
    <col min="2" max="2" width="24.6640625" customWidth="1"/>
    <col min="3" max="3" width="15.6640625" customWidth="1"/>
    <col min="4" max="4" width="13.33203125" customWidth="1"/>
    <col min="5" max="5" width="12.88671875" customWidth="1"/>
    <col min="6" max="6" width="21.44140625" customWidth="1"/>
    <col min="9" max="9" width="11.109375" customWidth="1"/>
  </cols>
  <sheetData>
    <row r="1" spans="1:11" ht="49.2" customHeight="1" x14ac:dyDescent="0.3">
      <c r="A1" s="7" t="s">
        <v>0</v>
      </c>
      <c r="B1" s="7" t="s">
        <v>1</v>
      </c>
      <c r="C1" s="7" t="s">
        <v>21</v>
      </c>
      <c r="D1" s="7" t="s">
        <v>40</v>
      </c>
      <c r="E1" s="7" t="s">
        <v>22</v>
      </c>
      <c r="F1" s="7" t="s">
        <v>39</v>
      </c>
      <c r="G1" s="8" t="s">
        <v>44</v>
      </c>
      <c r="H1" s="8" t="s">
        <v>45</v>
      </c>
    </row>
    <row r="2" spans="1:11" x14ac:dyDescent="0.3">
      <c r="A2" s="39" t="s">
        <v>35</v>
      </c>
      <c r="B2" s="39"/>
      <c r="C2" s="39"/>
      <c r="D2" s="39"/>
      <c r="E2" s="39"/>
      <c r="F2" s="61"/>
      <c r="G2" s="54"/>
      <c r="H2" s="54"/>
    </row>
    <row r="3" spans="1:11" x14ac:dyDescent="0.3">
      <c r="A3" s="4" t="s">
        <v>23</v>
      </c>
      <c r="B3" s="7" t="s">
        <v>24</v>
      </c>
      <c r="C3" s="4">
        <v>41</v>
      </c>
      <c r="D3" s="4">
        <v>170440</v>
      </c>
      <c r="E3" s="4">
        <v>1</v>
      </c>
      <c r="F3" s="4" t="s">
        <v>25</v>
      </c>
      <c r="G3" s="62">
        <f>(1/C3)*100</f>
        <v>2.4390243902439024</v>
      </c>
      <c r="H3" s="62">
        <f>G3*D3/100/12</f>
        <v>346.42276422764229</v>
      </c>
    </row>
    <row r="4" spans="1:11" ht="28.8" x14ac:dyDescent="0.3">
      <c r="A4" s="4">
        <v>2</v>
      </c>
      <c r="B4" s="7" t="s">
        <v>26</v>
      </c>
      <c r="C4" s="4">
        <v>10</v>
      </c>
      <c r="D4" s="4">
        <v>2944</v>
      </c>
      <c r="E4" s="4">
        <v>1</v>
      </c>
      <c r="F4" s="4" t="s">
        <v>25</v>
      </c>
      <c r="G4" s="10">
        <f>(1/C4)*100</f>
        <v>10</v>
      </c>
      <c r="H4" s="22">
        <f>G4*D4/100/12</f>
        <v>24.533333333333331</v>
      </c>
    </row>
    <row r="5" spans="1:11" x14ac:dyDescent="0.3">
      <c r="A5" s="4">
        <v>3</v>
      </c>
      <c r="B5" s="7" t="s">
        <v>27</v>
      </c>
      <c r="C5" s="4">
        <v>13</v>
      </c>
      <c r="D5" s="4">
        <v>1244</v>
      </c>
      <c r="E5" s="4">
        <v>1</v>
      </c>
      <c r="F5" s="4" t="s">
        <v>28</v>
      </c>
      <c r="G5" s="10">
        <f>(1/C5)*100</f>
        <v>7.6923076923076925</v>
      </c>
      <c r="H5" s="22">
        <f>G5*D5/100/12</f>
        <v>7.9743589743589745</v>
      </c>
    </row>
    <row r="6" spans="1:11" x14ac:dyDescent="0.3">
      <c r="A6" s="39" t="s">
        <v>36</v>
      </c>
      <c r="B6" s="39"/>
      <c r="C6" s="39"/>
      <c r="D6" s="39"/>
      <c r="E6" s="39"/>
      <c r="F6" s="39"/>
      <c r="G6" s="9" t="s">
        <v>205</v>
      </c>
      <c r="H6" s="28">
        <f>SUM(H3:H5)</f>
        <v>378.9304565353346</v>
      </c>
      <c r="I6" s="41" t="s">
        <v>211</v>
      </c>
      <c r="J6" s="41"/>
      <c r="K6" s="41"/>
    </row>
    <row r="7" spans="1:11" ht="28.8" x14ac:dyDescent="0.3">
      <c r="A7" s="4">
        <v>1</v>
      </c>
      <c r="B7" s="7" t="s">
        <v>29</v>
      </c>
      <c r="C7" s="4">
        <v>12</v>
      </c>
      <c r="D7" s="4">
        <v>3044</v>
      </c>
      <c r="E7" s="4">
        <v>1</v>
      </c>
      <c r="F7" s="4" t="s">
        <v>28</v>
      </c>
      <c r="G7" s="10">
        <f>(1/C7)*100</f>
        <v>8.3333333333333321</v>
      </c>
      <c r="H7" s="63">
        <f>G7*D7/100/12</f>
        <v>21.138888888888886</v>
      </c>
      <c r="I7" s="40" t="s">
        <v>210</v>
      </c>
      <c r="J7" s="41"/>
      <c r="K7" s="41"/>
    </row>
    <row r="8" spans="1:11" x14ac:dyDescent="0.3">
      <c r="A8" s="39" t="s">
        <v>37</v>
      </c>
      <c r="B8" s="39"/>
      <c r="C8" s="39"/>
      <c r="D8" s="39"/>
      <c r="E8" s="39"/>
      <c r="F8" s="61"/>
      <c r="G8" s="22" t="s">
        <v>205</v>
      </c>
      <c r="H8" s="64">
        <f>H7</f>
        <v>21.138888888888886</v>
      </c>
      <c r="J8" s="4" t="s">
        <v>46</v>
      </c>
    </row>
    <row r="9" spans="1:11" ht="28.8" x14ac:dyDescent="0.3">
      <c r="A9" s="4">
        <v>1</v>
      </c>
      <c r="B9" s="7" t="s">
        <v>30</v>
      </c>
      <c r="C9" s="4">
        <v>4</v>
      </c>
      <c r="D9" s="4" t="s">
        <v>43</v>
      </c>
      <c r="E9" s="4">
        <v>1</v>
      </c>
      <c r="F9" s="7" t="s">
        <v>42</v>
      </c>
      <c r="G9" s="62">
        <f>4/10*100</f>
        <v>40</v>
      </c>
      <c r="H9" s="62">
        <f>844*4*G9/100/12</f>
        <v>112.53333333333335</v>
      </c>
      <c r="J9" s="4">
        <f>(4*(4+1))/2</f>
        <v>10</v>
      </c>
    </row>
    <row r="10" spans="1:11" x14ac:dyDescent="0.3">
      <c r="A10" s="4">
        <v>2</v>
      </c>
      <c r="B10" s="7" t="s">
        <v>31</v>
      </c>
      <c r="C10" s="4">
        <v>7</v>
      </c>
      <c r="D10" s="4">
        <v>544</v>
      </c>
      <c r="E10" s="4">
        <v>1</v>
      </c>
      <c r="F10" s="4" t="s">
        <v>25</v>
      </c>
      <c r="G10" s="10">
        <f>(1/C10)*100</f>
        <v>14.285714285714285</v>
      </c>
      <c r="H10" s="22">
        <f>D10*G10/100/12</f>
        <v>6.4761904761904754</v>
      </c>
    </row>
    <row r="11" spans="1:11" x14ac:dyDescent="0.3">
      <c r="A11" s="4">
        <v>3</v>
      </c>
      <c r="B11" s="7" t="s">
        <v>32</v>
      </c>
      <c r="C11" s="4">
        <v>7</v>
      </c>
      <c r="D11" s="4">
        <v>344</v>
      </c>
      <c r="E11" s="4">
        <v>1</v>
      </c>
      <c r="F11" s="4" t="s">
        <v>25</v>
      </c>
      <c r="G11" s="10">
        <f>(1/C11)*100</f>
        <v>14.285714285714285</v>
      </c>
      <c r="H11" s="22">
        <f>D11*G11/100/12</f>
        <v>4.0952380952380949</v>
      </c>
    </row>
    <row r="12" spans="1:11" ht="28.8" x14ac:dyDescent="0.3">
      <c r="A12" s="4">
        <v>4</v>
      </c>
      <c r="B12" s="7" t="s">
        <v>33</v>
      </c>
      <c r="C12" s="7" t="s">
        <v>38</v>
      </c>
      <c r="D12" s="4">
        <v>25440</v>
      </c>
      <c r="E12" s="7" t="s">
        <v>41</v>
      </c>
      <c r="F12" s="4" t="s">
        <v>34</v>
      </c>
      <c r="G12" s="10">
        <f>D12/280000</f>
        <v>9.0857142857142859E-2</v>
      </c>
      <c r="H12" s="10">
        <f>G12*800</f>
        <v>72.685714285714283</v>
      </c>
    </row>
    <row r="13" spans="1:11" x14ac:dyDescent="0.3">
      <c r="G13" s="22" t="s">
        <v>205</v>
      </c>
      <c r="H13" s="34">
        <f>SUM(H9:H12)</f>
        <v>195.7904761904762</v>
      </c>
      <c r="I13" t="s">
        <v>209</v>
      </c>
    </row>
    <row r="14" spans="1:11" x14ac:dyDescent="0.3">
      <c r="H14" s="17"/>
    </row>
  </sheetData>
  <mergeCells count="6">
    <mergeCell ref="A2:F2"/>
    <mergeCell ref="A8:F8"/>
    <mergeCell ref="A6:F6"/>
    <mergeCell ref="I7:K7"/>
    <mergeCell ref="I6:K6"/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734E-0B23-4FEF-8B95-5DFF6D84B3E4}">
  <dimension ref="A1:M9"/>
  <sheetViews>
    <sheetView workbookViewId="0">
      <selection activeCellId="1" sqref="I1:M8 A1:B8"/>
    </sheetView>
  </sheetViews>
  <sheetFormatPr defaultRowHeight="14.4" x14ac:dyDescent="0.3"/>
  <cols>
    <col min="1" max="1" width="8.88671875" style="5"/>
    <col min="2" max="2" width="23" style="5" customWidth="1"/>
    <col min="3" max="4" width="8.88671875" style="5"/>
    <col min="5" max="5" width="13.88671875" style="5" customWidth="1"/>
    <col min="6" max="6" width="13.44140625" style="5" customWidth="1"/>
    <col min="7" max="7" width="16.5546875" style="5" customWidth="1"/>
    <col min="8" max="8" width="9.6640625" style="5" customWidth="1"/>
    <col min="9" max="16384" width="8.88671875" style="5"/>
  </cols>
  <sheetData>
    <row r="1" spans="1:13" x14ac:dyDescent="0.3">
      <c r="A1" s="39" t="s">
        <v>0</v>
      </c>
      <c r="B1" s="39" t="s">
        <v>47</v>
      </c>
      <c r="C1" s="39" t="s">
        <v>48</v>
      </c>
      <c r="D1" s="39" t="s">
        <v>49</v>
      </c>
      <c r="E1" s="39"/>
      <c r="F1" s="39"/>
      <c r="G1" s="39"/>
      <c r="H1" s="42" t="s">
        <v>60</v>
      </c>
      <c r="I1" s="42" t="s">
        <v>63</v>
      </c>
      <c r="J1" s="42" t="s">
        <v>64</v>
      </c>
      <c r="K1" s="42" t="s">
        <v>65</v>
      </c>
      <c r="L1" s="42" t="s">
        <v>50</v>
      </c>
      <c r="M1" s="42" t="s">
        <v>66</v>
      </c>
    </row>
    <row r="2" spans="1:13" x14ac:dyDescent="0.3">
      <c r="A2" s="39"/>
      <c r="B2" s="39"/>
      <c r="C2" s="39"/>
      <c r="D2" s="39" t="s">
        <v>51</v>
      </c>
      <c r="E2" s="39" t="s">
        <v>52</v>
      </c>
      <c r="F2" s="39"/>
      <c r="G2" s="39"/>
      <c r="H2" s="42"/>
      <c r="I2" s="42"/>
      <c r="J2" s="42"/>
      <c r="K2" s="42"/>
      <c r="L2" s="42"/>
      <c r="M2" s="42"/>
    </row>
    <row r="3" spans="1:13" x14ac:dyDescent="0.3">
      <c r="A3" s="39"/>
      <c r="B3" s="39"/>
      <c r="C3" s="39"/>
      <c r="D3" s="39"/>
      <c r="E3" s="42" t="s">
        <v>57</v>
      </c>
      <c r="F3" s="42" t="s">
        <v>58</v>
      </c>
      <c r="G3" s="42" t="s">
        <v>59</v>
      </c>
      <c r="H3" s="42"/>
      <c r="I3" s="42"/>
      <c r="J3" s="42"/>
      <c r="K3" s="42"/>
      <c r="L3" s="42"/>
      <c r="M3" s="42"/>
    </row>
    <row r="4" spans="1:13" ht="41.4" customHeight="1" x14ac:dyDescent="0.3">
      <c r="A4" s="39"/>
      <c r="B4" s="39"/>
      <c r="C4" s="39"/>
      <c r="D4" s="39"/>
      <c r="E4" s="42"/>
      <c r="F4" s="42"/>
      <c r="G4" s="42"/>
      <c r="H4" s="42"/>
      <c r="I4" s="42"/>
      <c r="J4" s="42"/>
      <c r="K4" s="42"/>
      <c r="L4" s="42"/>
      <c r="M4" s="42"/>
    </row>
    <row r="5" spans="1:13" x14ac:dyDescent="0.3">
      <c r="A5" s="4" t="s">
        <v>23</v>
      </c>
      <c r="B5" s="7" t="s">
        <v>53</v>
      </c>
      <c r="C5" s="4">
        <v>2.44</v>
      </c>
      <c r="D5" s="4">
        <v>176</v>
      </c>
      <c r="E5" s="4">
        <v>40</v>
      </c>
      <c r="F5" s="4">
        <v>8</v>
      </c>
      <c r="G5" s="4" t="s">
        <v>54</v>
      </c>
      <c r="H5" s="4">
        <v>20</v>
      </c>
      <c r="I5" s="4">
        <f>D5*C5</f>
        <v>429.44</v>
      </c>
      <c r="J5" s="4">
        <f>E5*$E$9*C5</f>
        <v>39.04</v>
      </c>
      <c r="K5" s="4">
        <f>F5*$F$9*C5</f>
        <v>19.52</v>
      </c>
      <c r="L5" s="10">
        <f>I5*(H5/100)</f>
        <v>85.888000000000005</v>
      </c>
      <c r="M5" s="10">
        <f>SUM(I5:L5)</f>
        <v>573.88800000000003</v>
      </c>
    </row>
    <row r="6" spans="1:13" x14ac:dyDescent="0.3">
      <c r="A6" s="4" t="s">
        <v>55</v>
      </c>
      <c r="B6" s="7" t="s">
        <v>62</v>
      </c>
      <c r="C6" s="4">
        <v>2.44</v>
      </c>
      <c r="D6" s="4">
        <v>164</v>
      </c>
      <c r="E6" s="4">
        <v>16</v>
      </c>
      <c r="F6" s="4" t="s">
        <v>54</v>
      </c>
      <c r="G6" s="4">
        <v>8</v>
      </c>
      <c r="H6" s="4">
        <v>30</v>
      </c>
      <c r="I6" s="4">
        <f>D6*C6</f>
        <v>400.15999999999997</v>
      </c>
      <c r="J6" s="4">
        <f>E6*$E$9*C6</f>
        <v>15.616</v>
      </c>
      <c r="K6" s="4">
        <f>G6*$G$9*C6</f>
        <v>19.52</v>
      </c>
      <c r="L6" s="10">
        <f>I6*(H6/100)</f>
        <v>120.04799999999999</v>
      </c>
      <c r="M6" s="10">
        <f t="shared" ref="M6:M8" si="0">SUM(I6:L6)</f>
        <v>555.34399999999994</v>
      </c>
    </row>
    <row r="7" spans="1:13" x14ac:dyDescent="0.3">
      <c r="A7" s="4" t="s">
        <v>8</v>
      </c>
      <c r="B7" s="7" t="s">
        <v>56</v>
      </c>
      <c r="C7" s="4">
        <v>2.44</v>
      </c>
      <c r="D7" s="4">
        <v>176</v>
      </c>
      <c r="E7" s="4">
        <v>12</v>
      </c>
      <c r="F7" s="4">
        <v>8</v>
      </c>
      <c r="G7" s="4" t="s">
        <v>54</v>
      </c>
      <c r="H7" s="4">
        <v>30</v>
      </c>
      <c r="I7" s="4">
        <f>D7*C7</f>
        <v>429.44</v>
      </c>
      <c r="J7" s="4">
        <f>E7*$E$9*C7</f>
        <v>11.712000000000002</v>
      </c>
      <c r="K7" s="4">
        <f t="shared" ref="K7" si="1">F7*$F$9*C7</f>
        <v>19.52</v>
      </c>
      <c r="L7" s="10">
        <f>I7*(H7/100)</f>
        <v>128.83199999999999</v>
      </c>
      <c r="M7" s="10">
        <f t="shared" si="0"/>
        <v>589.50399999999991</v>
      </c>
    </row>
    <row r="8" spans="1:13" ht="43.2" x14ac:dyDescent="0.3">
      <c r="A8" s="4" t="s">
        <v>11</v>
      </c>
      <c r="B8" s="7" t="s">
        <v>61</v>
      </c>
      <c r="C8" s="4">
        <v>2.44</v>
      </c>
      <c r="D8" s="4">
        <v>164</v>
      </c>
      <c r="E8" s="4" t="s">
        <v>54</v>
      </c>
      <c r="F8" s="4" t="s">
        <v>54</v>
      </c>
      <c r="G8" s="4" t="s">
        <v>54</v>
      </c>
      <c r="H8" s="4">
        <v>30</v>
      </c>
      <c r="I8" s="4">
        <f>D8*C8</f>
        <v>400.15999999999997</v>
      </c>
      <c r="J8" s="4">
        <v>0</v>
      </c>
      <c r="K8" s="4">
        <v>0</v>
      </c>
      <c r="L8" s="10">
        <f>I8*(H8/100)</f>
        <v>120.04799999999999</v>
      </c>
      <c r="M8" s="10">
        <f t="shared" si="0"/>
        <v>520.20799999999997</v>
      </c>
    </row>
    <row r="9" spans="1:13" x14ac:dyDescent="0.3">
      <c r="E9" s="5">
        <v>0.4</v>
      </c>
      <c r="F9" s="5">
        <v>1</v>
      </c>
      <c r="G9" s="5">
        <v>1</v>
      </c>
    </row>
  </sheetData>
  <mergeCells count="15">
    <mergeCell ref="M1:M4"/>
    <mergeCell ref="D1:G1"/>
    <mergeCell ref="E2:G2"/>
    <mergeCell ref="A1:A4"/>
    <mergeCell ref="B1:B4"/>
    <mergeCell ref="C1:C4"/>
    <mergeCell ref="D2:D4"/>
    <mergeCell ref="E3:E4"/>
    <mergeCell ref="F3:F4"/>
    <mergeCell ref="G3:G4"/>
    <mergeCell ref="H1:H4"/>
    <mergeCell ref="I1:I4"/>
    <mergeCell ref="J1:J4"/>
    <mergeCell ref="K1:K4"/>
    <mergeCell ref="L1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D112-C559-465B-9BBD-C9F6E65ED353}">
  <dimension ref="A1:O7"/>
  <sheetViews>
    <sheetView workbookViewId="0">
      <selection activeCell="I1" sqref="I1:O5"/>
    </sheetView>
  </sheetViews>
  <sheetFormatPr defaultRowHeight="14.4" x14ac:dyDescent="0.3"/>
  <cols>
    <col min="1" max="1" width="8.88671875" style="5"/>
    <col min="2" max="2" width="14.77734375" style="5" customWidth="1"/>
    <col min="3" max="3" width="12.88671875" style="5" customWidth="1"/>
    <col min="4" max="4" width="14.21875" style="5" customWidth="1"/>
    <col min="5" max="5" width="8.88671875" style="5"/>
    <col min="6" max="6" width="17.5546875" style="5" customWidth="1"/>
    <col min="7" max="7" width="8.88671875" style="5"/>
    <col min="8" max="8" width="10.44140625" style="5" customWidth="1"/>
    <col min="9" max="9" width="7.21875" style="5" customWidth="1"/>
    <col min="10" max="10" width="15.88671875" style="5" customWidth="1"/>
    <col min="11" max="13" width="8.88671875" style="5"/>
    <col min="14" max="14" width="9" style="5" bestFit="1" customWidth="1"/>
    <col min="15" max="15" width="10.21875" style="5" customWidth="1"/>
    <col min="16" max="16" width="8.88671875" style="5"/>
    <col min="17" max="17" width="11.5546875" style="5" customWidth="1"/>
    <col min="18" max="16384" width="8.88671875" style="5"/>
  </cols>
  <sheetData>
    <row r="1" spans="1:15" ht="41.4" customHeight="1" x14ac:dyDescent="0.3">
      <c r="A1" s="4" t="s">
        <v>0</v>
      </c>
      <c r="B1" s="4" t="s">
        <v>67</v>
      </c>
      <c r="C1" s="4" t="s">
        <v>68</v>
      </c>
      <c r="D1" s="7" t="s">
        <v>69</v>
      </c>
      <c r="E1" s="7" t="s">
        <v>75</v>
      </c>
      <c r="F1" s="7" t="s">
        <v>76</v>
      </c>
      <c r="G1" s="7" t="s">
        <v>60</v>
      </c>
      <c r="I1" s="19" t="s">
        <v>0</v>
      </c>
      <c r="J1" s="19" t="s">
        <v>67</v>
      </c>
      <c r="K1" s="7" t="s">
        <v>70</v>
      </c>
      <c r="L1" s="18" t="s">
        <v>80</v>
      </c>
      <c r="M1" s="7" t="s">
        <v>79</v>
      </c>
      <c r="N1" s="7" t="s">
        <v>50</v>
      </c>
      <c r="O1" s="7" t="s">
        <v>77</v>
      </c>
    </row>
    <row r="2" spans="1:15" x14ac:dyDescent="0.3">
      <c r="A2" s="4">
        <v>1</v>
      </c>
      <c r="B2" s="4" t="s">
        <v>71</v>
      </c>
      <c r="C2" s="4">
        <v>1244</v>
      </c>
      <c r="D2" s="4">
        <v>20</v>
      </c>
      <c r="E2" s="4">
        <v>20</v>
      </c>
      <c r="F2" s="4">
        <v>20</v>
      </c>
      <c r="G2" s="4">
        <v>30</v>
      </c>
      <c r="I2" s="19">
        <v>1</v>
      </c>
      <c r="J2" s="19" t="s">
        <v>71</v>
      </c>
      <c r="K2" s="10">
        <f>C2*E2/100 + C2</f>
        <v>1492.8</v>
      </c>
      <c r="L2" s="22">
        <f>K2*D2/$C$7</f>
        <v>1357.090909090909</v>
      </c>
      <c r="M2" s="10">
        <f>L2*F2/100</f>
        <v>271.41818181818178</v>
      </c>
      <c r="N2" s="10">
        <f>L2*G2/100</f>
        <v>407.12727272727273</v>
      </c>
      <c r="O2" s="10">
        <f>SUM(L2:N2)</f>
        <v>2035.6363636363635</v>
      </c>
    </row>
    <row r="3" spans="1:15" x14ac:dyDescent="0.3">
      <c r="A3" s="4">
        <v>2</v>
      </c>
      <c r="B3" s="4" t="s">
        <v>72</v>
      </c>
      <c r="C3" s="4">
        <v>844</v>
      </c>
      <c r="D3" s="4">
        <v>22</v>
      </c>
      <c r="E3" s="4">
        <v>10</v>
      </c>
      <c r="F3" s="4">
        <v>20</v>
      </c>
      <c r="G3" s="4">
        <v>30</v>
      </c>
      <c r="I3" s="19">
        <v>2</v>
      </c>
      <c r="J3" s="19" t="s">
        <v>72</v>
      </c>
      <c r="K3" s="22">
        <f t="shared" ref="K3:K5" si="0">C3*E3/100 + C3</f>
        <v>928.4</v>
      </c>
      <c r="L3" s="22">
        <f>K3*D3/$C$7</f>
        <v>928.4</v>
      </c>
      <c r="M3" s="22">
        <f>L3*F3/100</f>
        <v>185.68</v>
      </c>
      <c r="N3" s="22">
        <f>L3*G3/100</f>
        <v>278.52</v>
      </c>
      <c r="O3" s="22">
        <f>SUM(L3:N3)</f>
        <v>1392.6</v>
      </c>
    </row>
    <row r="4" spans="1:15" x14ac:dyDescent="0.3">
      <c r="A4" s="4">
        <v>3</v>
      </c>
      <c r="B4" s="4" t="s">
        <v>73</v>
      </c>
      <c r="C4" s="4">
        <v>744</v>
      </c>
      <c r="D4" s="4">
        <v>18</v>
      </c>
      <c r="E4" s="4">
        <v>15</v>
      </c>
      <c r="F4" s="4">
        <v>20</v>
      </c>
      <c r="G4" s="4">
        <v>30</v>
      </c>
      <c r="I4" s="19">
        <v>3</v>
      </c>
      <c r="J4" s="19" t="s">
        <v>73</v>
      </c>
      <c r="K4" s="22">
        <f t="shared" si="0"/>
        <v>855.6</v>
      </c>
      <c r="L4" s="22">
        <f>K4*D4/$C$7</f>
        <v>700.03636363636372</v>
      </c>
      <c r="M4" s="22">
        <f>L4*F4/100</f>
        <v>140.00727272727275</v>
      </c>
      <c r="N4" s="22">
        <f>L4*G4/100</f>
        <v>210.01090909090911</v>
      </c>
      <c r="O4" s="22">
        <f>SUM(L4:N4)</f>
        <v>1050.0545454545456</v>
      </c>
    </row>
    <row r="5" spans="1:15" x14ac:dyDescent="0.3">
      <c r="A5" s="4">
        <v>4</v>
      </c>
      <c r="B5" s="4" t="s">
        <v>74</v>
      </c>
      <c r="C5" s="4">
        <v>544</v>
      </c>
      <c r="D5" s="4">
        <v>22</v>
      </c>
      <c r="E5" s="4">
        <v>5</v>
      </c>
      <c r="F5" s="4">
        <v>0</v>
      </c>
      <c r="G5" s="4">
        <v>20</v>
      </c>
      <c r="I5" s="19">
        <v>4</v>
      </c>
      <c r="J5" s="19" t="s">
        <v>74</v>
      </c>
      <c r="K5" s="22">
        <f t="shared" si="0"/>
        <v>571.20000000000005</v>
      </c>
      <c r="L5" s="22">
        <f>K5*D5/$C$7</f>
        <v>571.20000000000005</v>
      </c>
      <c r="M5" s="22">
        <f>L5*F5/100</f>
        <v>0</v>
      </c>
      <c r="N5" s="22">
        <f>L5*G5/100</f>
        <v>114.24</v>
      </c>
      <c r="O5" s="22">
        <f>SUM(L5:N5)</f>
        <v>685.44</v>
      </c>
    </row>
    <row r="6" spans="1:15" x14ac:dyDescent="0.3">
      <c r="O6" s="9">
        <f>SUM(O2:O5)</f>
        <v>5163.7309090909093</v>
      </c>
    </row>
    <row r="7" spans="1:15" ht="28.8" x14ac:dyDescent="0.3">
      <c r="B7" s="1" t="s">
        <v>78</v>
      </c>
      <c r="C7" s="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30A2-9DFB-4264-846E-8BF0923676F0}">
  <dimension ref="A1:H62"/>
  <sheetViews>
    <sheetView topLeftCell="A43" zoomScaleNormal="100" workbookViewId="0">
      <selection activeCell="A44" sqref="A44:F61"/>
    </sheetView>
  </sheetViews>
  <sheetFormatPr defaultRowHeight="14.4" x14ac:dyDescent="0.3"/>
  <cols>
    <col min="1" max="1" width="8.88671875" style="5"/>
    <col min="2" max="2" width="21.6640625" style="5" customWidth="1"/>
    <col min="3" max="3" width="37.33203125" style="1" customWidth="1"/>
    <col min="4" max="5" width="8.88671875" style="11"/>
    <col min="6" max="6" width="10.77734375" style="5" customWidth="1"/>
    <col min="7" max="16384" width="8.88671875" style="5"/>
  </cols>
  <sheetData>
    <row r="1" spans="1:8" x14ac:dyDescent="0.3">
      <c r="A1" s="4" t="s">
        <v>0</v>
      </c>
      <c r="B1" s="4" t="s">
        <v>81</v>
      </c>
      <c r="C1" s="7" t="s">
        <v>82</v>
      </c>
      <c r="D1" s="12" t="s">
        <v>83</v>
      </c>
      <c r="E1" s="12" t="s">
        <v>84</v>
      </c>
      <c r="F1" s="4" t="s">
        <v>145</v>
      </c>
    </row>
    <row r="2" spans="1:8" x14ac:dyDescent="0.3">
      <c r="A2" s="43" t="s">
        <v>85</v>
      </c>
      <c r="B2" s="43"/>
      <c r="C2" s="43"/>
      <c r="D2" s="43"/>
      <c r="E2" s="43"/>
      <c r="F2" s="43"/>
    </row>
    <row r="3" spans="1:8" ht="28.8" x14ac:dyDescent="0.3">
      <c r="A3" s="39">
        <v>1</v>
      </c>
      <c r="B3" s="39" t="s">
        <v>86</v>
      </c>
      <c r="C3" s="13" t="s">
        <v>87</v>
      </c>
      <c r="D3" s="46"/>
      <c r="E3" s="47"/>
      <c r="F3" s="48"/>
    </row>
    <row r="4" spans="1:8" x14ac:dyDescent="0.3">
      <c r="A4" s="39"/>
      <c r="B4" s="39"/>
      <c r="C4" s="13" t="s">
        <v>88</v>
      </c>
      <c r="D4" s="31" t="s">
        <v>89</v>
      </c>
      <c r="E4" s="31">
        <v>10</v>
      </c>
      <c r="F4" s="4">
        <f>20*Табл1!E3</f>
        <v>688</v>
      </c>
    </row>
    <row r="5" spans="1:8" x14ac:dyDescent="0.3">
      <c r="A5" s="39"/>
      <c r="B5" s="39"/>
      <c r="C5" s="13" t="s">
        <v>90</v>
      </c>
      <c r="D5" s="31" t="s">
        <v>91</v>
      </c>
      <c r="E5" s="31">
        <v>10</v>
      </c>
      <c r="F5" s="4">
        <f>15*Табл1!E4</f>
        <v>366</v>
      </c>
    </row>
    <row r="6" spans="1:8" x14ac:dyDescent="0.3">
      <c r="A6" s="39"/>
      <c r="B6" s="39"/>
      <c r="C6" s="13" t="s">
        <v>92</v>
      </c>
      <c r="D6" s="31" t="s">
        <v>93</v>
      </c>
      <c r="E6" s="31">
        <v>10</v>
      </c>
      <c r="F6" s="4">
        <f>8*Табл1!E5</f>
        <v>59.52</v>
      </c>
    </row>
    <row r="7" spans="1:8" x14ac:dyDescent="0.3">
      <c r="A7" s="39"/>
      <c r="B7" s="39"/>
      <c r="C7" s="13" t="s">
        <v>94</v>
      </c>
      <c r="D7" s="31" t="s">
        <v>93</v>
      </c>
      <c r="E7" s="31">
        <v>10</v>
      </c>
      <c r="F7" s="4">
        <f>0.5*Табл1!E6</f>
        <v>42.2</v>
      </c>
    </row>
    <row r="8" spans="1:8" x14ac:dyDescent="0.3">
      <c r="A8" s="39"/>
      <c r="B8" s="39"/>
      <c r="C8" s="13" t="s">
        <v>95</v>
      </c>
      <c r="D8" s="31" t="s">
        <v>89</v>
      </c>
      <c r="E8" s="31">
        <v>10</v>
      </c>
      <c r="F8" s="10">
        <f>0.9*Табл1!E7</f>
        <v>4.8960000000000008</v>
      </c>
    </row>
    <row r="9" spans="1:8" x14ac:dyDescent="0.3">
      <c r="A9" s="39"/>
      <c r="B9" s="39"/>
      <c r="C9" s="13" t="s">
        <v>96</v>
      </c>
      <c r="D9" s="49" t="s">
        <v>93</v>
      </c>
      <c r="E9" s="49">
        <v>10</v>
      </c>
      <c r="F9" s="50">
        <f>6*Табл1!E8</f>
        <v>86.4</v>
      </c>
    </row>
    <row r="10" spans="1:8" x14ac:dyDescent="0.3">
      <c r="A10" s="39"/>
      <c r="B10" s="39"/>
      <c r="C10" s="13" t="s">
        <v>97</v>
      </c>
      <c r="D10" s="49"/>
      <c r="E10" s="49"/>
      <c r="F10" s="50"/>
    </row>
    <row r="11" spans="1:8" ht="28.8" x14ac:dyDescent="0.3">
      <c r="A11" s="4">
        <v>2</v>
      </c>
      <c r="B11" s="7" t="s">
        <v>98</v>
      </c>
      <c r="C11" s="13" t="s">
        <v>146</v>
      </c>
      <c r="D11" s="31" t="s">
        <v>89</v>
      </c>
      <c r="E11" s="32">
        <v>70</v>
      </c>
      <c r="F11" s="10">
        <f>Табл3!M5</f>
        <v>573.88800000000003</v>
      </c>
    </row>
    <row r="12" spans="1:8" ht="28.8" x14ac:dyDescent="0.3">
      <c r="A12" s="4">
        <v>3</v>
      </c>
      <c r="B12" s="7" t="s">
        <v>98</v>
      </c>
      <c r="C12" s="13" t="s">
        <v>99</v>
      </c>
      <c r="D12" s="31" t="s">
        <v>89</v>
      </c>
      <c r="E12" s="32">
        <v>69</v>
      </c>
      <c r="F12" s="10">
        <f>F11*H12</f>
        <v>195.12192000000002</v>
      </c>
      <c r="H12" s="5">
        <v>0.34</v>
      </c>
    </row>
    <row r="13" spans="1:8" ht="57.6" x14ac:dyDescent="0.3">
      <c r="A13" s="4">
        <v>4</v>
      </c>
      <c r="B13" s="7" t="s">
        <v>98</v>
      </c>
      <c r="C13" s="13" t="s">
        <v>100</v>
      </c>
      <c r="D13" s="31" t="s">
        <v>89</v>
      </c>
      <c r="E13" s="32">
        <v>76</v>
      </c>
      <c r="F13" s="10">
        <f>F11*H13</f>
        <v>3.4433280000000002</v>
      </c>
      <c r="H13" s="5">
        <f>0.6/100</f>
        <v>6.0000000000000001E-3</v>
      </c>
    </row>
    <row r="14" spans="1:8" ht="28.8" x14ac:dyDescent="0.3">
      <c r="A14" s="4">
        <v>5</v>
      </c>
      <c r="B14" s="7" t="s">
        <v>98</v>
      </c>
      <c r="C14" s="13" t="s">
        <v>147</v>
      </c>
      <c r="D14" s="31" t="s">
        <v>91</v>
      </c>
      <c r="E14" s="32">
        <v>70</v>
      </c>
      <c r="F14" s="10">
        <f>Табл3!M6</f>
        <v>555.34399999999994</v>
      </c>
    </row>
    <row r="15" spans="1:8" ht="28.8" x14ac:dyDescent="0.3">
      <c r="A15" s="4">
        <v>6</v>
      </c>
      <c r="B15" s="7" t="s">
        <v>98</v>
      </c>
      <c r="C15" s="13" t="s">
        <v>101</v>
      </c>
      <c r="D15" s="31" t="s">
        <v>91</v>
      </c>
      <c r="E15" s="32">
        <v>69</v>
      </c>
      <c r="F15" s="10">
        <f>F14*H15</f>
        <v>188.81695999999999</v>
      </c>
      <c r="H15" s="5">
        <v>0.34</v>
      </c>
    </row>
    <row r="16" spans="1:8" ht="43.2" x14ac:dyDescent="0.3">
      <c r="A16" s="4">
        <v>7</v>
      </c>
      <c r="B16" s="7" t="s">
        <v>98</v>
      </c>
      <c r="C16" s="13" t="s">
        <v>102</v>
      </c>
      <c r="D16" s="31" t="s">
        <v>91</v>
      </c>
      <c r="E16" s="32">
        <v>76</v>
      </c>
      <c r="F16" s="10">
        <f>F14*H16</f>
        <v>3.3320639999999999</v>
      </c>
      <c r="H16" s="5">
        <f>0.6/100</f>
        <v>6.0000000000000001E-3</v>
      </c>
    </row>
    <row r="17" spans="1:8" ht="28.8" x14ac:dyDescent="0.3">
      <c r="A17" s="4">
        <v>8</v>
      </c>
      <c r="B17" s="7" t="s">
        <v>98</v>
      </c>
      <c r="C17" s="13" t="s">
        <v>149</v>
      </c>
      <c r="D17" s="31" t="s">
        <v>93</v>
      </c>
      <c r="E17" s="32">
        <v>70</v>
      </c>
      <c r="F17" s="10">
        <f>Табл3!M7</f>
        <v>589.50399999999991</v>
      </c>
    </row>
    <row r="18" spans="1:8" ht="28.8" x14ac:dyDescent="0.3">
      <c r="A18" s="4">
        <v>9</v>
      </c>
      <c r="B18" s="7" t="s">
        <v>98</v>
      </c>
      <c r="C18" s="13" t="s">
        <v>103</v>
      </c>
      <c r="D18" s="31" t="s">
        <v>93</v>
      </c>
      <c r="E18" s="32">
        <v>69</v>
      </c>
      <c r="F18" s="10">
        <f>F17*H18</f>
        <v>200.43135999999998</v>
      </c>
      <c r="H18" s="5">
        <v>0.34</v>
      </c>
    </row>
    <row r="19" spans="1:8" ht="43.2" x14ac:dyDescent="0.3">
      <c r="A19" s="4">
        <v>10</v>
      </c>
      <c r="B19" s="7" t="s">
        <v>98</v>
      </c>
      <c r="C19" s="13" t="s">
        <v>104</v>
      </c>
      <c r="D19" s="31" t="s">
        <v>93</v>
      </c>
      <c r="E19" s="32">
        <v>76</v>
      </c>
      <c r="F19" s="10">
        <f>F17*H19</f>
        <v>3.5370239999999997</v>
      </c>
      <c r="H19" s="5">
        <f>0.6/100</f>
        <v>6.0000000000000001E-3</v>
      </c>
    </row>
    <row r="20" spans="1:8" ht="18" customHeight="1" x14ac:dyDescent="0.3">
      <c r="A20" s="45" t="s">
        <v>148</v>
      </c>
      <c r="B20" s="45"/>
      <c r="C20" s="45"/>
      <c r="D20" s="45"/>
      <c r="E20" s="45"/>
      <c r="F20" s="45"/>
    </row>
    <row r="21" spans="1:8" ht="43.2" x14ac:dyDescent="0.3">
      <c r="A21" s="4">
        <v>11</v>
      </c>
      <c r="B21" s="7" t="s">
        <v>106</v>
      </c>
      <c r="C21" s="13" t="s">
        <v>107</v>
      </c>
      <c r="D21" s="31">
        <v>25</v>
      </c>
      <c r="E21" s="32">
        <v>2</v>
      </c>
      <c r="F21" s="10">
        <f>'Табл 2'!H6</f>
        <v>378.9304565353346</v>
      </c>
    </row>
    <row r="22" spans="1:8" ht="28.8" x14ac:dyDescent="0.3">
      <c r="A22" s="39">
        <v>12</v>
      </c>
      <c r="B22" s="42" t="s">
        <v>108</v>
      </c>
      <c r="C22" s="13" t="s">
        <v>109</v>
      </c>
      <c r="D22" s="44"/>
      <c r="E22" s="44"/>
      <c r="F22" s="44"/>
    </row>
    <row r="23" spans="1:8" x14ac:dyDescent="0.3">
      <c r="A23" s="39"/>
      <c r="B23" s="42"/>
      <c r="C23" s="13" t="s">
        <v>110</v>
      </c>
      <c r="D23" s="31" t="s">
        <v>112</v>
      </c>
      <c r="E23" s="32">
        <v>60</v>
      </c>
      <c r="F23" s="4">
        <v>944</v>
      </c>
    </row>
    <row r="24" spans="1:8" x14ac:dyDescent="0.3">
      <c r="A24" s="39"/>
      <c r="B24" s="42"/>
      <c r="C24" s="13" t="s">
        <v>111</v>
      </c>
      <c r="D24" s="31" t="s">
        <v>150</v>
      </c>
      <c r="E24" s="32">
        <v>60</v>
      </c>
      <c r="F24" s="10">
        <f>F23*0.2</f>
        <v>188.8</v>
      </c>
    </row>
    <row r="25" spans="1:8" ht="28.8" x14ac:dyDescent="0.3">
      <c r="A25" s="39">
        <v>13</v>
      </c>
      <c r="B25" s="42" t="s">
        <v>108</v>
      </c>
      <c r="C25" s="13" t="s">
        <v>113</v>
      </c>
      <c r="D25" s="44"/>
      <c r="E25" s="44"/>
      <c r="F25" s="44"/>
    </row>
    <row r="26" spans="1:8" x14ac:dyDescent="0.3">
      <c r="A26" s="39"/>
      <c r="B26" s="42"/>
      <c r="C26" s="13" t="s">
        <v>110</v>
      </c>
      <c r="D26" s="31" t="s">
        <v>112</v>
      </c>
      <c r="E26" s="32">
        <v>60</v>
      </c>
      <c r="F26" s="4">
        <v>444</v>
      </c>
    </row>
    <row r="27" spans="1:8" x14ac:dyDescent="0.3">
      <c r="A27" s="39"/>
      <c r="B27" s="42"/>
      <c r="C27" s="13" t="s">
        <v>111</v>
      </c>
      <c r="D27" s="31" t="s">
        <v>150</v>
      </c>
      <c r="E27" s="32">
        <v>60</v>
      </c>
      <c r="F27" s="4">
        <f>F26*0.2</f>
        <v>88.800000000000011</v>
      </c>
    </row>
    <row r="28" spans="1:8" ht="28.8" x14ac:dyDescent="0.3">
      <c r="A28" s="4">
        <v>14</v>
      </c>
      <c r="B28" s="7" t="s">
        <v>86</v>
      </c>
      <c r="C28" s="13" t="s">
        <v>114</v>
      </c>
      <c r="D28" s="31">
        <v>25</v>
      </c>
      <c r="E28" s="32">
        <v>10</v>
      </c>
      <c r="F28" s="4">
        <v>244</v>
      </c>
    </row>
    <row r="29" spans="1:8" ht="43.2" x14ac:dyDescent="0.3">
      <c r="A29" s="4">
        <v>15</v>
      </c>
      <c r="B29" s="7" t="s">
        <v>86</v>
      </c>
      <c r="C29" s="13" t="s">
        <v>115</v>
      </c>
      <c r="D29" s="31">
        <v>25</v>
      </c>
      <c r="E29" s="31">
        <v>10</v>
      </c>
      <c r="F29" s="4">
        <v>344</v>
      </c>
    </row>
    <row r="30" spans="1:8" ht="28.8" x14ac:dyDescent="0.3">
      <c r="A30" s="4">
        <v>16</v>
      </c>
      <c r="B30" s="7" t="s">
        <v>98</v>
      </c>
      <c r="C30" s="13" t="s">
        <v>151</v>
      </c>
      <c r="D30" s="31">
        <v>25</v>
      </c>
      <c r="E30" s="31">
        <v>70</v>
      </c>
      <c r="F30" s="10">
        <f>Табл3!M8</f>
        <v>520.20799999999997</v>
      </c>
    </row>
    <row r="31" spans="1:8" ht="28.8" x14ac:dyDescent="0.3">
      <c r="A31" s="4">
        <v>17</v>
      </c>
      <c r="B31" s="7" t="s">
        <v>98</v>
      </c>
      <c r="C31" s="13" t="s">
        <v>116</v>
      </c>
      <c r="D31" s="31">
        <v>25</v>
      </c>
      <c r="E31" s="31">
        <v>69</v>
      </c>
      <c r="F31" s="10">
        <f>F30*H31</f>
        <v>176.87072000000001</v>
      </c>
      <c r="H31" s="5">
        <v>0.34</v>
      </c>
    </row>
    <row r="32" spans="1:8" ht="57.6" x14ac:dyDescent="0.3">
      <c r="A32" s="4">
        <v>18</v>
      </c>
      <c r="B32" s="7" t="s">
        <v>98</v>
      </c>
      <c r="C32" s="13" t="s">
        <v>117</v>
      </c>
      <c r="D32" s="31">
        <v>25</v>
      </c>
      <c r="E32" s="31">
        <v>76</v>
      </c>
      <c r="F32" s="10">
        <f>F30*H32</f>
        <v>3.121248</v>
      </c>
      <c r="H32" s="5">
        <f>0.6/100</f>
        <v>6.0000000000000001E-3</v>
      </c>
    </row>
    <row r="33" spans="1:8" ht="28.8" x14ac:dyDescent="0.3">
      <c r="A33" s="4">
        <v>19</v>
      </c>
      <c r="B33" s="7" t="s">
        <v>106</v>
      </c>
      <c r="C33" s="13" t="s">
        <v>118</v>
      </c>
      <c r="D33" s="31">
        <v>25</v>
      </c>
      <c r="E33" s="31">
        <v>2</v>
      </c>
      <c r="F33" s="10">
        <f>'Табл 2'!H7</f>
        <v>21.138888888888886</v>
      </c>
    </row>
    <row r="34" spans="1:8" ht="15.6" customHeight="1" x14ac:dyDescent="0.3">
      <c r="A34" s="39">
        <v>20</v>
      </c>
      <c r="B34" s="42" t="s">
        <v>119</v>
      </c>
      <c r="C34" s="45" t="s">
        <v>120</v>
      </c>
      <c r="D34" s="31" t="s">
        <v>89</v>
      </c>
      <c r="E34" s="31">
        <v>25</v>
      </c>
      <c r="F34" s="10">
        <f>Табл7!E4</f>
        <v>1027.1699922166063</v>
      </c>
    </row>
    <row r="35" spans="1:8" x14ac:dyDescent="0.3">
      <c r="A35" s="39"/>
      <c r="B35" s="42"/>
      <c r="C35" s="45"/>
      <c r="D35" s="31" t="s">
        <v>91</v>
      </c>
      <c r="E35" s="31">
        <v>25</v>
      </c>
      <c r="F35" s="10">
        <f>Табл7!E5</f>
        <v>993.97912512117148</v>
      </c>
    </row>
    <row r="36" spans="1:8" x14ac:dyDescent="0.3">
      <c r="A36" s="39"/>
      <c r="B36" s="42"/>
      <c r="C36" s="45"/>
      <c r="D36" s="31" t="s">
        <v>93</v>
      </c>
      <c r="E36" s="31">
        <v>25</v>
      </c>
      <c r="F36" s="10">
        <f>Табл7!E6</f>
        <v>1055.1201960864455</v>
      </c>
    </row>
    <row r="37" spans="1:8" x14ac:dyDescent="0.3">
      <c r="A37" s="43" t="s">
        <v>121</v>
      </c>
      <c r="B37" s="43"/>
      <c r="C37" s="43"/>
      <c r="D37" s="43"/>
      <c r="E37" s="43"/>
      <c r="F37" s="43"/>
    </row>
    <row r="38" spans="1:8" ht="28.8" x14ac:dyDescent="0.3">
      <c r="A38" s="4">
        <v>21</v>
      </c>
      <c r="B38" s="7" t="s">
        <v>98</v>
      </c>
      <c r="C38" s="13" t="s">
        <v>122</v>
      </c>
      <c r="D38" s="31">
        <v>26</v>
      </c>
      <c r="E38" s="31">
        <v>70</v>
      </c>
      <c r="F38" s="10">
        <f>Табл4!O6</f>
        <v>5163.7309090909093</v>
      </c>
    </row>
    <row r="39" spans="1:8" ht="28.8" x14ac:dyDescent="0.3">
      <c r="A39" s="4">
        <v>22</v>
      </c>
      <c r="B39" s="7" t="s">
        <v>98</v>
      </c>
      <c r="C39" s="13" t="s">
        <v>123</v>
      </c>
      <c r="D39" s="31">
        <v>26</v>
      </c>
      <c r="E39" s="31">
        <v>69</v>
      </c>
      <c r="F39" s="10">
        <f>F38*H39</f>
        <v>1755.6685090909093</v>
      </c>
      <c r="H39" s="5">
        <v>0.34</v>
      </c>
    </row>
    <row r="40" spans="1:8" ht="57.6" x14ac:dyDescent="0.3">
      <c r="A40" s="4">
        <v>23</v>
      </c>
      <c r="B40" s="7" t="s">
        <v>98</v>
      </c>
      <c r="C40" s="13" t="s">
        <v>124</v>
      </c>
      <c r="D40" s="31">
        <v>26</v>
      </c>
      <c r="E40" s="31">
        <v>76</v>
      </c>
      <c r="F40" s="10">
        <f>F38*H40</f>
        <v>30.982385454545458</v>
      </c>
      <c r="H40" s="5">
        <f>0.6/100</f>
        <v>6.0000000000000001E-3</v>
      </c>
    </row>
    <row r="41" spans="1:8" x14ac:dyDescent="0.3">
      <c r="A41" s="39">
        <v>24</v>
      </c>
      <c r="B41" s="42" t="s">
        <v>108</v>
      </c>
      <c r="C41" s="13" t="s">
        <v>125</v>
      </c>
      <c r="D41" s="44"/>
      <c r="E41" s="44"/>
      <c r="F41" s="44"/>
    </row>
    <row r="42" spans="1:8" x14ac:dyDescent="0.3">
      <c r="A42" s="39"/>
      <c r="B42" s="42"/>
      <c r="C42" s="13" t="s">
        <v>126</v>
      </c>
      <c r="D42" s="31" t="s">
        <v>128</v>
      </c>
      <c r="E42" s="31">
        <v>60</v>
      </c>
      <c r="F42" s="4">
        <v>344.4</v>
      </c>
    </row>
    <row r="43" spans="1:8" x14ac:dyDescent="0.3">
      <c r="A43" s="39"/>
      <c r="B43" s="42"/>
      <c r="C43" s="13" t="s">
        <v>127</v>
      </c>
      <c r="D43" s="31" t="s">
        <v>150</v>
      </c>
      <c r="E43" s="31">
        <v>60</v>
      </c>
      <c r="F43" s="4">
        <f>F42*0.2</f>
        <v>68.88</v>
      </c>
    </row>
    <row r="44" spans="1:8" ht="28.8" x14ac:dyDescent="0.3">
      <c r="A44" s="39">
        <v>25</v>
      </c>
      <c r="B44" s="42" t="s">
        <v>108</v>
      </c>
      <c r="C44" s="13" t="s">
        <v>129</v>
      </c>
      <c r="D44" s="44"/>
      <c r="E44" s="44"/>
      <c r="F44" s="44"/>
    </row>
    <row r="45" spans="1:8" x14ac:dyDescent="0.3">
      <c r="A45" s="39"/>
      <c r="B45" s="42"/>
      <c r="C45" s="13" t="s">
        <v>130</v>
      </c>
      <c r="D45" s="31" t="s">
        <v>128</v>
      </c>
      <c r="E45" s="31">
        <v>60</v>
      </c>
      <c r="F45" s="4">
        <v>544</v>
      </c>
    </row>
    <row r="46" spans="1:8" x14ac:dyDescent="0.3">
      <c r="A46" s="39"/>
      <c r="B46" s="42"/>
      <c r="C46" s="13" t="s">
        <v>127</v>
      </c>
      <c r="D46" s="31" t="s">
        <v>150</v>
      </c>
      <c r="E46" s="31">
        <v>60</v>
      </c>
      <c r="F46" s="4">
        <f>F45*0.2</f>
        <v>108.80000000000001</v>
      </c>
    </row>
    <row r="47" spans="1:8" ht="28.8" x14ac:dyDescent="0.3">
      <c r="A47" s="39">
        <v>26</v>
      </c>
      <c r="B47" s="42" t="s">
        <v>108</v>
      </c>
      <c r="C47" s="13" t="s">
        <v>131</v>
      </c>
      <c r="D47" s="44"/>
      <c r="E47" s="44"/>
      <c r="F47" s="44"/>
    </row>
    <row r="48" spans="1:8" x14ac:dyDescent="0.3">
      <c r="A48" s="39"/>
      <c r="B48" s="42"/>
      <c r="C48" s="13" t="s">
        <v>132</v>
      </c>
      <c r="D48" s="31" t="s">
        <v>128</v>
      </c>
      <c r="E48" s="31">
        <v>60</v>
      </c>
      <c r="F48" s="4">
        <v>144.4</v>
      </c>
    </row>
    <row r="49" spans="1:6" x14ac:dyDescent="0.3">
      <c r="A49" s="39"/>
      <c r="B49" s="42"/>
      <c r="C49" s="13" t="s">
        <v>127</v>
      </c>
      <c r="D49" s="31" t="s">
        <v>150</v>
      </c>
      <c r="E49" s="31">
        <v>60</v>
      </c>
      <c r="F49" s="4">
        <f>F48*0.2</f>
        <v>28.880000000000003</v>
      </c>
    </row>
    <row r="50" spans="1:6" ht="28.8" x14ac:dyDescent="0.3">
      <c r="A50" s="4">
        <v>27</v>
      </c>
      <c r="B50" s="7" t="s">
        <v>133</v>
      </c>
      <c r="C50" s="13" t="s">
        <v>134</v>
      </c>
      <c r="D50" s="31">
        <v>26</v>
      </c>
      <c r="E50" s="31">
        <v>71</v>
      </c>
      <c r="F50" s="4">
        <v>544</v>
      </c>
    </row>
    <row r="51" spans="1:6" ht="28.8" x14ac:dyDescent="0.3">
      <c r="A51" s="39">
        <v>28</v>
      </c>
      <c r="B51" s="42" t="s">
        <v>108</v>
      </c>
      <c r="C51" s="13" t="s">
        <v>135</v>
      </c>
      <c r="D51" s="44"/>
      <c r="E51" s="44"/>
      <c r="F51" s="44"/>
    </row>
    <row r="52" spans="1:6" x14ac:dyDescent="0.3">
      <c r="A52" s="39"/>
      <c r="B52" s="42"/>
      <c r="C52" s="13" t="s">
        <v>136</v>
      </c>
      <c r="D52" s="31" t="s">
        <v>128</v>
      </c>
      <c r="E52" s="31">
        <v>60</v>
      </c>
      <c r="F52" s="4">
        <v>2544</v>
      </c>
    </row>
    <row r="53" spans="1:6" x14ac:dyDescent="0.3">
      <c r="A53" s="39"/>
      <c r="B53" s="42"/>
      <c r="C53" s="13" t="s">
        <v>127</v>
      </c>
      <c r="D53" s="31" t="s">
        <v>150</v>
      </c>
      <c r="E53" s="31">
        <v>60</v>
      </c>
      <c r="F53" s="4">
        <f>F52*0.2</f>
        <v>508.8</v>
      </c>
    </row>
    <row r="54" spans="1:6" ht="28.8" x14ac:dyDescent="0.3">
      <c r="A54" s="4">
        <v>29</v>
      </c>
      <c r="B54" s="7" t="s">
        <v>106</v>
      </c>
      <c r="C54" s="13" t="s">
        <v>137</v>
      </c>
      <c r="D54" s="31">
        <v>26</v>
      </c>
      <c r="E54" s="31">
        <v>2</v>
      </c>
      <c r="F54" s="10">
        <f>'Табл 2'!H13</f>
        <v>195.7904761904762</v>
      </c>
    </row>
    <row r="55" spans="1:6" ht="72" x14ac:dyDescent="0.3">
      <c r="A55" s="4">
        <v>30</v>
      </c>
      <c r="B55" s="7" t="s">
        <v>138</v>
      </c>
      <c r="C55" s="13" t="s">
        <v>152</v>
      </c>
      <c r="D55" s="31">
        <v>26</v>
      </c>
      <c r="E55" s="31">
        <v>10</v>
      </c>
      <c r="F55" s="4">
        <f>10.8*8*1.5</f>
        <v>129.60000000000002</v>
      </c>
    </row>
    <row r="56" spans="1:6" ht="13.2" customHeight="1" x14ac:dyDescent="0.3">
      <c r="A56" s="39">
        <v>31</v>
      </c>
      <c r="B56" s="42" t="s">
        <v>119</v>
      </c>
      <c r="C56" s="42" t="s">
        <v>139</v>
      </c>
      <c r="D56" s="20" t="s">
        <v>89</v>
      </c>
      <c r="E56" s="20" t="s">
        <v>128</v>
      </c>
      <c r="F56" s="22">
        <f>Табл6!E19</f>
        <v>3805.3290746951634</v>
      </c>
    </row>
    <row r="57" spans="1:6" ht="14.4" customHeight="1" x14ac:dyDescent="0.3">
      <c r="A57" s="39"/>
      <c r="B57" s="42"/>
      <c r="C57" s="42"/>
      <c r="D57" s="20" t="s">
        <v>91</v>
      </c>
      <c r="E57" s="20" t="s">
        <v>128</v>
      </c>
      <c r="F57" s="22">
        <f>Табл6!G19</f>
        <v>3682.3677610570539</v>
      </c>
    </row>
    <row r="58" spans="1:6" x14ac:dyDescent="0.3">
      <c r="A58" s="39"/>
      <c r="B58" s="42"/>
      <c r="C58" s="42"/>
      <c r="D58" s="20" t="s">
        <v>93</v>
      </c>
      <c r="E58" s="20" t="s">
        <v>128</v>
      </c>
      <c r="F58" s="22">
        <f>Табл6!I19</f>
        <v>3908.8754440746229</v>
      </c>
    </row>
    <row r="59" spans="1:6" x14ac:dyDescent="0.3">
      <c r="A59" s="39">
        <v>32</v>
      </c>
      <c r="B59" s="42" t="s">
        <v>140</v>
      </c>
      <c r="C59" s="45" t="s">
        <v>141</v>
      </c>
      <c r="D59" s="31" t="s">
        <v>142</v>
      </c>
      <c r="E59" s="31" t="s">
        <v>89</v>
      </c>
      <c r="F59" s="10">
        <f>Счета!C10</f>
        <v>6297.8483149117701</v>
      </c>
    </row>
    <row r="60" spans="1:6" x14ac:dyDescent="0.3">
      <c r="A60" s="39"/>
      <c r="B60" s="42"/>
      <c r="C60" s="45"/>
      <c r="D60" s="31" t="s">
        <v>143</v>
      </c>
      <c r="E60" s="31" t="s">
        <v>91</v>
      </c>
      <c r="F60" s="10">
        <f>Счета!C19</f>
        <v>5789.8399101782252</v>
      </c>
    </row>
    <row r="61" spans="1:6" x14ac:dyDescent="0.3">
      <c r="A61" s="39"/>
      <c r="B61" s="42"/>
      <c r="C61" s="45"/>
      <c r="D61" s="57" t="s">
        <v>144</v>
      </c>
      <c r="E61" s="57" t="s">
        <v>93</v>
      </c>
      <c r="F61" s="58">
        <f>Счета!M90</f>
        <v>5945.5880241610685</v>
      </c>
    </row>
    <row r="62" spans="1:6" x14ac:dyDescent="0.3">
      <c r="D62" s="59"/>
      <c r="E62" s="59"/>
      <c r="F62" s="60"/>
    </row>
  </sheetData>
  <mergeCells count="36">
    <mergeCell ref="B51:B53"/>
    <mergeCell ref="A51:A53"/>
    <mergeCell ref="D51:F51"/>
    <mergeCell ref="C59:C61"/>
    <mergeCell ref="B59:B61"/>
    <mergeCell ref="A59:A61"/>
    <mergeCell ref="A56:A58"/>
    <mergeCell ref="B56:B58"/>
    <mergeCell ref="C56:C58"/>
    <mergeCell ref="D44:F44"/>
    <mergeCell ref="B44:B46"/>
    <mergeCell ref="A44:A46"/>
    <mergeCell ref="B47:B49"/>
    <mergeCell ref="A47:A49"/>
    <mergeCell ref="D47:F47"/>
    <mergeCell ref="A3:A10"/>
    <mergeCell ref="B3:B10"/>
    <mergeCell ref="D9:D10"/>
    <mergeCell ref="E9:E10"/>
    <mergeCell ref="F9:F10"/>
    <mergeCell ref="A2:F2"/>
    <mergeCell ref="B41:B43"/>
    <mergeCell ref="A41:A43"/>
    <mergeCell ref="D41:F41"/>
    <mergeCell ref="B22:B24"/>
    <mergeCell ref="A22:A24"/>
    <mergeCell ref="A25:A27"/>
    <mergeCell ref="B25:B27"/>
    <mergeCell ref="A34:A36"/>
    <mergeCell ref="B34:B36"/>
    <mergeCell ref="C34:C36"/>
    <mergeCell ref="A37:F37"/>
    <mergeCell ref="D22:F22"/>
    <mergeCell ref="D25:F25"/>
    <mergeCell ref="D3:F3"/>
    <mergeCell ref="A20:F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8E4F9-E71C-4A12-A849-FBBD6E26885C}">
  <dimension ref="B5:I20"/>
  <sheetViews>
    <sheetView workbookViewId="0">
      <selection activeCell="B5" sqref="B5:I20"/>
    </sheetView>
  </sheetViews>
  <sheetFormatPr defaultRowHeight="14.4" x14ac:dyDescent="0.3"/>
  <cols>
    <col min="2" max="2" width="14.109375" customWidth="1"/>
    <col min="3" max="4" width="13.33203125" customWidth="1"/>
    <col min="5" max="5" width="13.5546875" customWidth="1"/>
    <col min="6" max="6" width="13.21875" customWidth="1"/>
    <col min="7" max="7" width="13.6640625" customWidth="1"/>
    <col min="8" max="8" width="12.5546875" customWidth="1"/>
    <col min="9" max="9" width="13.33203125" customWidth="1"/>
  </cols>
  <sheetData>
    <row r="5" spans="2:9" x14ac:dyDescent="0.3">
      <c r="B5" s="42" t="s">
        <v>157</v>
      </c>
      <c r="C5" s="42"/>
      <c r="D5" s="39" t="s">
        <v>158</v>
      </c>
      <c r="E5" s="39"/>
      <c r="F5" s="39" t="s">
        <v>159</v>
      </c>
      <c r="G5" s="39"/>
      <c r="H5" s="39" t="s">
        <v>160</v>
      </c>
      <c r="I5" s="39"/>
    </row>
    <row r="6" spans="2:9" ht="28.8" x14ac:dyDescent="0.3">
      <c r="B6" s="42"/>
      <c r="C6" s="42"/>
      <c r="D6" s="4" t="s">
        <v>161</v>
      </c>
      <c r="E6" s="7" t="s">
        <v>177</v>
      </c>
      <c r="F6" s="4" t="s">
        <v>161</v>
      </c>
      <c r="G6" s="7" t="s">
        <v>178</v>
      </c>
      <c r="H6" s="4" t="s">
        <v>161</v>
      </c>
      <c r="I6" s="7" t="s">
        <v>179</v>
      </c>
    </row>
    <row r="7" spans="2:9" x14ac:dyDescent="0.3">
      <c r="B7" s="53" t="s">
        <v>162</v>
      </c>
      <c r="C7" s="53"/>
      <c r="D7" s="54"/>
      <c r="E7" s="54"/>
      <c r="F7" s="54"/>
      <c r="G7" s="54"/>
      <c r="H7" s="54"/>
      <c r="I7" s="54"/>
    </row>
    <row r="8" spans="2:9" x14ac:dyDescent="0.3">
      <c r="B8" s="42" t="s">
        <v>163</v>
      </c>
      <c r="C8" s="3" t="s">
        <v>164</v>
      </c>
      <c r="D8" s="25">
        <f>E8/7</f>
        <v>98.285714285714292</v>
      </c>
      <c r="E8" s="25">
        <f>Табл5!F4</f>
        <v>688</v>
      </c>
      <c r="F8" s="25"/>
      <c r="G8" s="25"/>
      <c r="H8" s="25"/>
      <c r="I8" s="25"/>
    </row>
    <row r="9" spans="2:9" x14ac:dyDescent="0.3">
      <c r="B9" s="42"/>
      <c r="C9" s="3" t="s">
        <v>165</v>
      </c>
      <c r="D9" s="25"/>
      <c r="E9" s="25"/>
      <c r="F9" s="25">
        <f>G9/5</f>
        <v>73.2</v>
      </c>
      <c r="G9" s="25">
        <f>Табл5!F5</f>
        <v>366</v>
      </c>
      <c r="H9" s="25"/>
      <c r="I9" s="25"/>
    </row>
    <row r="10" spans="2:9" x14ac:dyDescent="0.3">
      <c r="B10" s="42"/>
      <c r="C10" s="3" t="s">
        <v>166</v>
      </c>
      <c r="D10" s="25"/>
      <c r="E10" s="25"/>
      <c r="F10" s="25"/>
      <c r="G10" s="25"/>
      <c r="H10" s="25">
        <f>I10/12</f>
        <v>4.96</v>
      </c>
      <c r="I10" s="25">
        <f>Табл5!F6</f>
        <v>59.52</v>
      </c>
    </row>
    <row r="11" spans="2:9" x14ac:dyDescent="0.3">
      <c r="B11" s="42"/>
      <c r="C11" s="3" t="s">
        <v>167</v>
      </c>
      <c r="D11" s="25"/>
      <c r="E11" s="25"/>
      <c r="F11" s="25"/>
      <c r="G11" s="25"/>
      <c r="H11" s="25">
        <f>I11/12</f>
        <v>3.5166666666666671</v>
      </c>
      <c r="I11" s="25">
        <f>Табл5!F7</f>
        <v>42.2</v>
      </c>
    </row>
    <row r="12" spans="2:9" x14ac:dyDescent="0.3">
      <c r="B12" s="42"/>
      <c r="C12" s="3" t="s">
        <v>168</v>
      </c>
      <c r="D12" s="25">
        <f>E12/7</f>
        <v>0.69942857142857151</v>
      </c>
      <c r="E12" s="25">
        <f>Табл5!F8</f>
        <v>4.8960000000000008</v>
      </c>
      <c r="F12" s="25"/>
      <c r="G12" s="25"/>
      <c r="H12" s="25"/>
      <c r="I12" s="25"/>
    </row>
    <row r="13" spans="2:9" x14ac:dyDescent="0.3">
      <c r="B13" s="42"/>
      <c r="C13" s="3" t="s">
        <v>169</v>
      </c>
      <c r="D13" s="25"/>
      <c r="E13" s="25"/>
      <c r="F13" s="25"/>
      <c r="G13" s="25"/>
      <c r="H13" s="25">
        <f>I13/12</f>
        <v>7.2</v>
      </c>
      <c r="I13" s="25">
        <f>Табл5!F9</f>
        <v>86.4</v>
      </c>
    </row>
    <row r="14" spans="2:9" ht="28.2" customHeight="1" x14ac:dyDescent="0.3">
      <c r="B14" s="51" t="s">
        <v>170</v>
      </c>
      <c r="C14" s="51"/>
      <c r="D14" s="25">
        <f>E14/7</f>
        <v>81.984000000000009</v>
      </c>
      <c r="E14" s="25">
        <f>Табл5!F11</f>
        <v>573.88800000000003</v>
      </c>
      <c r="F14" s="25">
        <f>G14/5</f>
        <v>111.06879999999998</v>
      </c>
      <c r="G14" s="25">
        <f>Табл5!F14</f>
        <v>555.34399999999994</v>
      </c>
      <c r="H14" s="25">
        <f>I14/12</f>
        <v>49.125333333333323</v>
      </c>
      <c r="I14" s="25">
        <f>Табл5!F17</f>
        <v>589.50399999999991</v>
      </c>
    </row>
    <row r="15" spans="2:9" ht="28.8" customHeight="1" x14ac:dyDescent="0.3">
      <c r="B15" s="51" t="s">
        <v>171</v>
      </c>
      <c r="C15" s="51"/>
      <c r="D15" s="55"/>
      <c r="E15" s="55"/>
      <c r="F15" s="55"/>
      <c r="G15" s="55"/>
      <c r="H15" s="55"/>
      <c r="I15" s="55"/>
    </row>
    <row r="16" spans="2:9" x14ac:dyDescent="0.3">
      <c r="B16" s="51" t="s">
        <v>172</v>
      </c>
      <c r="C16" s="51"/>
      <c r="D16" s="25">
        <f>E16/7</f>
        <v>24.79</v>
      </c>
      <c r="E16" s="25">
        <v>173.53</v>
      </c>
      <c r="F16" s="25">
        <f>G16/5</f>
        <v>37.763391999999996</v>
      </c>
      <c r="G16" s="25">
        <f>Табл5!F15</f>
        <v>188.81695999999999</v>
      </c>
      <c r="H16" s="25">
        <f t="shared" ref="H16:H18" si="0">I16/12</f>
        <v>16.702613333333332</v>
      </c>
      <c r="I16" s="25">
        <f>Табл5!F18</f>
        <v>200.43135999999998</v>
      </c>
    </row>
    <row r="17" spans="2:9" ht="42.6" customHeight="1" x14ac:dyDescent="0.3">
      <c r="B17" s="51" t="s">
        <v>173</v>
      </c>
      <c r="C17" s="51"/>
      <c r="D17" s="25">
        <f>E17/7</f>
        <v>0.49190400000000001</v>
      </c>
      <c r="E17" s="25">
        <f>Табл5!F13</f>
        <v>3.4433280000000002</v>
      </c>
      <c r="F17" s="25">
        <f t="shared" ref="F17:F18" si="1">G17/5</f>
        <v>0.66641280000000003</v>
      </c>
      <c r="G17" s="25">
        <f>Табл5!F16</f>
        <v>3.3320639999999999</v>
      </c>
      <c r="H17" s="25">
        <f t="shared" si="0"/>
        <v>0.29475199999999996</v>
      </c>
      <c r="I17" s="25">
        <f>Табл5!F19</f>
        <v>3.5370239999999997</v>
      </c>
    </row>
    <row r="18" spans="2:9" ht="14.4" customHeight="1" x14ac:dyDescent="0.3">
      <c r="B18" s="51" t="s">
        <v>174</v>
      </c>
      <c r="C18" s="51"/>
      <c r="D18" s="25">
        <f>E18/7</f>
        <v>146.73857031665804</v>
      </c>
      <c r="E18" s="25">
        <f>Табл5!F34</f>
        <v>1027.1699922166063</v>
      </c>
      <c r="F18" s="25">
        <f t="shared" si="1"/>
        <v>198.79582502423429</v>
      </c>
      <c r="G18" s="25">
        <f>Табл5!F35</f>
        <v>993.97912512117148</v>
      </c>
      <c r="H18" s="25">
        <f t="shared" si="0"/>
        <v>87.926683007203792</v>
      </c>
      <c r="I18" s="25">
        <f>Табл5!F36</f>
        <v>1055.1201960864455</v>
      </c>
    </row>
    <row r="19" spans="2:9" x14ac:dyDescent="0.3">
      <c r="B19" s="51" t="s">
        <v>175</v>
      </c>
      <c r="C19" s="51"/>
      <c r="D19" s="25">
        <f>E19/7</f>
        <v>543.61843924216623</v>
      </c>
      <c r="E19" s="25">
        <f>Табл8!E4</f>
        <v>3805.3290746951634</v>
      </c>
      <c r="F19" s="25">
        <f>G19/5</f>
        <v>736.47355221141083</v>
      </c>
      <c r="G19" s="25">
        <f>Табл8!E5</f>
        <v>3682.3677610570539</v>
      </c>
      <c r="H19" s="25">
        <f>I19/12</f>
        <v>325.73962033955189</v>
      </c>
      <c r="I19" s="25">
        <f>Табл8!E6</f>
        <v>3908.8754440746229</v>
      </c>
    </row>
    <row r="20" spans="2:9" x14ac:dyDescent="0.3">
      <c r="B20" s="52" t="s">
        <v>176</v>
      </c>
      <c r="C20" s="52"/>
      <c r="D20" s="34">
        <f>SUM(D8:D14)+SUM(D16:D19)</f>
        <v>896.6080564159671</v>
      </c>
      <c r="E20" s="34">
        <f t="shared" ref="E20:I20" si="2">SUM(E8:E14)+SUM(E16:E19)</f>
        <v>6276.2563949117703</v>
      </c>
      <c r="F20" s="34">
        <f t="shared" si="2"/>
        <v>1157.967982035645</v>
      </c>
      <c r="G20" s="34">
        <f t="shared" si="2"/>
        <v>5789.8399101782252</v>
      </c>
      <c r="H20" s="34">
        <f t="shared" si="2"/>
        <v>495.46566868008904</v>
      </c>
      <c r="I20" s="34">
        <f>SUM(I8:I14)+SUM(I16:I19)</f>
        <v>5945.5880241610685</v>
      </c>
    </row>
  </sheetData>
  <mergeCells count="15">
    <mergeCell ref="B19:C19"/>
    <mergeCell ref="B20:C20"/>
    <mergeCell ref="H5:I5"/>
    <mergeCell ref="F5:G5"/>
    <mergeCell ref="D5:E5"/>
    <mergeCell ref="B5:C6"/>
    <mergeCell ref="B14:C14"/>
    <mergeCell ref="B7:C7"/>
    <mergeCell ref="D7:I7"/>
    <mergeCell ref="B8:B13"/>
    <mergeCell ref="D15:I15"/>
    <mergeCell ref="B15:C15"/>
    <mergeCell ref="B16:C16"/>
    <mergeCell ref="B17:C17"/>
    <mergeCell ref="B18:C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103B-D743-4743-BCD2-DFC9FD1CB0F1}">
  <dimension ref="B2:L13"/>
  <sheetViews>
    <sheetView workbookViewId="0">
      <selection activeCell="B3" sqref="B3:E7"/>
    </sheetView>
  </sheetViews>
  <sheetFormatPr defaultRowHeight="14.4" x14ac:dyDescent="0.3"/>
  <cols>
    <col min="2" max="2" width="10.6640625" customWidth="1"/>
    <col min="3" max="3" width="18.21875" customWidth="1"/>
    <col min="4" max="4" width="20.109375" customWidth="1"/>
    <col min="5" max="5" width="19" customWidth="1"/>
  </cols>
  <sheetData>
    <row r="2" spans="2:12" x14ac:dyDescent="0.3">
      <c r="B2" s="2" t="s">
        <v>105</v>
      </c>
    </row>
    <row r="3" spans="2:12" x14ac:dyDescent="0.3">
      <c r="B3" s="39" t="s">
        <v>181</v>
      </c>
      <c r="C3" s="39"/>
      <c r="D3" s="4" t="s">
        <v>182</v>
      </c>
      <c r="E3" s="4" t="s">
        <v>4</v>
      </c>
      <c r="G3" s="6" t="s">
        <v>204</v>
      </c>
      <c r="I3" s="16" t="s">
        <v>153</v>
      </c>
      <c r="J3" s="56" t="s">
        <v>180</v>
      </c>
      <c r="K3" s="56"/>
      <c r="L3" s="16" t="s">
        <v>154</v>
      </c>
    </row>
    <row r="4" spans="2:12" ht="15.6" x14ac:dyDescent="0.3">
      <c r="B4" s="4" t="s">
        <v>184</v>
      </c>
      <c r="C4" s="4" t="s">
        <v>187</v>
      </c>
      <c r="D4" s="6" t="s">
        <v>206</v>
      </c>
      <c r="E4" s="10">
        <f>G4*$D$9</f>
        <v>1027.1699922166063</v>
      </c>
      <c r="G4" s="10">
        <f>Табл5!F11</f>
        <v>573.88800000000003</v>
      </c>
      <c r="I4" s="6"/>
      <c r="J4" s="10">
        <f>Табл5!F21</f>
        <v>378.9304565353346</v>
      </c>
      <c r="K4" s="10"/>
      <c r="L4" s="6"/>
    </row>
    <row r="5" spans="2:12" ht="15.6" x14ac:dyDescent="0.3">
      <c r="B5" s="4" t="s">
        <v>185</v>
      </c>
      <c r="C5" s="4" t="s">
        <v>188</v>
      </c>
      <c r="D5" s="6" t="s">
        <v>207</v>
      </c>
      <c r="E5" s="10">
        <f t="shared" ref="E5:E6" si="0">G5*$D$9</f>
        <v>993.97912512117148</v>
      </c>
      <c r="G5" s="10">
        <f>Табл5!F14</f>
        <v>555.34399999999994</v>
      </c>
      <c r="I5" s="6"/>
      <c r="J5" s="10">
        <f>Табл5!F23</f>
        <v>944</v>
      </c>
      <c r="K5" s="10"/>
      <c r="L5" s="6"/>
    </row>
    <row r="6" spans="2:12" ht="15.6" x14ac:dyDescent="0.3">
      <c r="B6" s="4" t="s">
        <v>186</v>
      </c>
      <c r="C6" s="4" t="s">
        <v>189</v>
      </c>
      <c r="D6" s="6" t="s">
        <v>208</v>
      </c>
      <c r="E6" s="10">
        <f t="shared" si="0"/>
        <v>1055.1201960864455</v>
      </c>
      <c r="G6" s="10">
        <f>Табл5!F17</f>
        <v>589.50399999999991</v>
      </c>
      <c r="I6" s="6"/>
      <c r="J6" s="10">
        <f>Табл5!F26</f>
        <v>444</v>
      </c>
      <c r="K6" s="10"/>
      <c r="L6" s="6"/>
    </row>
    <row r="7" spans="2:12" x14ac:dyDescent="0.3">
      <c r="B7" s="53" t="s">
        <v>183</v>
      </c>
      <c r="C7" s="53"/>
      <c r="D7" s="53"/>
      <c r="E7" s="26">
        <f>SUM(E4:E6)</f>
        <v>3076.2693134242231</v>
      </c>
      <c r="F7" s="24" t="s">
        <v>205</v>
      </c>
      <c r="G7" s="10">
        <f>SUM(G4:G6)</f>
        <v>1718.7359999999999</v>
      </c>
      <c r="I7" s="6"/>
      <c r="J7" s="10">
        <f>Табл5!F28</f>
        <v>244</v>
      </c>
      <c r="K7" s="6"/>
      <c r="L7" s="6"/>
    </row>
    <row r="8" spans="2:12" x14ac:dyDescent="0.3">
      <c r="I8" s="6"/>
      <c r="J8" s="10">
        <f>Табл5!F29</f>
        <v>344</v>
      </c>
      <c r="K8" s="6"/>
      <c r="L8" s="6"/>
    </row>
    <row r="9" spans="2:12" ht="15.6" x14ac:dyDescent="0.3">
      <c r="C9" s="6" t="s">
        <v>203</v>
      </c>
      <c r="D9" s="23">
        <f>J13/G7</f>
        <v>1.7898439978124758</v>
      </c>
      <c r="I9" s="6"/>
      <c r="J9" s="10">
        <f>Табл5!F30</f>
        <v>520.20799999999997</v>
      </c>
      <c r="K9" s="6"/>
      <c r="L9" s="6"/>
    </row>
    <row r="10" spans="2:12" x14ac:dyDescent="0.3">
      <c r="I10" s="6"/>
      <c r="J10" s="10">
        <f>Табл5!F31</f>
        <v>176.87072000000001</v>
      </c>
      <c r="K10" s="6"/>
      <c r="L10" s="6"/>
    </row>
    <row r="11" spans="2:12" x14ac:dyDescent="0.3">
      <c r="I11" s="6"/>
      <c r="J11" s="10">
        <f>Табл5!F32</f>
        <v>3.121248</v>
      </c>
      <c r="K11" s="6"/>
      <c r="L11" s="6"/>
    </row>
    <row r="12" spans="2:12" x14ac:dyDescent="0.3">
      <c r="I12" s="6"/>
      <c r="J12" s="10">
        <f>Табл5!F33</f>
        <v>21.138888888888886</v>
      </c>
      <c r="K12" s="6"/>
      <c r="L12" s="6"/>
    </row>
    <row r="13" spans="2:12" x14ac:dyDescent="0.3">
      <c r="I13" s="16" t="s">
        <v>155</v>
      </c>
      <c r="J13" s="28">
        <f>SUM(J4:J12)</f>
        <v>3076.2693134242231</v>
      </c>
      <c r="K13" s="16">
        <f>SUM(K4:K9)</f>
        <v>0</v>
      </c>
      <c r="L13" s="16" t="s">
        <v>156</v>
      </c>
    </row>
  </sheetData>
  <mergeCells count="3">
    <mergeCell ref="B7:D7"/>
    <mergeCell ref="B3:C3"/>
    <mergeCell ref="J3:K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D7D6-C827-46E6-A3A4-30DBFDABB301}">
  <dimension ref="B2:M14"/>
  <sheetViews>
    <sheetView workbookViewId="0">
      <selection activeCell="B3" sqref="B3:E7"/>
    </sheetView>
  </sheetViews>
  <sheetFormatPr defaultRowHeight="14.4" x14ac:dyDescent="0.3"/>
  <cols>
    <col min="2" max="2" width="13.33203125" customWidth="1"/>
    <col min="3" max="3" width="18" customWidth="1"/>
    <col min="4" max="4" width="17" customWidth="1"/>
    <col min="5" max="5" width="17.88671875" customWidth="1"/>
  </cols>
  <sheetData>
    <row r="2" spans="2:13" x14ac:dyDescent="0.3">
      <c r="B2" s="2" t="s">
        <v>191</v>
      </c>
    </row>
    <row r="3" spans="2:13" x14ac:dyDescent="0.3">
      <c r="B3" s="39" t="s">
        <v>181</v>
      </c>
      <c r="C3" s="39"/>
      <c r="D3" s="4" t="s">
        <v>182</v>
      </c>
      <c r="E3" s="14" t="s">
        <v>4</v>
      </c>
      <c r="H3" s="6" t="s">
        <v>204</v>
      </c>
      <c r="J3" s="16" t="s">
        <v>153</v>
      </c>
      <c r="K3" s="56" t="s">
        <v>190</v>
      </c>
      <c r="L3" s="56"/>
      <c r="M3" s="16" t="s">
        <v>154</v>
      </c>
    </row>
    <row r="4" spans="2:13" ht="15.6" x14ac:dyDescent="0.3">
      <c r="B4" s="4" t="s">
        <v>184</v>
      </c>
      <c r="C4" s="4" t="s">
        <v>187</v>
      </c>
      <c r="D4" s="14" t="s">
        <v>212</v>
      </c>
      <c r="E4" s="23">
        <f>H4*$D$9</f>
        <v>3805.3290746951634</v>
      </c>
      <c r="H4" s="10">
        <f>Табл5!F11</f>
        <v>573.88800000000003</v>
      </c>
      <c r="J4" s="6"/>
      <c r="K4" s="10">
        <f>Табл5!F38</f>
        <v>5163.7309090909093</v>
      </c>
      <c r="L4" s="6"/>
      <c r="M4" s="6"/>
    </row>
    <row r="5" spans="2:13" ht="15.6" x14ac:dyDescent="0.3">
      <c r="B5" s="4" t="s">
        <v>185</v>
      </c>
      <c r="C5" s="4" t="s">
        <v>188</v>
      </c>
      <c r="D5" s="14" t="s">
        <v>213</v>
      </c>
      <c r="E5" s="23">
        <f t="shared" ref="E5:E6" si="0">H5*$D$9</f>
        <v>3682.3677610570539</v>
      </c>
      <c r="H5" s="10">
        <f>Табл5!F14</f>
        <v>555.34399999999994</v>
      </c>
      <c r="J5" s="6"/>
      <c r="K5" s="10">
        <f>Табл5!F39</f>
        <v>1755.6685090909093</v>
      </c>
      <c r="L5" s="6"/>
      <c r="M5" s="6"/>
    </row>
    <row r="6" spans="2:13" ht="15.6" x14ac:dyDescent="0.3">
      <c r="B6" s="4" t="s">
        <v>186</v>
      </c>
      <c r="C6" s="4" t="s">
        <v>189</v>
      </c>
      <c r="D6" s="14" t="s">
        <v>214</v>
      </c>
      <c r="E6" s="23">
        <f t="shared" si="0"/>
        <v>3908.8754440746229</v>
      </c>
      <c r="H6" s="10">
        <f>Табл5!F17</f>
        <v>589.50399999999991</v>
      </c>
      <c r="J6" s="6"/>
      <c r="K6" s="10">
        <f>Табл5!F40</f>
        <v>30.982385454545458</v>
      </c>
      <c r="L6" s="6"/>
      <c r="M6" s="6"/>
    </row>
    <row r="7" spans="2:13" x14ac:dyDescent="0.3">
      <c r="B7" s="53" t="s">
        <v>183</v>
      </c>
      <c r="C7" s="53"/>
      <c r="D7" s="53"/>
      <c r="E7" s="26">
        <f>SUM(E4:E6)</f>
        <v>11396.57227982684</v>
      </c>
      <c r="G7" s="24" t="s">
        <v>205</v>
      </c>
      <c r="H7" s="28">
        <f>SUM(H4:H6)</f>
        <v>1718.7359999999999</v>
      </c>
      <c r="J7" s="6"/>
      <c r="K7" s="6">
        <f>Табл5!F42</f>
        <v>344.4</v>
      </c>
      <c r="L7" s="6"/>
      <c r="M7" s="6"/>
    </row>
    <row r="8" spans="2:13" x14ac:dyDescent="0.3">
      <c r="J8" s="6"/>
      <c r="K8" s="6">
        <f>Табл5!F45</f>
        <v>544</v>
      </c>
      <c r="L8" s="6"/>
      <c r="M8" s="6"/>
    </row>
    <row r="9" spans="2:13" ht="15.6" x14ac:dyDescent="0.3">
      <c r="C9" s="6" t="s">
        <v>203</v>
      </c>
      <c r="D9" s="23">
        <f>K14/H7</f>
        <v>6.6307869735822376</v>
      </c>
      <c r="J9" s="6"/>
      <c r="K9" s="6">
        <f>Табл5!F48</f>
        <v>144.4</v>
      </c>
      <c r="L9" s="6"/>
      <c r="M9" s="6"/>
    </row>
    <row r="10" spans="2:13" x14ac:dyDescent="0.3">
      <c r="J10" s="3"/>
      <c r="K10" s="25">
        <f>Табл5!F50</f>
        <v>544</v>
      </c>
      <c r="L10" s="3"/>
      <c r="M10" s="3"/>
    </row>
    <row r="11" spans="2:13" x14ac:dyDescent="0.3">
      <c r="J11" s="3"/>
      <c r="K11" s="25">
        <f>Табл5!F52</f>
        <v>2544</v>
      </c>
      <c r="L11" s="3"/>
      <c r="M11" s="3"/>
    </row>
    <row r="12" spans="2:13" x14ac:dyDescent="0.3">
      <c r="J12" s="3"/>
      <c r="K12" s="25">
        <f>Табл5!F54</f>
        <v>195.7904761904762</v>
      </c>
      <c r="L12" s="3"/>
      <c r="M12" s="3"/>
    </row>
    <row r="13" spans="2:13" x14ac:dyDescent="0.3">
      <c r="J13" s="3"/>
      <c r="K13" s="25">
        <f>Табл5!F55</f>
        <v>129.60000000000002</v>
      </c>
      <c r="L13" s="3"/>
      <c r="M13" s="3"/>
    </row>
    <row r="14" spans="2:13" x14ac:dyDescent="0.3">
      <c r="J14" s="16" t="s">
        <v>155</v>
      </c>
      <c r="K14" s="28">
        <f>SUM(K4:K13)</f>
        <v>11396.57227982684</v>
      </c>
      <c r="L14" s="28">
        <f>SUM(L4:L13)</f>
        <v>0</v>
      </c>
      <c r="M14" s="16" t="s">
        <v>156</v>
      </c>
    </row>
  </sheetData>
  <mergeCells count="3">
    <mergeCell ref="B3:C3"/>
    <mergeCell ref="B7:D7"/>
    <mergeCell ref="K3:L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3A822-B467-4A16-BF82-A4AFBA1BBC36}">
  <dimension ref="B2:W90"/>
  <sheetViews>
    <sheetView tabSelected="1" topLeftCell="A74" workbookViewId="0">
      <selection activeCell="I92" sqref="I92"/>
    </sheetView>
  </sheetViews>
  <sheetFormatPr defaultRowHeight="14.4" x14ac:dyDescent="0.3"/>
  <cols>
    <col min="1" max="16384" width="8.88671875" style="5"/>
  </cols>
  <sheetData>
    <row r="2" spans="2:10" x14ac:dyDescent="0.3">
      <c r="B2" s="15" t="s">
        <v>153</v>
      </c>
      <c r="C2" s="56" t="s">
        <v>215</v>
      </c>
      <c r="D2" s="56"/>
      <c r="E2" s="15" t="s">
        <v>154</v>
      </c>
      <c r="G2" s="15" t="s">
        <v>153</v>
      </c>
      <c r="H2" s="56" t="s">
        <v>180</v>
      </c>
      <c r="I2" s="56"/>
      <c r="J2" s="15" t="s">
        <v>154</v>
      </c>
    </row>
    <row r="3" spans="2:10" x14ac:dyDescent="0.3">
      <c r="B3" s="4"/>
      <c r="C3" s="10">
        <f>Табл5!F4</f>
        <v>688</v>
      </c>
      <c r="D3" s="10">
        <f>Табл5!F59</f>
        <v>6297.8483149117701</v>
      </c>
      <c r="E3" s="4"/>
      <c r="G3" s="4"/>
      <c r="H3" s="10">
        <f>Табл5!F21</f>
        <v>378.9304565353346</v>
      </c>
      <c r="I3" s="10">
        <f>Табл5!F34</f>
        <v>1027.1699922166063</v>
      </c>
      <c r="J3" s="4"/>
    </row>
    <row r="4" spans="2:10" x14ac:dyDescent="0.3">
      <c r="B4" s="4"/>
      <c r="C4" s="10">
        <f>Табл5!F8</f>
        <v>4.8960000000000008</v>
      </c>
      <c r="D4" s="10"/>
      <c r="E4" s="4"/>
      <c r="G4" s="4"/>
      <c r="H4" s="27">
        <f>Табл5!F23</f>
        <v>944</v>
      </c>
      <c r="I4" s="10">
        <f>Табл5!F35</f>
        <v>993.97912512117148</v>
      </c>
      <c r="J4" s="4"/>
    </row>
    <row r="5" spans="2:10" x14ac:dyDescent="0.3">
      <c r="B5" s="4"/>
      <c r="C5" s="10">
        <f>Табл5!F11</f>
        <v>573.88800000000003</v>
      </c>
      <c r="D5" s="10"/>
      <c r="E5" s="4"/>
      <c r="G5" s="4"/>
      <c r="H5" s="27">
        <f>Табл5!F26</f>
        <v>444</v>
      </c>
      <c r="I5" s="10">
        <f>Табл5!F36</f>
        <v>1055.1201960864455</v>
      </c>
      <c r="J5" s="4"/>
    </row>
    <row r="6" spans="2:10" x14ac:dyDescent="0.3">
      <c r="B6" s="4"/>
      <c r="C6" s="10">
        <f>Табл5!F12</f>
        <v>195.12192000000002</v>
      </c>
      <c r="D6" s="10"/>
      <c r="E6" s="4"/>
      <c r="G6" s="4"/>
      <c r="H6" s="27">
        <f>Табл5!F28</f>
        <v>244</v>
      </c>
      <c r="I6" s="6"/>
      <c r="J6" s="4"/>
    </row>
    <row r="7" spans="2:10" x14ac:dyDescent="0.3">
      <c r="B7" s="4"/>
      <c r="C7" s="10">
        <f>Табл5!F13</f>
        <v>3.4433280000000002</v>
      </c>
      <c r="D7" s="10"/>
      <c r="E7" s="4"/>
      <c r="G7" s="4"/>
      <c r="H7" s="27">
        <f>Табл5!F29</f>
        <v>344</v>
      </c>
      <c r="I7" s="6"/>
      <c r="J7" s="4"/>
    </row>
    <row r="8" spans="2:10" x14ac:dyDescent="0.3">
      <c r="B8" s="4"/>
      <c r="C8" s="10">
        <f>Табл5!F34</f>
        <v>1027.1699922166063</v>
      </c>
      <c r="D8" s="10"/>
      <c r="E8" s="4"/>
      <c r="G8" s="4"/>
      <c r="H8" s="10">
        <f>Табл5!F30</f>
        <v>520.20799999999997</v>
      </c>
      <c r="I8" s="6"/>
      <c r="J8" s="4"/>
    </row>
    <row r="9" spans="2:10" x14ac:dyDescent="0.3">
      <c r="B9" s="19"/>
      <c r="C9" s="19">
        <f>Табл5!F56</f>
        <v>3805.3290746951634</v>
      </c>
      <c r="D9" s="19"/>
      <c r="E9" s="19"/>
      <c r="G9" s="6"/>
      <c r="H9" s="10">
        <f>Табл5!F31</f>
        <v>176.87072000000001</v>
      </c>
      <c r="I9" s="6"/>
      <c r="J9" s="6"/>
    </row>
    <row r="10" spans="2:10" x14ac:dyDescent="0.3">
      <c r="B10" s="15" t="s">
        <v>155</v>
      </c>
      <c r="C10" s="28">
        <f>SUM(C3:C9)</f>
        <v>6297.8483149117701</v>
      </c>
      <c r="D10" s="28">
        <f>SUM(D3:D9)</f>
        <v>6297.8483149117701</v>
      </c>
      <c r="E10" s="15" t="s">
        <v>156</v>
      </c>
      <c r="G10" s="6"/>
      <c r="H10" s="10">
        <f>Табл5!F32</f>
        <v>3.121248</v>
      </c>
      <c r="I10" s="6"/>
      <c r="J10" s="6"/>
    </row>
    <row r="11" spans="2:10" x14ac:dyDescent="0.3">
      <c r="G11" s="6"/>
      <c r="H11" s="10">
        <f>Табл5!F33</f>
        <v>21.138888888888886</v>
      </c>
      <c r="I11" s="6"/>
      <c r="J11" s="6"/>
    </row>
    <row r="12" spans="2:10" x14ac:dyDescent="0.3">
      <c r="B12" s="15" t="s">
        <v>153</v>
      </c>
      <c r="C12" s="56" t="s">
        <v>216</v>
      </c>
      <c r="D12" s="56"/>
      <c r="E12" s="15" t="s">
        <v>154</v>
      </c>
      <c r="G12" s="15" t="s">
        <v>155</v>
      </c>
      <c r="H12" s="28">
        <f>SUM(H3:H11)</f>
        <v>3076.2693134242231</v>
      </c>
      <c r="I12" s="28">
        <f>SUM(I3:I8)</f>
        <v>3076.2693134242231</v>
      </c>
      <c r="J12" s="15" t="s">
        <v>156</v>
      </c>
    </row>
    <row r="13" spans="2:10" x14ac:dyDescent="0.3">
      <c r="B13" s="4"/>
      <c r="C13" s="10">
        <f>Табл5!F5</f>
        <v>366</v>
      </c>
      <c r="D13" s="10">
        <f>Табл5!F60</f>
        <v>5789.8399101782252</v>
      </c>
      <c r="E13" s="4"/>
    </row>
    <row r="14" spans="2:10" x14ac:dyDescent="0.3">
      <c r="B14" s="4"/>
      <c r="C14" s="10">
        <f>Табл5!F14</f>
        <v>555.34399999999994</v>
      </c>
      <c r="D14" s="10"/>
      <c r="E14" s="4"/>
      <c r="G14" s="15" t="s">
        <v>153</v>
      </c>
      <c r="H14" s="56" t="s">
        <v>199</v>
      </c>
      <c r="I14" s="56"/>
      <c r="J14" s="15" t="s">
        <v>154</v>
      </c>
    </row>
    <row r="15" spans="2:10" x14ac:dyDescent="0.3">
      <c r="B15" s="4"/>
      <c r="C15" s="10">
        <f>Табл5!F15</f>
        <v>188.81695999999999</v>
      </c>
      <c r="D15" s="10"/>
      <c r="E15" s="4"/>
      <c r="G15" s="4"/>
      <c r="H15" s="4"/>
      <c r="I15" s="4">
        <f>Табл5!F23</f>
        <v>944</v>
      </c>
      <c r="J15" s="4"/>
    </row>
    <row r="16" spans="2:10" x14ac:dyDescent="0.3">
      <c r="B16" s="4"/>
      <c r="C16" s="10">
        <f>Табл5!F16</f>
        <v>3.3320639999999999</v>
      </c>
      <c r="D16" s="10"/>
      <c r="E16" s="4"/>
      <c r="G16" s="4"/>
      <c r="H16" s="4"/>
      <c r="I16" s="6">
        <f>Табл5!F24</f>
        <v>188.8</v>
      </c>
      <c r="J16" s="4"/>
    </row>
    <row r="17" spans="2:23" x14ac:dyDescent="0.3">
      <c r="B17" s="4"/>
      <c r="C17" s="10">
        <f>Табл5!F35</f>
        <v>993.97912512117148</v>
      </c>
      <c r="D17" s="10"/>
      <c r="E17" s="4"/>
      <c r="G17" s="4"/>
      <c r="H17" s="4"/>
      <c r="I17" s="4">
        <f>Табл5!F26</f>
        <v>444</v>
      </c>
      <c r="J17" s="4"/>
    </row>
    <row r="18" spans="2:23" x14ac:dyDescent="0.3">
      <c r="B18" s="19"/>
      <c r="C18" s="22">
        <f>Табл5!F57</f>
        <v>3682.3677610570539</v>
      </c>
      <c r="D18" s="19"/>
      <c r="E18" s="19"/>
      <c r="G18" s="4"/>
      <c r="H18" s="4"/>
      <c r="I18" s="6">
        <f>Табл5!F27</f>
        <v>88.800000000000011</v>
      </c>
      <c r="J18" s="4"/>
    </row>
    <row r="19" spans="2:23" x14ac:dyDescent="0.3">
      <c r="B19" s="15" t="s">
        <v>155</v>
      </c>
      <c r="C19" s="28">
        <f>SUM(C13:C18)</f>
        <v>5789.8399101782252</v>
      </c>
      <c r="D19" s="28">
        <f>SUM(D13:D17)</f>
        <v>5789.8399101782252</v>
      </c>
      <c r="E19" s="15" t="s">
        <v>156</v>
      </c>
      <c r="G19" s="4"/>
      <c r="H19" s="4"/>
      <c r="I19" s="4">
        <f>Табл5!F42</f>
        <v>344.4</v>
      </c>
      <c r="J19" s="4"/>
    </row>
    <row r="20" spans="2:23" x14ac:dyDescent="0.3">
      <c r="G20" s="4"/>
      <c r="H20" s="4"/>
      <c r="I20" s="6">
        <f>Табл5!F43</f>
        <v>68.88</v>
      </c>
      <c r="J20" s="4"/>
    </row>
    <row r="21" spans="2:23" x14ac:dyDescent="0.3">
      <c r="B21" s="15" t="s">
        <v>153</v>
      </c>
      <c r="C21" s="56" t="s">
        <v>197</v>
      </c>
      <c r="D21" s="56"/>
      <c r="E21" s="15" t="s">
        <v>154</v>
      </c>
      <c r="G21" s="6"/>
      <c r="H21" s="6"/>
      <c r="I21" s="6">
        <f>Табл5!F45</f>
        <v>544</v>
      </c>
      <c r="J21" s="6"/>
    </row>
    <row r="22" spans="2:23" x14ac:dyDescent="0.3">
      <c r="B22" s="4"/>
      <c r="C22" s="10">
        <f>Табл5!F24</f>
        <v>188.8</v>
      </c>
      <c r="D22" s="4"/>
      <c r="E22" s="4"/>
      <c r="G22" s="6"/>
      <c r="H22" s="6"/>
      <c r="I22" s="6">
        <f>Табл5!F46</f>
        <v>108.80000000000001</v>
      </c>
      <c r="J22" s="6"/>
    </row>
    <row r="23" spans="2:23" x14ac:dyDescent="0.3">
      <c r="B23" s="4"/>
      <c r="C23" s="4">
        <f>Табл5!F27</f>
        <v>88.800000000000011</v>
      </c>
      <c r="D23" s="4"/>
      <c r="E23" s="4"/>
      <c r="G23" s="6"/>
      <c r="H23" s="6"/>
      <c r="I23" s="6">
        <f>Табл5!F48</f>
        <v>144.4</v>
      </c>
      <c r="J23" s="6"/>
    </row>
    <row r="24" spans="2:23" x14ac:dyDescent="0.3">
      <c r="B24" s="4"/>
      <c r="C24" s="4">
        <f>Табл5!F43</f>
        <v>68.88</v>
      </c>
      <c r="D24" s="4"/>
      <c r="E24" s="4"/>
      <c r="G24" s="6"/>
      <c r="H24" s="6"/>
      <c r="I24" s="6">
        <f>Табл5!F49</f>
        <v>28.880000000000003</v>
      </c>
      <c r="J24" s="6"/>
    </row>
    <row r="25" spans="2:23" x14ac:dyDescent="0.3">
      <c r="B25" s="4"/>
      <c r="C25" s="4">
        <f>Табл5!F46</f>
        <v>108.80000000000001</v>
      </c>
      <c r="D25" s="4"/>
      <c r="E25" s="4"/>
      <c r="G25" s="6"/>
      <c r="H25" s="6"/>
      <c r="I25" s="6">
        <f>Табл5!F52</f>
        <v>2544</v>
      </c>
      <c r="J25" s="6"/>
    </row>
    <row r="26" spans="2:23" x14ac:dyDescent="0.3">
      <c r="B26" s="4"/>
      <c r="C26" s="4">
        <f>Табл5!F49</f>
        <v>28.880000000000003</v>
      </c>
      <c r="D26" s="4"/>
      <c r="E26" s="4"/>
      <c r="G26" s="6"/>
      <c r="H26" s="6"/>
      <c r="I26" s="6">
        <f>Табл5!F53</f>
        <v>508.8</v>
      </c>
      <c r="J26" s="6"/>
    </row>
    <row r="27" spans="2:23" x14ac:dyDescent="0.3">
      <c r="B27" s="4"/>
      <c r="C27" s="4">
        <f>Табл5!F53</f>
        <v>508.8</v>
      </c>
      <c r="D27" s="4"/>
      <c r="E27" s="4"/>
      <c r="G27" s="15" t="s">
        <v>155</v>
      </c>
      <c r="H27" s="15">
        <f>SUM(H15:H26)</f>
        <v>0</v>
      </c>
      <c r="I27" s="16">
        <f>SUM(I15:I26)</f>
        <v>5957.7600000000011</v>
      </c>
      <c r="J27" s="15" t="s">
        <v>156</v>
      </c>
    </row>
    <row r="28" spans="2:23" x14ac:dyDescent="0.3">
      <c r="B28" s="15" t="s">
        <v>155</v>
      </c>
      <c r="C28" s="28">
        <f>SUM(C22:C27)</f>
        <v>992.96</v>
      </c>
      <c r="D28" s="28">
        <f>SUM(D22:D27)</f>
        <v>0</v>
      </c>
      <c r="E28" s="15" t="s">
        <v>156</v>
      </c>
      <c r="G28" s="19"/>
      <c r="H28" s="19"/>
      <c r="I28" s="19">
        <f>I27</f>
        <v>5957.7600000000011</v>
      </c>
      <c r="J28" s="21" t="s">
        <v>218</v>
      </c>
    </row>
    <row r="32" spans="2:23" x14ac:dyDescent="0.3">
      <c r="W32" s="29"/>
    </row>
    <row r="33" spans="2:23" x14ac:dyDescent="0.3">
      <c r="W33" s="30"/>
    </row>
    <row r="34" spans="2:23" x14ac:dyDescent="0.3">
      <c r="W34" s="30"/>
    </row>
    <row r="35" spans="2:23" x14ac:dyDescent="0.3">
      <c r="B35" s="30"/>
      <c r="C35" s="30"/>
      <c r="D35" s="30"/>
      <c r="E35" s="30"/>
      <c r="W35" s="30"/>
    </row>
    <row r="36" spans="2:23" x14ac:dyDescent="0.3">
      <c r="W36" s="30"/>
    </row>
    <row r="37" spans="2:23" x14ac:dyDescent="0.3">
      <c r="W37" s="30"/>
    </row>
    <row r="38" spans="2:23" x14ac:dyDescent="0.3">
      <c r="W38" s="30"/>
    </row>
    <row r="39" spans="2:23" x14ac:dyDescent="0.3">
      <c r="W39" s="29"/>
    </row>
    <row r="40" spans="2:23" x14ac:dyDescent="0.3">
      <c r="P40" s="30"/>
    </row>
    <row r="44" spans="2:23" x14ac:dyDescent="0.3">
      <c r="B44" s="16" t="s">
        <v>153</v>
      </c>
      <c r="C44" s="56" t="s">
        <v>200</v>
      </c>
      <c r="D44" s="56"/>
      <c r="E44" s="16" t="s">
        <v>154</v>
      </c>
      <c r="G44" s="15" t="s">
        <v>153</v>
      </c>
      <c r="H44" s="56" t="s">
        <v>198</v>
      </c>
      <c r="I44" s="56"/>
      <c r="J44" s="15" t="s">
        <v>154</v>
      </c>
    </row>
    <row r="45" spans="2:23" x14ac:dyDescent="0.3">
      <c r="B45" s="6"/>
      <c r="C45" s="10">
        <f>Табл5!F59</f>
        <v>6297.8483149117701</v>
      </c>
      <c r="D45" s="6"/>
      <c r="E45" s="6"/>
      <c r="G45" s="6"/>
      <c r="H45" s="6"/>
      <c r="I45" s="6">
        <f>Табл5!F50</f>
        <v>544</v>
      </c>
      <c r="J45" s="6"/>
    </row>
    <row r="46" spans="2:23" x14ac:dyDescent="0.3">
      <c r="B46" s="16" t="s">
        <v>155</v>
      </c>
      <c r="C46" s="28">
        <f>SUM(C45)</f>
        <v>6297.8483149117701</v>
      </c>
      <c r="D46" s="16">
        <f>SUM(D45)</f>
        <v>0</v>
      </c>
      <c r="E46" s="16" t="s">
        <v>156</v>
      </c>
      <c r="G46" s="16" t="s">
        <v>155</v>
      </c>
      <c r="H46" s="16">
        <f>SUM(H45)</f>
        <v>0</v>
      </c>
      <c r="I46" s="16">
        <f>SUM(I45)</f>
        <v>544</v>
      </c>
      <c r="J46" s="16" t="s">
        <v>156</v>
      </c>
    </row>
    <row r="47" spans="2:23" x14ac:dyDescent="0.3">
      <c r="B47" s="21" t="s">
        <v>219</v>
      </c>
      <c r="C47" s="22">
        <f>C46</f>
        <v>6297.8483149117701</v>
      </c>
      <c r="D47" s="19"/>
      <c r="E47" s="19"/>
    </row>
    <row r="48" spans="2:23" x14ac:dyDescent="0.3">
      <c r="G48" s="15" t="s">
        <v>153</v>
      </c>
      <c r="H48" s="56" t="s">
        <v>192</v>
      </c>
      <c r="I48" s="56"/>
      <c r="J48" s="15" t="s">
        <v>154</v>
      </c>
    </row>
    <row r="49" spans="2:10" x14ac:dyDescent="0.3">
      <c r="B49" s="16" t="s">
        <v>153</v>
      </c>
      <c r="C49" s="56" t="s">
        <v>190</v>
      </c>
      <c r="D49" s="56"/>
      <c r="E49" s="16" t="s">
        <v>154</v>
      </c>
      <c r="G49" s="4"/>
      <c r="H49" s="4"/>
      <c r="I49" s="4">
        <f>Табл5!F4</f>
        <v>688</v>
      </c>
      <c r="J49" s="4"/>
    </row>
    <row r="50" spans="2:10" x14ac:dyDescent="0.3">
      <c r="B50" s="6"/>
      <c r="C50" s="23">
        <f>Табл5!F38</f>
        <v>5163.7309090909093</v>
      </c>
      <c r="D50" s="33">
        <f>Табл5!F56</f>
        <v>3805.3290746951634</v>
      </c>
      <c r="E50" s="6"/>
      <c r="G50" s="4"/>
      <c r="H50" s="4"/>
      <c r="I50" s="6">
        <f>Табл5!F5</f>
        <v>366</v>
      </c>
      <c r="J50" s="4"/>
    </row>
    <row r="51" spans="2:10" x14ac:dyDescent="0.3">
      <c r="B51" s="6"/>
      <c r="C51" s="23">
        <f>Табл5!F39</f>
        <v>1755.6685090909093</v>
      </c>
      <c r="D51" s="33">
        <f>Табл5!F57</f>
        <v>3682.3677610570539</v>
      </c>
      <c r="E51" s="6"/>
      <c r="G51" s="4"/>
      <c r="H51" s="4"/>
      <c r="I51" s="6">
        <f>Табл5!F6</f>
        <v>59.52</v>
      </c>
      <c r="J51" s="4"/>
    </row>
    <row r="52" spans="2:10" x14ac:dyDescent="0.3">
      <c r="B52" s="6"/>
      <c r="C52" s="23">
        <f>Табл5!F40</f>
        <v>30.982385454545458</v>
      </c>
      <c r="D52" s="33">
        <f>Табл5!F58</f>
        <v>3908.8754440746229</v>
      </c>
      <c r="E52" s="6"/>
      <c r="G52" s="4"/>
      <c r="H52" s="4"/>
      <c r="I52" s="6">
        <f>Табл5!F7</f>
        <v>42.2</v>
      </c>
      <c r="J52" s="4"/>
    </row>
    <row r="53" spans="2:10" x14ac:dyDescent="0.3">
      <c r="B53" s="6"/>
      <c r="C53" s="14">
        <f>Табл5!F42</f>
        <v>344.4</v>
      </c>
      <c r="D53" s="14"/>
      <c r="E53" s="6"/>
      <c r="G53" s="4"/>
      <c r="H53" s="4"/>
      <c r="I53" s="6">
        <f>Табл5!F8</f>
        <v>4.8960000000000008</v>
      </c>
      <c r="J53" s="4"/>
    </row>
    <row r="54" spans="2:10" x14ac:dyDescent="0.3">
      <c r="B54" s="6"/>
      <c r="C54" s="14">
        <f>Табл5!F45</f>
        <v>544</v>
      </c>
      <c r="D54" s="14"/>
      <c r="E54" s="6"/>
      <c r="G54" s="4"/>
      <c r="H54" s="4"/>
      <c r="I54" s="6">
        <f>Табл5!F9</f>
        <v>86.4</v>
      </c>
      <c r="J54" s="4"/>
    </row>
    <row r="55" spans="2:10" x14ac:dyDescent="0.3">
      <c r="B55" s="6"/>
      <c r="C55" s="14">
        <f>Табл5!F48</f>
        <v>144.4</v>
      </c>
      <c r="D55" s="14"/>
      <c r="E55" s="6"/>
      <c r="G55" s="6"/>
      <c r="H55" s="6"/>
      <c r="I55" s="6">
        <f>Табл5!F28</f>
        <v>244</v>
      </c>
      <c r="J55" s="6"/>
    </row>
    <row r="56" spans="2:10" x14ac:dyDescent="0.3">
      <c r="B56" s="3"/>
      <c r="C56" s="23">
        <f>Табл5!F50</f>
        <v>544</v>
      </c>
      <c r="D56" s="14"/>
      <c r="E56" s="3"/>
      <c r="G56" s="6"/>
      <c r="H56" s="6"/>
      <c r="I56" s="6">
        <f>Табл5!F29</f>
        <v>344</v>
      </c>
      <c r="J56" s="6"/>
    </row>
    <row r="57" spans="2:10" x14ac:dyDescent="0.3">
      <c r="B57" s="3"/>
      <c r="C57" s="23">
        <f>Табл5!F52</f>
        <v>2544</v>
      </c>
      <c r="D57" s="14"/>
      <c r="E57" s="3"/>
      <c r="G57" s="6"/>
      <c r="H57" s="6"/>
      <c r="I57" s="6">
        <f>Табл5!F55</f>
        <v>129.60000000000002</v>
      </c>
      <c r="J57" s="6"/>
    </row>
    <row r="58" spans="2:10" x14ac:dyDescent="0.3">
      <c r="B58" s="6"/>
      <c r="C58" s="23">
        <f>Табл5!F54</f>
        <v>195.7904761904762</v>
      </c>
      <c r="D58" s="6"/>
      <c r="E58" s="6"/>
      <c r="G58" s="15" t="s">
        <v>155</v>
      </c>
      <c r="H58" s="16">
        <f>SUM(H49:H57)</f>
        <v>0</v>
      </c>
      <c r="I58" s="16">
        <f>SUM(I49:I57)</f>
        <v>1964.616</v>
      </c>
      <c r="J58" s="15" t="s">
        <v>156</v>
      </c>
    </row>
    <row r="59" spans="2:10" x14ac:dyDescent="0.3">
      <c r="B59" s="6"/>
      <c r="C59" s="23">
        <f>Табл5!F55</f>
        <v>129.60000000000002</v>
      </c>
      <c r="D59" s="6"/>
      <c r="E59" s="6"/>
    </row>
    <row r="60" spans="2:10" x14ac:dyDescent="0.3">
      <c r="B60" s="16" t="s">
        <v>155</v>
      </c>
      <c r="C60" s="26">
        <f>SUM(C50:C59)</f>
        <v>11396.57227982684</v>
      </c>
      <c r="D60" s="26">
        <f>SUM(D50:D59)</f>
        <v>11396.57227982684</v>
      </c>
      <c r="E60" s="16" t="s">
        <v>156</v>
      </c>
      <c r="G60" s="15" t="s">
        <v>153</v>
      </c>
      <c r="H60" s="56" t="s">
        <v>195</v>
      </c>
      <c r="I60" s="56"/>
      <c r="J60" s="15" t="s">
        <v>154</v>
      </c>
    </row>
    <row r="61" spans="2:10" x14ac:dyDescent="0.3">
      <c r="G61" s="4"/>
      <c r="H61" s="4"/>
      <c r="I61" s="10">
        <f>Табл5!F11</f>
        <v>573.88800000000003</v>
      </c>
      <c r="J61" s="4"/>
    </row>
    <row r="62" spans="2:10" x14ac:dyDescent="0.3">
      <c r="B62" s="15" t="s">
        <v>153</v>
      </c>
      <c r="C62" s="56" t="s">
        <v>201</v>
      </c>
      <c r="D62" s="56"/>
      <c r="E62" s="15" t="s">
        <v>154</v>
      </c>
      <c r="G62" s="4"/>
      <c r="H62" s="4"/>
      <c r="I62" s="10">
        <f>Табл5!F14</f>
        <v>555.34399999999994</v>
      </c>
      <c r="J62" s="4"/>
    </row>
    <row r="63" spans="2:10" x14ac:dyDescent="0.3">
      <c r="B63" s="4"/>
      <c r="C63" s="10">
        <f>Табл5!F60</f>
        <v>5789.8399101782252</v>
      </c>
      <c r="D63" s="4"/>
      <c r="E63" s="4"/>
      <c r="G63" s="4"/>
      <c r="H63" s="4"/>
      <c r="I63" s="10">
        <f>Табл5!F17</f>
        <v>589.50399999999991</v>
      </c>
      <c r="J63" s="4"/>
    </row>
    <row r="64" spans="2:10" x14ac:dyDescent="0.3">
      <c r="B64" s="15" t="s">
        <v>155</v>
      </c>
      <c r="C64" s="15">
        <f>SUM(C63)</f>
        <v>5789.8399101782252</v>
      </c>
      <c r="D64" s="16">
        <f>SUM(D63)</f>
        <v>0</v>
      </c>
      <c r="E64" s="15" t="s">
        <v>156</v>
      </c>
      <c r="G64" s="4"/>
      <c r="H64" s="4"/>
      <c r="I64" s="10">
        <f>Табл5!F30</f>
        <v>520.20799999999997</v>
      </c>
      <c r="J64" s="4"/>
    </row>
    <row r="65" spans="2:20" x14ac:dyDescent="0.3">
      <c r="B65" s="21" t="s">
        <v>219</v>
      </c>
      <c r="C65" s="22">
        <f>C64</f>
        <v>5789.8399101782252</v>
      </c>
      <c r="D65" s="19"/>
      <c r="E65" s="19"/>
      <c r="G65" s="4"/>
      <c r="H65" s="4"/>
      <c r="I65" s="10">
        <f>Табл5!F38</f>
        <v>5163.7309090909093</v>
      </c>
      <c r="J65" s="4"/>
    </row>
    <row r="66" spans="2:20" x14ac:dyDescent="0.3">
      <c r="G66" s="15" t="s">
        <v>155</v>
      </c>
      <c r="H66" s="28">
        <f>SUM(H61:H65)</f>
        <v>0</v>
      </c>
      <c r="I66" s="28">
        <f>SUM(I61:I65)</f>
        <v>7402.6749090909088</v>
      </c>
      <c r="J66" s="15" t="s">
        <v>156</v>
      </c>
      <c r="Q66" s="30"/>
      <c r="R66" s="30"/>
      <c r="S66" s="30"/>
      <c r="T66" s="30"/>
    </row>
    <row r="67" spans="2:20" x14ac:dyDescent="0.3">
      <c r="B67" s="15" t="s">
        <v>153</v>
      </c>
      <c r="C67" s="56" t="s">
        <v>193</v>
      </c>
      <c r="D67" s="56"/>
      <c r="E67" s="15" t="s">
        <v>154</v>
      </c>
    </row>
    <row r="68" spans="2:20" x14ac:dyDescent="0.3">
      <c r="B68" s="6"/>
      <c r="C68" s="6"/>
      <c r="D68" s="10">
        <f>Табл5!F21</f>
        <v>378.9304565353346</v>
      </c>
      <c r="E68" s="6"/>
      <c r="G68" s="15" t="s">
        <v>153</v>
      </c>
      <c r="H68" s="56" t="s">
        <v>202</v>
      </c>
      <c r="I68" s="56"/>
      <c r="J68" s="15" t="s">
        <v>154</v>
      </c>
    </row>
    <row r="69" spans="2:20" x14ac:dyDescent="0.3">
      <c r="B69" s="6"/>
      <c r="C69" s="6"/>
      <c r="D69" s="10">
        <f>Табл5!F33</f>
        <v>21.138888888888886</v>
      </c>
      <c r="E69" s="6"/>
      <c r="G69" s="4"/>
      <c r="H69" s="10">
        <f>Табл5!F61</f>
        <v>5945.5880241610685</v>
      </c>
      <c r="I69" s="4"/>
      <c r="J69" s="4"/>
    </row>
    <row r="70" spans="2:20" x14ac:dyDescent="0.3">
      <c r="B70" s="6"/>
      <c r="C70" s="6"/>
      <c r="D70" s="10">
        <f>Табл5!F54</f>
        <v>195.7904761904762</v>
      </c>
      <c r="E70" s="6"/>
      <c r="G70" s="15" t="s">
        <v>155</v>
      </c>
      <c r="H70" s="28">
        <f>SUM(H69)</f>
        <v>5945.5880241610685</v>
      </c>
      <c r="I70" s="16">
        <f>SUM(I69)</f>
        <v>0</v>
      </c>
      <c r="J70" s="15" t="s">
        <v>156</v>
      </c>
    </row>
    <row r="71" spans="2:20" x14ac:dyDescent="0.3">
      <c r="B71" s="16" t="s">
        <v>155</v>
      </c>
      <c r="C71" s="16">
        <f>SUM(C68:C70)</f>
        <v>0</v>
      </c>
      <c r="D71" s="16">
        <f>SUM(D68:D70)</f>
        <v>595.85982161469963</v>
      </c>
      <c r="E71" s="16" t="s">
        <v>156</v>
      </c>
      <c r="G71" s="21" t="s">
        <v>219</v>
      </c>
      <c r="H71" s="22">
        <f>H70</f>
        <v>5945.5880241610685</v>
      </c>
      <c r="I71" s="19"/>
      <c r="J71" s="19"/>
    </row>
    <row r="72" spans="2:20" x14ac:dyDescent="0.3">
      <c r="B72" s="19"/>
      <c r="C72" s="19"/>
      <c r="D72" s="19"/>
      <c r="E72" s="21" t="s">
        <v>218</v>
      </c>
    </row>
    <row r="73" spans="2:20" x14ac:dyDescent="0.3">
      <c r="G73" s="15" t="s">
        <v>153</v>
      </c>
      <c r="H73" s="56" t="s">
        <v>194</v>
      </c>
      <c r="I73" s="56"/>
      <c r="J73" s="15" t="s">
        <v>154</v>
      </c>
    </row>
    <row r="74" spans="2:20" x14ac:dyDescent="0.3">
      <c r="B74" s="15" t="s">
        <v>153</v>
      </c>
      <c r="C74" s="56" t="s">
        <v>196</v>
      </c>
      <c r="D74" s="56"/>
      <c r="E74" s="15" t="s">
        <v>154</v>
      </c>
      <c r="G74" s="4"/>
      <c r="H74" s="4"/>
      <c r="I74" s="10">
        <f>Табл5!F12</f>
        <v>195.12192000000002</v>
      </c>
      <c r="J74" s="4"/>
    </row>
    <row r="75" spans="2:20" x14ac:dyDescent="0.3">
      <c r="B75" s="4"/>
      <c r="C75" s="4"/>
      <c r="D75" s="10">
        <f>Табл5!F13</f>
        <v>3.4433280000000002</v>
      </c>
      <c r="E75" s="4"/>
      <c r="G75" s="4"/>
      <c r="H75" s="4"/>
      <c r="I75" s="10">
        <f>Табл5!F15</f>
        <v>188.81695999999999</v>
      </c>
      <c r="J75" s="4"/>
    </row>
    <row r="76" spans="2:20" x14ac:dyDescent="0.3">
      <c r="B76" s="4"/>
      <c r="C76" s="4"/>
      <c r="D76" s="10">
        <f>Табл5!F16</f>
        <v>3.3320639999999999</v>
      </c>
      <c r="E76" s="4"/>
      <c r="G76" s="4"/>
      <c r="H76" s="4"/>
      <c r="I76" s="10">
        <f>Табл5!F18</f>
        <v>200.43135999999998</v>
      </c>
      <c r="J76" s="4"/>
    </row>
    <row r="77" spans="2:20" x14ac:dyDescent="0.3">
      <c r="B77" s="4"/>
      <c r="C77" s="4"/>
      <c r="D77" s="10">
        <f>Табл5!F19</f>
        <v>3.5370239999999997</v>
      </c>
      <c r="E77" s="4"/>
      <c r="G77" s="4"/>
      <c r="H77" s="4"/>
      <c r="I77" s="10">
        <f>Табл5!F31</f>
        <v>176.87072000000001</v>
      </c>
      <c r="J77" s="4"/>
    </row>
    <row r="78" spans="2:20" x14ac:dyDescent="0.3">
      <c r="B78" s="4"/>
      <c r="C78" s="4"/>
      <c r="D78" s="10">
        <f>Табл5!F32</f>
        <v>3.121248</v>
      </c>
      <c r="E78" s="4"/>
      <c r="G78" s="4"/>
      <c r="H78" s="4"/>
      <c r="I78" s="10">
        <f>Табл5!F39</f>
        <v>1755.6685090909093</v>
      </c>
      <c r="J78" s="4"/>
    </row>
    <row r="79" spans="2:20" x14ac:dyDescent="0.3">
      <c r="B79" s="4"/>
      <c r="C79" s="4"/>
      <c r="D79" s="10">
        <f>Табл5!F40</f>
        <v>30.982385454545458</v>
      </c>
      <c r="E79" s="4"/>
      <c r="G79" s="15" t="s">
        <v>155</v>
      </c>
      <c r="H79" s="28">
        <f>SUM(H74:H78)</f>
        <v>0</v>
      </c>
      <c r="I79" s="28">
        <f>SUM(I74:I78)</f>
        <v>2516.9094690909092</v>
      </c>
      <c r="J79" s="15" t="s">
        <v>156</v>
      </c>
    </row>
    <row r="80" spans="2:20" x14ac:dyDescent="0.3">
      <c r="B80" s="15" t="s">
        <v>155</v>
      </c>
      <c r="C80" s="28">
        <f>SUM(C75:C79)</f>
        <v>0</v>
      </c>
      <c r="D80" s="28">
        <f>SUM(D75:D79)</f>
        <v>44.416049454545458</v>
      </c>
      <c r="E80" s="15" t="s">
        <v>156</v>
      </c>
    </row>
    <row r="81" spans="2:15" x14ac:dyDescent="0.3">
      <c r="B81" s="19"/>
      <c r="C81" s="19"/>
      <c r="D81" s="22">
        <f>D80</f>
        <v>44.416049454545458</v>
      </c>
      <c r="E81" s="21" t="s">
        <v>218</v>
      </c>
      <c r="L81" s="15" t="s">
        <v>153</v>
      </c>
      <c r="M81" s="56" t="s">
        <v>217</v>
      </c>
      <c r="N81" s="56"/>
      <c r="O81" s="15" t="s">
        <v>154</v>
      </c>
    </row>
    <row r="82" spans="2:15" x14ac:dyDescent="0.3">
      <c r="L82" s="4"/>
      <c r="M82" s="4">
        <f>Табл5!F6</f>
        <v>59.52</v>
      </c>
      <c r="N82" s="10">
        <f>Табл5!F61</f>
        <v>5945.5880241610685</v>
      </c>
      <c r="O82" s="4"/>
    </row>
    <row r="83" spans="2:15" x14ac:dyDescent="0.3">
      <c r="L83" s="4"/>
      <c r="M83" s="6">
        <f>Табл5!F7</f>
        <v>42.2</v>
      </c>
      <c r="N83" s="4"/>
      <c r="O83" s="4"/>
    </row>
    <row r="84" spans="2:15" x14ac:dyDescent="0.3">
      <c r="L84" s="4"/>
      <c r="M84" s="10">
        <f>Табл5!F9</f>
        <v>86.4</v>
      </c>
      <c r="N84" s="4"/>
      <c r="O84" s="4"/>
    </row>
    <row r="85" spans="2:15" x14ac:dyDescent="0.3">
      <c r="L85" s="4"/>
      <c r="M85" s="10">
        <f>Табл5!F17</f>
        <v>589.50399999999991</v>
      </c>
      <c r="N85" s="4"/>
      <c r="O85" s="4"/>
    </row>
    <row r="86" spans="2:15" x14ac:dyDescent="0.3">
      <c r="L86" s="4"/>
      <c r="M86" s="10">
        <f>Табл5!F18</f>
        <v>200.43135999999998</v>
      </c>
      <c r="N86" s="4"/>
      <c r="O86" s="4"/>
    </row>
    <row r="87" spans="2:15" x14ac:dyDescent="0.3">
      <c r="L87" s="4"/>
      <c r="M87" s="10">
        <f>Табл5!F19</f>
        <v>3.5370239999999997</v>
      </c>
      <c r="N87" s="4"/>
      <c r="O87" s="4"/>
    </row>
    <row r="88" spans="2:15" x14ac:dyDescent="0.3">
      <c r="L88" s="6"/>
      <c r="M88" s="10">
        <f>Табл5!F36</f>
        <v>1055.1201960864455</v>
      </c>
      <c r="N88" s="6"/>
      <c r="O88" s="6"/>
    </row>
    <row r="89" spans="2:15" x14ac:dyDescent="0.3">
      <c r="L89" s="19"/>
      <c r="M89" s="22">
        <f>Табл5!F58</f>
        <v>3908.8754440746229</v>
      </c>
      <c r="N89" s="19"/>
      <c r="O89" s="19"/>
    </row>
    <row r="90" spans="2:15" x14ac:dyDescent="0.3">
      <c r="L90" s="15" t="s">
        <v>155</v>
      </c>
      <c r="M90" s="16">
        <f>SUM(M82:M89)</f>
        <v>5945.5880241610685</v>
      </c>
      <c r="N90" s="15">
        <f>SUM(N82:N87)</f>
        <v>5945.5880241610685</v>
      </c>
      <c r="O90" s="15" t="s">
        <v>156</v>
      </c>
    </row>
  </sheetData>
  <mergeCells count="16">
    <mergeCell ref="H14:I14"/>
    <mergeCell ref="C62:D62"/>
    <mergeCell ref="H68:I68"/>
    <mergeCell ref="C67:D67"/>
    <mergeCell ref="H73:I73"/>
    <mergeCell ref="H60:I60"/>
    <mergeCell ref="C74:D74"/>
    <mergeCell ref="C21:D21"/>
    <mergeCell ref="C49:D49"/>
    <mergeCell ref="C44:D44"/>
    <mergeCell ref="C2:D2"/>
    <mergeCell ref="C12:D12"/>
    <mergeCell ref="M81:N81"/>
    <mergeCell ref="H2:I2"/>
    <mergeCell ref="H48:I48"/>
    <mergeCell ref="H44:I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Табл1</vt:lpstr>
      <vt:lpstr>Табл 2</vt:lpstr>
      <vt:lpstr>Табл3</vt:lpstr>
      <vt:lpstr>Табл4</vt:lpstr>
      <vt:lpstr>Табл5</vt:lpstr>
      <vt:lpstr>Табл6</vt:lpstr>
      <vt:lpstr>Табл7</vt:lpstr>
      <vt:lpstr>Табл8</vt:lpstr>
      <vt:lpstr>Счета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2015-06-05T18:19:34Z</dcterms:created>
  <dcterms:modified xsi:type="dcterms:W3CDTF">2021-04-30T16:45:47Z</dcterms:modified>
</cp:coreProperties>
</file>