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53" windowWidth="23070" windowHeight="12270"/>
  </bookViews>
  <sheets>
    <sheet name="Sheet1" sheetId="1" r:id="rId1"/>
  </sheets>
  <definedNames>
    <definedName name="g">Sheet1!$E$42</definedName>
    <definedName name="l_A">Sheet1!$E$34</definedName>
    <definedName name="m">Sheet1!$E$41</definedName>
    <definedName name="mu">Sheet1!$E$43</definedName>
    <definedName name="r_W">Sheet1!$E$35</definedName>
    <definedName name="solver_adj" localSheetId="0" hidden="1">Sheet1!$E$39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Sheet1!$O$121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y_AP">Sheet1!$E$39</definedName>
    <definedName name="y_CG">Sheet1!$E$40</definedName>
  </definedNames>
  <calcPr calcId="145621"/>
</workbook>
</file>

<file path=xl/calcChain.xml><?xml version="1.0" encoding="utf-8"?>
<calcChain xmlns="http://schemas.openxmlformats.org/spreadsheetml/2006/main">
  <c r="E34" i="1" l="1"/>
  <c r="E39" i="1"/>
  <c r="G39" i="1"/>
  <c r="K38" i="1" l="1"/>
  <c r="L38" i="1" s="1"/>
  <c r="A48" i="1"/>
  <c r="B47" i="1"/>
  <c r="C47" i="1"/>
  <c r="D47" i="1" s="1"/>
  <c r="G47" i="1" s="1"/>
  <c r="J47" i="1" s="1"/>
  <c r="C48" i="1" l="1"/>
  <c r="D48" i="1" s="1"/>
  <c r="G48" i="1" s="1"/>
  <c r="J48" i="1" s="1"/>
  <c r="A49" i="1"/>
  <c r="B48" i="1"/>
  <c r="C49" i="1" l="1"/>
  <c r="D49" i="1" s="1"/>
  <c r="B49" i="1"/>
  <c r="A50" i="1"/>
  <c r="G49" i="1" l="1"/>
  <c r="J49" i="1" s="1"/>
  <c r="A51" i="1"/>
  <c r="C50" i="1"/>
  <c r="D50" i="1" s="1"/>
  <c r="B50" i="1"/>
  <c r="A52" i="1" l="1"/>
  <c r="C51" i="1"/>
  <c r="D51" i="1" s="1"/>
  <c r="B51" i="1"/>
  <c r="G50" i="1"/>
  <c r="J50" i="1" s="1"/>
  <c r="G51" i="1" l="1"/>
  <c r="J51" i="1" s="1"/>
  <c r="A53" i="1"/>
  <c r="C52" i="1"/>
  <c r="D52" i="1" s="1"/>
  <c r="G52" i="1" s="1"/>
  <c r="J52" i="1" s="1"/>
  <c r="B52" i="1"/>
  <c r="A54" i="1" l="1"/>
  <c r="C53" i="1"/>
  <c r="D53" i="1" s="1"/>
  <c r="G53" i="1" s="1"/>
  <c r="J53" i="1" s="1"/>
  <c r="B53" i="1"/>
  <c r="A55" i="1" l="1"/>
  <c r="C54" i="1"/>
  <c r="D54" i="1" s="1"/>
  <c r="B54" i="1"/>
  <c r="G54" i="1" l="1"/>
  <c r="J54" i="1" s="1"/>
  <c r="A56" i="1"/>
  <c r="C55" i="1"/>
  <c r="D55" i="1" s="1"/>
  <c r="B55" i="1"/>
  <c r="A57" i="1" l="1"/>
  <c r="B56" i="1"/>
  <c r="C56" i="1"/>
  <c r="D56" i="1" s="1"/>
  <c r="G55" i="1"/>
  <c r="J55" i="1" s="1"/>
  <c r="A58" i="1" l="1"/>
  <c r="C57" i="1"/>
  <c r="D57" i="1" s="1"/>
  <c r="B57" i="1"/>
  <c r="G56" i="1"/>
  <c r="J56" i="1" s="1"/>
  <c r="A59" i="1" l="1"/>
  <c r="C58" i="1"/>
  <c r="D58" i="1" s="1"/>
  <c r="B58" i="1"/>
  <c r="G57" i="1"/>
  <c r="J57" i="1" s="1"/>
  <c r="A60" i="1" l="1"/>
  <c r="C59" i="1"/>
  <c r="D59" i="1" s="1"/>
  <c r="B59" i="1"/>
  <c r="G58" i="1"/>
  <c r="J58" i="1" s="1"/>
  <c r="A61" i="1" l="1"/>
  <c r="C60" i="1"/>
  <c r="D60" i="1" s="1"/>
  <c r="G60" i="1" s="1"/>
  <c r="J60" i="1" s="1"/>
  <c r="B60" i="1"/>
  <c r="G59" i="1"/>
  <c r="J59" i="1" s="1"/>
  <c r="A62" i="1" l="1"/>
  <c r="C61" i="1"/>
  <c r="D61" i="1" s="1"/>
  <c r="G61" i="1" s="1"/>
  <c r="J61" i="1" s="1"/>
  <c r="B61" i="1"/>
  <c r="A63" i="1" l="1"/>
  <c r="C62" i="1"/>
  <c r="D62" i="1" s="1"/>
  <c r="B62" i="1"/>
  <c r="G62" i="1" l="1"/>
  <c r="J62" i="1" s="1"/>
  <c r="A64" i="1"/>
  <c r="C63" i="1"/>
  <c r="D63" i="1" s="1"/>
  <c r="B63" i="1"/>
  <c r="A65" i="1" l="1"/>
  <c r="C64" i="1"/>
  <c r="D64" i="1" s="1"/>
  <c r="B64" i="1"/>
  <c r="G63" i="1"/>
  <c r="J63" i="1" s="1"/>
  <c r="G64" i="1" l="1"/>
  <c r="J64" i="1" s="1"/>
  <c r="A66" i="1"/>
  <c r="C65" i="1"/>
  <c r="D65" i="1" s="1"/>
  <c r="B65" i="1"/>
  <c r="G65" i="1" l="1"/>
  <c r="J65" i="1" s="1"/>
  <c r="A67" i="1"/>
  <c r="C66" i="1"/>
  <c r="D66" i="1" s="1"/>
  <c r="B66" i="1"/>
  <c r="A68" i="1" l="1"/>
  <c r="C67" i="1"/>
  <c r="D67" i="1" s="1"/>
  <c r="B67" i="1"/>
  <c r="G66" i="1"/>
  <c r="J66" i="1" s="1"/>
  <c r="A69" i="1" l="1"/>
  <c r="B68" i="1"/>
  <c r="C68" i="1"/>
  <c r="D68" i="1" s="1"/>
  <c r="G67" i="1"/>
  <c r="J67" i="1" s="1"/>
  <c r="A70" i="1" l="1"/>
  <c r="C69" i="1"/>
  <c r="D69" i="1" s="1"/>
  <c r="G69" i="1" s="1"/>
  <c r="J69" i="1" s="1"/>
  <c r="B69" i="1"/>
  <c r="G68" i="1"/>
  <c r="J68" i="1" s="1"/>
  <c r="A71" i="1" l="1"/>
  <c r="C70" i="1"/>
  <c r="D70" i="1" s="1"/>
  <c r="B70" i="1"/>
  <c r="G70" i="1" l="1"/>
  <c r="J70" i="1" s="1"/>
  <c r="A72" i="1"/>
  <c r="C71" i="1"/>
  <c r="D71" i="1" s="1"/>
  <c r="B71" i="1"/>
  <c r="A73" i="1" l="1"/>
  <c r="C72" i="1"/>
  <c r="D72" i="1" s="1"/>
  <c r="G72" i="1" s="1"/>
  <c r="J72" i="1" s="1"/>
  <c r="B72" i="1"/>
  <c r="G71" i="1"/>
  <c r="J71" i="1" s="1"/>
  <c r="A74" i="1" l="1"/>
  <c r="C73" i="1"/>
  <c r="D73" i="1" s="1"/>
  <c r="B73" i="1"/>
  <c r="A75" i="1" l="1"/>
  <c r="C74" i="1"/>
  <c r="D74" i="1" s="1"/>
  <c r="B74" i="1"/>
  <c r="G73" i="1"/>
  <c r="J73" i="1" s="1"/>
  <c r="G74" i="1" l="1"/>
  <c r="J74" i="1" s="1"/>
  <c r="A76" i="1"/>
  <c r="C75" i="1"/>
  <c r="D75" i="1" s="1"/>
  <c r="B75" i="1"/>
  <c r="G75" i="1" l="1"/>
  <c r="J75" i="1" s="1"/>
  <c r="A77" i="1"/>
  <c r="C76" i="1"/>
  <c r="D76" i="1" s="1"/>
  <c r="B76" i="1"/>
  <c r="G76" i="1" l="1"/>
  <c r="J76" i="1" s="1"/>
  <c r="A78" i="1"/>
  <c r="C77" i="1"/>
  <c r="D77" i="1" s="1"/>
  <c r="G77" i="1" s="1"/>
  <c r="J77" i="1" s="1"/>
  <c r="B77" i="1"/>
  <c r="A79" i="1" l="1"/>
  <c r="C78" i="1"/>
  <c r="D78" i="1" s="1"/>
  <c r="B78" i="1"/>
  <c r="G78" i="1" l="1"/>
  <c r="J78" i="1" s="1"/>
  <c r="A80" i="1"/>
  <c r="C79" i="1"/>
  <c r="D79" i="1" s="1"/>
  <c r="B79" i="1"/>
  <c r="G79" i="1" l="1"/>
  <c r="J79" i="1" s="1"/>
  <c r="A81" i="1"/>
  <c r="C80" i="1"/>
  <c r="D80" i="1" s="1"/>
  <c r="G80" i="1" s="1"/>
  <c r="J80" i="1" s="1"/>
  <c r="B80" i="1"/>
  <c r="A82" i="1" l="1"/>
  <c r="C81" i="1"/>
  <c r="D81" i="1" s="1"/>
  <c r="B81" i="1"/>
  <c r="G81" i="1" l="1"/>
  <c r="J81" i="1" s="1"/>
  <c r="A83" i="1"/>
  <c r="C82" i="1"/>
  <c r="D82" i="1" s="1"/>
  <c r="B82" i="1"/>
  <c r="G82" i="1" l="1"/>
  <c r="J82" i="1" s="1"/>
  <c r="C83" i="1"/>
  <c r="D83" i="1" s="1"/>
  <c r="B83" i="1"/>
  <c r="A84" i="1"/>
  <c r="A85" i="1" l="1"/>
  <c r="C84" i="1"/>
  <c r="D84" i="1" s="1"/>
  <c r="B84" i="1"/>
  <c r="G83" i="1"/>
  <c r="J83" i="1" s="1"/>
  <c r="G84" i="1" l="1"/>
  <c r="J84" i="1" s="1"/>
  <c r="A86" i="1"/>
  <c r="C85" i="1"/>
  <c r="D85" i="1" s="1"/>
  <c r="B85" i="1"/>
  <c r="G85" i="1" l="1"/>
  <c r="J85" i="1" s="1"/>
  <c r="A87" i="1"/>
  <c r="C86" i="1"/>
  <c r="D86" i="1" s="1"/>
  <c r="B86" i="1"/>
  <c r="G86" i="1" l="1"/>
  <c r="J86" i="1" s="1"/>
  <c r="A88" i="1"/>
  <c r="C87" i="1"/>
  <c r="D87" i="1" s="1"/>
  <c r="B87" i="1"/>
  <c r="A89" i="1" l="1"/>
  <c r="C88" i="1"/>
  <c r="D88" i="1" s="1"/>
  <c r="G88" i="1" s="1"/>
  <c r="J88" i="1" s="1"/>
  <c r="B88" i="1"/>
  <c r="G87" i="1"/>
  <c r="J87" i="1" s="1"/>
  <c r="A90" i="1" l="1"/>
  <c r="C89" i="1"/>
  <c r="D89" i="1" s="1"/>
  <c r="B89" i="1"/>
  <c r="G89" i="1" l="1"/>
  <c r="J89" i="1" s="1"/>
  <c r="A91" i="1"/>
  <c r="C90" i="1"/>
  <c r="D90" i="1" s="1"/>
  <c r="B90" i="1"/>
  <c r="G90" i="1" l="1"/>
  <c r="J90" i="1" s="1"/>
  <c r="A92" i="1"/>
  <c r="C91" i="1"/>
  <c r="D91" i="1" s="1"/>
  <c r="B91" i="1"/>
  <c r="A93" i="1" l="1"/>
  <c r="C92" i="1"/>
  <c r="D92" i="1" s="1"/>
  <c r="B92" i="1"/>
  <c r="G91" i="1"/>
  <c r="J91" i="1" s="1"/>
  <c r="G92" i="1" l="1"/>
  <c r="J92" i="1" s="1"/>
  <c r="A94" i="1"/>
  <c r="C93" i="1"/>
  <c r="D93" i="1" s="1"/>
  <c r="B93" i="1"/>
  <c r="G93" i="1" l="1"/>
  <c r="J93" i="1" s="1"/>
  <c r="A95" i="1"/>
  <c r="C94" i="1"/>
  <c r="D94" i="1" s="1"/>
  <c r="B94" i="1"/>
  <c r="G94" i="1" l="1"/>
  <c r="J94" i="1" s="1"/>
  <c r="A96" i="1"/>
  <c r="C95" i="1"/>
  <c r="D95" i="1" s="1"/>
  <c r="B95" i="1"/>
  <c r="G95" i="1" l="1"/>
  <c r="J95" i="1" s="1"/>
  <c r="A97" i="1"/>
  <c r="C96" i="1"/>
  <c r="D96" i="1" s="1"/>
  <c r="B96" i="1"/>
  <c r="G96" i="1" l="1"/>
  <c r="J96" i="1" s="1"/>
  <c r="A98" i="1"/>
  <c r="C97" i="1"/>
  <c r="D97" i="1" s="1"/>
  <c r="B97" i="1"/>
  <c r="G97" i="1" l="1"/>
  <c r="J97" i="1" s="1"/>
  <c r="A99" i="1"/>
  <c r="B98" i="1"/>
  <c r="C98" i="1"/>
  <c r="D98" i="1" s="1"/>
  <c r="G98" i="1" l="1"/>
  <c r="J98" i="1" s="1"/>
  <c r="A100" i="1"/>
  <c r="C99" i="1"/>
  <c r="D99" i="1" s="1"/>
  <c r="B99" i="1"/>
  <c r="G99" i="1" l="1"/>
  <c r="J99" i="1" s="1"/>
  <c r="A101" i="1"/>
  <c r="C100" i="1"/>
  <c r="D100" i="1" s="1"/>
  <c r="B100" i="1"/>
  <c r="G100" i="1" l="1"/>
  <c r="J100" i="1" s="1"/>
  <c r="A102" i="1"/>
  <c r="C101" i="1"/>
  <c r="D101" i="1" s="1"/>
  <c r="B101" i="1"/>
  <c r="G101" i="1" l="1"/>
  <c r="J101" i="1" s="1"/>
  <c r="A103" i="1"/>
  <c r="C102" i="1"/>
  <c r="D102" i="1" s="1"/>
  <c r="B102" i="1"/>
  <c r="G102" i="1" l="1"/>
  <c r="J102" i="1" s="1"/>
  <c r="A104" i="1"/>
  <c r="C103" i="1"/>
  <c r="D103" i="1" s="1"/>
  <c r="B103" i="1"/>
  <c r="G103" i="1" l="1"/>
  <c r="J103" i="1" s="1"/>
  <c r="A105" i="1"/>
  <c r="C104" i="1"/>
  <c r="D104" i="1" s="1"/>
  <c r="B104" i="1"/>
  <c r="G104" i="1" l="1"/>
  <c r="J104" i="1" s="1"/>
  <c r="A106" i="1"/>
  <c r="C105" i="1"/>
  <c r="D105" i="1" s="1"/>
  <c r="B105" i="1"/>
  <c r="G105" i="1" l="1"/>
  <c r="J105" i="1" s="1"/>
  <c r="A107" i="1"/>
  <c r="C106" i="1"/>
  <c r="D106" i="1" s="1"/>
  <c r="B106" i="1"/>
  <c r="G106" i="1" l="1"/>
  <c r="J106" i="1" s="1"/>
  <c r="A108" i="1"/>
  <c r="C107" i="1"/>
  <c r="D107" i="1" s="1"/>
  <c r="B107" i="1"/>
  <c r="G107" i="1" l="1"/>
  <c r="J107" i="1" s="1"/>
  <c r="A109" i="1"/>
  <c r="C108" i="1"/>
  <c r="D108" i="1" s="1"/>
  <c r="G108" i="1" s="1"/>
  <c r="J108" i="1" s="1"/>
  <c r="B108" i="1"/>
  <c r="A110" i="1" l="1"/>
  <c r="C109" i="1"/>
  <c r="D109" i="1" s="1"/>
  <c r="B109" i="1"/>
  <c r="G109" i="1" l="1"/>
  <c r="J109" i="1" s="1"/>
  <c r="A111" i="1"/>
  <c r="B110" i="1"/>
  <c r="C110" i="1"/>
  <c r="D110" i="1" s="1"/>
  <c r="G110" i="1" l="1"/>
  <c r="J110" i="1" s="1"/>
  <c r="A112" i="1"/>
  <c r="C111" i="1"/>
  <c r="D111" i="1" s="1"/>
  <c r="B111" i="1"/>
  <c r="G111" i="1" l="1"/>
  <c r="J111" i="1" s="1"/>
  <c r="A113" i="1"/>
  <c r="A114" i="1" s="1"/>
  <c r="B114" i="1" s="1"/>
  <c r="C112" i="1"/>
  <c r="D112" i="1" s="1"/>
  <c r="B112" i="1"/>
  <c r="G112" i="1" l="1"/>
  <c r="J112" i="1" s="1"/>
  <c r="B113" i="1"/>
  <c r="C113" i="1"/>
  <c r="D113" i="1" s="1"/>
  <c r="G113" i="1" l="1"/>
  <c r="J113" i="1" s="1"/>
  <c r="A115" i="1"/>
  <c r="C114" i="1"/>
  <c r="D114" i="1" s="1"/>
  <c r="B115" i="1" l="1"/>
  <c r="A116" i="1"/>
  <c r="C115" i="1"/>
  <c r="D115" i="1" s="1"/>
  <c r="G114" i="1"/>
  <c r="J114" i="1" s="1"/>
  <c r="G115" i="1" l="1"/>
  <c r="J115" i="1" s="1"/>
  <c r="A117" i="1"/>
  <c r="C116" i="1"/>
  <c r="D116" i="1" s="1"/>
  <c r="G116" i="1" s="1"/>
  <c r="J116" i="1" s="1"/>
  <c r="B116" i="1"/>
  <c r="A118" i="1" l="1"/>
  <c r="C117" i="1"/>
  <c r="D117" i="1" s="1"/>
  <c r="B117" i="1"/>
  <c r="G117" i="1" l="1"/>
  <c r="J117" i="1" s="1"/>
  <c r="A119" i="1"/>
  <c r="C118" i="1"/>
  <c r="D118" i="1" s="1"/>
  <c r="B118" i="1"/>
  <c r="G118" i="1" l="1"/>
  <c r="J118" i="1" s="1"/>
  <c r="C119" i="1"/>
  <c r="D119" i="1" s="1"/>
  <c r="B119" i="1"/>
  <c r="G119" i="1" l="1"/>
  <c r="J119" i="1" s="1"/>
  <c r="G40" i="1" l="1"/>
  <c r="Q40" i="1" s="1"/>
  <c r="E58" i="1"/>
  <c r="L58" i="1" s="1"/>
  <c r="M58" i="1" s="1"/>
  <c r="E62" i="1"/>
  <c r="L62" i="1" s="1"/>
  <c r="M62" i="1" s="1"/>
  <c r="E66" i="1"/>
  <c r="F66" i="1" s="1"/>
  <c r="H66" i="1" s="1"/>
  <c r="E78" i="1"/>
  <c r="F78" i="1" s="1"/>
  <c r="H78" i="1" s="1"/>
  <c r="E94" i="1"/>
  <c r="F94" i="1" s="1"/>
  <c r="H94" i="1" s="1"/>
  <c r="E98" i="1"/>
  <c r="L98" i="1" s="1"/>
  <c r="M98" i="1" s="1"/>
  <c r="E102" i="1"/>
  <c r="L102" i="1" s="1"/>
  <c r="M102" i="1" s="1"/>
  <c r="E106" i="1"/>
  <c r="L106" i="1" s="1"/>
  <c r="M106" i="1" s="1"/>
  <c r="E48" i="1"/>
  <c r="L48" i="1" s="1"/>
  <c r="M48" i="1" s="1"/>
  <c r="E51" i="1"/>
  <c r="L51" i="1" s="1"/>
  <c r="M51" i="1" s="1"/>
  <c r="E55" i="1"/>
  <c r="L55" i="1" s="1"/>
  <c r="M55" i="1" s="1"/>
  <c r="E59" i="1"/>
  <c r="F59" i="1" s="1"/>
  <c r="H59" i="1" s="1"/>
  <c r="E60" i="1"/>
  <c r="F60" i="1" s="1"/>
  <c r="H60" i="1" s="1"/>
  <c r="E63" i="1"/>
  <c r="F63" i="1" s="1"/>
  <c r="H63" i="1" s="1"/>
  <c r="E64" i="1"/>
  <c r="F64" i="1" s="1"/>
  <c r="H64" i="1" s="1"/>
  <c r="E75" i="1"/>
  <c r="L75" i="1" s="1"/>
  <c r="M75" i="1" s="1"/>
  <c r="E76" i="1"/>
  <c r="F76" i="1" s="1"/>
  <c r="H76" i="1" s="1"/>
  <c r="E83" i="1"/>
  <c r="L83" i="1" s="1"/>
  <c r="M83" i="1" s="1"/>
  <c r="E84" i="1"/>
  <c r="F84" i="1" s="1"/>
  <c r="H84" i="1" s="1"/>
  <c r="I84" i="1" s="1"/>
  <c r="E88" i="1"/>
  <c r="F88" i="1" s="1"/>
  <c r="H88" i="1" s="1"/>
  <c r="E91" i="1"/>
  <c r="L91" i="1" s="1"/>
  <c r="M91" i="1" s="1"/>
  <c r="E92" i="1"/>
  <c r="L92" i="1" s="1"/>
  <c r="M92" i="1" s="1"/>
  <c r="E95" i="1"/>
  <c r="L95" i="1" s="1"/>
  <c r="M95" i="1" s="1"/>
  <c r="E96" i="1"/>
  <c r="F96" i="1" s="1"/>
  <c r="H96" i="1" s="1"/>
  <c r="L96" i="1"/>
  <c r="M96" i="1" s="1"/>
  <c r="E68" i="1"/>
  <c r="L68" i="1" s="1"/>
  <c r="M68" i="1" s="1"/>
  <c r="E70" i="1"/>
  <c r="L70" i="1" s="1"/>
  <c r="M70" i="1" s="1"/>
  <c r="E72" i="1"/>
  <c r="F72" i="1" s="1"/>
  <c r="H72" i="1" s="1"/>
  <c r="E82" i="1"/>
  <c r="F82" i="1" s="1"/>
  <c r="H82" i="1" s="1"/>
  <c r="E50" i="1"/>
  <c r="L50" i="1" s="1"/>
  <c r="M50" i="1" s="1"/>
  <c r="E57" i="1"/>
  <c r="L57" i="1" s="1"/>
  <c r="M57" i="1" s="1"/>
  <c r="E93" i="1"/>
  <c r="F93" i="1" s="1"/>
  <c r="H93" i="1" s="1"/>
  <c r="E110" i="1"/>
  <c r="F110" i="1" s="1"/>
  <c r="H110" i="1" s="1"/>
  <c r="L110" i="1"/>
  <c r="M110" i="1" s="1"/>
  <c r="E112" i="1"/>
  <c r="L112" i="1" s="1"/>
  <c r="M112" i="1" s="1"/>
  <c r="E61" i="1"/>
  <c r="F61" i="1" s="1"/>
  <c r="H61" i="1" s="1"/>
  <c r="I61" i="1" s="1"/>
  <c r="E87" i="1"/>
  <c r="L87" i="1" s="1"/>
  <c r="M87" i="1" s="1"/>
  <c r="E101" i="1"/>
  <c r="L101" i="1" s="1"/>
  <c r="M101" i="1" s="1"/>
  <c r="E107" i="1"/>
  <c r="F107" i="1" s="1"/>
  <c r="E114" i="1"/>
  <c r="F114" i="1" s="1"/>
  <c r="H114" i="1" s="1"/>
  <c r="E81" i="1"/>
  <c r="F81" i="1" s="1"/>
  <c r="H81" i="1" s="1"/>
  <c r="E86" i="1"/>
  <c r="F86" i="1" s="1"/>
  <c r="H86" i="1" s="1"/>
  <c r="L86" i="1"/>
  <c r="M86" i="1" s="1"/>
  <c r="E53" i="1"/>
  <c r="L53" i="1" s="1"/>
  <c r="M53" i="1" s="1"/>
  <c r="E74" i="1"/>
  <c r="L74" i="1" s="1"/>
  <c r="M74" i="1" s="1"/>
  <c r="E85" i="1"/>
  <c r="F85" i="1" s="1"/>
  <c r="H85" i="1" s="1"/>
  <c r="E100" i="1"/>
  <c r="F100" i="1" s="1"/>
  <c r="H100" i="1" s="1"/>
  <c r="E105" i="1"/>
  <c r="F105" i="1" s="1"/>
  <c r="H105" i="1" s="1"/>
  <c r="I105" i="1" s="1"/>
  <c r="L105" i="1"/>
  <c r="M105" i="1" s="1"/>
  <c r="E79" i="1"/>
  <c r="F79" i="1" s="1"/>
  <c r="H79" i="1" s="1"/>
  <c r="E90" i="1"/>
  <c r="L90" i="1" s="1"/>
  <c r="M90" i="1" s="1"/>
  <c r="E104" i="1"/>
  <c r="F104" i="1" s="1"/>
  <c r="H104" i="1" s="1"/>
  <c r="E115" i="1"/>
  <c r="L115" i="1" s="1"/>
  <c r="M115" i="1" s="1"/>
  <c r="E49" i="1"/>
  <c r="F49" i="1" s="1"/>
  <c r="H49" i="1" s="1"/>
  <c r="E56" i="1"/>
  <c r="L56" i="1" s="1"/>
  <c r="M56" i="1" s="1"/>
  <c r="E77" i="1"/>
  <c r="F77" i="1" s="1"/>
  <c r="H77" i="1" s="1"/>
  <c r="E47" i="1"/>
  <c r="L47" i="1" s="1"/>
  <c r="M47" i="1" s="1"/>
  <c r="E71" i="1"/>
  <c r="F71" i="1" s="1"/>
  <c r="E99" i="1"/>
  <c r="L99" i="1" s="1"/>
  <c r="M99" i="1" s="1"/>
  <c r="F109" i="1"/>
  <c r="H109" i="1" s="1"/>
  <c r="E109" i="1"/>
  <c r="L109" i="1" s="1"/>
  <c r="M109" i="1" s="1"/>
  <c r="E113" i="1"/>
  <c r="L113" i="1" s="1"/>
  <c r="M113" i="1" s="1"/>
  <c r="E65" i="1"/>
  <c r="L65" i="1" s="1"/>
  <c r="M65" i="1" s="1"/>
  <c r="E116" i="1"/>
  <c r="F116" i="1" s="1"/>
  <c r="H116" i="1" s="1"/>
  <c r="E119" i="1"/>
  <c r="F119" i="1" s="1"/>
  <c r="H119" i="1" s="1"/>
  <c r="L119" i="1"/>
  <c r="M119" i="1" s="1"/>
  <c r="H107" i="1"/>
  <c r="E108" i="1"/>
  <c r="G41" i="1"/>
  <c r="Q41" i="1" s="1"/>
  <c r="E54" i="1"/>
  <c r="F54" i="1" s="1"/>
  <c r="H54" i="1" s="1"/>
  <c r="H71" i="1"/>
  <c r="E80" i="1"/>
  <c r="E67" i="1"/>
  <c r="F67" i="1" s="1"/>
  <c r="H67" i="1" s="1"/>
  <c r="E73" i="1"/>
  <c r="F73" i="1" s="1"/>
  <c r="L73" i="1"/>
  <c r="M73" i="1" s="1"/>
  <c r="E89" i="1"/>
  <c r="F89" i="1" s="1"/>
  <c r="H89" i="1" s="1"/>
  <c r="L89" i="1"/>
  <c r="M89" i="1" s="1"/>
  <c r="E97" i="1"/>
  <c r="F97" i="1" s="1"/>
  <c r="H97" i="1" s="1"/>
  <c r="E103" i="1"/>
  <c r="F103" i="1" s="1"/>
  <c r="H103" i="1" s="1"/>
  <c r="K105" i="1"/>
  <c r="N105" i="1" s="1"/>
  <c r="E111" i="1"/>
  <c r="F111" i="1" s="1"/>
  <c r="H111" i="1" s="1"/>
  <c r="E117" i="1"/>
  <c r="E118" i="1"/>
  <c r="F118" i="1" s="1"/>
  <c r="H118" i="1" s="1"/>
  <c r="H73" i="1"/>
  <c r="I73" i="1" s="1"/>
  <c r="E52" i="1"/>
  <c r="F52" i="1" s="1"/>
  <c r="H52" i="1" s="1"/>
  <c r="E69" i="1"/>
  <c r="F69" i="1" s="1"/>
  <c r="H69" i="1" s="1"/>
  <c r="L69" i="1"/>
  <c r="M69" i="1" s="1"/>
  <c r="E36" i="1"/>
  <c r="K84" i="1"/>
  <c r="N84" i="1" s="1"/>
  <c r="F68" i="1" l="1"/>
  <c r="H68" i="1" s="1"/>
  <c r="I68" i="1" s="1"/>
  <c r="L84" i="1"/>
  <c r="M84" i="1" s="1"/>
  <c r="O84" i="1" s="1"/>
  <c r="P84" i="1" s="1"/>
  <c r="L111" i="1"/>
  <c r="M111" i="1" s="1"/>
  <c r="F53" i="1"/>
  <c r="H53" i="1" s="1"/>
  <c r="I53" i="1" s="1"/>
  <c r="L52" i="1"/>
  <c r="M52" i="1" s="1"/>
  <c r="L82" i="1"/>
  <c r="M82" i="1" s="1"/>
  <c r="F95" i="1"/>
  <c r="H95" i="1" s="1"/>
  <c r="I95" i="1" s="1"/>
  <c r="L76" i="1"/>
  <c r="M76" i="1" s="1"/>
  <c r="I63" i="1"/>
  <c r="K63" i="1"/>
  <c r="N63" i="1" s="1"/>
  <c r="K53" i="1"/>
  <c r="N53" i="1" s="1"/>
  <c r="O53" i="1" s="1"/>
  <c r="P53" i="1" s="1"/>
  <c r="L54" i="1"/>
  <c r="M54" i="1" s="1"/>
  <c r="L71" i="1"/>
  <c r="M71" i="1" s="1"/>
  <c r="L63" i="1"/>
  <c r="M63" i="1" s="1"/>
  <c r="O105" i="1"/>
  <c r="P105" i="1" s="1"/>
  <c r="L60" i="1"/>
  <c r="M60" i="1" s="1"/>
  <c r="L103" i="1"/>
  <c r="M103" i="1" s="1"/>
  <c r="L104" i="1"/>
  <c r="M104" i="1" s="1"/>
  <c r="L107" i="1"/>
  <c r="M107" i="1" s="1"/>
  <c r="F70" i="1"/>
  <c r="H70" i="1" s="1"/>
  <c r="I70" i="1" s="1"/>
  <c r="L59" i="1"/>
  <c r="M59" i="1" s="1"/>
  <c r="L94" i="1"/>
  <c r="M94" i="1" s="1"/>
  <c r="L118" i="1"/>
  <c r="M118" i="1" s="1"/>
  <c r="L77" i="1"/>
  <c r="M77" i="1" s="1"/>
  <c r="L79" i="1"/>
  <c r="M79" i="1" s="1"/>
  <c r="I78" i="1"/>
  <c r="K78" i="1"/>
  <c r="I97" i="1"/>
  <c r="K97" i="1"/>
  <c r="I118" i="1"/>
  <c r="K118" i="1"/>
  <c r="K119" i="1"/>
  <c r="I119" i="1"/>
  <c r="L97" i="1"/>
  <c r="M97" i="1" s="1"/>
  <c r="L67" i="1"/>
  <c r="M67" i="1" s="1"/>
  <c r="K49" i="1"/>
  <c r="I49" i="1"/>
  <c r="K86" i="1"/>
  <c r="I86" i="1"/>
  <c r="K82" i="1"/>
  <c r="I82" i="1"/>
  <c r="K67" i="1"/>
  <c r="I67" i="1"/>
  <c r="I71" i="1"/>
  <c r="K71" i="1"/>
  <c r="K100" i="1"/>
  <c r="I100" i="1"/>
  <c r="I81" i="1"/>
  <c r="K81" i="1"/>
  <c r="I72" i="1"/>
  <c r="K72" i="1"/>
  <c r="I96" i="1"/>
  <c r="K96" i="1"/>
  <c r="K54" i="1"/>
  <c r="I54" i="1"/>
  <c r="I111" i="1"/>
  <c r="K111" i="1"/>
  <c r="K69" i="1"/>
  <c r="I69" i="1"/>
  <c r="K73" i="1"/>
  <c r="L108" i="1"/>
  <c r="M108" i="1" s="1"/>
  <c r="F108" i="1"/>
  <c r="H108" i="1" s="1"/>
  <c r="I104" i="1"/>
  <c r="K104" i="1"/>
  <c r="I85" i="1"/>
  <c r="K85" i="1"/>
  <c r="I60" i="1"/>
  <c r="K60" i="1"/>
  <c r="I110" i="1"/>
  <c r="K110" i="1"/>
  <c r="K70" i="1"/>
  <c r="I76" i="1"/>
  <c r="K76" i="1"/>
  <c r="K89" i="1"/>
  <c r="I89" i="1"/>
  <c r="K114" i="1"/>
  <c r="I114" i="1"/>
  <c r="F80" i="1"/>
  <c r="H80" i="1" s="1"/>
  <c r="L80" i="1"/>
  <c r="M80" i="1" s="1"/>
  <c r="K107" i="1"/>
  <c r="I107" i="1"/>
  <c r="K93" i="1"/>
  <c r="I93" i="1"/>
  <c r="K59" i="1"/>
  <c r="I59" i="1"/>
  <c r="K94" i="1"/>
  <c r="I94" i="1"/>
  <c r="I109" i="1"/>
  <c r="K109" i="1"/>
  <c r="K52" i="1"/>
  <c r="I52" i="1"/>
  <c r="K116" i="1"/>
  <c r="I116" i="1"/>
  <c r="I77" i="1"/>
  <c r="K77" i="1"/>
  <c r="K79" i="1"/>
  <c r="I79" i="1"/>
  <c r="I88" i="1"/>
  <c r="K88" i="1"/>
  <c r="K66" i="1"/>
  <c r="I66" i="1"/>
  <c r="I64" i="1"/>
  <c r="K64" i="1"/>
  <c r="L117" i="1"/>
  <c r="M117" i="1" s="1"/>
  <c r="F117" i="1"/>
  <c r="H117" i="1" s="1"/>
  <c r="K103" i="1"/>
  <c r="I103" i="1"/>
  <c r="K61" i="1"/>
  <c r="F99" i="1"/>
  <c r="H99" i="1" s="1"/>
  <c r="F101" i="1"/>
  <c r="H101" i="1" s="1"/>
  <c r="F92" i="1"/>
  <c r="H92" i="1" s="1"/>
  <c r="F48" i="1"/>
  <c r="H48" i="1" s="1"/>
  <c r="Q43" i="1" a="1"/>
  <c r="Q43" i="1" s="1"/>
  <c r="F56" i="1"/>
  <c r="H56" i="1" s="1"/>
  <c r="F51" i="1"/>
  <c r="H51" i="1" s="1"/>
  <c r="F91" i="1"/>
  <c r="H91" i="1" s="1"/>
  <c r="L78" i="1"/>
  <c r="M78" i="1" s="1"/>
  <c r="F57" i="1"/>
  <c r="H57" i="1" s="1"/>
  <c r="F62" i="1"/>
  <c r="H62" i="1" s="1"/>
  <c r="L49" i="1"/>
  <c r="M49" i="1" s="1"/>
  <c r="F115" i="1"/>
  <c r="H115" i="1" s="1"/>
  <c r="L100" i="1"/>
  <c r="M100" i="1" s="1"/>
  <c r="L114" i="1"/>
  <c r="M114" i="1" s="1"/>
  <c r="K68" i="1"/>
  <c r="F113" i="1"/>
  <c r="H113" i="1" s="1"/>
  <c r="L88" i="1"/>
  <c r="M88" i="1" s="1"/>
  <c r="F83" i="1"/>
  <c r="H83" i="1" s="1"/>
  <c r="F55" i="1"/>
  <c r="H55" i="1" s="1"/>
  <c r="F102" i="1"/>
  <c r="H102" i="1" s="1"/>
  <c r="F47" i="1"/>
  <c r="H47" i="1" s="1"/>
  <c r="L93" i="1"/>
  <c r="M93" i="1" s="1"/>
  <c r="L116" i="1"/>
  <c r="M116" i="1" s="1"/>
  <c r="L85" i="1"/>
  <c r="M85" i="1" s="1"/>
  <c r="L81" i="1"/>
  <c r="M81" i="1" s="1"/>
  <c r="L61" i="1"/>
  <c r="M61" i="1" s="1"/>
  <c r="L72" i="1"/>
  <c r="M72" i="1" s="1"/>
  <c r="F75" i="1"/>
  <c r="H75" i="1" s="1"/>
  <c r="F106" i="1"/>
  <c r="H106" i="1" s="1"/>
  <c r="L66" i="1"/>
  <c r="M66" i="1" s="1"/>
  <c r="F74" i="1"/>
  <c r="H74" i="1" s="1"/>
  <c r="F87" i="1"/>
  <c r="H87" i="1" s="1"/>
  <c r="F90" i="1"/>
  <c r="H90" i="1" s="1"/>
  <c r="L64" i="1"/>
  <c r="M64" i="1" s="1"/>
  <c r="F65" i="1"/>
  <c r="H65" i="1" s="1"/>
  <c r="F112" i="1"/>
  <c r="H112" i="1" s="1"/>
  <c r="F98" i="1"/>
  <c r="H98" i="1" s="1"/>
  <c r="F58" i="1"/>
  <c r="H58" i="1" s="1"/>
  <c r="F50" i="1"/>
  <c r="H50" i="1" s="1"/>
  <c r="K95" i="1"/>
  <c r="O63" i="1" l="1"/>
  <c r="P63" i="1" s="1"/>
  <c r="I90" i="1"/>
  <c r="K90" i="1"/>
  <c r="K83" i="1"/>
  <c r="I83" i="1"/>
  <c r="N69" i="1"/>
  <c r="O69" i="1" s="1"/>
  <c r="P69" i="1" s="1"/>
  <c r="K87" i="1"/>
  <c r="I87" i="1"/>
  <c r="I62" i="1"/>
  <c r="K62" i="1"/>
  <c r="N64" i="1"/>
  <c r="O64" i="1" s="1"/>
  <c r="P64" i="1" s="1"/>
  <c r="N70" i="1"/>
  <c r="O70" i="1" s="1"/>
  <c r="P70" i="1" s="1"/>
  <c r="N104" i="1"/>
  <c r="O104" i="1" s="1"/>
  <c r="P104" i="1" s="1"/>
  <c r="K50" i="1"/>
  <c r="I50" i="1"/>
  <c r="I74" i="1"/>
  <c r="K74" i="1"/>
  <c r="I113" i="1"/>
  <c r="K113" i="1"/>
  <c r="K57" i="1"/>
  <c r="I57" i="1"/>
  <c r="K101" i="1"/>
  <c r="I101" i="1"/>
  <c r="O94" i="1"/>
  <c r="P94" i="1" s="1"/>
  <c r="N94" i="1"/>
  <c r="I80" i="1"/>
  <c r="K80" i="1"/>
  <c r="N111" i="1"/>
  <c r="O111" i="1" s="1"/>
  <c r="P111" i="1" s="1"/>
  <c r="N81" i="1"/>
  <c r="O81" i="1" s="1"/>
  <c r="P81" i="1" s="1"/>
  <c r="K115" i="1"/>
  <c r="I115" i="1"/>
  <c r="K48" i="1"/>
  <c r="I48" i="1"/>
  <c r="N79" i="1"/>
  <c r="O79" i="1" s="1"/>
  <c r="P79" i="1" s="1"/>
  <c r="N107" i="1"/>
  <c r="O107" i="1"/>
  <c r="P107" i="1" s="1"/>
  <c r="N72" i="1"/>
  <c r="O72" i="1" s="1"/>
  <c r="P72" i="1" s="1"/>
  <c r="N78" i="1"/>
  <c r="O78" i="1"/>
  <c r="P78" i="1" s="1"/>
  <c r="N95" i="1"/>
  <c r="O95" i="1" s="1"/>
  <c r="P95" i="1" s="1"/>
  <c r="I92" i="1"/>
  <c r="K92" i="1"/>
  <c r="N77" i="1"/>
  <c r="O77" i="1" s="1"/>
  <c r="P77" i="1" s="1"/>
  <c r="N67" i="1"/>
  <c r="O67" i="1" s="1"/>
  <c r="P67" i="1" s="1"/>
  <c r="I58" i="1"/>
  <c r="K58" i="1"/>
  <c r="I99" i="1"/>
  <c r="K99" i="1"/>
  <c r="N110" i="1"/>
  <c r="O110" i="1" s="1"/>
  <c r="P110" i="1" s="1"/>
  <c r="N82" i="1"/>
  <c r="O82" i="1"/>
  <c r="P82" i="1" s="1"/>
  <c r="N119" i="1"/>
  <c r="O119" i="1" s="1"/>
  <c r="P119" i="1" s="1"/>
  <c r="I106" i="1"/>
  <c r="K106" i="1"/>
  <c r="I98" i="1"/>
  <c r="K98" i="1"/>
  <c r="K47" i="1"/>
  <c r="I47" i="1"/>
  <c r="N68" i="1"/>
  <c r="O68" i="1" s="1"/>
  <c r="P68" i="1" s="1"/>
  <c r="K91" i="1"/>
  <c r="I91" i="1"/>
  <c r="N61" i="1"/>
  <c r="O61" i="1" s="1"/>
  <c r="P61" i="1" s="1"/>
  <c r="N66" i="1"/>
  <c r="O66" i="1" s="1"/>
  <c r="P66" i="1" s="1"/>
  <c r="N116" i="1"/>
  <c r="O116" i="1" s="1"/>
  <c r="P116" i="1" s="1"/>
  <c r="N59" i="1"/>
  <c r="O59" i="1" s="1"/>
  <c r="P59" i="1" s="1"/>
  <c r="N114" i="1"/>
  <c r="O114" i="1" s="1"/>
  <c r="P114" i="1" s="1"/>
  <c r="I108" i="1"/>
  <c r="K108" i="1"/>
  <c r="N118" i="1"/>
  <c r="O118" i="1" s="1"/>
  <c r="P118" i="1" s="1"/>
  <c r="K112" i="1"/>
  <c r="I112" i="1"/>
  <c r="K75" i="1"/>
  <c r="I75" i="1"/>
  <c r="K51" i="1"/>
  <c r="I51" i="1"/>
  <c r="N88" i="1"/>
  <c r="O88" i="1" s="1"/>
  <c r="P88" i="1" s="1"/>
  <c r="N60" i="1"/>
  <c r="O60" i="1" s="1"/>
  <c r="P60" i="1" s="1"/>
  <c r="N54" i="1"/>
  <c r="O54" i="1" s="1"/>
  <c r="P54" i="1" s="1"/>
  <c r="N100" i="1"/>
  <c r="O100" i="1" s="1"/>
  <c r="P100" i="1" s="1"/>
  <c r="N86" i="1"/>
  <c r="O86" i="1" s="1"/>
  <c r="P86" i="1" s="1"/>
  <c r="K65" i="1"/>
  <c r="I65" i="1"/>
  <c r="I102" i="1"/>
  <c r="K102" i="1"/>
  <c r="I56" i="1"/>
  <c r="K56" i="1"/>
  <c r="N103" i="1"/>
  <c r="O103" i="1" s="1"/>
  <c r="P103" i="1" s="1"/>
  <c r="N52" i="1"/>
  <c r="O52" i="1" s="1"/>
  <c r="P52" i="1" s="1"/>
  <c r="O93" i="1"/>
  <c r="P93" i="1" s="1"/>
  <c r="N93" i="1"/>
  <c r="N89" i="1"/>
  <c r="O89" i="1" s="1"/>
  <c r="P89" i="1" s="1"/>
  <c r="N73" i="1"/>
  <c r="O73" i="1" s="1"/>
  <c r="P73" i="1" s="1"/>
  <c r="N96" i="1"/>
  <c r="O96" i="1"/>
  <c r="P96" i="1" s="1"/>
  <c r="N71" i="1"/>
  <c r="O71" i="1" s="1"/>
  <c r="P71" i="1" s="1"/>
  <c r="N97" i="1"/>
  <c r="O97" i="1" s="1"/>
  <c r="P97" i="1" s="1"/>
  <c r="I117" i="1"/>
  <c r="K117" i="1"/>
  <c r="N109" i="1"/>
  <c r="O109" i="1"/>
  <c r="P109" i="1" s="1"/>
  <c r="N76" i="1"/>
  <c r="O76" i="1" s="1"/>
  <c r="P76" i="1" s="1"/>
  <c r="N85" i="1"/>
  <c r="O85" i="1" s="1"/>
  <c r="P85" i="1" s="1"/>
  <c r="O49" i="1"/>
  <c r="P49" i="1" s="1"/>
  <c r="N49" i="1"/>
  <c r="K55" i="1"/>
  <c r="I55" i="1"/>
  <c r="N57" i="1" l="1"/>
  <c r="O57" i="1" s="1"/>
  <c r="P57" i="1" s="1"/>
  <c r="N87" i="1"/>
  <c r="O87" i="1" s="1"/>
  <c r="P87" i="1" s="1"/>
  <c r="N56" i="1"/>
  <c r="O56" i="1" s="1"/>
  <c r="P56" i="1" s="1"/>
  <c r="N108" i="1"/>
  <c r="O108" i="1" s="1"/>
  <c r="P108" i="1" s="1"/>
  <c r="N75" i="1"/>
  <c r="O75" i="1" s="1"/>
  <c r="P75" i="1" s="1"/>
  <c r="N115" i="1"/>
  <c r="O115" i="1" s="1"/>
  <c r="P115" i="1" s="1"/>
  <c r="N83" i="1"/>
  <c r="O83" i="1" s="1"/>
  <c r="P83" i="1" s="1"/>
  <c r="N106" i="1"/>
  <c r="O106" i="1" s="1"/>
  <c r="P106" i="1" s="1"/>
  <c r="N99" i="1"/>
  <c r="O99" i="1" s="1"/>
  <c r="P99" i="1" s="1"/>
  <c r="N92" i="1"/>
  <c r="O92" i="1"/>
  <c r="P92" i="1" s="1"/>
  <c r="N62" i="1"/>
  <c r="O62" i="1"/>
  <c r="P62" i="1" s="1"/>
  <c r="N90" i="1"/>
  <c r="O90" i="1" s="1"/>
  <c r="P90" i="1" s="1"/>
  <c r="N55" i="1"/>
  <c r="O55" i="1" s="1"/>
  <c r="P55" i="1" s="1"/>
  <c r="N65" i="1"/>
  <c r="O65" i="1" s="1"/>
  <c r="P65" i="1" s="1"/>
  <c r="N112" i="1"/>
  <c r="O112" i="1" s="1"/>
  <c r="P112" i="1" s="1"/>
  <c r="N91" i="1"/>
  <c r="O91" i="1" s="1"/>
  <c r="P91" i="1" s="1"/>
  <c r="N101" i="1"/>
  <c r="O101" i="1"/>
  <c r="P101" i="1" s="1"/>
  <c r="N50" i="1"/>
  <c r="O50" i="1" s="1"/>
  <c r="P50" i="1" s="1"/>
  <c r="N117" i="1"/>
  <c r="O117" i="1"/>
  <c r="P117" i="1" s="1"/>
  <c r="N58" i="1"/>
  <c r="O58" i="1" s="1"/>
  <c r="P58" i="1" s="1"/>
  <c r="Q42" i="1" a="1"/>
  <c r="Q42" i="1" s="1"/>
  <c r="N80" i="1"/>
  <c r="O80" i="1" s="1"/>
  <c r="P80" i="1" s="1"/>
  <c r="N113" i="1"/>
  <c r="O113" i="1" s="1"/>
  <c r="P113" i="1" s="1"/>
  <c r="N51" i="1"/>
  <c r="O51" i="1" s="1"/>
  <c r="P51" i="1" s="1"/>
  <c r="N47" i="1"/>
  <c r="O47" i="1" s="1"/>
  <c r="P47" i="1" s="1"/>
  <c r="N48" i="1"/>
  <c r="O48" i="1" s="1"/>
  <c r="P48" i="1" s="1"/>
  <c r="N102" i="1"/>
  <c r="O102" i="1" s="1"/>
  <c r="P102" i="1" s="1"/>
  <c r="O98" i="1"/>
  <c r="P98" i="1" s="1"/>
  <c r="N98" i="1"/>
  <c r="N74" i="1"/>
  <c r="O74" i="1" s="1"/>
  <c r="P74" i="1" s="1"/>
  <c r="O121" i="1" l="1"/>
</calcChain>
</file>

<file path=xl/sharedStrings.xml><?xml version="1.0" encoding="utf-8"?>
<sst xmlns="http://schemas.openxmlformats.org/spreadsheetml/2006/main" count="41" uniqueCount="41">
  <si>
    <r>
      <t>Horiz. Dist. From Wheel Axle to C.G.
(d</t>
    </r>
    <r>
      <rPr>
        <vertAlign val="subscript"/>
        <sz val="11"/>
        <color theme="1"/>
        <rFont val="Calibri"/>
        <family val="2"/>
        <scheme val="minor"/>
      </rPr>
      <t>CG-A</t>
    </r>
    <r>
      <rPr>
        <sz val="11"/>
        <color theme="1"/>
        <rFont val="Calibri"/>
        <family val="2"/>
        <scheme val="minor"/>
      </rPr>
      <t>)</t>
    </r>
  </si>
  <si>
    <r>
      <t>Horiz. Dist. From Wheel Axle to Arm Contact
(d</t>
    </r>
    <r>
      <rPr>
        <vertAlign val="subscript"/>
        <sz val="11"/>
        <color theme="1"/>
        <rFont val="Calibri"/>
        <family val="2"/>
        <scheme val="minor"/>
      </rPr>
      <t>AE-A</t>
    </r>
    <r>
      <rPr>
        <sz val="11"/>
        <color theme="1"/>
        <rFont val="Calibri"/>
        <family val="2"/>
        <scheme val="minor"/>
      </rPr>
      <t>)</t>
    </r>
  </si>
  <si>
    <t>Bot Tilt Angle (β) (deg.)</t>
  </si>
  <si>
    <r>
      <t>Angle from Floor
(90-</t>
    </r>
    <r>
      <rPr>
        <sz val="11"/>
        <color theme="1"/>
        <rFont val="Calibri"/>
        <family val="2"/>
      </rPr>
      <t xml:space="preserve">β) </t>
    </r>
    <r>
      <rPr>
        <sz val="11"/>
        <color theme="1"/>
        <rFont val="Calibri"/>
        <family val="2"/>
        <scheme val="minor"/>
      </rPr>
      <t>(deg.)</t>
    </r>
  </si>
  <si>
    <t>Angle from Floor
(90-β) (rad.)</t>
  </si>
  <si>
    <t>Arm Angle (α) (deg.)</t>
  </si>
  <si>
    <t>Arm Angle (α) (rad.)</t>
  </si>
  <si>
    <t>Mass (m) (kg)</t>
  </si>
  <si>
    <r>
      <t>Wheel Axle to C.G. (y</t>
    </r>
    <r>
      <rPr>
        <vertAlign val="subscript"/>
        <sz val="11"/>
        <color theme="1"/>
        <rFont val="Calibri"/>
        <family val="2"/>
        <scheme val="minor"/>
      </rPr>
      <t>CG</t>
    </r>
    <r>
      <rPr>
        <sz val="11"/>
        <color theme="1"/>
        <rFont val="Calibri"/>
        <family val="2"/>
        <scheme val="minor"/>
      </rPr>
      <t>) (mm)</t>
    </r>
  </si>
  <si>
    <r>
      <t>Wheel Axle to Arm Pivot (y</t>
    </r>
    <r>
      <rPr>
        <vertAlign val="subscript"/>
        <sz val="11"/>
        <color theme="1"/>
        <rFont val="Calibri"/>
        <family val="2"/>
        <scheme val="minor"/>
      </rPr>
      <t>AP</t>
    </r>
    <r>
      <rPr>
        <sz val="11"/>
        <color theme="1"/>
        <rFont val="Calibri"/>
        <family val="2"/>
        <scheme val="minor"/>
      </rPr>
      <t>) (mm)</t>
    </r>
  </si>
  <si>
    <r>
      <t>Wheel Radius (r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 (mm)</t>
    </r>
  </si>
  <si>
    <r>
      <t>Arm Length (I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(mm)</t>
    </r>
  </si>
  <si>
    <r>
      <t>Gravity (g)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</si>
  <si>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Vertical Force at Arm Contact to Ground (N)</t>
  </si>
  <si>
    <r>
      <t>Moment Load From Mass at C.G. About Wheel Contact (N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m)</t>
    </r>
  </si>
  <si>
    <t>Normal Force on Arm at Contact to Ground (N)</t>
  </si>
  <si>
    <t>Bot Tilt Angle (β) (rad.)</t>
  </si>
  <si>
    <r>
      <t>Torque on Arm Above Arm Pivot (N</t>
    </r>
    <r>
      <rPr>
        <sz val="11"/>
        <color theme="1"/>
        <rFont val="Calibri"/>
        <family val="2"/>
      </rPr>
      <t>·m)</t>
    </r>
  </si>
  <si>
    <r>
      <t>Friction Coef. At Arm Contact (</t>
    </r>
    <r>
      <rPr>
        <sz val="11"/>
        <color theme="1"/>
        <rFont val="Calibri"/>
        <family val="2"/>
      </rPr>
      <t>µ</t>
    </r>
    <r>
      <rPr>
        <vertAlign val="subscript"/>
        <sz val="11"/>
        <color theme="1"/>
        <rFont val="Calibri"/>
        <family val="2"/>
      </rPr>
      <t>A-G</t>
    </r>
    <r>
      <rPr>
        <sz val="11"/>
        <color theme="1"/>
        <rFont val="Calibri"/>
        <family val="2"/>
      </rPr>
      <t>)</t>
    </r>
  </si>
  <si>
    <t>Arm Angle to Ground (rad.)</t>
  </si>
  <si>
    <t>Friction Force on Arm, Parallel to Floor (N)</t>
  </si>
  <si>
    <t>~Max. Arm Angle (alpha) with Beta = 0 (straight-up)</t>
  </si>
  <si>
    <t>Arm Angle (deg.)</t>
  </si>
  <si>
    <t>Arm Angle (rad.)</t>
  </si>
  <si>
    <t>Arm Angle to Ground (deg.)</t>
  </si>
  <si>
    <t>Wheel Axle to Top of Bot</t>
  </si>
  <si>
    <t>Max. Torque</t>
  </si>
  <si>
    <t>Axle to Axle</t>
  </si>
  <si>
    <t>Max. Tor.</t>
  </si>
  <si>
    <t>Lift-Point, C.G. Margin</t>
  </si>
  <si>
    <r>
      <t>Wheel Axle to Top of Mid. Shelf</t>
    </r>
    <r>
      <rPr>
        <sz val="11"/>
        <color theme="1"/>
        <rFont val="Calibri"/>
        <family val="2"/>
        <scheme val="minor"/>
      </rPr>
      <t xml:space="preserve"> (mm)</t>
    </r>
  </si>
  <si>
    <t>Middle Shelf Thickness (mm)</t>
  </si>
  <si>
    <t>Bearing Assembly Offset (mm)</t>
  </si>
  <si>
    <t>Constraints on Arms</t>
  </si>
  <si>
    <r>
      <t xml:space="preserve">1. Arms recessed below top </t>
    </r>
    <r>
      <rPr>
        <sz val="11"/>
        <color theme="1"/>
        <rFont val="Calibri"/>
        <family val="2"/>
      </rPr>
      <t>≥ 5 mm</t>
    </r>
  </si>
  <si>
    <t>Wheel Axle to End of Arms, Vertically Up</t>
  </si>
  <si>
    <t>Ground to End of Arms, Vertically Down</t>
  </si>
  <si>
    <r>
      <t xml:space="preserve">2. </t>
    </r>
    <r>
      <rPr>
        <sz val="11"/>
        <color theme="1"/>
        <rFont val="Calibri"/>
        <family val="2"/>
      </rPr>
      <t>≥ 5 mm Clearance to Ground When Arms are Down</t>
    </r>
  </si>
  <si>
    <r>
      <t xml:space="preserve">3. Contact point </t>
    </r>
    <r>
      <rPr>
        <sz val="11"/>
        <color theme="1"/>
        <rFont val="Calibri"/>
        <family val="2"/>
      </rPr>
      <t>≥ 5 mm from</t>
    </r>
    <r>
      <rPr>
        <sz val="11"/>
        <color theme="1"/>
        <rFont val="Calibri"/>
        <family val="2"/>
        <scheme val="minor"/>
      </rPr>
      <t xml:space="preserve"> C.G. opposite Wheels</t>
    </r>
  </si>
  <si>
    <r>
      <t>4. Arm contact starting by Tilt Angle: ?</t>
    </r>
    <r>
      <rPr>
        <sz val="11"/>
        <color theme="1"/>
        <rFont val="Calibri"/>
        <family val="2"/>
      </rPr>
      <t>°</t>
    </r>
  </si>
  <si>
    <t>Bot Height from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</si>
</sst>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2" borderId="1" applyNumberFormat="0" applyAlignment="0" applyProtection="0"/>
    <xf numFmtId="0" fontId="6" fillId="3" borderId="1" applyNumberFormat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5" fillId="2" borderId="1" xfId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2" fontId="0" fillId="0" borderId="0" xfId="0" applyNumberFormat="1" applyAlignment="1">
      <alignment horizontal="right" vertical="top" indent="1"/>
    </xf>
    <xf numFmtId="0" fontId="0" fillId="0" borderId="0" xfId="0" quotePrefix="1" applyAlignment="1">
      <alignment horizontal="right" vertical="top" indent="1"/>
    </xf>
    <xf numFmtId="0" fontId="0" fillId="0" borderId="0" xfId="0" applyAlignment="1">
      <alignment horizontal="right" vertical="top" indent="1"/>
    </xf>
    <xf numFmtId="2" fontId="5" fillId="2" borderId="1" xfId="1" applyNumberFormat="1" applyAlignment="1">
      <alignment horizontal="right" vertical="top" indent="1"/>
    </xf>
    <xf numFmtId="2" fontId="6" fillId="3" borderId="1" xfId="2" applyNumberFormat="1" applyAlignment="1">
      <alignment horizontal="right" vertical="top" indent="1"/>
    </xf>
    <xf numFmtId="0" fontId="6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481293</xdr:colOff>
      <xdr:row>7</xdr:row>
      <xdr:rowOff>57157</xdr:rowOff>
    </xdr:from>
    <xdr:to>
      <xdr:col>17</xdr:col>
      <xdr:colOff>499740</xdr:colOff>
      <xdr:row>25</xdr:row>
      <xdr:rowOff>33338</xdr:rowOff>
    </xdr:to>
    <xdr:grpSp>
      <xdr:nvGrpSpPr>
        <xdr:cNvPr id="6" name="Group 5"/>
        <xdr:cNvGrpSpPr/>
      </xdr:nvGrpSpPr>
      <xdr:grpSpPr>
        <a:xfrm rot="20863215">
          <a:off x="4367493" y="1323982"/>
          <a:ext cx="7143147" cy="3233731"/>
          <a:chOff x="1062318" y="623894"/>
          <a:chExt cx="7143147" cy="3233731"/>
        </a:xfrm>
        <a:solidFill>
          <a:schemeClr val="bg1"/>
        </a:solidFill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333366"/>
              </a:clrFrom>
              <a:clrTo>
                <a:srgbClr val="333366">
                  <a:alpha val="0"/>
                </a:srgbClr>
              </a:clrTo>
            </a:clrChange>
          </a:blip>
          <a:stretch>
            <a:fillRect/>
          </a:stretch>
        </xdr:blipFill>
        <xdr:spPr>
          <a:xfrm rot="5400000">
            <a:off x="3102607" y="-1245234"/>
            <a:ext cx="3062570" cy="7143147"/>
          </a:xfrm>
          <a:prstGeom prst="rect">
            <a:avLst/>
          </a:prstGeom>
          <a:grpFill/>
        </xdr:spPr>
      </xdr:pic>
      <xdr:sp macro="" textlink="">
        <xdr:nvSpPr>
          <xdr:cNvPr id="4" name="Rectangle 3"/>
          <xdr:cNvSpPr/>
        </xdr:nvSpPr>
        <xdr:spPr>
          <a:xfrm rot="3531945">
            <a:off x="4421985" y="1764512"/>
            <a:ext cx="2524122" cy="242886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/>
          <xdr:cNvSpPr/>
        </xdr:nvSpPr>
        <xdr:spPr>
          <a:xfrm>
            <a:off x="5553075" y="661989"/>
            <a:ext cx="266700" cy="26670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552458</xdr:colOff>
      <xdr:row>6</xdr:row>
      <xdr:rowOff>57155</xdr:rowOff>
    </xdr:from>
    <xdr:to>
      <xdr:col>9</xdr:col>
      <xdr:colOff>33338</xdr:colOff>
      <xdr:row>17</xdr:row>
      <xdr:rowOff>138110</xdr:rowOff>
    </xdr:to>
    <xdr:sp macro="" textlink="">
      <xdr:nvSpPr>
        <xdr:cNvPr id="45" name="Oval 44"/>
        <xdr:cNvSpPr/>
      </xdr:nvSpPr>
      <xdr:spPr>
        <a:xfrm>
          <a:off x="3790958" y="1143005"/>
          <a:ext cx="2071680" cy="2071680"/>
        </a:xfrm>
        <a:prstGeom prst="ellipse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642937</xdr:colOff>
      <xdr:row>2</xdr:row>
      <xdr:rowOff>4763</xdr:rowOff>
    </xdr:from>
    <xdr:to>
      <xdr:col>13</xdr:col>
      <xdr:colOff>176212</xdr:colOff>
      <xdr:row>6</xdr:row>
      <xdr:rowOff>19051</xdr:rowOff>
    </xdr:to>
    <xdr:cxnSp macro="">
      <xdr:nvCxnSpPr>
        <xdr:cNvPr id="8" name="Straight Connector 7"/>
        <xdr:cNvCxnSpPr/>
      </xdr:nvCxnSpPr>
      <xdr:spPr>
        <a:xfrm flipH="1" flipV="1">
          <a:off x="8415337" y="366713"/>
          <a:ext cx="180975" cy="73818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55370</xdr:colOff>
      <xdr:row>6</xdr:row>
      <xdr:rowOff>109540</xdr:rowOff>
    </xdr:from>
    <xdr:to>
      <xdr:col>7</xdr:col>
      <xdr:colOff>274877</xdr:colOff>
      <xdr:row>11</xdr:row>
      <xdr:rowOff>100013</xdr:rowOff>
    </xdr:to>
    <xdr:cxnSp macro="">
      <xdr:nvCxnSpPr>
        <xdr:cNvPr id="9" name="Straight Connector 8"/>
        <xdr:cNvCxnSpPr>
          <a:cxnSpLocks noChangeAspect="1"/>
        </xdr:cNvCxnSpPr>
      </xdr:nvCxnSpPr>
      <xdr:spPr>
        <a:xfrm flipH="1" flipV="1">
          <a:off x="4589270" y="1195390"/>
          <a:ext cx="219507" cy="89534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404813</xdr:colOff>
      <xdr:row>10</xdr:row>
      <xdr:rowOff>166691</xdr:rowOff>
    </xdr:from>
    <xdr:to>
      <xdr:col>8</xdr:col>
      <xdr:colOff>447676</xdr:colOff>
      <xdr:row>17</xdr:row>
      <xdr:rowOff>94023</xdr:rowOff>
    </xdr:to>
    <xdr:cxnSp macro="">
      <xdr:nvCxnSpPr>
        <xdr:cNvPr id="10" name="Straight Connector 9"/>
        <xdr:cNvCxnSpPr/>
      </xdr:nvCxnSpPr>
      <xdr:spPr>
        <a:xfrm flipV="1">
          <a:off x="404813" y="1976441"/>
          <a:ext cx="5224463" cy="119415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17</xdr:row>
      <xdr:rowOff>109032</xdr:rowOff>
    </xdr:from>
    <xdr:to>
      <xdr:col>18</xdr:col>
      <xdr:colOff>561975</xdr:colOff>
      <xdr:row>18</xdr:row>
      <xdr:rowOff>66211</xdr:rowOff>
    </xdr:to>
    <xdr:cxnSp macro="">
      <xdr:nvCxnSpPr>
        <xdr:cNvPr id="13" name="Straight Connector 12"/>
        <xdr:cNvCxnSpPr/>
      </xdr:nvCxnSpPr>
      <xdr:spPr>
        <a:xfrm>
          <a:off x="409576" y="3185607"/>
          <a:ext cx="11810999" cy="13815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169066</xdr:colOff>
      <xdr:row>4</xdr:row>
      <xdr:rowOff>49963</xdr:rowOff>
    </xdr:from>
    <xdr:to>
      <xdr:col>13</xdr:col>
      <xdr:colOff>90487</xdr:colOff>
      <xdr:row>9</xdr:row>
      <xdr:rowOff>78570</xdr:rowOff>
    </xdr:to>
    <xdr:cxnSp macro="">
      <xdr:nvCxnSpPr>
        <xdr:cNvPr id="18" name="Straight Connector 17"/>
        <xdr:cNvCxnSpPr/>
      </xdr:nvCxnSpPr>
      <xdr:spPr>
        <a:xfrm flipV="1">
          <a:off x="4702966" y="773863"/>
          <a:ext cx="3807621" cy="933482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233362</xdr:colOff>
      <xdr:row>13</xdr:row>
      <xdr:rowOff>19051</xdr:rowOff>
    </xdr:from>
    <xdr:to>
      <xdr:col>0</xdr:col>
      <xdr:colOff>414337</xdr:colOff>
      <xdr:row>17</xdr:row>
      <xdr:rowOff>33339</xdr:rowOff>
    </xdr:to>
    <xdr:cxnSp macro="">
      <xdr:nvCxnSpPr>
        <xdr:cNvPr id="21" name="Straight Connector 20"/>
        <xdr:cNvCxnSpPr/>
      </xdr:nvCxnSpPr>
      <xdr:spPr>
        <a:xfrm flipH="1" flipV="1">
          <a:off x="233362" y="2371726"/>
          <a:ext cx="180975" cy="73818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109817</xdr:colOff>
      <xdr:row>7</xdr:row>
      <xdr:rowOff>42868</xdr:rowOff>
    </xdr:from>
    <xdr:to>
      <xdr:col>12</xdr:col>
      <xdr:colOff>376517</xdr:colOff>
      <xdr:row>8</xdr:row>
      <xdr:rowOff>128593</xdr:rowOff>
    </xdr:to>
    <xdr:sp macro="" textlink="">
      <xdr:nvSpPr>
        <xdr:cNvPr id="26" name="Oval 25"/>
        <xdr:cNvSpPr/>
      </xdr:nvSpPr>
      <xdr:spPr>
        <a:xfrm rot="20863215">
          <a:off x="7882217" y="1309693"/>
          <a:ext cx="266700" cy="266700"/>
        </a:xfrm>
        <a:prstGeom prst="ellipse">
          <a:avLst/>
        </a:prstGeom>
        <a:pattFill prst="solidDmnd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133350</xdr:colOff>
      <xdr:row>6</xdr:row>
      <xdr:rowOff>11285</xdr:rowOff>
    </xdr:from>
    <xdr:to>
      <xdr:col>12</xdr:col>
      <xdr:colOff>171450</xdr:colOff>
      <xdr:row>6</xdr:row>
      <xdr:rowOff>166689</xdr:rowOff>
    </xdr:to>
    <xdr:cxnSp macro="">
      <xdr:nvCxnSpPr>
        <xdr:cNvPr id="27" name="Straight Connector 26"/>
        <xdr:cNvCxnSpPr/>
      </xdr:nvCxnSpPr>
      <xdr:spPr>
        <a:xfrm flipH="1" flipV="1">
          <a:off x="7905750" y="1097135"/>
          <a:ext cx="38100" cy="15540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235741</xdr:colOff>
      <xdr:row>6</xdr:row>
      <xdr:rowOff>73069</xdr:rowOff>
    </xdr:from>
    <xdr:to>
      <xdr:col>12</xdr:col>
      <xdr:colOff>166688</xdr:colOff>
      <xdr:row>10</xdr:row>
      <xdr:rowOff>126195</xdr:rowOff>
    </xdr:to>
    <xdr:cxnSp macro="">
      <xdr:nvCxnSpPr>
        <xdr:cNvPr id="30" name="Straight Connector 29"/>
        <xdr:cNvCxnSpPr/>
      </xdr:nvCxnSpPr>
      <xdr:spPr>
        <a:xfrm flipV="1">
          <a:off x="4769641" y="1158919"/>
          <a:ext cx="3169447" cy="777026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366713</xdr:colOff>
      <xdr:row>10</xdr:row>
      <xdr:rowOff>6394</xdr:rowOff>
    </xdr:from>
    <xdr:to>
      <xdr:col>7</xdr:col>
      <xdr:colOff>195263</xdr:colOff>
      <xdr:row>15</xdr:row>
      <xdr:rowOff>171023</xdr:rowOff>
    </xdr:to>
    <xdr:cxnSp macro="">
      <xdr:nvCxnSpPr>
        <xdr:cNvPr id="32" name="Straight Connector 31"/>
        <xdr:cNvCxnSpPr/>
      </xdr:nvCxnSpPr>
      <xdr:spPr>
        <a:xfrm flipV="1">
          <a:off x="366713" y="1816144"/>
          <a:ext cx="4362450" cy="1069504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95249</xdr:colOff>
      <xdr:row>5</xdr:row>
      <xdr:rowOff>47626</xdr:rowOff>
    </xdr:from>
    <xdr:to>
      <xdr:col>10</xdr:col>
      <xdr:colOff>547687</xdr:colOff>
      <xdr:row>6</xdr:row>
      <xdr:rowOff>100014</xdr:rowOff>
    </xdr:to>
    <xdr:sp macro="" textlink="">
      <xdr:nvSpPr>
        <xdr:cNvPr id="34" name="TextBox 33"/>
        <xdr:cNvSpPr txBox="1"/>
      </xdr:nvSpPr>
      <xdr:spPr>
        <a:xfrm rot="20831433">
          <a:off x="6572249" y="952501"/>
          <a:ext cx="45243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  <a:r>
            <a:rPr lang="en-US" sz="1100" baseline="-25000"/>
            <a:t>CG</a:t>
          </a:r>
        </a:p>
      </xdr:txBody>
    </xdr:sp>
    <xdr:clientData/>
  </xdr:twoCellAnchor>
  <xdr:twoCellAnchor>
    <xdr:from>
      <xdr:col>9</xdr:col>
      <xdr:colOff>533401</xdr:colOff>
      <xdr:row>6</xdr:row>
      <xdr:rowOff>104776</xdr:rowOff>
    </xdr:from>
    <xdr:to>
      <xdr:col>10</xdr:col>
      <xdr:colOff>338139</xdr:colOff>
      <xdr:row>7</xdr:row>
      <xdr:rowOff>157164</xdr:rowOff>
    </xdr:to>
    <xdr:sp macro="" textlink="">
      <xdr:nvSpPr>
        <xdr:cNvPr id="35" name="TextBox 34"/>
        <xdr:cNvSpPr txBox="1"/>
      </xdr:nvSpPr>
      <xdr:spPr>
        <a:xfrm rot="-1080000">
          <a:off x="6362701" y="1190626"/>
          <a:ext cx="45243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  <a:r>
            <a:rPr lang="en-US" sz="1100" baseline="-25000"/>
            <a:t>AP</a:t>
          </a:r>
        </a:p>
      </xdr:txBody>
    </xdr:sp>
    <xdr:clientData/>
  </xdr:twoCellAnchor>
  <xdr:twoCellAnchor>
    <xdr:from>
      <xdr:col>4</xdr:col>
      <xdr:colOff>59754</xdr:colOff>
      <xdr:row>10</xdr:row>
      <xdr:rowOff>107271</xdr:rowOff>
    </xdr:from>
    <xdr:to>
      <xdr:col>5</xdr:col>
      <xdr:colOff>587914</xdr:colOff>
      <xdr:row>11</xdr:row>
      <xdr:rowOff>159659</xdr:rowOff>
    </xdr:to>
    <xdr:sp macro="" textlink="">
      <xdr:nvSpPr>
        <xdr:cNvPr id="36" name="TextBox 35"/>
        <xdr:cNvSpPr txBox="1"/>
      </xdr:nvSpPr>
      <xdr:spPr>
        <a:xfrm rot="20753884">
          <a:off x="2650554" y="1917021"/>
          <a:ext cx="1175860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7</xdr:col>
      <xdr:colOff>288730</xdr:colOff>
      <xdr:row>12</xdr:row>
      <xdr:rowOff>128590</xdr:rowOff>
    </xdr:from>
    <xdr:to>
      <xdr:col>7</xdr:col>
      <xdr:colOff>288730</xdr:colOff>
      <xdr:row>33</xdr:row>
      <xdr:rowOff>133350</xdr:rowOff>
    </xdr:to>
    <xdr:cxnSp macro="">
      <xdr:nvCxnSpPr>
        <xdr:cNvPr id="46" name="Straight Connector 45"/>
        <xdr:cNvCxnSpPr/>
      </xdr:nvCxnSpPr>
      <xdr:spPr>
        <a:xfrm flipV="1">
          <a:off x="4822630" y="2300290"/>
          <a:ext cx="0" cy="380523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412553</xdr:colOff>
      <xdr:row>18</xdr:row>
      <xdr:rowOff>9526</xdr:rowOff>
    </xdr:from>
    <xdr:to>
      <xdr:col>0</xdr:col>
      <xdr:colOff>412553</xdr:colOff>
      <xdr:row>30</xdr:row>
      <xdr:rowOff>133350</xdr:rowOff>
    </xdr:to>
    <xdr:cxnSp macro="">
      <xdr:nvCxnSpPr>
        <xdr:cNvPr id="48" name="Straight Connector 47"/>
        <xdr:cNvCxnSpPr/>
      </xdr:nvCxnSpPr>
      <xdr:spPr>
        <a:xfrm flipV="1">
          <a:off x="412553" y="3267076"/>
          <a:ext cx="0" cy="229552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241103</xdr:colOff>
      <xdr:row>8</xdr:row>
      <xdr:rowOff>33340</xdr:rowOff>
    </xdr:from>
    <xdr:to>
      <xdr:col>12</xdr:col>
      <xdr:colOff>241103</xdr:colOff>
      <xdr:row>29</xdr:row>
      <xdr:rowOff>57150</xdr:rowOff>
    </xdr:to>
    <xdr:cxnSp macro="">
      <xdr:nvCxnSpPr>
        <xdr:cNvPr id="49" name="Straight Connector 48"/>
        <xdr:cNvCxnSpPr/>
      </xdr:nvCxnSpPr>
      <xdr:spPr>
        <a:xfrm flipV="1">
          <a:off x="8013503" y="1481140"/>
          <a:ext cx="0" cy="382428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12502</xdr:colOff>
      <xdr:row>18</xdr:row>
      <xdr:rowOff>171451</xdr:rowOff>
    </xdr:from>
    <xdr:to>
      <xdr:col>15</xdr:col>
      <xdr:colOff>12502</xdr:colOff>
      <xdr:row>33</xdr:row>
      <xdr:rowOff>157163</xdr:rowOff>
    </xdr:to>
    <xdr:cxnSp macro="">
      <xdr:nvCxnSpPr>
        <xdr:cNvPr id="50" name="Straight Connector 49"/>
        <xdr:cNvCxnSpPr/>
      </xdr:nvCxnSpPr>
      <xdr:spPr>
        <a:xfrm flipV="1">
          <a:off x="9728002" y="3429001"/>
          <a:ext cx="0" cy="270033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373663</xdr:colOff>
      <xdr:row>0</xdr:row>
      <xdr:rowOff>34289</xdr:rowOff>
    </xdr:from>
    <xdr:to>
      <xdr:col>14</xdr:col>
      <xdr:colOff>299615</xdr:colOff>
      <xdr:row>7</xdr:row>
      <xdr:rowOff>77204</xdr:rowOff>
    </xdr:to>
    <xdr:cxnSp macro="">
      <xdr:nvCxnSpPr>
        <xdr:cNvPr id="51" name="Straight Connector 50"/>
        <xdr:cNvCxnSpPr/>
      </xdr:nvCxnSpPr>
      <xdr:spPr>
        <a:xfrm flipV="1">
          <a:off x="8146063" y="34289"/>
          <a:ext cx="1221352" cy="13097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290513</xdr:colOff>
      <xdr:row>27</xdr:row>
      <xdr:rowOff>6395</xdr:rowOff>
    </xdr:from>
    <xdr:to>
      <xdr:col>12</xdr:col>
      <xdr:colOff>252413</xdr:colOff>
      <xdr:row>27</xdr:row>
      <xdr:rowOff>6395</xdr:rowOff>
    </xdr:to>
    <xdr:cxnSp macro="">
      <xdr:nvCxnSpPr>
        <xdr:cNvPr id="53" name="Straight Connector 52"/>
        <xdr:cNvCxnSpPr/>
      </xdr:nvCxnSpPr>
      <xdr:spPr>
        <a:xfrm>
          <a:off x="4824413" y="4892720"/>
          <a:ext cx="3200400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245865</xdr:colOff>
      <xdr:row>7</xdr:row>
      <xdr:rowOff>61917</xdr:rowOff>
    </xdr:from>
    <xdr:to>
      <xdr:col>13</xdr:col>
      <xdr:colOff>245865</xdr:colOff>
      <xdr:row>32</xdr:row>
      <xdr:rowOff>66675</xdr:rowOff>
    </xdr:to>
    <xdr:cxnSp macro="">
      <xdr:nvCxnSpPr>
        <xdr:cNvPr id="55" name="Straight Connector 54"/>
        <xdr:cNvCxnSpPr/>
      </xdr:nvCxnSpPr>
      <xdr:spPr>
        <a:xfrm flipV="1">
          <a:off x="8665965" y="1328742"/>
          <a:ext cx="0" cy="452913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416716</xdr:colOff>
      <xdr:row>29</xdr:row>
      <xdr:rowOff>177845</xdr:rowOff>
    </xdr:from>
    <xdr:to>
      <xdr:col>13</xdr:col>
      <xdr:colOff>252413</xdr:colOff>
      <xdr:row>29</xdr:row>
      <xdr:rowOff>177845</xdr:rowOff>
    </xdr:to>
    <xdr:cxnSp macro="">
      <xdr:nvCxnSpPr>
        <xdr:cNvPr id="57" name="Straight Connector 56"/>
        <xdr:cNvCxnSpPr/>
      </xdr:nvCxnSpPr>
      <xdr:spPr>
        <a:xfrm>
          <a:off x="416716" y="5426120"/>
          <a:ext cx="8255797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271463</xdr:colOff>
      <xdr:row>33</xdr:row>
      <xdr:rowOff>20683</xdr:rowOff>
    </xdr:from>
    <xdr:to>
      <xdr:col>15</xdr:col>
      <xdr:colOff>9525</xdr:colOff>
      <xdr:row>33</xdr:row>
      <xdr:rowOff>20683</xdr:rowOff>
    </xdr:to>
    <xdr:cxnSp macro="">
      <xdr:nvCxnSpPr>
        <xdr:cNvPr id="63" name="Straight Connector 62"/>
        <xdr:cNvCxnSpPr/>
      </xdr:nvCxnSpPr>
      <xdr:spPr>
        <a:xfrm>
          <a:off x="4805363" y="5992858"/>
          <a:ext cx="4919662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174035</xdr:colOff>
      <xdr:row>16</xdr:row>
      <xdr:rowOff>163461</xdr:rowOff>
    </xdr:from>
    <xdr:to>
      <xdr:col>0</xdr:col>
      <xdr:colOff>426901</xdr:colOff>
      <xdr:row>18</xdr:row>
      <xdr:rowOff>34874</xdr:rowOff>
    </xdr:to>
    <xdr:sp macro="" textlink="">
      <xdr:nvSpPr>
        <xdr:cNvPr id="66" name="TextBox 65"/>
        <xdr:cNvSpPr txBox="1"/>
      </xdr:nvSpPr>
      <xdr:spPr>
        <a:xfrm rot="20753884">
          <a:off x="174035" y="3059061"/>
          <a:ext cx="252866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</a:t>
          </a:r>
          <a:endParaRPr lang="en-US" sz="1100" baseline="0"/>
        </a:p>
      </xdr:txBody>
    </xdr:sp>
    <xdr:clientData/>
  </xdr:twoCellAnchor>
  <xdr:twoCellAnchor>
    <xdr:from>
      <xdr:col>15</xdr:col>
      <xdr:colOff>148255</xdr:colOff>
      <xdr:row>2</xdr:row>
      <xdr:rowOff>20170</xdr:rowOff>
    </xdr:from>
    <xdr:to>
      <xdr:col>15</xdr:col>
      <xdr:colOff>381618</xdr:colOff>
      <xdr:row>3</xdr:row>
      <xdr:rowOff>151391</xdr:rowOff>
    </xdr:to>
    <xdr:sp macro="" textlink="">
      <xdr:nvSpPr>
        <xdr:cNvPr id="67" name="TextBox 66"/>
        <xdr:cNvSpPr txBox="1"/>
      </xdr:nvSpPr>
      <xdr:spPr>
        <a:xfrm rot="2702663">
          <a:off x="9824339" y="421536"/>
          <a:ext cx="312196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</a:t>
          </a:r>
          <a:r>
            <a:rPr lang="en-US" sz="1100" baseline="-25000"/>
            <a:t>A</a:t>
          </a:r>
          <a:endParaRPr lang="en-US" sz="1100" baseline="0"/>
        </a:p>
      </xdr:txBody>
    </xdr:sp>
    <xdr:clientData/>
  </xdr:twoCellAnchor>
  <xdr:twoCellAnchor>
    <xdr:from>
      <xdr:col>15</xdr:col>
      <xdr:colOff>173639</xdr:colOff>
      <xdr:row>9</xdr:row>
      <xdr:rowOff>42863</xdr:rowOff>
    </xdr:from>
    <xdr:to>
      <xdr:col>17</xdr:col>
      <xdr:colOff>238151</xdr:colOff>
      <xdr:row>17</xdr:row>
      <xdr:rowOff>53391</xdr:rowOff>
    </xdr:to>
    <xdr:cxnSp macro="">
      <xdr:nvCxnSpPr>
        <xdr:cNvPr id="69" name="Straight Connector 68"/>
        <xdr:cNvCxnSpPr/>
      </xdr:nvCxnSpPr>
      <xdr:spPr>
        <a:xfrm flipV="1">
          <a:off x="9889139" y="1671638"/>
          <a:ext cx="1359912" cy="145832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244862</xdr:colOff>
      <xdr:row>0</xdr:row>
      <xdr:rowOff>127800</xdr:rowOff>
    </xdr:from>
    <xdr:to>
      <xdr:col>17</xdr:col>
      <xdr:colOff>100799</xdr:colOff>
      <xdr:row>9</xdr:row>
      <xdr:rowOff>176653</xdr:rowOff>
    </xdr:to>
    <xdr:cxnSp macro="">
      <xdr:nvCxnSpPr>
        <xdr:cNvPr id="70" name="Straight Connector 69"/>
        <xdr:cNvCxnSpPr/>
      </xdr:nvCxnSpPr>
      <xdr:spPr>
        <a:xfrm>
          <a:off x="9312662" y="127800"/>
          <a:ext cx="1799037" cy="1677628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471488</xdr:colOff>
      <xdr:row>1</xdr:row>
      <xdr:rowOff>140427</xdr:rowOff>
    </xdr:from>
    <xdr:to>
      <xdr:col>20</xdr:col>
      <xdr:colOff>47625</xdr:colOff>
      <xdr:row>6</xdr:row>
      <xdr:rowOff>174986</xdr:rowOff>
    </xdr:to>
    <xdr:cxnSp macro="">
      <xdr:nvCxnSpPr>
        <xdr:cNvPr id="76" name="Straight Connector 75"/>
        <xdr:cNvCxnSpPr/>
      </xdr:nvCxnSpPr>
      <xdr:spPr>
        <a:xfrm flipV="1">
          <a:off x="8891588" y="321402"/>
          <a:ext cx="4110037" cy="93943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82937</xdr:colOff>
      <xdr:row>18</xdr:row>
      <xdr:rowOff>70650</xdr:rowOff>
    </xdr:from>
    <xdr:to>
      <xdr:col>17</xdr:col>
      <xdr:colOff>586574</xdr:colOff>
      <xdr:row>27</xdr:row>
      <xdr:rowOff>119503</xdr:rowOff>
    </xdr:to>
    <xdr:cxnSp macro="">
      <xdr:nvCxnSpPr>
        <xdr:cNvPr id="79" name="Straight Connector 78"/>
        <xdr:cNvCxnSpPr/>
      </xdr:nvCxnSpPr>
      <xdr:spPr>
        <a:xfrm>
          <a:off x="9798437" y="3328200"/>
          <a:ext cx="1799037" cy="1677628"/>
        </a:xfrm>
        <a:prstGeom prst="line">
          <a:avLst/>
        </a:prstGeom>
        <a:ln w="190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2</xdr:row>
      <xdr:rowOff>14288</xdr:rowOff>
    </xdr:from>
    <xdr:to>
      <xdr:col>20</xdr:col>
      <xdr:colOff>118000</xdr:colOff>
      <xdr:row>26</xdr:row>
      <xdr:rowOff>147638</xdr:rowOff>
    </xdr:to>
    <xdr:sp macro="" textlink="">
      <xdr:nvSpPr>
        <xdr:cNvPr id="80" name="Freeform 79"/>
        <xdr:cNvSpPr/>
      </xdr:nvSpPr>
      <xdr:spPr>
        <a:xfrm>
          <a:off x="11449050" y="376238"/>
          <a:ext cx="1622950" cy="4476750"/>
        </a:xfrm>
        <a:custGeom>
          <a:avLst/>
          <a:gdLst>
            <a:gd name="connsiteX0" fmla="*/ 0 w 1683451"/>
            <a:gd name="connsiteY0" fmla="*/ 4476750 h 4476750"/>
            <a:gd name="connsiteX1" fmla="*/ 1576388 w 1683451"/>
            <a:gd name="connsiteY1" fmla="*/ 2147887 h 4476750"/>
            <a:gd name="connsiteX2" fmla="*/ 1414463 w 1683451"/>
            <a:gd name="connsiteY2" fmla="*/ 0 h 4476750"/>
            <a:gd name="connsiteX0" fmla="*/ 0 w 1622950"/>
            <a:gd name="connsiteY0" fmla="*/ 4476750 h 4476750"/>
            <a:gd name="connsiteX1" fmla="*/ 1490663 w 1622950"/>
            <a:gd name="connsiteY1" fmla="*/ 2433637 h 4476750"/>
            <a:gd name="connsiteX2" fmla="*/ 1414463 w 1622950"/>
            <a:gd name="connsiteY2" fmla="*/ 0 h 447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22950" h="4476750">
              <a:moveTo>
                <a:pt x="0" y="4476750"/>
              </a:moveTo>
              <a:cubicBezTo>
                <a:pt x="670322" y="3685381"/>
                <a:pt x="1254919" y="3179762"/>
                <a:pt x="1490663" y="2433637"/>
              </a:cubicBezTo>
              <a:cubicBezTo>
                <a:pt x="1726407" y="1687512"/>
                <a:pt x="1613297" y="700881"/>
                <a:pt x="1414463" y="0"/>
              </a:cubicBezTo>
            </a:path>
          </a:pathLst>
        </a:custGeom>
        <a:noFill/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100014</xdr:colOff>
      <xdr:row>12</xdr:row>
      <xdr:rowOff>172014</xdr:rowOff>
    </xdr:from>
    <xdr:to>
      <xdr:col>20</xdr:col>
      <xdr:colOff>456732</xdr:colOff>
      <xdr:row>14</xdr:row>
      <xdr:rowOff>43427</xdr:rowOff>
    </xdr:to>
    <xdr:sp macro="" textlink="">
      <xdr:nvSpPr>
        <xdr:cNvPr id="81" name="TextBox 80"/>
        <xdr:cNvSpPr txBox="1"/>
      </xdr:nvSpPr>
      <xdr:spPr>
        <a:xfrm>
          <a:off x="13054014" y="2343714"/>
          <a:ext cx="35671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/>
            <a:t>α</a:t>
          </a:r>
          <a:r>
            <a:rPr lang="en-US" sz="1100" baseline="-25000"/>
            <a:t>A</a:t>
          </a:r>
          <a:endParaRPr lang="en-US" sz="1100" baseline="0"/>
        </a:p>
      </xdr:txBody>
    </xdr:sp>
    <xdr:clientData/>
  </xdr:twoCellAnchor>
  <xdr:twoCellAnchor>
    <xdr:from>
      <xdr:col>12</xdr:col>
      <xdr:colOff>245266</xdr:colOff>
      <xdr:row>27</xdr:row>
      <xdr:rowOff>6395</xdr:rowOff>
    </xdr:from>
    <xdr:to>
      <xdr:col>15</xdr:col>
      <xdr:colOff>28575</xdr:colOff>
      <xdr:row>27</xdr:row>
      <xdr:rowOff>6395</xdr:rowOff>
    </xdr:to>
    <xdr:cxnSp macro="">
      <xdr:nvCxnSpPr>
        <xdr:cNvPr id="82" name="Straight Connector 81"/>
        <xdr:cNvCxnSpPr/>
      </xdr:nvCxnSpPr>
      <xdr:spPr>
        <a:xfrm>
          <a:off x="8017666" y="4892720"/>
          <a:ext cx="1726409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285751</xdr:colOff>
      <xdr:row>30</xdr:row>
      <xdr:rowOff>10090</xdr:rowOff>
    </xdr:from>
    <xdr:to>
      <xdr:col>6</xdr:col>
      <xdr:colOff>76201</xdr:colOff>
      <xdr:row>31</xdr:row>
      <xdr:rowOff>62478</xdr:rowOff>
    </xdr:to>
    <xdr:sp macro="" textlink="">
      <xdr:nvSpPr>
        <xdr:cNvPr id="84" name="TextBox 83"/>
        <xdr:cNvSpPr txBox="1"/>
      </xdr:nvSpPr>
      <xdr:spPr>
        <a:xfrm>
          <a:off x="1581151" y="5439340"/>
          <a:ext cx="2381250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[r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+ y</a:t>
          </a:r>
          <a:r>
            <a:rPr lang="en-US" sz="1100" baseline="-25000"/>
            <a:t>CG</a:t>
          </a:r>
          <a:r>
            <a:rPr lang="en-US" sz="1100" baseline="0"/>
            <a:t>] x Cos(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0</xdr:col>
      <xdr:colOff>421478</xdr:colOff>
      <xdr:row>28</xdr:row>
      <xdr:rowOff>125457</xdr:rowOff>
    </xdr:from>
    <xdr:to>
      <xdr:col>12</xdr:col>
      <xdr:colOff>247650</xdr:colOff>
      <xdr:row>28</xdr:row>
      <xdr:rowOff>125457</xdr:rowOff>
    </xdr:to>
    <xdr:cxnSp macro="">
      <xdr:nvCxnSpPr>
        <xdr:cNvPr id="85" name="Straight Connector 84"/>
        <xdr:cNvCxnSpPr/>
      </xdr:nvCxnSpPr>
      <xdr:spPr>
        <a:xfrm>
          <a:off x="421478" y="5192757"/>
          <a:ext cx="7598572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377033</xdr:colOff>
      <xdr:row>27</xdr:row>
      <xdr:rowOff>43427</xdr:rowOff>
    </xdr:from>
    <xdr:to>
      <xdr:col>6</xdr:col>
      <xdr:colOff>142875</xdr:colOff>
      <xdr:row>28</xdr:row>
      <xdr:rowOff>95815</xdr:rowOff>
    </xdr:to>
    <xdr:sp macro="" textlink="">
      <xdr:nvSpPr>
        <xdr:cNvPr id="88" name="TextBox 87"/>
        <xdr:cNvSpPr txBox="1"/>
      </xdr:nvSpPr>
      <xdr:spPr>
        <a:xfrm>
          <a:off x="1672433" y="4929752"/>
          <a:ext cx="2356642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[r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+ y</a:t>
          </a:r>
          <a:r>
            <a:rPr lang="en-US" sz="1100" baseline="-25000"/>
            <a:t>AP</a:t>
          </a:r>
          <a:r>
            <a:rPr lang="en-US" sz="1100" baseline="0"/>
            <a:t>] x Cos(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7</xdr:col>
      <xdr:colOff>462758</xdr:colOff>
      <xdr:row>30</xdr:row>
      <xdr:rowOff>172011</xdr:rowOff>
    </xdr:from>
    <xdr:to>
      <xdr:col>13</xdr:col>
      <xdr:colOff>180976</xdr:colOff>
      <xdr:row>32</xdr:row>
      <xdr:rowOff>43424</xdr:rowOff>
    </xdr:to>
    <xdr:sp macro="" textlink="">
      <xdr:nvSpPr>
        <xdr:cNvPr id="89" name="TextBox 88"/>
        <xdr:cNvSpPr txBox="1"/>
      </xdr:nvSpPr>
      <xdr:spPr>
        <a:xfrm>
          <a:off x="4996658" y="5601261"/>
          <a:ext cx="360441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d</a:t>
          </a:r>
          <a:r>
            <a:rPr lang="en-US" sz="1100" baseline="-25000"/>
            <a:t>CG-A</a:t>
          </a:r>
          <a:r>
            <a:rPr lang="en-US" sz="1100" baseline="0"/>
            <a:t> = </a:t>
          </a:r>
          <a:r>
            <a:rPr lang="en-US" sz="1100"/>
            <a:t>[r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/>
            <a:t>) + y</a:t>
          </a:r>
          <a:r>
            <a:rPr lang="en-US" sz="1100" baseline="-25000"/>
            <a:t>CG</a:t>
          </a:r>
          <a:r>
            <a:rPr lang="en-US" sz="1100" baseline="0"/>
            <a:t>] x Cos(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/>
            <a:t>)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tan((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endParaRPr lang="en-US">
            <a:effectLst/>
          </a:endParaRPr>
        </a:p>
        <a:p>
          <a:endParaRPr lang="en-US" sz="1100" baseline="0"/>
        </a:p>
      </xdr:txBody>
    </xdr:sp>
    <xdr:clientData/>
  </xdr:twoCellAnchor>
  <xdr:twoCellAnchor>
    <xdr:from>
      <xdr:col>7</xdr:col>
      <xdr:colOff>276225</xdr:colOff>
      <xdr:row>31</xdr:row>
      <xdr:rowOff>30208</xdr:rowOff>
    </xdr:from>
    <xdr:to>
      <xdr:col>13</xdr:col>
      <xdr:colOff>257175</xdr:colOff>
      <xdr:row>31</xdr:row>
      <xdr:rowOff>30208</xdr:rowOff>
    </xdr:to>
    <xdr:cxnSp macro="">
      <xdr:nvCxnSpPr>
        <xdr:cNvPr id="91" name="Straight Connector 90"/>
        <xdr:cNvCxnSpPr/>
      </xdr:nvCxnSpPr>
      <xdr:spPr>
        <a:xfrm>
          <a:off x="4810125" y="5640433"/>
          <a:ext cx="3867150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423863</xdr:colOff>
      <xdr:row>26</xdr:row>
      <xdr:rowOff>54020</xdr:rowOff>
    </xdr:from>
    <xdr:to>
      <xdr:col>7</xdr:col>
      <xdr:colOff>300038</xdr:colOff>
      <xdr:row>26</xdr:row>
      <xdr:rowOff>54020</xdr:rowOff>
    </xdr:to>
    <xdr:cxnSp macro="">
      <xdr:nvCxnSpPr>
        <xdr:cNvPr id="94" name="Straight Connector 93"/>
        <xdr:cNvCxnSpPr/>
      </xdr:nvCxnSpPr>
      <xdr:spPr>
        <a:xfrm>
          <a:off x="423863" y="4759370"/>
          <a:ext cx="4410075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15085</xdr:colOff>
      <xdr:row>24</xdr:row>
      <xdr:rowOff>162489</xdr:rowOff>
    </xdr:from>
    <xdr:to>
      <xdr:col>4</xdr:col>
      <xdr:colOff>614363</xdr:colOff>
      <xdr:row>26</xdr:row>
      <xdr:rowOff>33902</xdr:rowOff>
    </xdr:to>
    <xdr:sp macro="" textlink="">
      <xdr:nvSpPr>
        <xdr:cNvPr id="96" name="TextBox 95"/>
        <xdr:cNvSpPr txBox="1"/>
      </xdr:nvSpPr>
      <xdr:spPr>
        <a:xfrm>
          <a:off x="1958185" y="4505889"/>
          <a:ext cx="124697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en-US" sz="1100" baseline="-25000"/>
            <a:t>W</a:t>
          </a:r>
          <a:r>
            <a:rPr lang="en-US" sz="1100" baseline="0"/>
            <a:t> / tan(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15</xdr:col>
      <xdr:colOff>53186</xdr:colOff>
      <xdr:row>26</xdr:row>
      <xdr:rowOff>38664</xdr:rowOff>
    </xdr:from>
    <xdr:to>
      <xdr:col>17</xdr:col>
      <xdr:colOff>147638</xdr:colOff>
      <xdr:row>27</xdr:row>
      <xdr:rowOff>91052</xdr:rowOff>
    </xdr:to>
    <xdr:sp macro="" textlink="">
      <xdr:nvSpPr>
        <xdr:cNvPr id="97" name="TextBox 96"/>
        <xdr:cNvSpPr txBox="1"/>
      </xdr:nvSpPr>
      <xdr:spPr>
        <a:xfrm>
          <a:off x="9768686" y="4744014"/>
          <a:ext cx="1389852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l</a:t>
          </a:r>
          <a:r>
            <a:rPr lang="en-US" sz="1100" baseline="-25000"/>
            <a:t>A</a:t>
          </a:r>
          <a:r>
            <a:rPr lang="en-US" sz="1100" baseline="0"/>
            <a:t> x cos(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/>
            <a:t> -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13</xdr:col>
      <xdr:colOff>244078</xdr:colOff>
      <xdr:row>7</xdr:row>
      <xdr:rowOff>157166</xdr:rowOff>
    </xdr:from>
    <xdr:to>
      <xdr:col>13</xdr:col>
      <xdr:colOff>244078</xdr:colOff>
      <xdr:row>24</xdr:row>
      <xdr:rowOff>161925</xdr:rowOff>
    </xdr:to>
    <xdr:cxnSp macro="">
      <xdr:nvCxnSpPr>
        <xdr:cNvPr id="98" name="Straight Connector 97"/>
        <xdr:cNvCxnSpPr/>
      </xdr:nvCxnSpPr>
      <xdr:spPr>
        <a:xfrm>
          <a:off x="8664178" y="1423991"/>
          <a:ext cx="0" cy="3081334"/>
        </a:xfrm>
        <a:prstGeom prst="line">
          <a:avLst/>
        </a:prstGeom>
        <a:ln w="1905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210348</xdr:colOff>
      <xdr:row>22</xdr:row>
      <xdr:rowOff>43426</xdr:rowOff>
    </xdr:from>
    <xdr:to>
      <xdr:col>14</xdr:col>
      <xdr:colOff>66675</xdr:colOff>
      <xdr:row>23</xdr:row>
      <xdr:rowOff>95814</xdr:rowOff>
    </xdr:to>
    <xdr:sp macro="" textlink="">
      <xdr:nvSpPr>
        <xdr:cNvPr id="101" name="TextBox 100"/>
        <xdr:cNvSpPr txBox="1"/>
      </xdr:nvSpPr>
      <xdr:spPr>
        <a:xfrm>
          <a:off x="8630448" y="4024876"/>
          <a:ext cx="504027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m x g</a:t>
          </a:r>
          <a:endParaRPr lang="en-US" sz="1100" baseline="0"/>
        </a:p>
      </xdr:txBody>
    </xdr:sp>
    <xdr:clientData/>
  </xdr:twoCellAnchor>
  <xdr:twoCellAnchor>
    <xdr:from>
      <xdr:col>14</xdr:col>
      <xdr:colOff>181773</xdr:colOff>
      <xdr:row>20</xdr:row>
      <xdr:rowOff>148201</xdr:rowOff>
    </xdr:from>
    <xdr:to>
      <xdr:col>14</xdr:col>
      <xdr:colOff>514350</xdr:colOff>
      <xdr:row>22</xdr:row>
      <xdr:rowOff>19614</xdr:rowOff>
    </xdr:to>
    <xdr:sp macro="" textlink="">
      <xdr:nvSpPr>
        <xdr:cNvPr id="102" name="TextBox 101"/>
        <xdr:cNvSpPr txBox="1"/>
      </xdr:nvSpPr>
      <xdr:spPr>
        <a:xfrm>
          <a:off x="9249573" y="3767701"/>
          <a:ext cx="332577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F</a:t>
          </a:r>
          <a:r>
            <a:rPr lang="en-US" sz="1100" baseline="-25000"/>
            <a:t>A</a:t>
          </a:r>
        </a:p>
      </xdr:txBody>
    </xdr:sp>
    <xdr:clientData/>
  </xdr:twoCellAnchor>
  <xdr:twoCellAnchor>
    <xdr:from>
      <xdr:col>14</xdr:col>
      <xdr:colOff>109538</xdr:colOff>
      <xdr:row>18</xdr:row>
      <xdr:rowOff>30028</xdr:rowOff>
    </xdr:from>
    <xdr:to>
      <xdr:col>15</xdr:col>
      <xdr:colOff>41603</xdr:colOff>
      <xdr:row>21</xdr:row>
      <xdr:rowOff>152400</xdr:rowOff>
    </xdr:to>
    <xdr:cxnSp macro="">
      <xdr:nvCxnSpPr>
        <xdr:cNvPr id="103" name="Straight Connector 102"/>
        <xdr:cNvCxnSpPr>
          <a:stCxn id="4" idx="3"/>
        </xdr:cNvCxnSpPr>
      </xdr:nvCxnSpPr>
      <xdr:spPr>
        <a:xfrm flipH="1">
          <a:off x="9177338" y="3287578"/>
          <a:ext cx="579765" cy="665297"/>
        </a:xfrm>
        <a:prstGeom prst="line">
          <a:avLst/>
        </a:prstGeom>
        <a:ln w="1905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17</xdr:row>
      <xdr:rowOff>163378</xdr:rowOff>
    </xdr:from>
    <xdr:to>
      <xdr:col>15</xdr:col>
      <xdr:colOff>4763</xdr:colOff>
      <xdr:row>24</xdr:row>
      <xdr:rowOff>76200</xdr:rowOff>
    </xdr:to>
    <xdr:cxnSp macro="">
      <xdr:nvCxnSpPr>
        <xdr:cNvPr id="106" name="Straight Connector 105"/>
        <xdr:cNvCxnSpPr/>
      </xdr:nvCxnSpPr>
      <xdr:spPr>
        <a:xfrm>
          <a:off x="9720263" y="3239953"/>
          <a:ext cx="0" cy="1179647"/>
        </a:xfrm>
        <a:prstGeom prst="line">
          <a:avLst/>
        </a:prstGeom>
        <a:ln w="1905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472286</xdr:colOff>
      <xdr:row>34</xdr:row>
      <xdr:rowOff>191063</xdr:rowOff>
    </xdr:from>
    <xdr:to>
      <xdr:col>17</xdr:col>
      <xdr:colOff>533401</xdr:colOff>
      <xdr:row>36</xdr:row>
      <xdr:rowOff>24376</xdr:rowOff>
    </xdr:to>
    <xdr:sp macro="" textlink="">
      <xdr:nvSpPr>
        <xdr:cNvPr id="108" name="TextBox 107"/>
        <xdr:cNvSpPr txBox="1"/>
      </xdr:nvSpPr>
      <xdr:spPr>
        <a:xfrm>
          <a:off x="10187786" y="6363263"/>
          <a:ext cx="1356515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F</a:t>
          </a:r>
          <a:r>
            <a:rPr lang="en-US" sz="1100" baseline="-25000"/>
            <a:t>A</a:t>
          </a:r>
          <a:r>
            <a:rPr lang="en-US" sz="1100" baseline="0"/>
            <a:t> x cos(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endParaRPr lang="en-US" sz="1100" baseline="0"/>
        </a:p>
      </xdr:txBody>
    </xdr:sp>
    <xdr:clientData/>
  </xdr:twoCellAnchor>
  <xdr:twoCellAnchor>
    <xdr:from>
      <xdr:col>7</xdr:col>
      <xdr:colOff>19051</xdr:colOff>
      <xdr:row>13</xdr:row>
      <xdr:rowOff>171450</xdr:rowOff>
    </xdr:from>
    <xdr:to>
      <xdr:col>7</xdr:col>
      <xdr:colOff>252414</xdr:colOff>
      <xdr:row>16</xdr:row>
      <xdr:rowOff>80963</xdr:rowOff>
    </xdr:to>
    <xdr:sp macro="" textlink="">
      <xdr:nvSpPr>
        <xdr:cNvPr id="61" name="TextBox 60"/>
        <xdr:cNvSpPr txBox="1"/>
      </xdr:nvSpPr>
      <xdr:spPr>
        <a:xfrm rot="16200000">
          <a:off x="4443414" y="2633662"/>
          <a:ext cx="452438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en-US" sz="1100" baseline="-25000"/>
            <a:t>W</a:t>
          </a:r>
        </a:p>
      </xdr:txBody>
    </xdr:sp>
    <xdr:clientData/>
  </xdr:twoCellAnchor>
  <xdr:twoCellAnchor>
    <xdr:from>
      <xdr:col>17</xdr:col>
      <xdr:colOff>584927</xdr:colOff>
      <xdr:row>3</xdr:row>
      <xdr:rowOff>128589</xdr:rowOff>
    </xdr:from>
    <xdr:to>
      <xdr:col>18</xdr:col>
      <xdr:colOff>338137</xdr:colOff>
      <xdr:row>18</xdr:row>
      <xdr:rowOff>61914</xdr:rowOff>
    </xdr:to>
    <xdr:sp macro="" textlink="">
      <xdr:nvSpPr>
        <xdr:cNvPr id="62" name="Freeform 61"/>
        <xdr:cNvSpPr/>
      </xdr:nvSpPr>
      <xdr:spPr>
        <a:xfrm>
          <a:off x="11595827" y="671514"/>
          <a:ext cx="400910" cy="2647950"/>
        </a:xfrm>
        <a:custGeom>
          <a:avLst/>
          <a:gdLst>
            <a:gd name="connsiteX0" fmla="*/ 0 w 1683451"/>
            <a:gd name="connsiteY0" fmla="*/ 4476750 h 4476750"/>
            <a:gd name="connsiteX1" fmla="*/ 1576388 w 1683451"/>
            <a:gd name="connsiteY1" fmla="*/ 2147887 h 4476750"/>
            <a:gd name="connsiteX2" fmla="*/ 1414463 w 1683451"/>
            <a:gd name="connsiteY2" fmla="*/ 0 h 4476750"/>
            <a:gd name="connsiteX0" fmla="*/ 0 w 1622950"/>
            <a:gd name="connsiteY0" fmla="*/ 4476750 h 4476750"/>
            <a:gd name="connsiteX1" fmla="*/ 1490663 w 1622950"/>
            <a:gd name="connsiteY1" fmla="*/ 2433637 h 4476750"/>
            <a:gd name="connsiteX2" fmla="*/ 1414463 w 1622950"/>
            <a:gd name="connsiteY2" fmla="*/ 0 h 4476750"/>
            <a:gd name="connsiteX0" fmla="*/ 0 w 864644"/>
            <a:gd name="connsiteY0" fmla="*/ 5353828 h 5353828"/>
            <a:gd name="connsiteX1" fmla="*/ 732357 w 864644"/>
            <a:gd name="connsiteY1" fmla="*/ 2433637 h 5353828"/>
            <a:gd name="connsiteX2" fmla="*/ 656157 w 864644"/>
            <a:gd name="connsiteY2" fmla="*/ 0 h 5353828"/>
            <a:gd name="connsiteX0" fmla="*/ 50 w 864694"/>
            <a:gd name="connsiteY0" fmla="*/ 5353828 h 5353828"/>
            <a:gd name="connsiteX1" fmla="*/ 732407 w 864694"/>
            <a:gd name="connsiteY1" fmla="*/ 2433637 h 5353828"/>
            <a:gd name="connsiteX2" fmla="*/ 656207 w 864694"/>
            <a:gd name="connsiteY2" fmla="*/ 0 h 5353828"/>
            <a:gd name="connsiteX0" fmla="*/ 769092 w 1525947"/>
            <a:gd name="connsiteY0" fmla="*/ 5079741 h 5079741"/>
            <a:gd name="connsiteX1" fmla="*/ 1501449 w 1525947"/>
            <a:gd name="connsiteY1" fmla="*/ 2159550 h 5079741"/>
            <a:gd name="connsiteX2" fmla="*/ 0 w 1525947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69092" h="5079741">
              <a:moveTo>
                <a:pt x="769092" y="5079741"/>
              </a:moveTo>
              <a:cubicBezTo>
                <a:pt x="763333" y="4023421"/>
                <a:pt x="744940" y="3170628"/>
                <a:pt x="706598" y="2351412"/>
              </a:cubicBezTo>
              <a:cubicBezTo>
                <a:pt x="558622" y="1276384"/>
                <a:pt x="198834" y="700881"/>
                <a:pt x="0" y="0"/>
              </a:cubicBezTo>
            </a:path>
          </a:pathLst>
        </a:custGeom>
        <a:noFill/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310361</xdr:colOff>
      <xdr:row>8</xdr:row>
      <xdr:rowOff>167251</xdr:rowOff>
    </xdr:from>
    <xdr:to>
      <xdr:col>20</xdr:col>
      <xdr:colOff>171451</xdr:colOff>
      <xdr:row>10</xdr:row>
      <xdr:rowOff>38664</xdr:rowOff>
    </xdr:to>
    <xdr:sp macro="" textlink="">
      <xdr:nvSpPr>
        <xdr:cNvPr id="64" name="TextBox 63"/>
        <xdr:cNvSpPr txBox="1"/>
      </xdr:nvSpPr>
      <xdr:spPr>
        <a:xfrm>
          <a:off x="11968961" y="1615051"/>
          <a:ext cx="1156490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90 </a:t>
          </a:r>
          <a:r>
            <a:rPr lang="en-US" sz="1100" baseline="0"/>
            <a:t>- </a:t>
          </a:r>
          <a:r>
            <a:rPr lang="el-GR" sz="1100" baseline="0"/>
            <a:t>β</a:t>
          </a:r>
          <a:r>
            <a:rPr lang="en-US" sz="1100" baseline="0"/>
            <a:t> (18° Min.)</a:t>
          </a:r>
        </a:p>
      </xdr:txBody>
    </xdr:sp>
    <xdr:clientData/>
  </xdr:twoCellAnchor>
  <xdr:twoCellAnchor>
    <xdr:from>
      <xdr:col>7</xdr:col>
      <xdr:colOff>210202</xdr:colOff>
      <xdr:row>11</xdr:row>
      <xdr:rowOff>82791</xdr:rowOff>
    </xdr:from>
    <xdr:to>
      <xdr:col>7</xdr:col>
      <xdr:colOff>380525</xdr:colOff>
      <xdr:row>12</xdr:row>
      <xdr:rowOff>72139</xdr:rowOff>
    </xdr:to>
    <xdr:sp macro="" textlink="">
      <xdr:nvSpPr>
        <xdr:cNvPr id="65" name="Oval 64"/>
        <xdr:cNvSpPr/>
      </xdr:nvSpPr>
      <xdr:spPr>
        <a:xfrm rot="20863215">
          <a:off x="4744102" y="2073516"/>
          <a:ext cx="170323" cy="170323"/>
        </a:xfrm>
        <a:prstGeom prst="ellipse">
          <a:avLst/>
        </a:prstGeom>
        <a:pattFill prst="solidDmnd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338780</xdr:colOff>
      <xdr:row>17</xdr:row>
      <xdr:rowOff>6590</xdr:rowOff>
    </xdr:from>
    <xdr:to>
      <xdr:col>0</xdr:col>
      <xdr:colOff>509103</xdr:colOff>
      <xdr:row>17</xdr:row>
      <xdr:rowOff>176913</xdr:rowOff>
    </xdr:to>
    <xdr:sp macro="" textlink="">
      <xdr:nvSpPr>
        <xdr:cNvPr id="68" name="Oval 67"/>
        <xdr:cNvSpPr/>
      </xdr:nvSpPr>
      <xdr:spPr>
        <a:xfrm rot="20863215">
          <a:off x="338780" y="3083165"/>
          <a:ext cx="170323" cy="170323"/>
        </a:xfrm>
        <a:prstGeom prst="ellipse">
          <a:avLst/>
        </a:prstGeom>
        <a:pattFill prst="solidDmnd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238912</xdr:colOff>
      <xdr:row>25</xdr:row>
      <xdr:rowOff>91052</xdr:rowOff>
    </xdr:from>
    <xdr:to>
      <xdr:col>12</xdr:col>
      <xdr:colOff>371467</xdr:colOff>
      <xdr:row>26</xdr:row>
      <xdr:rowOff>143440</xdr:rowOff>
    </xdr:to>
    <xdr:sp macro="" textlink="">
      <xdr:nvSpPr>
        <xdr:cNvPr id="71" name="TextBox 70"/>
        <xdr:cNvSpPr txBox="1"/>
      </xdr:nvSpPr>
      <xdr:spPr>
        <a:xfrm>
          <a:off x="4772812" y="4615427"/>
          <a:ext cx="3371055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[r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+ y</a:t>
          </a:r>
          <a:r>
            <a:rPr lang="en-US" sz="1100" baseline="-25000"/>
            <a:t>AP</a:t>
          </a:r>
          <a:r>
            <a:rPr lang="en-US" sz="1100" baseline="0"/>
            <a:t>] x Cos(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tan((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205574</xdr:colOff>
      <xdr:row>33</xdr:row>
      <xdr:rowOff>62477</xdr:rowOff>
    </xdr:from>
    <xdr:to>
      <xdr:col>15</xdr:col>
      <xdr:colOff>47625</xdr:colOff>
      <xdr:row>34</xdr:row>
      <xdr:rowOff>114865</xdr:rowOff>
    </xdr:to>
    <xdr:sp macro="" textlink="">
      <xdr:nvSpPr>
        <xdr:cNvPr id="72" name="TextBox 71"/>
        <xdr:cNvSpPr txBox="1"/>
      </xdr:nvSpPr>
      <xdr:spPr>
        <a:xfrm>
          <a:off x="4739474" y="6034652"/>
          <a:ext cx="5023651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d</a:t>
          </a:r>
          <a:r>
            <a:rPr lang="en-US" sz="1100" baseline="-25000"/>
            <a:t>AE-A</a:t>
          </a:r>
          <a:r>
            <a:rPr lang="en-US" sz="1100"/>
            <a:t> = [r</a:t>
          </a:r>
          <a:r>
            <a:rPr lang="en-US" sz="1100" baseline="-25000"/>
            <a:t>W</a:t>
          </a:r>
          <a:r>
            <a:rPr lang="en-US" sz="1100" baseline="0"/>
            <a:t> / sin(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+ y</a:t>
          </a:r>
          <a:r>
            <a:rPr lang="en-US" sz="1100" baseline="-25000"/>
            <a:t>AP</a:t>
          </a:r>
          <a:r>
            <a:rPr lang="en-US" sz="1100" baseline="0"/>
            <a:t>] x Cos(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tan((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 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 cos(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11</xdr:col>
      <xdr:colOff>642940</xdr:colOff>
      <xdr:row>13</xdr:row>
      <xdr:rowOff>28576</xdr:rowOff>
    </xdr:from>
    <xdr:to>
      <xdr:col>12</xdr:col>
      <xdr:colOff>228603</xdr:colOff>
      <xdr:row>15</xdr:row>
      <xdr:rowOff>119064</xdr:rowOff>
    </xdr:to>
    <xdr:sp macro="" textlink="">
      <xdr:nvSpPr>
        <xdr:cNvPr id="75" name="TextBox 74"/>
        <xdr:cNvSpPr txBox="1"/>
      </xdr:nvSpPr>
      <xdr:spPr>
        <a:xfrm rot="16200000">
          <a:off x="7658103" y="2490788"/>
          <a:ext cx="452438" cy="233363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en-US" sz="1100" baseline="-25000"/>
            <a:t>AP</a:t>
          </a:r>
        </a:p>
      </xdr:txBody>
    </xdr:sp>
    <xdr:clientData/>
  </xdr:twoCellAnchor>
  <xdr:twoCellAnchor>
    <xdr:from>
      <xdr:col>17</xdr:col>
      <xdr:colOff>238124</xdr:colOff>
      <xdr:row>18</xdr:row>
      <xdr:rowOff>71437</xdr:rowOff>
    </xdr:from>
    <xdr:to>
      <xdr:col>18</xdr:col>
      <xdr:colOff>342038</xdr:colOff>
      <xdr:row>25</xdr:row>
      <xdr:rowOff>128589</xdr:rowOff>
    </xdr:to>
    <xdr:sp macro="" textlink="">
      <xdr:nvSpPr>
        <xdr:cNvPr id="77" name="Freeform 76"/>
        <xdr:cNvSpPr/>
      </xdr:nvSpPr>
      <xdr:spPr>
        <a:xfrm>
          <a:off x="11249024" y="3328987"/>
          <a:ext cx="751614" cy="1323977"/>
        </a:xfrm>
        <a:custGeom>
          <a:avLst/>
          <a:gdLst>
            <a:gd name="connsiteX0" fmla="*/ 0 w 1683451"/>
            <a:gd name="connsiteY0" fmla="*/ 4476750 h 4476750"/>
            <a:gd name="connsiteX1" fmla="*/ 1576388 w 1683451"/>
            <a:gd name="connsiteY1" fmla="*/ 2147887 h 4476750"/>
            <a:gd name="connsiteX2" fmla="*/ 1414463 w 1683451"/>
            <a:gd name="connsiteY2" fmla="*/ 0 h 4476750"/>
            <a:gd name="connsiteX0" fmla="*/ 0 w 1622950"/>
            <a:gd name="connsiteY0" fmla="*/ 4476750 h 4476750"/>
            <a:gd name="connsiteX1" fmla="*/ 1490663 w 1622950"/>
            <a:gd name="connsiteY1" fmla="*/ 2433637 h 4476750"/>
            <a:gd name="connsiteX2" fmla="*/ 1414463 w 1622950"/>
            <a:gd name="connsiteY2" fmla="*/ 0 h 4476750"/>
            <a:gd name="connsiteX0" fmla="*/ 0 w 864644"/>
            <a:gd name="connsiteY0" fmla="*/ 5353828 h 5353828"/>
            <a:gd name="connsiteX1" fmla="*/ 732357 w 864644"/>
            <a:gd name="connsiteY1" fmla="*/ 2433637 h 5353828"/>
            <a:gd name="connsiteX2" fmla="*/ 656157 w 864644"/>
            <a:gd name="connsiteY2" fmla="*/ 0 h 5353828"/>
            <a:gd name="connsiteX0" fmla="*/ 50 w 864694"/>
            <a:gd name="connsiteY0" fmla="*/ 5353828 h 5353828"/>
            <a:gd name="connsiteX1" fmla="*/ 732407 w 864694"/>
            <a:gd name="connsiteY1" fmla="*/ 2433637 h 5353828"/>
            <a:gd name="connsiteX2" fmla="*/ 656207 w 864694"/>
            <a:gd name="connsiteY2" fmla="*/ 0 h 5353828"/>
            <a:gd name="connsiteX0" fmla="*/ 769092 w 1525947"/>
            <a:gd name="connsiteY0" fmla="*/ 5079741 h 5079741"/>
            <a:gd name="connsiteX1" fmla="*/ 1501449 w 1525947"/>
            <a:gd name="connsiteY1" fmla="*/ 2159550 h 5079741"/>
            <a:gd name="connsiteX2" fmla="*/ 0 w 1525947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568224 w 711897"/>
            <a:gd name="connsiteY0" fmla="*/ 5110653 h 5110653"/>
            <a:gd name="connsiteX1" fmla="*/ 706598 w 711897"/>
            <a:gd name="connsiteY1" fmla="*/ 2351412 h 5110653"/>
            <a:gd name="connsiteX2" fmla="*/ 0 w 711897"/>
            <a:gd name="connsiteY2" fmla="*/ 0 h 5110653"/>
            <a:gd name="connsiteX0" fmla="*/ 568224 w 742705"/>
            <a:gd name="connsiteY0" fmla="*/ 5110653 h 5110653"/>
            <a:gd name="connsiteX1" fmla="*/ 706598 w 742705"/>
            <a:gd name="connsiteY1" fmla="*/ 2351412 h 5110653"/>
            <a:gd name="connsiteX2" fmla="*/ 0 w 742705"/>
            <a:gd name="connsiteY2" fmla="*/ 0 h 5110653"/>
            <a:gd name="connsiteX0" fmla="*/ 0 w 955724"/>
            <a:gd name="connsiteY0" fmla="*/ 3130893 h 3130893"/>
            <a:gd name="connsiteX1" fmla="*/ 138374 w 955724"/>
            <a:gd name="connsiteY1" fmla="*/ 371652 h 3130893"/>
            <a:gd name="connsiteX2" fmla="*/ 932378 w 955724"/>
            <a:gd name="connsiteY2" fmla="*/ 266453 h 3130893"/>
            <a:gd name="connsiteX0" fmla="*/ 0 w 932568"/>
            <a:gd name="connsiteY0" fmla="*/ 3124891 h 3124891"/>
            <a:gd name="connsiteX1" fmla="*/ 138374 w 932568"/>
            <a:gd name="connsiteY1" fmla="*/ 365650 h 3124891"/>
            <a:gd name="connsiteX2" fmla="*/ 932378 w 932568"/>
            <a:gd name="connsiteY2" fmla="*/ 260451 h 3124891"/>
            <a:gd name="connsiteX0" fmla="*/ 0 w 932378"/>
            <a:gd name="connsiteY0" fmla="*/ 2864839 h 2864839"/>
            <a:gd name="connsiteX1" fmla="*/ 138374 w 932378"/>
            <a:gd name="connsiteY1" fmla="*/ 105598 h 2864839"/>
            <a:gd name="connsiteX2" fmla="*/ 626237 w 932378"/>
            <a:gd name="connsiteY2" fmla="*/ 1391403 h 2864839"/>
            <a:gd name="connsiteX3" fmla="*/ 932378 w 932378"/>
            <a:gd name="connsiteY3" fmla="*/ 399 h 2864839"/>
            <a:gd name="connsiteX0" fmla="*/ 0 w 932378"/>
            <a:gd name="connsiteY0" fmla="*/ 2996590 h 2996590"/>
            <a:gd name="connsiteX1" fmla="*/ 138374 w 932378"/>
            <a:gd name="connsiteY1" fmla="*/ 237349 h 2996590"/>
            <a:gd name="connsiteX2" fmla="*/ 932378 w 932378"/>
            <a:gd name="connsiteY2" fmla="*/ 132150 h 2996590"/>
            <a:gd name="connsiteX0" fmla="*/ 0 w 932378"/>
            <a:gd name="connsiteY0" fmla="*/ 2996590 h 2996590"/>
            <a:gd name="connsiteX1" fmla="*/ 667593 w 932378"/>
            <a:gd name="connsiteY1" fmla="*/ 1451029 h 2996590"/>
            <a:gd name="connsiteX2" fmla="*/ 138374 w 932378"/>
            <a:gd name="connsiteY2" fmla="*/ 237349 h 2996590"/>
            <a:gd name="connsiteX3" fmla="*/ 932378 w 932378"/>
            <a:gd name="connsiteY3" fmla="*/ 132150 h 2996590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32378" h="2864441">
              <a:moveTo>
                <a:pt x="0" y="2864441"/>
              </a:moveTo>
              <a:cubicBezTo>
                <a:pt x="294409" y="2297737"/>
                <a:pt x="394039" y="2126006"/>
                <a:pt x="667593" y="1318880"/>
              </a:cubicBezTo>
              <a:cubicBezTo>
                <a:pt x="952963" y="614790"/>
                <a:pt x="877215" y="274768"/>
                <a:pt x="932378" y="1"/>
              </a:cubicBezTo>
            </a:path>
          </a:pathLst>
        </a:custGeom>
        <a:noFill/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33336</xdr:colOff>
      <xdr:row>26</xdr:row>
      <xdr:rowOff>33338</xdr:rowOff>
    </xdr:from>
    <xdr:to>
      <xdr:col>17</xdr:col>
      <xdr:colOff>280987</xdr:colOff>
      <xdr:row>31</xdr:row>
      <xdr:rowOff>176214</xdr:rowOff>
    </xdr:to>
    <xdr:sp macro="" textlink="">
      <xdr:nvSpPr>
        <xdr:cNvPr id="78" name="Freeform 77"/>
        <xdr:cNvSpPr/>
      </xdr:nvSpPr>
      <xdr:spPr>
        <a:xfrm>
          <a:off x="9748836" y="4738688"/>
          <a:ext cx="1543051" cy="1047751"/>
        </a:xfrm>
        <a:custGeom>
          <a:avLst/>
          <a:gdLst>
            <a:gd name="connsiteX0" fmla="*/ 0 w 1683451"/>
            <a:gd name="connsiteY0" fmla="*/ 4476750 h 4476750"/>
            <a:gd name="connsiteX1" fmla="*/ 1576388 w 1683451"/>
            <a:gd name="connsiteY1" fmla="*/ 2147887 h 4476750"/>
            <a:gd name="connsiteX2" fmla="*/ 1414463 w 1683451"/>
            <a:gd name="connsiteY2" fmla="*/ 0 h 4476750"/>
            <a:gd name="connsiteX0" fmla="*/ 0 w 1622950"/>
            <a:gd name="connsiteY0" fmla="*/ 4476750 h 4476750"/>
            <a:gd name="connsiteX1" fmla="*/ 1490663 w 1622950"/>
            <a:gd name="connsiteY1" fmla="*/ 2433637 h 4476750"/>
            <a:gd name="connsiteX2" fmla="*/ 1414463 w 1622950"/>
            <a:gd name="connsiteY2" fmla="*/ 0 h 4476750"/>
            <a:gd name="connsiteX0" fmla="*/ 0 w 864644"/>
            <a:gd name="connsiteY0" fmla="*/ 5353828 h 5353828"/>
            <a:gd name="connsiteX1" fmla="*/ 732357 w 864644"/>
            <a:gd name="connsiteY1" fmla="*/ 2433637 h 5353828"/>
            <a:gd name="connsiteX2" fmla="*/ 656157 w 864644"/>
            <a:gd name="connsiteY2" fmla="*/ 0 h 5353828"/>
            <a:gd name="connsiteX0" fmla="*/ 50 w 864694"/>
            <a:gd name="connsiteY0" fmla="*/ 5353828 h 5353828"/>
            <a:gd name="connsiteX1" fmla="*/ 732407 w 864694"/>
            <a:gd name="connsiteY1" fmla="*/ 2433637 h 5353828"/>
            <a:gd name="connsiteX2" fmla="*/ 656207 w 864694"/>
            <a:gd name="connsiteY2" fmla="*/ 0 h 5353828"/>
            <a:gd name="connsiteX0" fmla="*/ 769092 w 1525947"/>
            <a:gd name="connsiteY0" fmla="*/ 5079741 h 5079741"/>
            <a:gd name="connsiteX1" fmla="*/ 1501449 w 1525947"/>
            <a:gd name="connsiteY1" fmla="*/ 2159550 h 5079741"/>
            <a:gd name="connsiteX2" fmla="*/ 0 w 1525947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769092 w 769092"/>
            <a:gd name="connsiteY0" fmla="*/ 5079741 h 5079741"/>
            <a:gd name="connsiteX1" fmla="*/ 706598 w 769092"/>
            <a:gd name="connsiteY1" fmla="*/ 2351412 h 5079741"/>
            <a:gd name="connsiteX2" fmla="*/ 0 w 769092"/>
            <a:gd name="connsiteY2" fmla="*/ 0 h 5079741"/>
            <a:gd name="connsiteX0" fmla="*/ 568224 w 711897"/>
            <a:gd name="connsiteY0" fmla="*/ 5110653 h 5110653"/>
            <a:gd name="connsiteX1" fmla="*/ 706598 w 711897"/>
            <a:gd name="connsiteY1" fmla="*/ 2351412 h 5110653"/>
            <a:gd name="connsiteX2" fmla="*/ 0 w 711897"/>
            <a:gd name="connsiteY2" fmla="*/ 0 h 5110653"/>
            <a:gd name="connsiteX0" fmla="*/ 568224 w 742705"/>
            <a:gd name="connsiteY0" fmla="*/ 5110653 h 5110653"/>
            <a:gd name="connsiteX1" fmla="*/ 706598 w 742705"/>
            <a:gd name="connsiteY1" fmla="*/ 2351412 h 5110653"/>
            <a:gd name="connsiteX2" fmla="*/ 0 w 742705"/>
            <a:gd name="connsiteY2" fmla="*/ 0 h 5110653"/>
            <a:gd name="connsiteX0" fmla="*/ 0 w 955724"/>
            <a:gd name="connsiteY0" fmla="*/ 3130893 h 3130893"/>
            <a:gd name="connsiteX1" fmla="*/ 138374 w 955724"/>
            <a:gd name="connsiteY1" fmla="*/ 371652 h 3130893"/>
            <a:gd name="connsiteX2" fmla="*/ 932378 w 955724"/>
            <a:gd name="connsiteY2" fmla="*/ 266453 h 3130893"/>
            <a:gd name="connsiteX0" fmla="*/ 0 w 932568"/>
            <a:gd name="connsiteY0" fmla="*/ 3124891 h 3124891"/>
            <a:gd name="connsiteX1" fmla="*/ 138374 w 932568"/>
            <a:gd name="connsiteY1" fmla="*/ 365650 h 3124891"/>
            <a:gd name="connsiteX2" fmla="*/ 932378 w 932568"/>
            <a:gd name="connsiteY2" fmla="*/ 260451 h 3124891"/>
            <a:gd name="connsiteX0" fmla="*/ 0 w 932378"/>
            <a:gd name="connsiteY0" fmla="*/ 2864839 h 2864839"/>
            <a:gd name="connsiteX1" fmla="*/ 138374 w 932378"/>
            <a:gd name="connsiteY1" fmla="*/ 105598 h 2864839"/>
            <a:gd name="connsiteX2" fmla="*/ 626237 w 932378"/>
            <a:gd name="connsiteY2" fmla="*/ 1391403 h 2864839"/>
            <a:gd name="connsiteX3" fmla="*/ 932378 w 932378"/>
            <a:gd name="connsiteY3" fmla="*/ 399 h 2864839"/>
            <a:gd name="connsiteX0" fmla="*/ 0 w 932378"/>
            <a:gd name="connsiteY0" fmla="*/ 2996590 h 2996590"/>
            <a:gd name="connsiteX1" fmla="*/ 138374 w 932378"/>
            <a:gd name="connsiteY1" fmla="*/ 237349 h 2996590"/>
            <a:gd name="connsiteX2" fmla="*/ 932378 w 932378"/>
            <a:gd name="connsiteY2" fmla="*/ 132150 h 2996590"/>
            <a:gd name="connsiteX0" fmla="*/ 0 w 932378"/>
            <a:gd name="connsiteY0" fmla="*/ 2996590 h 2996590"/>
            <a:gd name="connsiteX1" fmla="*/ 667593 w 932378"/>
            <a:gd name="connsiteY1" fmla="*/ 1451029 h 2996590"/>
            <a:gd name="connsiteX2" fmla="*/ 138374 w 932378"/>
            <a:gd name="connsiteY2" fmla="*/ 237349 h 2996590"/>
            <a:gd name="connsiteX3" fmla="*/ 932378 w 932378"/>
            <a:gd name="connsiteY3" fmla="*/ 132150 h 2996590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667593 w 932378"/>
            <a:gd name="connsiteY1" fmla="*/ 1318880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589895 w 932378"/>
            <a:gd name="connsiteY1" fmla="*/ 1579284 h 2864441"/>
            <a:gd name="connsiteX2" fmla="*/ 932378 w 932378"/>
            <a:gd name="connsiteY2" fmla="*/ 1 h 2864441"/>
            <a:gd name="connsiteX0" fmla="*/ 0 w 932378"/>
            <a:gd name="connsiteY0" fmla="*/ 2864441 h 2864441"/>
            <a:gd name="connsiteX1" fmla="*/ 589895 w 932378"/>
            <a:gd name="connsiteY1" fmla="*/ 1579284 h 2864441"/>
            <a:gd name="connsiteX2" fmla="*/ 932378 w 932378"/>
            <a:gd name="connsiteY2" fmla="*/ 1 h 28644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32378" h="2864441">
              <a:moveTo>
                <a:pt x="0" y="2864441"/>
              </a:moveTo>
              <a:cubicBezTo>
                <a:pt x="294409" y="2297737"/>
                <a:pt x="316341" y="2386410"/>
                <a:pt x="589895" y="1579284"/>
              </a:cubicBezTo>
              <a:cubicBezTo>
                <a:pt x="757279" y="1148616"/>
                <a:pt x="756351" y="899736"/>
                <a:pt x="932378" y="1"/>
              </a:cubicBezTo>
            </a:path>
          </a:pathLst>
        </a:custGeom>
        <a:noFill/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543723</xdr:colOff>
      <xdr:row>21</xdr:row>
      <xdr:rowOff>48189</xdr:rowOff>
    </xdr:from>
    <xdr:to>
      <xdr:col>18</xdr:col>
      <xdr:colOff>109538</xdr:colOff>
      <xdr:row>22</xdr:row>
      <xdr:rowOff>100577</xdr:rowOff>
    </xdr:to>
    <xdr:sp macro="" textlink="">
      <xdr:nvSpPr>
        <xdr:cNvPr id="83" name="TextBox 82"/>
        <xdr:cNvSpPr txBox="1"/>
      </xdr:nvSpPr>
      <xdr:spPr>
        <a:xfrm>
          <a:off x="10906923" y="3848664"/>
          <a:ext cx="861215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1100"/>
            <a:t>α</a:t>
          </a:r>
          <a:r>
            <a:rPr lang="en-US" sz="1100" baseline="-25000"/>
            <a:t>A</a:t>
          </a:r>
          <a:r>
            <a:rPr lang="en-US" sz="1100"/>
            <a:t> - (90 </a:t>
          </a:r>
          <a:r>
            <a:rPr lang="en-US" sz="1100" baseline="0"/>
            <a:t>- </a:t>
          </a:r>
          <a:r>
            <a:rPr lang="el-GR" sz="1100" baseline="0"/>
            <a:t>β</a:t>
          </a:r>
          <a:r>
            <a:rPr lang="en-US" sz="1100" baseline="0"/>
            <a:t>)</a:t>
          </a:r>
        </a:p>
      </xdr:txBody>
    </xdr:sp>
    <xdr:clientData/>
  </xdr:twoCellAnchor>
  <xdr:twoCellAnchor>
    <xdr:from>
      <xdr:col>15</xdr:col>
      <xdr:colOff>642938</xdr:colOff>
      <xdr:row>30</xdr:row>
      <xdr:rowOff>52388</xdr:rowOff>
    </xdr:from>
    <xdr:to>
      <xdr:col>20</xdr:col>
      <xdr:colOff>328614</xdr:colOff>
      <xdr:row>31</xdr:row>
      <xdr:rowOff>104776</xdr:rowOff>
    </xdr:to>
    <xdr:sp macro="" textlink="">
      <xdr:nvSpPr>
        <xdr:cNvPr id="86" name="TextBox 85"/>
        <xdr:cNvSpPr txBox="1"/>
      </xdr:nvSpPr>
      <xdr:spPr>
        <a:xfrm>
          <a:off x="10358438" y="5481638"/>
          <a:ext cx="2924176" cy="23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/>
            <a:t> -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/>
            <a:t>) =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Arm Angle to Ground</a:t>
          </a:r>
          <a:endParaRPr lang="en-US" sz="1100" baseline="0"/>
        </a:p>
      </xdr:txBody>
    </xdr:sp>
    <xdr:clientData/>
  </xdr:twoCellAnchor>
  <xdr:twoCellAnchor>
    <xdr:from>
      <xdr:col>14</xdr:col>
      <xdr:colOff>117707</xdr:colOff>
      <xdr:row>21</xdr:row>
      <xdr:rowOff>133448</xdr:rowOff>
    </xdr:from>
    <xdr:to>
      <xdr:col>15</xdr:col>
      <xdr:colOff>5475</xdr:colOff>
      <xdr:row>24</xdr:row>
      <xdr:rowOff>57150</xdr:rowOff>
    </xdr:to>
    <xdr:cxnSp macro="">
      <xdr:nvCxnSpPr>
        <xdr:cNvPr id="87" name="Straight Connector 86"/>
        <xdr:cNvCxnSpPr/>
      </xdr:nvCxnSpPr>
      <xdr:spPr>
        <a:xfrm>
          <a:off x="9185507" y="3933923"/>
          <a:ext cx="535468" cy="466627"/>
        </a:xfrm>
        <a:prstGeom prst="line">
          <a:avLst/>
        </a:prstGeom>
        <a:ln w="1905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252413</xdr:colOff>
      <xdr:row>28</xdr:row>
      <xdr:rowOff>144507</xdr:rowOff>
    </xdr:from>
    <xdr:to>
      <xdr:col>15</xdr:col>
      <xdr:colOff>28575</xdr:colOff>
      <xdr:row>28</xdr:row>
      <xdr:rowOff>144507</xdr:rowOff>
    </xdr:to>
    <xdr:cxnSp macro="">
      <xdr:nvCxnSpPr>
        <xdr:cNvPr id="73" name="Straight Connector 72"/>
        <xdr:cNvCxnSpPr/>
      </xdr:nvCxnSpPr>
      <xdr:spPr>
        <a:xfrm>
          <a:off x="8672513" y="5211807"/>
          <a:ext cx="1071562" cy="0"/>
        </a:xfrm>
        <a:prstGeom prst="line">
          <a:avLst/>
        </a:prstGeom>
        <a:ln w="190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372273</xdr:colOff>
      <xdr:row>28</xdr:row>
      <xdr:rowOff>176776</xdr:rowOff>
    </xdr:from>
    <xdr:to>
      <xdr:col>14</xdr:col>
      <xdr:colOff>609600</xdr:colOff>
      <xdr:row>31</xdr:row>
      <xdr:rowOff>71439</xdr:rowOff>
    </xdr:to>
    <xdr:sp macro="" textlink="">
      <xdr:nvSpPr>
        <xdr:cNvPr id="74" name="TextBox 73"/>
        <xdr:cNvSpPr txBox="1"/>
      </xdr:nvSpPr>
      <xdr:spPr>
        <a:xfrm>
          <a:off x="8792373" y="5244076"/>
          <a:ext cx="885027" cy="437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Lift Point, C.G. Margin</a:t>
          </a: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V121"/>
  <sheetViews>
    <sheetView tabSelected="1" topLeftCell="A10" workbookViewId="0">
      <selection activeCell="E42" sqref="E42:E43"/>
    </sheetView>
  </sheetViews>
  <sheetFormatPr defaultRowHeight="14.25" x14ac:dyDescent="0.45"/>
  <sheetData>
    <row r="34" spans="1:22" ht="15.75" x14ac:dyDescent="0.55000000000000004">
      <c r="D34" s="3" t="s">
        <v>11</v>
      </c>
      <c r="E34" s="17">
        <f>G38/2-5</f>
        <v>245</v>
      </c>
    </row>
    <row r="35" spans="1:22" ht="15.75" x14ac:dyDescent="0.55000000000000004">
      <c r="D35" s="3" t="s">
        <v>10</v>
      </c>
      <c r="E35" s="9">
        <v>32.5</v>
      </c>
    </row>
    <row r="36" spans="1:22" x14ac:dyDescent="0.45">
      <c r="D36" s="3" t="s">
        <v>30</v>
      </c>
      <c r="E36" s="9">
        <f>E37+E38+y_AP</f>
        <v>236.78749999999999</v>
      </c>
    </row>
    <row r="37" spans="1:22" x14ac:dyDescent="0.45">
      <c r="D37" s="6" t="s">
        <v>31</v>
      </c>
      <c r="E37" s="9">
        <v>5</v>
      </c>
      <c r="K37" s="3" t="s">
        <v>22</v>
      </c>
      <c r="L37" s="7" t="s">
        <v>23</v>
      </c>
    </row>
    <row r="38" spans="1:22" x14ac:dyDescent="0.45">
      <c r="D38" s="6" t="s">
        <v>32</v>
      </c>
      <c r="E38" s="9">
        <v>14.2875</v>
      </c>
      <c r="G38" s="15">
        <v>500</v>
      </c>
      <c r="H38" t="s">
        <v>40</v>
      </c>
      <c r="K38">
        <f>180-37.643</f>
        <v>142.357</v>
      </c>
      <c r="L38">
        <f>RADIANS(K38)</f>
        <v>2.4845983632615676</v>
      </c>
      <c r="M38" t="s">
        <v>21</v>
      </c>
    </row>
    <row r="39" spans="1:22" ht="15.75" x14ac:dyDescent="0.55000000000000004">
      <c r="D39" s="3" t="s">
        <v>9</v>
      </c>
      <c r="E39" s="17">
        <f>(G39+r_W)/2-r_W</f>
        <v>217.5</v>
      </c>
      <c r="G39" s="16">
        <f>G38-r_W</f>
        <v>467.5</v>
      </c>
      <c r="H39" t="s">
        <v>25</v>
      </c>
      <c r="R39" t="s">
        <v>33</v>
      </c>
    </row>
    <row r="40" spans="1:22" ht="15.75" x14ac:dyDescent="0.55000000000000004">
      <c r="D40" s="3" t="s">
        <v>8</v>
      </c>
      <c r="E40" s="9">
        <v>123.0133</v>
      </c>
      <c r="G40" s="16">
        <f>y_AP+l_A</f>
        <v>462.5</v>
      </c>
      <c r="H40" t="s">
        <v>35</v>
      </c>
      <c r="Q40" s="12">
        <f>G39-G40</f>
        <v>5</v>
      </c>
      <c r="R40" s="10" t="s">
        <v>34</v>
      </c>
    </row>
    <row r="41" spans="1:22" x14ac:dyDescent="0.45">
      <c r="D41" s="3" t="s">
        <v>7</v>
      </c>
      <c r="E41" s="9">
        <v>1.5147999999999999</v>
      </c>
      <c r="G41" s="16">
        <f>r_W+y_AP-l_A</f>
        <v>5</v>
      </c>
      <c r="H41" t="s">
        <v>36</v>
      </c>
      <c r="Q41" s="12">
        <f>G41</f>
        <v>5</v>
      </c>
      <c r="R41" s="10" t="s">
        <v>37</v>
      </c>
    </row>
    <row r="42" spans="1:22" ht="15.75" x14ac:dyDescent="0.45">
      <c r="D42" s="6" t="s">
        <v>12</v>
      </c>
      <c r="E42">
        <v>9.8066499999999994</v>
      </c>
      <c r="G42" s="12"/>
      <c r="Q42" s="12">
        <f t="array" ref="Q42">MIN(IF(ISERROR(I47:I119),"",I47:I119))</f>
        <v>38.023313921458055</v>
      </c>
      <c r="R42" s="10" t="s">
        <v>38</v>
      </c>
    </row>
    <row r="43" spans="1:22" ht="15.75" x14ac:dyDescent="0.55000000000000004">
      <c r="D43" s="6" t="s">
        <v>18</v>
      </c>
      <c r="E43">
        <v>0.2</v>
      </c>
      <c r="G43" s="12"/>
      <c r="Q43" s="13">
        <f t="array" ref="Q43">INDEX(A47:A119, MATCH(MAX(IF(ISERROR(E47:E119),"",E47:E119)),IF(ISERROR(E47:E119),"",E47:E119),0))</f>
        <v>13</v>
      </c>
      <c r="R43" s="11" t="s">
        <v>39</v>
      </c>
    </row>
    <row r="44" spans="1:22" x14ac:dyDescent="0.45">
      <c r="D44" s="6"/>
      <c r="G44" s="12"/>
      <c r="Q44" s="14"/>
      <c r="R44" s="10"/>
    </row>
    <row r="45" spans="1:22" x14ac:dyDescent="0.45">
      <c r="D45" s="6"/>
      <c r="Q45" s="14"/>
      <c r="R45" s="10"/>
    </row>
    <row r="46" spans="1:22" ht="114.75" x14ac:dyDescent="0.55000000000000004">
      <c r="A46" s="1" t="s">
        <v>2</v>
      </c>
      <c r="B46" s="1" t="s">
        <v>16</v>
      </c>
      <c r="C46" s="2" t="s">
        <v>3</v>
      </c>
      <c r="D46" s="2" t="s">
        <v>4</v>
      </c>
      <c r="E46" s="1" t="s">
        <v>5</v>
      </c>
      <c r="F46" s="1" t="s">
        <v>6</v>
      </c>
      <c r="G46" s="2" t="s">
        <v>0</v>
      </c>
      <c r="H46" s="2" t="s">
        <v>1</v>
      </c>
      <c r="I46" s="2" t="s">
        <v>29</v>
      </c>
      <c r="J46" s="2" t="s">
        <v>14</v>
      </c>
      <c r="K46" s="2" t="s">
        <v>13</v>
      </c>
      <c r="L46" s="2" t="s">
        <v>24</v>
      </c>
      <c r="M46" s="2" t="s">
        <v>19</v>
      </c>
      <c r="N46" s="2" t="s">
        <v>20</v>
      </c>
      <c r="O46" s="2" t="s">
        <v>15</v>
      </c>
      <c r="P46" s="2" t="s">
        <v>17</v>
      </c>
      <c r="Q46" s="2"/>
      <c r="R46" s="2"/>
      <c r="S46" s="2"/>
      <c r="T46" s="2"/>
      <c r="U46" s="2"/>
      <c r="V46" s="2"/>
    </row>
    <row r="47" spans="1:22" x14ac:dyDescent="0.45">
      <c r="A47">
        <v>0</v>
      </c>
      <c r="B47" s="4">
        <f>RADIANS(A47)</f>
        <v>0</v>
      </c>
      <c r="C47">
        <f>90-A47</f>
        <v>90</v>
      </c>
      <c r="D47" s="5">
        <f>RADIANS(C47)</f>
        <v>1.5707963267948966</v>
      </c>
      <c r="E47" s="5" t="e">
        <f t="shared" ref="E47:E78" si="0">180-A47-DEGREES(ACOS((y_AP*COS(B47)+r_W)/l_A))</f>
        <v>#NUM!</v>
      </c>
      <c r="F47" s="4" t="e">
        <f t="shared" ref="F47:F111" si="1">RADIANS(E47)</f>
        <v>#NUM!</v>
      </c>
      <c r="G47" s="5">
        <f t="shared" ref="G47:G78" si="2">(r_W/SIN(D47)+y_CG)*COS(D47)-r_W/TAN(D47)</f>
        <v>7.5354777214105278E-15</v>
      </c>
      <c r="H47" s="5" t="e">
        <f t="shared" ref="H47:H78" si="3">(r_W/SIN(D47)+y_AP)*COS(D47)-r_W/TAN(D47)+l_A*COS(F47-D47)</f>
        <v>#NUM!</v>
      </c>
      <c r="I47" s="5" t="e">
        <f>H47-G47</f>
        <v>#NUM!</v>
      </c>
      <c r="J47" s="4">
        <f>m*g*G47/1000</f>
        <v>1.1194037622543653E-16</v>
      </c>
      <c r="K47" s="5" t="e">
        <f>J47/(H47/1000)</f>
        <v>#NUM!</v>
      </c>
      <c r="L47" s="5" t="e">
        <f>180-E47-A47</f>
        <v>#NUM!</v>
      </c>
      <c r="M47" s="5" t="e">
        <f>RADIANS(L47)</f>
        <v>#NUM!</v>
      </c>
      <c r="N47" s="5" t="e">
        <f t="shared" ref="N47:N78" si="4">K47*mu</f>
        <v>#NUM!</v>
      </c>
      <c r="O47" s="5" t="e">
        <f t="shared" ref="O47:O78" si="5">K47*SIN(M47)+N47*COS(M47)</f>
        <v>#NUM!</v>
      </c>
      <c r="P47" s="4" t="e">
        <f t="shared" ref="P47:P78" si="6">O47*l_A/1000</f>
        <v>#NUM!</v>
      </c>
    </row>
    <row r="48" spans="1:22" x14ac:dyDescent="0.45">
      <c r="A48">
        <f>A47+1</f>
        <v>1</v>
      </c>
      <c r="B48" s="4">
        <f t="shared" ref="B48:B111" si="7">RADIANS(A48)</f>
        <v>1.7453292519943295E-2</v>
      </c>
      <c r="C48">
        <f t="shared" ref="C48:C111" si="8">90-A48</f>
        <v>89</v>
      </c>
      <c r="D48" s="5">
        <f t="shared" ref="D48:D111" si="9">RADIANS(C48)</f>
        <v>1.5533430342749532</v>
      </c>
      <c r="E48" s="5" t="e">
        <f t="shared" si="0"/>
        <v>#NUM!</v>
      </c>
      <c r="F48" s="4" t="e">
        <f t="shared" si="1"/>
        <v>#NUM!</v>
      </c>
      <c r="G48" s="5">
        <f t="shared" si="2"/>
        <v>2.1468781087914985</v>
      </c>
      <c r="H48" s="5" t="e">
        <f t="shared" si="3"/>
        <v>#NUM!</v>
      </c>
      <c r="I48" s="5" t="e">
        <f t="shared" ref="I48:I111" si="10">H48-G48</f>
        <v>#NUM!</v>
      </c>
      <c r="J48" s="4">
        <f>m*g*G48/1000</f>
        <v>3.1892117805012804E-2</v>
      </c>
      <c r="K48" s="5" t="e">
        <f>J48/(H48/1000)</f>
        <v>#NUM!</v>
      </c>
      <c r="L48" s="5" t="e">
        <f>180-E48-A48</f>
        <v>#NUM!</v>
      </c>
      <c r="M48" s="5" t="e">
        <f t="shared" ref="M48:M111" si="11">RADIANS(L48)</f>
        <v>#NUM!</v>
      </c>
      <c r="N48" s="5" t="e">
        <f t="shared" si="4"/>
        <v>#NUM!</v>
      </c>
      <c r="O48" s="5" t="e">
        <f t="shared" si="5"/>
        <v>#NUM!</v>
      </c>
      <c r="P48" s="4" t="e">
        <f t="shared" si="6"/>
        <v>#NUM!</v>
      </c>
    </row>
    <row r="49" spans="1:16" x14ac:dyDescent="0.45">
      <c r="A49">
        <f t="shared" ref="A49:A112" si="12">A48+1</f>
        <v>2</v>
      </c>
      <c r="B49" s="4">
        <f t="shared" si="7"/>
        <v>3.4906585039886591E-2</v>
      </c>
      <c r="C49">
        <f t="shared" si="8"/>
        <v>88</v>
      </c>
      <c r="D49" s="5">
        <f t="shared" si="9"/>
        <v>1.5358897417550099</v>
      </c>
      <c r="E49" s="5" t="e">
        <f t="shared" si="0"/>
        <v>#NUM!</v>
      </c>
      <c r="F49" s="4" t="e">
        <f t="shared" si="1"/>
        <v>#NUM!</v>
      </c>
      <c r="G49" s="5">
        <f t="shared" si="2"/>
        <v>4.2931022577137758</v>
      </c>
      <c r="H49" s="5" t="e">
        <f t="shared" si="3"/>
        <v>#NUM!</v>
      </c>
      <c r="I49" s="5" t="e">
        <f t="shared" si="10"/>
        <v>#NUM!</v>
      </c>
      <c r="J49" s="4">
        <f>m*g*G49/1000</f>
        <v>6.3774520961996206E-2</v>
      </c>
      <c r="K49" s="5" t="e">
        <f>J49/(H49/1000)</f>
        <v>#NUM!</v>
      </c>
      <c r="L49" s="5" t="e">
        <f>180-E49-A49</f>
        <v>#NUM!</v>
      </c>
      <c r="M49" s="5" t="e">
        <f t="shared" si="11"/>
        <v>#NUM!</v>
      </c>
      <c r="N49" s="5" t="e">
        <f t="shared" si="4"/>
        <v>#NUM!</v>
      </c>
      <c r="O49" s="5" t="e">
        <f t="shared" si="5"/>
        <v>#NUM!</v>
      </c>
      <c r="P49" s="4" t="e">
        <f t="shared" si="6"/>
        <v>#NUM!</v>
      </c>
    </row>
    <row r="50" spans="1:16" x14ac:dyDescent="0.45">
      <c r="A50">
        <f t="shared" si="12"/>
        <v>3</v>
      </c>
      <c r="B50" s="4">
        <f t="shared" si="7"/>
        <v>5.235987755982989E-2</v>
      </c>
      <c r="C50">
        <f t="shared" si="8"/>
        <v>87</v>
      </c>
      <c r="D50" s="5">
        <f t="shared" si="9"/>
        <v>1.5184364492350666</v>
      </c>
      <c r="E50" s="5" t="e">
        <f t="shared" si="0"/>
        <v>#NUM!</v>
      </c>
      <c r="F50" s="4" t="e">
        <f t="shared" si="1"/>
        <v>#NUM!</v>
      </c>
      <c r="G50" s="5">
        <f t="shared" si="2"/>
        <v>6.4380186861001381</v>
      </c>
      <c r="H50" s="5" t="e">
        <f t="shared" si="3"/>
        <v>#NUM!</v>
      </c>
      <c r="I50" s="5" t="e">
        <f t="shared" si="10"/>
        <v>#NUM!</v>
      </c>
      <c r="J50" s="4">
        <f>m*g*G50/1000</f>
        <v>9.5637497782096917E-2</v>
      </c>
      <c r="K50" s="5" t="e">
        <f>J50/(H50/1000)</f>
        <v>#NUM!</v>
      </c>
      <c r="L50" s="5" t="e">
        <f>180-E50-A50</f>
        <v>#NUM!</v>
      </c>
      <c r="M50" s="5" t="e">
        <f t="shared" si="11"/>
        <v>#NUM!</v>
      </c>
      <c r="N50" s="5" t="e">
        <f t="shared" si="4"/>
        <v>#NUM!</v>
      </c>
      <c r="O50" s="5" t="e">
        <f t="shared" si="5"/>
        <v>#NUM!</v>
      </c>
      <c r="P50" s="4" t="e">
        <f t="shared" si="6"/>
        <v>#NUM!</v>
      </c>
    </row>
    <row r="51" spans="1:16" x14ac:dyDescent="0.45">
      <c r="A51">
        <f t="shared" si="12"/>
        <v>4</v>
      </c>
      <c r="B51" s="4">
        <f t="shared" si="7"/>
        <v>6.9813170079773182E-2</v>
      </c>
      <c r="C51">
        <f t="shared" si="8"/>
        <v>86</v>
      </c>
      <c r="D51" s="5">
        <f t="shared" si="9"/>
        <v>1.5009831567151235</v>
      </c>
      <c r="E51" s="5" t="e">
        <f t="shared" si="0"/>
        <v>#NUM!</v>
      </c>
      <c r="F51" s="4" t="e">
        <f t="shared" si="1"/>
        <v>#NUM!</v>
      </c>
      <c r="G51" s="5">
        <f t="shared" si="2"/>
        <v>8.5809740316281999</v>
      </c>
      <c r="H51" s="5" t="e">
        <f t="shared" si="3"/>
        <v>#NUM!</v>
      </c>
      <c r="I51" s="5" t="e">
        <f t="shared" si="10"/>
        <v>#NUM!</v>
      </c>
      <c r="J51" s="4">
        <f>m*g*G51/1000</f>
        <v>0.12747134249391157</v>
      </c>
      <c r="K51" s="5" t="e">
        <f>J51/(H51/1000)</f>
        <v>#NUM!</v>
      </c>
      <c r="L51" s="5" t="e">
        <f>180-E51-A51</f>
        <v>#NUM!</v>
      </c>
      <c r="M51" s="5" t="e">
        <f t="shared" si="11"/>
        <v>#NUM!</v>
      </c>
      <c r="N51" s="5" t="e">
        <f t="shared" si="4"/>
        <v>#NUM!</v>
      </c>
      <c r="O51" s="5" t="e">
        <f t="shared" si="5"/>
        <v>#NUM!</v>
      </c>
      <c r="P51" s="4" t="e">
        <f t="shared" si="6"/>
        <v>#NUM!</v>
      </c>
    </row>
    <row r="52" spans="1:16" x14ac:dyDescent="0.45">
      <c r="A52">
        <f t="shared" si="12"/>
        <v>5</v>
      </c>
      <c r="B52" s="4">
        <f t="shared" si="7"/>
        <v>8.7266462599716474E-2</v>
      </c>
      <c r="C52">
        <f t="shared" si="8"/>
        <v>85</v>
      </c>
      <c r="D52" s="5">
        <f t="shared" si="9"/>
        <v>1.4835298641951802</v>
      </c>
      <c r="E52" s="5" t="e">
        <f t="shared" si="0"/>
        <v>#NUM!</v>
      </c>
      <c r="F52" s="4" t="e">
        <f t="shared" si="1"/>
        <v>#NUM!</v>
      </c>
      <c r="G52" s="5">
        <f t="shared" si="2"/>
        <v>10.721315529340496</v>
      </c>
      <c r="H52" s="5" t="e">
        <f t="shared" si="3"/>
        <v>#NUM!</v>
      </c>
      <c r="I52" s="5" t="e">
        <f t="shared" si="10"/>
        <v>#NUM!</v>
      </c>
      <c r="J52" s="4">
        <f>m*g*G52/1000</f>
        <v>0.15926635819996041</v>
      </c>
      <c r="K52" s="5" t="e">
        <f>J52/(H52/1000)</f>
        <v>#NUM!</v>
      </c>
      <c r="L52" s="5" t="e">
        <f>180-E52-A52</f>
        <v>#NUM!</v>
      </c>
      <c r="M52" s="5" t="e">
        <f t="shared" si="11"/>
        <v>#NUM!</v>
      </c>
      <c r="N52" s="5" t="e">
        <f t="shared" si="4"/>
        <v>#NUM!</v>
      </c>
      <c r="O52" s="5" t="e">
        <f t="shared" si="5"/>
        <v>#NUM!</v>
      </c>
      <c r="P52" s="4" t="e">
        <f t="shared" si="6"/>
        <v>#NUM!</v>
      </c>
    </row>
    <row r="53" spans="1:16" x14ac:dyDescent="0.45">
      <c r="A53">
        <f t="shared" si="12"/>
        <v>6</v>
      </c>
      <c r="B53" s="4">
        <f t="shared" si="7"/>
        <v>0.10471975511965978</v>
      </c>
      <c r="C53">
        <f t="shared" si="8"/>
        <v>84</v>
      </c>
      <c r="D53" s="5">
        <f t="shared" si="9"/>
        <v>1.4660765716752369</v>
      </c>
      <c r="E53" s="5" t="e">
        <f t="shared" si="0"/>
        <v>#NUM!</v>
      </c>
      <c r="F53" s="4" t="e">
        <f t="shared" si="1"/>
        <v>#NUM!</v>
      </c>
      <c r="G53" s="5">
        <f t="shared" si="2"/>
        <v>12.858391210482838</v>
      </c>
      <c r="H53" s="5" t="e">
        <f t="shared" si="3"/>
        <v>#NUM!</v>
      </c>
      <c r="I53" s="5" t="e">
        <f t="shared" si="10"/>
        <v>#NUM!</v>
      </c>
      <c r="J53" s="4">
        <f>m*g*G53/1000</f>
        <v>0.19101285983045363</v>
      </c>
      <c r="K53" s="5" t="e">
        <f>J53/(H53/1000)</f>
        <v>#NUM!</v>
      </c>
      <c r="L53" s="5" t="e">
        <f>180-E53-A53</f>
        <v>#NUM!</v>
      </c>
      <c r="M53" s="5" t="e">
        <f t="shared" si="11"/>
        <v>#NUM!</v>
      </c>
      <c r="N53" s="5" t="e">
        <f t="shared" si="4"/>
        <v>#NUM!</v>
      </c>
      <c r="O53" s="5" t="e">
        <f t="shared" si="5"/>
        <v>#NUM!</v>
      </c>
      <c r="P53" s="4" t="e">
        <f t="shared" si="6"/>
        <v>#NUM!</v>
      </c>
    </row>
    <row r="54" spans="1:16" x14ac:dyDescent="0.45">
      <c r="A54">
        <f t="shared" si="12"/>
        <v>7</v>
      </c>
      <c r="B54" s="4">
        <f t="shared" si="7"/>
        <v>0.12217304763960307</v>
      </c>
      <c r="C54">
        <f t="shared" si="8"/>
        <v>83</v>
      </c>
      <c r="D54" s="5">
        <f t="shared" si="9"/>
        <v>1.4486232791552935</v>
      </c>
      <c r="E54" s="5" t="e">
        <f t="shared" si="0"/>
        <v>#NUM!</v>
      </c>
      <c r="F54" s="4" t="e">
        <f t="shared" si="1"/>
        <v>#NUM!</v>
      </c>
      <c r="G54" s="5">
        <f t="shared" si="2"/>
        <v>14.99155010110043</v>
      </c>
      <c r="H54" s="5" t="e">
        <f t="shared" si="3"/>
        <v>#NUM!</v>
      </c>
      <c r="I54" s="5" t="e">
        <f t="shared" si="10"/>
        <v>#NUM!</v>
      </c>
      <c r="J54" s="4">
        <f>m*g*G54/1000</f>
        <v>0.22270117709345932</v>
      </c>
      <c r="K54" s="5" t="e">
        <f>J54/(H54/1000)</f>
        <v>#NUM!</v>
      </c>
      <c r="L54" s="5" t="e">
        <f>180-E54-A54</f>
        <v>#NUM!</v>
      </c>
      <c r="M54" s="5" t="e">
        <f t="shared" si="11"/>
        <v>#NUM!</v>
      </c>
      <c r="N54" s="5" t="e">
        <f t="shared" si="4"/>
        <v>#NUM!</v>
      </c>
      <c r="O54" s="5" t="e">
        <f t="shared" si="5"/>
        <v>#NUM!</v>
      </c>
      <c r="P54" s="4" t="e">
        <f t="shared" si="6"/>
        <v>#NUM!</v>
      </c>
    </row>
    <row r="55" spans="1:16" x14ac:dyDescent="0.45">
      <c r="A55">
        <f t="shared" si="12"/>
        <v>8</v>
      </c>
      <c r="B55" s="4">
        <f t="shared" si="7"/>
        <v>0.13962634015954636</v>
      </c>
      <c r="C55">
        <f t="shared" si="8"/>
        <v>82</v>
      </c>
      <c r="D55" s="5">
        <f t="shared" si="9"/>
        <v>1.4311699866353502</v>
      </c>
      <c r="E55" s="5" t="e">
        <f t="shared" si="0"/>
        <v>#NUM!</v>
      </c>
      <c r="F55" s="4" t="e">
        <f t="shared" si="1"/>
        <v>#NUM!</v>
      </c>
      <c r="G55" s="5">
        <f t="shared" si="2"/>
        <v>17.120142420330822</v>
      </c>
      <c r="H55" s="5" t="e">
        <f t="shared" si="3"/>
        <v>#NUM!</v>
      </c>
      <c r="I55" s="5" t="e">
        <f t="shared" si="10"/>
        <v>#NUM!</v>
      </c>
      <c r="J55" s="4">
        <f>m*g*G55/1000</f>
        <v>0.25432165742056767</v>
      </c>
      <c r="K55" s="5" t="e">
        <f>J55/(H55/1000)</f>
        <v>#NUM!</v>
      </c>
      <c r="L55" s="5" t="e">
        <f>180-E55-A55</f>
        <v>#NUM!</v>
      </c>
      <c r="M55" s="5" t="e">
        <f t="shared" si="11"/>
        <v>#NUM!</v>
      </c>
      <c r="N55" s="5" t="e">
        <f t="shared" si="4"/>
        <v>#NUM!</v>
      </c>
      <c r="O55" s="5" t="e">
        <f t="shared" si="5"/>
        <v>#NUM!</v>
      </c>
      <c r="P55" s="4" t="e">
        <f t="shared" si="6"/>
        <v>#NUM!</v>
      </c>
    </row>
    <row r="56" spans="1:16" x14ac:dyDescent="0.45">
      <c r="A56">
        <f t="shared" si="12"/>
        <v>9</v>
      </c>
      <c r="B56" s="4">
        <f t="shared" si="7"/>
        <v>0.15707963267948966</v>
      </c>
      <c r="C56">
        <f t="shared" si="8"/>
        <v>81</v>
      </c>
      <c r="D56" s="5">
        <f t="shared" si="9"/>
        <v>1.4137166941154069</v>
      </c>
      <c r="E56" s="5" t="e">
        <f t="shared" si="0"/>
        <v>#NUM!</v>
      </c>
      <c r="F56" s="4" t="e">
        <f t="shared" si="1"/>
        <v>#NUM!</v>
      </c>
      <c r="G56" s="5">
        <f t="shared" si="2"/>
        <v>19.243519778333436</v>
      </c>
      <c r="H56" s="5" t="e">
        <f t="shared" si="3"/>
        <v>#NUM!</v>
      </c>
      <c r="I56" s="5" t="e">
        <f t="shared" si="10"/>
        <v>#NUM!</v>
      </c>
      <c r="J56" s="4">
        <f>m*g*G56/1000</f>
        <v>0.28586466890715645</v>
      </c>
      <c r="K56" s="5" t="e">
        <f>J56/(H56/1000)</f>
        <v>#NUM!</v>
      </c>
      <c r="L56" s="5" t="e">
        <f>180-E56-A56</f>
        <v>#NUM!</v>
      </c>
      <c r="M56" s="5" t="e">
        <f t="shared" si="11"/>
        <v>#NUM!</v>
      </c>
      <c r="N56" s="5" t="e">
        <f t="shared" si="4"/>
        <v>#NUM!</v>
      </c>
      <c r="O56" s="5" t="e">
        <f t="shared" si="5"/>
        <v>#NUM!</v>
      </c>
      <c r="P56" s="4" t="e">
        <f t="shared" si="6"/>
        <v>#NUM!</v>
      </c>
    </row>
    <row r="57" spans="1:16" x14ac:dyDescent="0.45">
      <c r="A57">
        <f t="shared" si="12"/>
        <v>10</v>
      </c>
      <c r="B57" s="4">
        <f t="shared" si="7"/>
        <v>0.17453292519943295</v>
      </c>
      <c r="C57">
        <f t="shared" si="8"/>
        <v>80</v>
      </c>
      <c r="D57" s="5">
        <f t="shared" si="9"/>
        <v>1.3962634015954636</v>
      </c>
      <c r="E57" s="5" t="e">
        <f t="shared" si="0"/>
        <v>#NUM!</v>
      </c>
      <c r="F57" s="4" t="e">
        <f t="shared" si="1"/>
        <v>#NUM!</v>
      </c>
      <c r="G57" s="5">
        <f t="shared" si="2"/>
        <v>21.36103537379541</v>
      </c>
      <c r="H57" s="5" t="e">
        <f t="shared" si="3"/>
        <v>#NUM!</v>
      </c>
      <c r="I57" s="5" t="e">
        <f t="shared" si="10"/>
        <v>#NUM!</v>
      </c>
      <c r="J57" s="4">
        <f>m*g*G57/1000</f>
        <v>0.31732060324636291</v>
      </c>
      <c r="K57" s="5" t="e">
        <f>J57/(H57/1000)</f>
        <v>#NUM!</v>
      </c>
      <c r="L57" s="5" t="e">
        <f>180-E57-A57</f>
        <v>#NUM!</v>
      </c>
      <c r="M57" s="5" t="e">
        <f t="shared" si="11"/>
        <v>#NUM!</v>
      </c>
      <c r="N57" s="5" t="e">
        <f t="shared" si="4"/>
        <v>#NUM!</v>
      </c>
      <c r="O57" s="5" t="e">
        <f t="shared" si="5"/>
        <v>#NUM!</v>
      </c>
      <c r="P57" s="4" t="e">
        <f t="shared" si="6"/>
        <v>#NUM!</v>
      </c>
    </row>
    <row r="58" spans="1:16" x14ac:dyDescent="0.45">
      <c r="A58">
        <f t="shared" si="12"/>
        <v>11</v>
      </c>
      <c r="B58" s="4">
        <f t="shared" si="7"/>
        <v>0.19198621771937624</v>
      </c>
      <c r="C58">
        <f t="shared" si="8"/>
        <v>79</v>
      </c>
      <c r="D58" s="5">
        <f t="shared" si="9"/>
        <v>1.3788101090755203</v>
      </c>
      <c r="E58" s="5" t="e">
        <f t="shared" si="0"/>
        <v>#NUM!</v>
      </c>
      <c r="F58" s="4" t="e">
        <f t="shared" si="1"/>
        <v>#NUM!</v>
      </c>
      <c r="G58" s="5">
        <f t="shared" si="2"/>
        <v>23.472044190953536</v>
      </c>
      <c r="H58" s="5" t="e">
        <f t="shared" si="3"/>
        <v>#NUM!</v>
      </c>
      <c r="I58" s="5" t="e">
        <f t="shared" si="10"/>
        <v>#NUM!</v>
      </c>
      <c r="J58" s="4">
        <f>m*g*G58/1000</f>
        <v>0.34867987865586691</v>
      </c>
      <c r="K58" s="5" t="e">
        <f>J58/(H58/1000)</f>
        <v>#NUM!</v>
      </c>
      <c r="L58" s="5" t="e">
        <f>180-E58-A58</f>
        <v>#NUM!</v>
      </c>
      <c r="M58" s="5" t="e">
        <f t="shared" si="11"/>
        <v>#NUM!</v>
      </c>
      <c r="N58" s="5" t="e">
        <f t="shared" si="4"/>
        <v>#NUM!</v>
      </c>
      <c r="O58" s="5" t="e">
        <f t="shared" si="5"/>
        <v>#NUM!</v>
      </c>
      <c r="P58" s="4" t="e">
        <f t="shared" si="6"/>
        <v>#NUM!</v>
      </c>
    </row>
    <row r="59" spans="1:16" x14ac:dyDescent="0.45">
      <c r="A59">
        <f t="shared" si="12"/>
        <v>12</v>
      </c>
      <c r="B59" s="4">
        <f t="shared" si="7"/>
        <v>0.20943951023931956</v>
      </c>
      <c r="C59">
        <f t="shared" si="8"/>
        <v>78</v>
      </c>
      <c r="D59" s="5">
        <f t="shared" si="9"/>
        <v>1.3613568165555769</v>
      </c>
      <c r="E59" s="5" t="e">
        <f t="shared" si="0"/>
        <v>#NUM!</v>
      </c>
      <c r="F59" s="4" t="e">
        <f t="shared" si="1"/>
        <v>#NUM!</v>
      </c>
      <c r="G59" s="5">
        <f t="shared" si="2"/>
        <v>25.575903196072282</v>
      </c>
      <c r="H59" s="5" t="e">
        <f t="shared" si="3"/>
        <v>#NUM!</v>
      </c>
      <c r="I59" s="5" t="e">
        <f t="shared" si="10"/>
        <v>#NUM!</v>
      </c>
      <c r="J59" s="4">
        <f>m*g*G59/1000</f>
        <v>0.37993294279659423</v>
      </c>
      <c r="K59" s="5" t="e">
        <f>J59/(H59/1000)</f>
        <v>#NUM!</v>
      </c>
      <c r="L59" s="5" t="e">
        <f>180-E59-A59</f>
        <v>#NUM!</v>
      </c>
      <c r="M59" s="5" t="e">
        <f t="shared" si="11"/>
        <v>#NUM!</v>
      </c>
      <c r="N59" s="5" t="e">
        <f t="shared" si="4"/>
        <v>#NUM!</v>
      </c>
      <c r="O59" s="5" t="e">
        <f t="shared" si="5"/>
        <v>#NUM!</v>
      </c>
      <c r="P59" s="4" t="e">
        <f t="shared" si="6"/>
        <v>#NUM!</v>
      </c>
    </row>
    <row r="60" spans="1:16" x14ac:dyDescent="0.45">
      <c r="A60">
        <f t="shared" si="12"/>
        <v>13</v>
      </c>
      <c r="B60" s="4">
        <f t="shared" si="7"/>
        <v>0.22689280275926285</v>
      </c>
      <c r="C60">
        <f t="shared" si="8"/>
        <v>77</v>
      </c>
      <c r="D60" s="5">
        <f t="shared" si="9"/>
        <v>1.3439035240356338</v>
      </c>
      <c r="E60" s="5">
        <f t="shared" si="0"/>
        <v>163.07546116691688</v>
      </c>
      <c r="F60" s="4">
        <f t="shared" si="1"/>
        <v>2.8462037265708537</v>
      </c>
      <c r="G60" s="5">
        <f t="shared" si="2"/>
        <v>27.671971533318157</v>
      </c>
      <c r="H60" s="5">
        <f t="shared" si="3"/>
        <v>65.695285454776212</v>
      </c>
      <c r="I60" s="5">
        <f t="shared" si="10"/>
        <v>38.023313921458055</v>
      </c>
      <c r="J60" s="4">
        <f>m*g*G60/1000</f>
        <v>0.41107027568245247</v>
      </c>
      <c r="K60" s="5">
        <f>J60/(H60/1000)</f>
        <v>6.2572264179509194</v>
      </c>
      <c r="L60" s="5">
        <f>180-E60-A60</f>
        <v>3.924538833083119</v>
      </c>
      <c r="M60" s="5">
        <f t="shared" si="11"/>
        <v>6.8496124259676591E-2</v>
      </c>
      <c r="N60" s="5">
        <f t="shared" si="4"/>
        <v>1.2514452835901839</v>
      </c>
      <c r="O60" s="5">
        <f t="shared" si="5"/>
        <v>1.6767714114176071</v>
      </c>
      <c r="P60" s="4">
        <f t="shared" si="6"/>
        <v>0.41080899579731373</v>
      </c>
    </row>
    <row r="61" spans="1:16" x14ac:dyDescent="0.45">
      <c r="A61">
        <f t="shared" si="12"/>
        <v>14</v>
      </c>
      <c r="B61" s="4">
        <f t="shared" si="7"/>
        <v>0.24434609527920614</v>
      </c>
      <c r="C61">
        <f t="shared" si="8"/>
        <v>76</v>
      </c>
      <c r="D61" s="5">
        <f t="shared" si="9"/>
        <v>1.3264502315156905</v>
      </c>
      <c r="E61" s="5">
        <f t="shared" si="0"/>
        <v>159.74037859443317</v>
      </c>
      <c r="F61" s="4">
        <f t="shared" si="1"/>
        <v>2.7879955548551307</v>
      </c>
      <c r="G61" s="5">
        <f t="shared" si="2"/>
        <v>29.759610719970595</v>
      </c>
      <c r="H61" s="5">
        <f t="shared" si="3"/>
        <v>79.331293398621185</v>
      </c>
      <c r="I61" s="5">
        <f t="shared" si="10"/>
        <v>49.571682678650589</v>
      </c>
      <c r="J61" s="4">
        <f>m*g*G61/1000</f>
        <v>0.44208239258021104</v>
      </c>
      <c r="K61" s="5">
        <f>J61/(H61/1000)</f>
        <v>5.57261042447462</v>
      </c>
      <c r="L61" s="5">
        <f>180-E61-A61</f>
        <v>6.2596214055668327</v>
      </c>
      <c r="M61" s="5">
        <f t="shared" si="11"/>
        <v>0.10925100345545653</v>
      </c>
      <c r="N61" s="5">
        <f t="shared" si="4"/>
        <v>1.114522084894924</v>
      </c>
      <c r="O61" s="5">
        <f t="shared" si="5"/>
        <v>1.7154802447350443</v>
      </c>
      <c r="P61" s="4">
        <f t="shared" si="6"/>
        <v>0.42029265996008586</v>
      </c>
    </row>
    <row r="62" spans="1:16" x14ac:dyDescent="0.45">
      <c r="A62">
        <f t="shared" si="12"/>
        <v>15</v>
      </c>
      <c r="B62" s="4">
        <f t="shared" si="7"/>
        <v>0.26179938779914941</v>
      </c>
      <c r="C62">
        <f t="shared" si="8"/>
        <v>75</v>
      </c>
      <c r="D62" s="5">
        <f t="shared" si="9"/>
        <v>1.3089969389957472</v>
      </c>
      <c r="E62" s="5">
        <f t="shared" si="0"/>
        <v>156.9550756058735</v>
      </c>
      <c r="F62" s="4">
        <f t="shared" si="1"/>
        <v>2.7393828470391264</v>
      </c>
      <c r="G62" s="5">
        <f t="shared" si="2"/>
        <v>31.838184840909911</v>
      </c>
      <c r="H62" s="5">
        <f t="shared" si="3"/>
        <v>90.580771302621628</v>
      </c>
      <c r="I62" s="5">
        <f t="shared" si="10"/>
        <v>58.742586461711717</v>
      </c>
      <c r="J62" s="4">
        <f>m*g*G62/1000</f>
        <v>0.47295984689864135</v>
      </c>
      <c r="K62" s="5">
        <f>J62/(H62/1000)</f>
        <v>5.2214155399331732</v>
      </c>
      <c r="L62" s="5">
        <f>180-E62-A62</f>
        <v>8.0449243941264967</v>
      </c>
      <c r="M62" s="5">
        <f t="shared" si="11"/>
        <v>0.14041041875151733</v>
      </c>
      <c r="N62" s="5">
        <f t="shared" si="4"/>
        <v>1.0442831079866346</v>
      </c>
      <c r="O62" s="5">
        <f t="shared" si="5"/>
        <v>1.7647404696809297</v>
      </c>
      <c r="P62" s="4">
        <f t="shared" si="6"/>
        <v>0.43236141507182774</v>
      </c>
    </row>
    <row r="63" spans="1:16" x14ac:dyDescent="0.45">
      <c r="A63">
        <f t="shared" si="12"/>
        <v>16</v>
      </c>
      <c r="B63" s="4">
        <f t="shared" si="7"/>
        <v>0.27925268031909273</v>
      </c>
      <c r="C63">
        <f t="shared" si="8"/>
        <v>74</v>
      </c>
      <c r="D63" s="5">
        <f t="shared" si="9"/>
        <v>1.2915436464758039</v>
      </c>
      <c r="E63" s="5">
        <f t="shared" si="0"/>
        <v>154.40756106074579</v>
      </c>
      <c r="F63" s="4">
        <f t="shared" si="1"/>
        <v>2.694920330484202</v>
      </c>
      <c r="G63" s="5">
        <f t="shared" si="2"/>
        <v>33.90706074232326</v>
      </c>
      <c r="H63" s="5">
        <f t="shared" si="3"/>
        <v>100.77758872521562</v>
      </c>
      <c r="I63" s="5">
        <f t="shared" si="10"/>
        <v>66.870527982892355</v>
      </c>
      <c r="J63" s="4">
        <f>m*g*G63/1000</f>
        <v>0.50369323306604141</v>
      </c>
      <c r="K63" s="5">
        <f>J63/(H63/1000)</f>
        <v>4.9980679180510297</v>
      </c>
      <c r="L63" s="5">
        <f>180-E63-A63</f>
        <v>9.5924389392542082</v>
      </c>
      <c r="M63" s="5">
        <f t="shared" si="11"/>
        <v>0.16741964278649826</v>
      </c>
      <c r="N63" s="5">
        <f t="shared" si="4"/>
        <v>0.99961358361020602</v>
      </c>
      <c r="O63" s="5">
        <f t="shared" si="5"/>
        <v>1.8185082026655293</v>
      </c>
      <c r="P63" s="4">
        <f t="shared" si="6"/>
        <v>0.44553450965305469</v>
      </c>
    </row>
    <row r="64" spans="1:16" x14ac:dyDescent="0.45">
      <c r="A64">
        <f t="shared" si="12"/>
        <v>17</v>
      </c>
      <c r="B64" s="4">
        <f t="shared" si="7"/>
        <v>0.29670597283903605</v>
      </c>
      <c r="C64">
        <f t="shared" si="8"/>
        <v>73</v>
      </c>
      <c r="D64" s="5">
        <f t="shared" si="9"/>
        <v>1.2740903539558606</v>
      </c>
      <c r="E64" s="5">
        <f t="shared" si="0"/>
        <v>151.99708887981643</v>
      </c>
      <c r="F64" s="4">
        <f t="shared" si="1"/>
        <v>2.6528496543992564</v>
      </c>
      <c r="G64" s="5">
        <f t="shared" si="2"/>
        <v>35.965608224569444</v>
      </c>
      <c r="H64" s="5">
        <f t="shared" si="3"/>
        <v>110.35126899204241</v>
      </c>
      <c r="I64" s="5">
        <f t="shared" si="10"/>
        <v>74.385660767472956</v>
      </c>
      <c r="J64" s="4">
        <f>m*g*G64/1000</f>
        <v>0.53427318939526391</v>
      </c>
      <c r="K64" s="5">
        <f>J64/(H64/1000)</f>
        <v>4.8415681511899162</v>
      </c>
      <c r="L64" s="5">
        <f>180-E64-A64</f>
        <v>11.002911120183569</v>
      </c>
      <c r="M64" s="5">
        <f t="shared" si="11"/>
        <v>0.1920370263515008</v>
      </c>
      <c r="N64" s="5">
        <f t="shared" si="4"/>
        <v>0.96831363023798334</v>
      </c>
      <c r="O64" s="5">
        <f t="shared" si="5"/>
        <v>1.8745698204103691</v>
      </c>
      <c r="P64" s="4">
        <f t="shared" si="6"/>
        <v>0.4592696060005404</v>
      </c>
    </row>
    <row r="65" spans="1:16" x14ac:dyDescent="0.45">
      <c r="A65">
        <f t="shared" si="12"/>
        <v>18</v>
      </c>
      <c r="B65" s="4">
        <f t="shared" si="7"/>
        <v>0.31415926535897931</v>
      </c>
      <c r="C65">
        <f t="shared" si="8"/>
        <v>72</v>
      </c>
      <c r="D65" s="5">
        <f t="shared" si="9"/>
        <v>1.2566370614359172</v>
      </c>
      <c r="E65" s="5">
        <f t="shared" si="0"/>
        <v>149.67655867207688</v>
      </c>
      <c r="F65" s="4">
        <f t="shared" si="1"/>
        <v>2.6123487618822132</v>
      </c>
      <c r="G65" s="5">
        <f t="shared" si="2"/>
        <v>38.013200234143724</v>
      </c>
      <c r="H65" s="5">
        <f t="shared" si="3"/>
        <v>119.50157211955235</v>
      </c>
      <c r="I65" s="5">
        <f t="shared" si="10"/>
        <v>81.488371885408625</v>
      </c>
      <c r="J65" s="4">
        <f>m*g*G65/1000</f>
        <v>0.56469040093537559</v>
      </c>
      <c r="K65" s="5">
        <f>J65/(H65/1000)</f>
        <v>4.7253805194332106</v>
      </c>
      <c r="L65" s="5">
        <f>180-E65-A65</f>
        <v>12.323441327923121</v>
      </c>
      <c r="M65" s="5">
        <f t="shared" si="11"/>
        <v>0.21508462634860068</v>
      </c>
      <c r="N65" s="5">
        <f t="shared" si="4"/>
        <v>0.9450761038866422</v>
      </c>
      <c r="O65" s="5">
        <f t="shared" si="5"/>
        <v>1.9318384404504259</v>
      </c>
      <c r="P65" s="4">
        <f t="shared" si="6"/>
        <v>0.47330041791035432</v>
      </c>
    </row>
    <row r="66" spans="1:16" x14ac:dyDescent="0.45">
      <c r="A66">
        <f t="shared" si="12"/>
        <v>19</v>
      </c>
      <c r="B66" s="4">
        <f t="shared" si="7"/>
        <v>0.33161255787892263</v>
      </c>
      <c r="C66">
        <f t="shared" si="8"/>
        <v>71</v>
      </c>
      <c r="D66" s="5">
        <f t="shared" si="9"/>
        <v>1.2391837689159739</v>
      </c>
      <c r="E66" s="5">
        <f t="shared" si="0"/>
        <v>147.41975094522377</v>
      </c>
      <c r="F66" s="4">
        <f t="shared" si="1"/>
        <v>2.5729600364641776</v>
      </c>
      <c r="G66" s="5">
        <f t="shared" si="2"/>
        <v>40.049213054684557</v>
      </c>
      <c r="H66" s="5">
        <f t="shared" si="3"/>
        <v>128.33879978850837</v>
      </c>
      <c r="I66" s="5">
        <f t="shared" si="10"/>
        <v>88.289586733823811</v>
      </c>
      <c r="J66" s="4">
        <f>m*g*G66/1000</f>
        <v>0.59493560230908371</v>
      </c>
      <c r="K66" s="5">
        <f>J66/(H66/1000)</f>
        <v>4.6356643765524375</v>
      </c>
      <c r="L66" s="5">
        <f>180-E66-A66</f>
        <v>13.580249054776232</v>
      </c>
      <c r="M66" s="5">
        <f t="shared" si="11"/>
        <v>0.237020059246693</v>
      </c>
      <c r="N66" s="5">
        <f t="shared" si="4"/>
        <v>0.92713287531048749</v>
      </c>
      <c r="O66" s="5">
        <f t="shared" si="5"/>
        <v>1.9896987521815082</v>
      </c>
      <c r="P66" s="4">
        <f t="shared" si="6"/>
        <v>0.48747619428446948</v>
      </c>
    </row>
    <row r="67" spans="1:16" x14ac:dyDescent="0.45">
      <c r="A67">
        <f t="shared" si="12"/>
        <v>20</v>
      </c>
      <c r="B67" s="4">
        <f t="shared" si="7"/>
        <v>0.3490658503988659</v>
      </c>
      <c r="C67">
        <f t="shared" si="8"/>
        <v>70</v>
      </c>
      <c r="D67" s="5">
        <f t="shared" si="9"/>
        <v>1.2217304763960306</v>
      </c>
      <c r="E67" s="5">
        <f t="shared" si="0"/>
        <v>145.21045385880799</v>
      </c>
      <c r="F67" s="4">
        <f t="shared" si="1"/>
        <v>2.5344005281515045</v>
      </c>
      <c r="G67" s="5">
        <f t="shared" si="2"/>
        <v>42.073026496963507</v>
      </c>
      <c r="H67" s="5">
        <f t="shared" si="3"/>
        <v>136.93037257090066</v>
      </c>
      <c r="I67" s="5">
        <f t="shared" si="10"/>
        <v>94.857346073937151</v>
      </c>
      <c r="J67" s="4">
        <f>m*g*G67/1000</f>
        <v>0.62499958053505811</v>
      </c>
      <c r="K67" s="5">
        <f>J67/(H67/1000)</f>
        <v>4.5643604760619629</v>
      </c>
      <c r="L67" s="5">
        <f>180-E67-A67</f>
        <v>14.789546141192005</v>
      </c>
      <c r="M67" s="5">
        <f t="shared" si="11"/>
        <v>0.25812627503942265</v>
      </c>
      <c r="N67" s="5">
        <f t="shared" si="4"/>
        <v>0.91287209521239265</v>
      </c>
      <c r="O67" s="5">
        <f t="shared" si="5"/>
        <v>2.0477699681002091</v>
      </c>
      <c r="P67" s="4">
        <f t="shared" si="6"/>
        <v>0.50170364218455121</v>
      </c>
    </row>
    <row r="68" spans="1:16" x14ac:dyDescent="0.45">
      <c r="A68">
        <f t="shared" si="12"/>
        <v>21</v>
      </c>
      <c r="B68" s="4">
        <f t="shared" si="7"/>
        <v>0.36651914291880922</v>
      </c>
      <c r="C68">
        <f t="shared" si="8"/>
        <v>69</v>
      </c>
      <c r="D68" s="5">
        <f t="shared" si="9"/>
        <v>1.2042771838760873</v>
      </c>
      <c r="E68" s="5">
        <f t="shared" si="0"/>
        <v>143.03790705280164</v>
      </c>
      <c r="F68" s="4">
        <f t="shared" si="1"/>
        <v>2.4964824332330071</v>
      </c>
      <c r="G68" s="5">
        <f t="shared" si="2"/>
        <v>44.084024087800898</v>
      </c>
      <c r="H68" s="5">
        <f t="shared" si="3"/>
        <v>145.32035292347513</v>
      </c>
      <c r="I68" s="5">
        <f t="shared" si="10"/>
        <v>101.23632883567423</v>
      </c>
      <c r="J68" s="4">
        <f>m*g*G68/1000</f>
        <v>0.65487317783429433</v>
      </c>
      <c r="K68" s="5">
        <f>J68/(H68/1000)</f>
        <v>4.5064105932852154</v>
      </c>
      <c r="L68" s="5">
        <f>180-E68-A68</f>
        <v>15.962092947198357</v>
      </c>
      <c r="M68" s="5">
        <f t="shared" si="11"/>
        <v>0.27859107743797673</v>
      </c>
      <c r="N68" s="5">
        <f t="shared" si="4"/>
        <v>0.90128211865704311</v>
      </c>
      <c r="O68" s="5">
        <f t="shared" si="5"/>
        <v>2.1058010190706171</v>
      </c>
      <c r="P68" s="4">
        <f t="shared" si="6"/>
        <v>0.51592124967230124</v>
      </c>
    </row>
    <row r="69" spans="1:16" x14ac:dyDescent="0.45">
      <c r="A69">
        <f t="shared" si="12"/>
        <v>22</v>
      </c>
      <c r="B69" s="4">
        <f t="shared" si="7"/>
        <v>0.38397243543875248</v>
      </c>
      <c r="C69">
        <f t="shared" si="8"/>
        <v>68</v>
      </c>
      <c r="D69" s="5">
        <f t="shared" si="9"/>
        <v>1.1868238913561442</v>
      </c>
      <c r="E69" s="5">
        <f t="shared" si="0"/>
        <v>140.8945923523429</v>
      </c>
      <c r="F69" s="4">
        <f t="shared" si="1"/>
        <v>2.459074534803606</v>
      </c>
      <c r="G69" s="5">
        <f t="shared" si="2"/>
        <v>46.081593257849597</v>
      </c>
      <c r="H69" s="5">
        <f t="shared" si="3"/>
        <v>153.53891462065513</v>
      </c>
      <c r="I69" s="5">
        <f t="shared" si="10"/>
        <v>107.45732136280554</v>
      </c>
      <c r="J69" s="4">
        <f>m*g*G69/1000</f>
        <v>0.684547294419663</v>
      </c>
      <c r="K69" s="5">
        <f>J69/(H69/1000)</f>
        <v>4.4584612058184554</v>
      </c>
      <c r="L69" s="5">
        <f>180-E69-A69</f>
        <v>17.105407647657103</v>
      </c>
      <c r="M69" s="5">
        <f t="shared" si="11"/>
        <v>0.29854568334743453</v>
      </c>
      <c r="N69" s="5">
        <f t="shared" si="4"/>
        <v>0.89169224116369117</v>
      </c>
      <c r="O69" s="5">
        <f t="shared" si="5"/>
        <v>2.1636180357477803</v>
      </c>
      <c r="P69" s="4">
        <f t="shared" si="6"/>
        <v>0.53008641875820617</v>
      </c>
    </row>
    <row r="70" spans="1:16" x14ac:dyDescent="0.45">
      <c r="A70">
        <f t="shared" si="12"/>
        <v>23</v>
      </c>
      <c r="B70" s="4">
        <f t="shared" si="7"/>
        <v>0.4014257279586958</v>
      </c>
      <c r="C70">
        <f t="shared" si="8"/>
        <v>67</v>
      </c>
      <c r="D70" s="5">
        <f t="shared" si="9"/>
        <v>1.1693705988362009</v>
      </c>
      <c r="E70" s="5">
        <f t="shared" si="0"/>
        <v>138.7750480075708</v>
      </c>
      <c r="F70" s="4">
        <f t="shared" si="1"/>
        <v>2.422081507345307</v>
      </c>
      <c r="G70" s="5">
        <f t="shared" si="2"/>
        <v>48.065125528189569</v>
      </c>
      <c r="H70" s="5">
        <f t="shared" si="3"/>
        <v>161.60742656721774</v>
      </c>
      <c r="I70" s="5">
        <f t="shared" si="10"/>
        <v>113.54230103902817</v>
      </c>
      <c r="J70" s="4">
        <f>m*g*G70/1000</f>
        <v>0.71401289126779344</v>
      </c>
      <c r="K70" s="5">
        <f>J70/(H70/1000)</f>
        <v>4.4181935597545845</v>
      </c>
      <c r="L70" s="5">
        <f>180-E70-A70</f>
        <v>18.224951992429197</v>
      </c>
      <c r="M70" s="5">
        <f t="shared" si="11"/>
        <v>0.31808541828579018</v>
      </c>
      <c r="N70" s="5">
        <f t="shared" si="4"/>
        <v>0.88363871195091692</v>
      </c>
      <c r="O70" s="5">
        <f t="shared" si="5"/>
        <v>2.2210956422490002</v>
      </c>
      <c r="P70" s="4">
        <f t="shared" si="6"/>
        <v>0.54416843235100509</v>
      </c>
    </row>
    <row r="71" spans="1:16" x14ac:dyDescent="0.45">
      <c r="A71">
        <f t="shared" si="12"/>
        <v>24</v>
      </c>
      <c r="B71" s="4">
        <f t="shared" si="7"/>
        <v>0.41887902047863912</v>
      </c>
      <c r="C71">
        <f t="shared" si="8"/>
        <v>66</v>
      </c>
      <c r="D71" s="5">
        <f t="shared" si="9"/>
        <v>1.1519173063162575</v>
      </c>
      <c r="E71" s="5">
        <f t="shared" si="0"/>
        <v>136.67518258448064</v>
      </c>
      <c r="F71" s="4">
        <f t="shared" si="1"/>
        <v>2.3854319418636001</v>
      </c>
      <c r="G71" s="5">
        <f t="shared" si="2"/>
        <v>50.034016695676335</v>
      </c>
      <c r="H71" s="5">
        <f t="shared" si="3"/>
        <v>169.54139527857194</v>
      </c>
      <c r="I71" s="5">
        <f t="shared" si="10"/>
        <v>119.5073785828956</v>
      </c>
      <c r="J71" s="4">
        <f>m*g*G71/1000</f>
        <v>0.74326099287244551</v>
      </c>
      <c r="K71" s="5">
        <f>J71/(H71/1000)</f>
        <v>4.383949958953683</v>
      </c>
      <c r="L71" s="5">
        <f>180-E71-A71</f>
        <v>19.324817415519362</v>
      </c>
      <c r="M71" s="5">
        <f t="shared" si="11"/>
        <v>0.33728169124755403</v>
      </c>
      <c r="N71" s="5">
        <f t="shared" si="4"/>
        <v>0.87678999179073669</v>
      </c>
      <c r="O71" s="5">
        <f t="shared" si="5"/>
        <v>2.2781402243017457</v>
      </c>
      <c r="P71" s="4">
        <f t="shared" si="6"/>
        <v>0.55814435495392778</v>
      </c>
    </row>
    <row r="72" spans="1:16" x14ac:dyDescent="0.45">
      <c r="A72">
        <f t="shared" si="12"/>
        <v>25</v>
      </c>
      <c r="B72" s="4">
        <f t="shared" si="7"/>
        <v>0.43633231299858238</v>
      </c>
      <c r="C72">
        <f t="shared" si="8"/>
        <v>65</v>
      </c>
      <c r="D72" s="5">
        <f t="shared" si="9"/>
        <v>1.1344640137963142</v>
      </c>
      <c r="E72" s="5">
        <f t="shared" si="0"/>
        <v>134.59185420214632</v>
      </c>
      <c r="F72" s="4">
        <f t="shared" si="1"/>
        <v>2.3490710021916188</v>
      </c>
      <c r="G72" s="5">
        <f t="shared" si="2"/>
        <v>51.987667016987182</v>
      </c>
      <c r="H72" s="5">
        <f t="shared" si="3"/>
        <v>177.35226996543594</v>
      </c>
      <c r="I72" s="5">
        <f t="shared" si="10"/>
        <v>125.36460294844875</v>
      </c>
      <c r="J72" s="4">
        <f>m*g*G72/1000</f>
        <v>0.77228268997853755</v>
      </c>
      <c r="K72" s="5">
        <f>J72/(H72/1000)</f>
        <v>4.3545125761798662</v>
      </c>
      <c r="L72" s="5">
        <f>180-E72-A72</f>
        <v>20.408145797853678</v>
      </c>
      <c r="M72" s="5">
        <f t="shared" si="11"/>
        <v>0.35618933839959177</v>
      </c>
      <c r="N72" s="5">
        <f t="shared" si="4"/>
        <v>0.87090251523597328</v>
      </c>
      <c r="O72" s="5">
        <f t="shared" si="5"/>
        <v>2.3346796807115213</v>
      </c>
      <c r="P72" s="4">
        <f t="shared" si="6"/>
        <v>0.5719965217743227</v>
      </c>
    </row>
    <row r="73" spans="1:16" x14ac:dyDescent="0.45">
      <c r="A73">
        <f t="shared" si="12"/>
        <v>26</v>
      </c>
      <c r="B73" s="4">
        <f t="shared" si="7"/>
        <v>0.4537856055185257</v>
      </c>
      <c r="C73">
        <f t="shared" si="8"/>
        <v>64</v>
      </c>
      <c r="D73" s="5">
        <f t="shared" si="9"/>
        <v>1.1170107212763709</v>
      </c>
      <c r="E73" s="5">
        <f t="shared" si="0"/>
        <v>132.52260024285087</v>
      </c>
      <c r="F73" s="4">
        <f t="shared" si="1"/>
        <v>2.3129557075419847</v>
      </c>
      <c r="G73" s="5">
        <f t="shared" si="2"/>
        <v>53.925481391308821</v>
      </c>
      <c r="H73" s="5">
        <f t="shared" si="3"/>
        <v>185.04860251246569</v>
      </c>
      <c r="I73" s="5">
        <f t="shared" si="10"/>
        <v>131.12312112115688</v>
      </c>
      <c r="J73" s="4">
        <f>m*g*G73/1000</f>
        <v>0.8010691422959918</v>
      </c>
      <c r="K73" s="5">
        <f>J73/(H73/1000)</f>
        <v>4.3289661819630778</v>
      </c>
      <c r="L73" s="5">
        <f>180-E73-A73</f>
        <v>21.477399757149129</v>
      </c>
      <c r="M73" s="5">
        <f t="shared" si="11"/>
        <v>0.37485134052928287</v>
      </c>
      <c r="N73" s="5">
        <f t="shared" si="4"/>
        <v>0.86579323639261563</v>
      </c>
      <c r="O73" s="5">
        <f t="shared" si="5"/>
        <v>2.3906568926069554</v>
      </c>
      <c r="P73" s="4">
        <f t="shared" si="6"/>
        <v>0.58571093868870416</v>
      </c>
    </row>
    <row r="74" spans="1:16" x14ac:dyDescent="0.45">
      <c r="A74">
        <f t="shared" si="12"/>
        <v>27</v>
      </c>
      <c r="B74" s="4">
        <f t="shared" si="7"/>
        <v>0.47123889803846897</v>
      </c>
      <c r="C74">
        <f t="shared" si="8"/>
        <v>63</v>
      </c>
      <c r="D74" s="5">
        <f t="shared" si="9"/>
        <v>1.0995574287564276</v>
      </c>
      <c r="E74" s="5">
        <f t="shared" si="0"/>
        <v>130.46545700995472</v>
      </c>
      <c r="F74" s="4">
        <f t="shared" si="1"/>
        <v>2.2770517849428265</v>
      </c>
      <c r="G74" s="5">
        <f t="shared" si="2"/>
        <v>55.846869541610793</v>
      </c>
      <c r="H74" s="5">
        <f t="shared" si="3"/>
        <v>192.63682177269624</v>
      </c>
      <c r="I74" s="5">
        <f t="shared" si="10"/>
        <v>136.78995223108544</v>
      </c>
      <c r="J74" s="4">
        <f>m*g*G74/1000</f>
        <v>0.82961158119257161</v>
      </c>
      <c r="K74" s="5">
        <f>J74/(H74/1000)</f>
        <v>4.3066095752528568</v>
      </c>
      <c r="L74" s="5">
        <f>180-E74-A74</f>
        <v>22.534542990045281</v>
      </c>
      <c r="M74" s="5">
        <f t="shared" si="11"/>
        <v>0.39330197060849792</v>
      </c>
      <c r="N74" s="5">
        <f t="shared" si="4"/>
        <v>0.86132191505057143</v>
      </c>
      <c r="O74" s="5">
        <f t="shared" si="5"/>
        <v>2.4460254250900175</v>
      </c>
      <c r="P74" s="4">
        <f t="shared" si="6"/>
        <v>0.59927622914705436</v>
      </c>
    </row>
    <row r="75" spans="1:16" x14ac:dyDescent="0.45">
      <c r="A75">
        <f t="shared" si="12"/>
        <v>28</v>
      </c>
      <c r="B75" s="4">
        <f t="shared" si="7"/>
        <v>0.48869219055841229</v>
      </c>
      <c r="C75">
        <f t="shared" si="8"/>
        <v>62</v>
      </c>
      <c r="D75" s="5">
        <f t="shared" si="9"/>
        <v>1.0821041362364843</v>
      </c>
      <c r="E75" s="5">
        <f t="shared" si="0"/>
        <v>128.41883553407359</v>
      </c>
      <c r="F75" s="4">
        <f t="shared" si="1"/>
        <v>2.2413315016466751</v>
      </c>
      <c r="G75" s="5">
        <f t="shared" si="2"/>
        <v>57.751246194449635</v>
      </c>
      <c r="H75" s="5">
        <f t="shared" si="3"/>
        <v>200.12176706975649</v>
      </c>
      <c r="I75" s="5">
        <f t="shared" si="10"/>
        <v>142.37052087530685</v>
      </c>
      <c r="J75" s="4">
        <f>m*g*G75/1000</f>
        <v>0.85790131236489264</v>
      </c>
      <c r="K75" s="5">
        <f>J75/(H75/1000)</f>
        <v>4.2868965476696683</v>
      </c>
      <c r="L75" s="5">
        <f>180-E75-A75</f>
        <v>23.581164465926406</v>
      </c>
      <c r="M75" s="5">
        <f t="shared" si="11"/>
        <v>0.411568961384706</v>
      </c>
      <c r="N75" s="5">
        <f t="shared" si="4"/>
        <v>0.85737930953393371</v>
      </c>
      <c r="O75" s="5">
        <f t="shared" si="5"/>
        <v>2.5007466210522082</v>
      </c>
      <c r="P75" s="4">
        <f t="shared" si="6"/>
        <v>0.61268292215779108</v>
      </c>
    </row>
    <row r="76" spans="1:16" x14ac:dyDescent="0.45">
      <c r="A76">
        <f t="shared" si="12"/>
        <v>29</v>
      </c>
      <c r="B76" s="4">
        <f t="shared" si="7"/>
        <v>0.50614548307835561</v>
      </c>
      <c r="C76">
        <f t="shared" si="8"/>
        <v>61</v>
      </c>
      <c r="D76" s="5">
        <f t="shared" si="9"/>
        <v>1.064650843716541</v>
      </c>
      <c r="E76" s="5">
        <f t="shared" si="0"/>
        <v>126.38143372392703</v>
      </c>
      <c r="F76" s="4">
        <f t="shared" si="1"/>
        <v>2.2057721318735251</v>
      </c>
      <c r="G76" s="5">
        <f t="shared" si="2"/>
        <v>59.638031258248738</v>
      </c>
      <c r="H76" s="5">
        <f t="shared" si="3"/>
        <v>207.50706581408798</v>
      </c>
      <c r="I76" s="5">
        <f t="shared" si="10"/>
        <v>147.86903455583925</v>
      </c>
      <c r="J76" s="4">
        <f>m*g*G76/1000</f>
        <v>0.88592971848679014</v>
      </c>
      <c r="K76" s="5">
        <f>J76/(H76/1000)</f>
        <v>4.2693954300357273</v>
      </c>
      <c r="L76" s="5">
        <f>180-E76-A76</f>
        <v>24.618566276072968</v>
      </c>
      <c r="M76" s="5">
        <f t="shared" si="11"/>
        <v>0.42967503863791262</v>
      </c>
      <c r="N76" s="5">
        <f t="shared" si="4"/>
        <v>0.85387908600714546</v>
      </c>
      <c r="O76" s="5">
        <f t="shared" si="5"/>
        <v>2.5547875910965119</v>
      </c>
      <c r="P76" s="4">
        <f t="shared" si="6"/>
        <v>0.62592295981864543</v>
      </c>
    </row>
    <row r="77" spans="1:16" x14ac:dyDescent="0.45">
      <c r="A77">
        <f t="shared" si="12"/>
        <v>30</v>
      </c>
      <c r="B77" s="4">
        <f t="shared" si="7"/>
        <v>0.52359877559829882</v>
      </c>
      <c r="C77">
        <f t="shared" si="8"/>
        <v>60</v>
      </c>
      <c r="D77" s="5">
        <f t="shared" si="9"/>
        <v>1.0471975511965976</v>
      </c>
      <c r="E77" s="5">
        <f t="shared" si="0"/>
        <v>124.35217278021209</v>
      </c>
      <c r="F77" s="4">
        <f t="shared" si="1"/>
        <v>2.1703548470235718</v>
      </c>
      <c r="G77" s="5">
        <f t="shared" si="2"/>
        <v>61.506650000000015</v>
      </c>
      <c r="H77" s="5">
        <f t="shared" si="3"/>
        <v>214.79540703867144</v>
      </c>
      <c r="I77" s="5">
        <f t="shared" si="10"/>
        <v>153.28875703867143</v>
      </c>
      <c r="J77" s="4">
        <f>m*g*G77/1000</f>
        <v>0.91368826183424312</v>
      </c>
      <c r="K77" s="5">
        <f>J77/(H77/1000)</f>
        <v>4.2537607038764289</v>
      </c>
      <c r="L77" s="5">
        <f>180-E77-A77</f>
        <v>25.647827219787914</v>
      </c>
      <c r="M77" s="5">
        <f t="shared" si="11"/>
        <v>0.44763903096792246</v>
      </c>
      <c r="N77" s="5">
        <f t="shared" si="4"/>
        <v>0.85075214077528583</v>
      </c>
      <c r="O77" s="5">
        <f t="shared" si="5"/>
        <v>2.6081197959962283</v>
      </c>
      <c r="P77" s="4">
        <f t="shared" si="6"/>
        <v>0.63898935001907586</v>
      </c>
    </row>
    <row r="78" spans="1:16" x14ac:dyDescent="0.45">
      <c r="A78">
        <f t="shared" si="12"/>
        <v>31</v>
      </c>
      <c r="B78" s="4">
        <f t="shared" si="7"/>
        <v>0.54105206811824214</v>
      </c>
      <c r="C78">
        <f t="shared" si="8"/>
        <v>59</v>
      </c>
      <c r="D78" s="5">
        <f t="shared" si="9"/>
        <v>1.0297442586766545</v>
      </c>
      <c r="E78" s="5">
        <f t="shared" si="0"/>
        <v>122.33015024325017</v>
      </c>
      <c r="F78" s="4">
        <f t="shared" si="1"/>
        <v>2.1350638962040578</v>
      </c>
      <c r="G78" s="5">
        <f t="shared" si="2"/>
        <v>63.356533220332963</v>
      </c>
      <c r="H78" s="5">
        <f t="shared" si="3"/>
        <v>221.98874357197451</v>
      </c>
      <c r="I78" s="5">
        <f t="shared" si="10"/>
        <v>158.63221035164156</v>
      </c>
      <c r="J78" s="4">
        <f>m*g*G78/1000</f>
        <v>0.94116848688604393</v>
      </c>
      <c r="K78" s="5">
        <f>J78/(H78/1000)</f>
        <v>4.239712661740854</v>
      </c>
      <c r="L78" s="5">
        <f>180-E78-A78</f>
        <v>26.669849756749826</v>
      </c>
      <c r="M78" s="5">
        <f t="shared" si="11"/>
        <v>0.46547668926749325</v>
      </c>
      <c r="N78" s="5">
        <f t="shared" si="4"/>
        <v>0.84794253234817085</v>
      </c>
      <c r="O78" s="5">
        <f t="shared" si="5"/>
        <v>2.6607180301442073</v>
      </c>
      <c r="P78" s="4">
        <f t="shared" si="6"/>
        <v>0.65187591738533079</v>
      </c>
    </row>
    <row r="79" spans="1:16" x14ac:dyDescent="0.45">
      <c r="A79">
        <f t="shared" si="12"/>
        <v>32</v>
      </c>
      <c r="B79" s="4">
        <f t="shared" si="7"/>
        <v>0.55850536063818546</v>
      </c>
      <c r="C79">
        <f t="shared" si="8"/>
        <v>58</v>
      </c>
      <c r="D79" s="5">
        <f t="shared" si="9"/>
        <v>1.0122909661567112</v>
      </c>
      <c r="E79" s="5">
        <f t="shared" ref="E79:E110" si="13">180-A79-DEGREES(ACOS((y_AP*COS(B79)+r_W)/l_A))</f>
        <v>120.31460471103784</v>
      </c>
      <c r="F79" s="4">
        <f t="shared" si="1"/>
        <v>2.0998859904430911</v>
      </c>
      <c r="G79" s="5">
        <f t="shared" ref="G79:G110" si="14">(r_W/SIN(D79)+y_CG)*COS(D79)-r_W/TAN(D79)</f>
        <v>65.187117426898524</v>
      </c>
      <c r="H79" s="5">
        <f t="shared" ref="H79:H110" si="15">(r_W/SIN(D79)+y_AP)*COS(D79)-r_W/TAN(D79)+l_A*COS(F79-D79)</f>
        <v>229.08844413563818</v>
      </c>
      <c r="I79" s="5">
        <f t="shared" si="10"/>
        <v>163.90132670873965</v>
      </c>
      <c r="J79" s="4">
        <f>m*g*G79/1000</f>
        <v>0.96836202289943607</v>
      </c>
      <c r="K79" s="5">
        <f>J79/(H79/1000)</f>
        <v>4.227022565686859</v>
      </c>
      <c r="L79" s="5">
        <f>180-E79-A79</f>
        <v>27.685395288962155</v>
      </c>
      <c r="M79" s="5">
        <f t="shared" si="11"/>
        <v>0.48320130250851656</v>
      </c>
      <c r="N79" s="5">
        <f t="shared" ref="N79:N110" si="16">K79*mu</f>
        <v>0.84540451313737186</v>
      </c>
      <c r="O79" s="5">
        <f t="shared" ref="O79:O110" si="17">K79*SIN(M79)+N79*COS(M79)</f>
        <v>2.7125596818932363</v>
      </c>
      <c r="P79" s="4">
        <f t="shared" ref="P79:P110" si="18">O79*l_A/1000</f>
        <v>0.6645771220638429</v>
      </c>
    </row>
    <row r="80" spans="1:16" x14ac:dyDescent="0.45">
      <c r="A80">
        <f t="shared" si="12"/>
        <v>33</v>
      </c>
      <c r="B80" s="4">
        <f t="shared" si="7"/>
        <v>0.57595865315812877</v>
      </c>
      <c r="C80">
        <f t="shared" si="8"/>
        <v>57</v>
      </c>
      <c r="D80" s="5">
        <f t="shared" si="9"/>
        <v>0.99483767363676789</v>
      </c>
      <c r="E80" s="5">
        <f t="shared" si="13"/>
        <v>118.30488891357935</v>
      </c>
      <c r="F80" s="4">
        <f t="shared" si="1"/>
        <v>2.064809832748097</v>
      </c>
      <c r="G80" s="5">
        <f t="shared" si="14"/>
        <v>66.997845006014032</v>
      </c>
      <c r="H80" s="5">
        <f t="shared" si="15"/>
        <v>236.09540958235738</v>
      </c>
      <c r="I80" s="5">
        <f t="shared" si="10"/>
        <v>169.09756457634336</v>
      </c>
      <c r="J80" s="4">
        <f>m*g*G80/1000</f>
        <v>0.99526058645991899</v>
      </c>
      <c r="K80" s="5">
        <f>J80/(H80/1000)</f>
        <v>4.2155016407158961</v>
      </c>
      <c r="L80" s="5">
        <f>180-E80-A80</f>
        <v>28.695111086420653</v>
      </c>
      <c r="M80" s="5">
        <f t="shared" si="11"/>
        <v>0.50082416768356752</v>
      </c>
      <c r="N80" s="5">
        <f t="shared" si="16"/>
        <v>0.84310032814317926</v>
      </c>
      <c r="O80" s="5">
        <f t="shared" si="17"/>
        <v>2.7636241885099784</v>
      </c>
      <c r="P80" s="4">
        <f t="shared" si="18"/>
        <v>0.67708792618494462</v>
      </c>
    </row>
    <row r="81" spans="1:16" x14ac:dyDescent="0.45">
      <c r="A81">
        <f t="shared" si="12"/>
        <v>34</v>
      </c>
      <c r="B81" s="4">
        <f t="shared" si="7"/>
        <v>0.59341194567807209</v>
      </c>
      <c r="C81">
        <f t="shared" si="8"/>
        <v>56</v>
      </c>
      <c r="D81" s="5">
        <f t="shared" si="9"/>
        <v>0.97738438111682457</v>
      </c>
      <c r="E81" s="5">
        <f t="shared" si="13"/>
        <v>116.30044887930808</v>
      </c>
      <c r="F81" s="4">
        <f t="shared" si="1"/>
        <v>2.0298257544912754</v>
      </c>
      <c r="G81" s="5">
        <f t="shared" si="14"/>
        <v>68.788164392518013</v>
      </c>
      <c r="H81" s="5">
        <f t="shared" si="15"/>
        <v>243.01016298679724</v>
      </c>
      <c r="I81" s="5">
        <f t="shared" si="10"/>
        <v>174.22199859427923</v>
      </c>
      <c r="J81" s="4">
        <f>m*g*G81/1000</f>
        <v>1.0218559840044603</v>
      </c>
      <c r="K81" s="5">
        <f>J81/(H81/1000)</f>
        <v>4.2049927930791018</v>
      </c>
      <c r="L81" s="5">
        <f>180-E81-A81</f>
        <v>29.699551120691922</v>
      </c>
      <c r="M81" s="5">
        <f t="shared" si="11"/>
        <v>0.5183549534204458</v>
      </c>
      <c r="N81" s="5">
        <f t="shared" si="16"/>
        <v>0.8409985586158204</v>
      </c>
      <c r="O81" s="5">
        <f t="shared" si="17"/>
        <v>2.8138926300732243</v>
      </c>
      <c r="P81" s="4">
        <f t="shared" si="18"/>
        <v>0.68940369436793991</v>
      </c>
    </row>
    <row r="82" spans="1:16" x14ac:dyDescent="0.45">
      <c r="A82">
        <f t="shared" si="12"/>
        <v>35</v>
      </c>
      <c r="B82" s="4">
        <f t="shared" si="7"/>
        <v>0.6108652381980153</v>
      </c>
      <c r="C82">
        <f t="shared" si="8"/>
        <v>55</v>
      </c>
      <c r="D82" s="5">
        <f t="shared" si="9"/>
        <v>0.95993108859688125</v>
      </c>
      <c r="E82" s="5">
        <f t="shared" si="13"/>
        <v>114.30080761491068</v>
      </c>
      <c r="F82" s="4">
        <f t="shared" si="1"/>
        <v>1.9949254305687982</v>
      </c>
      <c r="G82" s="5">
        <f t="shared" si="14"/>
        <v>70.557530237782146</v>
      </c>
      <c r="H82" s="5">
        <f t="shared" si="15"/>
        <v>249.83292036231018</v>
      </c>
      <c r="I82" s="5">
        <f t="shared" si="10"/>
        <v>179.27539012452803</v>
      </c>
      <c r="J82" s="4">
        <f>m*g*G82/1000</f>
        <v>1.0481401143173332</v>
      </c>
      <c r="K82" s="5">
        <f>J82/(H82/1000)</f>
        <v>4.1953642970562486</v>
      </c>
      <c r="L82" s="5">
        <f>180-E82-A82</f>
        <v>30.699192385089319</v>
      </c>
      <c r="M82" s="5">
        <f t="shared" si="11"/>
        <v>0.53580198482297958</v>
      </c>
      <c r="N82" s="5">
        <f t="shared" si="16"/>
        <v>0.83907285941124976</v>
      </c>
      <c r="O82" s="5">
        <f t="shared" si="17"/>
        <v>2.8633474239650498</v>
      </c>
      <c r="P82" s="4">
        <f t="shared" si="18"/>
        <v>0.70152011887143728</v>
      </c>
    </row>
    <row r="83" spans="1:16" x14ac:dyDescent="0.45">
      <c r="A83">
        <f t="shared" si="12"/>
        <v>36</v>
      </c>
      <c r="B83" s="4">
        <f t="shared" si="7"/>
        <v>0.62831853071795862</v>
      </c>
      <c r="C83">
        <f t="shared" si="8"/>
        <v>54</v>
      </c>
      <c r="D83" s="5">
        <f t="shared" si="9"/>
        <v>0.94247779607693793</v>
      </c>
      <c r="E83" s="5">
        <f t="shared" si="13"/>
        <v>112.30555217761685</v>
      </c>
      <c r="F83" s="4">
        <f t="shared" si="1"/>
        <v>1.9601016537697016</v>
      </c>
      <c r="G83" s="5">
        <f t="shared" si="14"/>
        <v>72.305403575829686</v>
      </c>
      <c r="H83" s="5">
        <f t="shared" si="15"/>
        <v>256.56364681279723</v>
      </c>
      <c r="I83" s="5">
        <f t="shared" si="10"/>
        <v>184.25824323696753</v>
      </c>
      <c r="J83" s="4">
        <f>m*g*G83/1000</f>
        <v>1.0741049709978236</v>
      </c>
      <c r="K83" s="5">
        <f>J83/(H83/1000)</f>
        <v>4.1865049251562469</v>
      </c>
      <c r="L83" s="5">
        <f>180-E83-A83</f>
        <v>31.694447822383154</v>
      </c>
      <c r="M83" s="5">
        <f t="shared" si="11"/>
        <v>0.55317246910213302</v>
      </c>
      <c r="N83" s="5">
        <f t="shared" si="16"/>
        <v>0.83730098503124939</v>
      </c>
      <c r="O83" s="5">
        <f t="shared" si="17"/>
        <v>2.9119720931047017</v>
      </c>
      <c r="P83" s="4">
        <f t="shared" si="18"/>
        <v>0.71343316281065183</v>
      </c>
    </row>
    <row r="84" spans="1:16" x14ac:dyDescent="0.45">
      <c r="A84">
        <f t="shared" si="12"/>
        <v>37</v>
      </c>
      <c r="B84" s="4">
        <f t="shared" si="7"/>
        <v>0.64577182323790194</v>
      </c>
      <c r="C84">
        <f t="shared" si="8"/>
        <v>53</v>
      </c>
      <c r="D84" s="5">
        <f t="shared" si="9"/>
        <v>0.92502450355699462</v>
      </c>
      <c r="E84" s="5">
        <f t="shared" si="13"/>
        <v>110.31432333090703</v>
      </c>
      <c r="F84" s="4">
        <f t="shared" si="1"/>
        <v>1.9253481542339259</v>
      </c>
      <c r="G84" s="5">
        <f t="shared" si="14"/>
        <v>74.031251987509876</v>
      </c>
      <c r="H84" s="5">
        <f t="shared" si="15"/>
        <v>263.20210159116039</v>
      </c>
      <c r="I84" s="5">
        <f t="shared" si="10"/>
        <v>189.17084960365051</v>
      </c>
      <c r="J84" s="4">
        <f>m*g*G84/1000</f>
        <v>1.0997426448990595</v>
      </c>
      <c r="K84" s="5">
        <f>J84/(H84/1000)</f>
        <v>4.1783201511336046</v>
      </c>
      <c r="L84" s="5">
        <f>180-E84-A84</f>
        <v>32.68567666909297</v>
      </c>
      <c r="M84" s="5">
        <f t="shared" si="11"/>
        <v>0.57047267611796548</v>
      </c>
      <c r="N84" s="5">
        <f t="shared" si="16"/>
        <v>0.83566403022672098</v>
      </c>
      <c r="O84" s="5">
        <f t="shared" si="17"/>
        <v>2.9597510888526894</v>
      </c>
      <c r="P84" s="4">
        <f t="shared" si="18"/>
        <v>0.72513901676890891</v>
      </c>
    </row>
    <row r="85" spans="1:16" x14ac:dyDescent="0.45">
      <c r="A85">
        <f t="shared" si="12"/>
        <v>38</v>
      </c>
      <c r="B85" s="4">
        <f t="shared" si="7"/>
        <v>0.66322511575784526</v>
      </c>
      <c r="C85">
        <f t="shared" si="8"/>
        <v>52</v>
      </c>
      <c r="D85" s="5">
        <f t="shared" si="9"/>
        <v>0.90757121103705141</v>
      </c>
      <c r="E85" s="5">
        <f t="shared" si="13"/>
        <v>108.3268071909871</v>
      </c>
      <c r="F85" s="4">
        <f t="shared" si="1"/>
        <v>1.8906594536557948</v>
      </c>
      <c r="G85" s="5">
        <f t="shared" si="14"/>
        <v>75.734549762677801</v>
      </c>
      <c r="H85" s="5">
        <f t="shared" si="15"/>
        <v>269.74787460744687</v>
      </c>
      <c r="I85" s="5">
        <f t="shared" si="10"/>
        <v>194.01332484476907</v>
      </c>
      <c r="J85" s="4">
        <f>m*g*G85/1000</f>
        <v>1.1250453265372127</v>
      </c>
      <c r="K85" s="5">
        <f>J85/(H85/1000)</f>
        <v>4.1707291602369265</v>
      </c>
      <c r="L85" s="5">
        <f>180-E85-A85</f>
        <v>33.673192809012903</v>
      </c>
      <c r="M85" s="5">
        <f t="shared" si="11"/>
        <v>0.58770808417615328</v>
      </c>
      <c r="N85" s="5">
        <f t="shared" si="16"/>
        <v>0.83414583204738535</v>
      </c>
      <c r="O85" s="5">
        <f t="shared" si="17"/>
        <v>3.0066696548584702</v>
      </c>
      <c r="P85" s="4">
        <f t="shared" si="18"/>
        <v>0.73663406544032528</v>
      </c>
    </row>
    <row r="86" spans="1:16" x14ac:dyDescent="0.45">
      <c r="A86">
        <f t="shared" si="12"/>
        <v>39</v>
      </c>
      <c r="B86" s="4">
        <f t="shared" si="7"/>
        <v>0.68067840827778847</v>
      </c>
      <c r="C86">
        <f t="shared" si="8"/>
        <v>51</v>
      </c>
      <c r="D86" s="5">
        <f t="shared" si="9"/>
        <v>0.89011791851710809</v>
      </c>
      <c r="E86" s="5">
        <f t="shared" si="13"/>
        <v>106.34272842401303</v>
      </c>
      <c r="F86" s="4">
        <f t="shared" si="1"/>
        <v>1.856030746553188</v>
      </c>
      <c r="G86" s="5">
        <f t="shared" si="14"/>
        <v>77.414778060330974</v>
      </c>
      <c r="H86" s="5">
        <f t="shared" si="15"/>
        <v>276.20041627494265</v>
      </c>
      <c r="I86" s="5">
        <f t="shared" si="10"/>
        <v>198.78563821461168</v>
      </c>
      <c r="J86" s="4">
        <f>m*g*G86/1000</f>
        <v>1.1500053084703441</v>
      </c>
      <c r="K86" s="5">
        <f>J86/(H86/1000)</f>
        <v>4.1636624737218924</v>
      </c>
      <c r="L86" s="5">
        <f>180-E86-A86</f>
        <v>34.657271575986968</v>
      </c>
      <c r="M86" s="5">
        <f t="shared" si="11"/>
        <v>0.60488349875881675</v>
      </c>
      <c r="N86" s="5">
        <f t="shared" si="16"/>
        <v>0.83273249474437849</v>
      </c>
      <c r="O86" s="5">
        <f t="shared" si="17"/>
        <v>3.052713721854309</v>
      </c>
      <c r="P86" s="4">
        <f t="shared" si="18"/>
        <v>0.74791486185430578</v>
      </c>
    </row>
    <row r="87" spans="1:16" x14ac:dyDescent="0.45">
      <c r="A87">
        <f t="shared" si="12"/>
        <v>40</v>
      </c>
      <c r="B87" s="4">
        <f t="shared" si="7"/>
        <v>0.69813170079773179</v>
      </c>
      <c r="C87">
        <f t="shared" si="8"/>
        <v>50</v>
      </c>
      <c r="D87" s="5">
        <f t="shared" si="9"/>
        <v>0.87266462599716477</v>
      </c>
      <c r="E87" s="5">
        <f t="shared" si="13"/>
        <v>104.3618446633339</v>
      </c>
      <c r="F87" s="4">
        <f t="shared" si="1"/>
        <v>1.8214578028300497</v>
      </c>
      <c r="G87" s="5">
        <f t="shared" si="14"/>
        <v>79.071425066653177</v>
      </c>
      <c r="H87" s="5">
        <f t="shared" si="15"/>
        <v>282.55906211356933</v>
      </c>
      <c r="I87" s="5">
        <f t="shared" si="10"/>
        <v>203.48763704691615</v>
      </c>
      <c r="J87" s="4">
        <f>m*g*G87/1000</f>
        <v>1.1746149876461638</v>
      </c>
      <c r="K87" s="5">
        <f>J87/(H87/1000)</f>
        <v>4.157060045641181</v>
      </c>
      <c r="L87" s="5">
        <f>180-E87-A87</f>
        <v>35.638155336666102</v>
      </c>
      <c r="M87" s="5">
        <f t="shared" si="11"/>
        <v>0.62200314996201167</v>
      </c>
      <c r="N87" s="5">
        <f t="shared" si="16"/>
        <v>0.83141200912823621</v>
      </c>
      <c r="O87" s="5">
        <f t="shared" si="17"/>
        <v>3.0978698260343576</v>
      </c>
      <c r="P87" s="4">
        <f t="shared" si="18"/>
        <v>0.75897810737841753</v>
      </c>
    </row>
    <row r="88" spans="1:16" x14ac:dyDescent="0.45">
      <c r="A88">
        <f t="shared" si="12"/>
        <v>41</v>
      </c>
      <c r="B88" s="4">
        <f t="shared" si="7"/>
        <v>0.71558499331767511</v>
      </c>
      <c r="C88">
        <f t="shared" si="8"/>
        <v>49</v>
      </c>
      <c r="D88" s="5">
        <f t="shared" si="9"/>
        <v>0.85521133347722145</v>
      </c>
      <c r="E88" s="5">
        <f t="shared" si="13"/>
        <v>102.38394189534441</v>
      </c>
      <c r="F88" s="4">
        <f t="shared" si="1"/>
        <v>1.7869368872443234</v>
      </c>
      <c r="G88" s="5">
        <f t="shared" si="14"/>
        <v>80.703986150917956</v>
      </c>
      <c r="H88" s="5">
        <f t="shared" si="15"/>
        <v>288.82305318957458</v>
      </c>
      <c r="I88" s="5">
        <f t="shared" si="10"/>
        <v>208.11906703865662</v>
      </c>
      <c r="J88" s="4">
        <f>m*g*G88/1000</f>
        <v>1.1988668677179952</v>
      </c>
      <c r="K88" s="5">
        <f>J88/(H88/1000)</f>
        <v>4.1508697262164036</v>
      </c>
      <c r="L88" s="5">
        <f>180-E88-A88</f>
        <v>36.616058104655593</v>
      </c>
      <c r="M88" s="5">
        <f t="shared" si="11"/>
        <v>0.63907077302779458</v>
      </c>
      <c r="N88" s="5">
        <f t="shared" si="16"/>
        <v>0.83017394524328081</v>
      </c>
      <c r="O88" s="5">
        <f t="shared" si="17"/>
        <v>3.1421250455450758</v>
      </c>
      <c r="P88" s="4">
        <f t="shared" si="18"/>
        <v>0.76982063615854357</v>
      </c>
    </row>
    <row r="89" spans="1:16" x14ac:dyDescent="0.45">
      <c r="A89">
        <f t="shared" si="12"/>
        <v>42</v>
      </c>
      <c r="B89" s="4">
        <f t="shared" si="7"/>
        <v>0.73303828583761843</v>
      </c>
      <c r="C89">
        <f t="shared" si="8"/>
        <v>48</v>
      </c>
      <c r="D89" s="5">
        <f t="shared" si="9"/>
        <v>0.83775804095727824</v>
      </c>
      <c r="E89" s="5">
        <f t="shared" si="13"/>
        <v>100.40883062084569</v>
      </c>
      <c r="F89" s="4">
        <f t="shared" si="1"/>
        <v>1.7524646924110594</v>
      </c>
      <c r="G89" s="5">
        <f t="shared" si="14"/>
        <v>82.31196401920414</v>
      </c>
      <c r="H89" s="5">
        <f t="shared" si="15"/>
        <v>294.99155322030322</v>
      </c>
      <c r="I89" s="5">
        <f t="shared" si="10"/>
        <v>212.67958920109908</v>
      </c>
      <c r="J89" s="4">
        <f>m*g*G89/1000</f>
        <v>1.2227535613282363</v>
      </c>
      <c r="K89" s="5">
        <f>J89/(H89/1000)</f>
        <v>4.1450460122668975</v>
      </c>
      <c r="L89" s="5">
        <f>180-E89-A89</f>
        <v>37.591169379154309</v>
      </c>
      <c r="M89" s="5">
        <f t="shared" si="11"/>
        <v>0.6560896753411154</v>
      </c>
      <c r="N89" s="5">
        <f t="shared" si="16"/>
        <v>0.8290092024533795</v>
      </c>
      <c r="O89" s="5">
        <f t="shared" si="17"/>
        <v>3.1854669509789457</v>
      </c>
      <c r="P89" s="4">
        <f t="shared" si="18"/>
        <v>0.78043940298984171</v>
      </c>
    </row>
    <row r="90" spans="1:16" x14ac:dyDescent="0.45">
      <c r="A90">
        <f t="shared" si="12"/>
        <v>43</v>
      </c>
      <c r="B90" s="4">
        <f t="shared" si="7"/>
        <v>0.75049157835756175</v>
      </c>
      <c r="C90">
        <f t="shared" si="8"/>
        <v>47</v>
      </c>
      <c r="D90" s="5">
        <f t="shared" si="9"/>
        <v>0.82030474843733492</v>
      </c>
      <c r="E90" s="5">
        <f t="shared" si="13"/>
        <v>98.436342642170629</v>
      </c>
      <c r="F90" s="4">
        <f t="shared" si="1"/>
        <v>1.7180382827271719</v>
      </c>
      <c r="G90" s="5">
        <f t="shared" si="14"/>
        <v>83.894868865876148</v>
      </c>
      <c r="H90" s="5">
        <f t="shared" si="15"/>
        <v>301.06366298677131</v>
      </c>
      <c r="I90" s="5">
        <f t="shared" si="10"/>
        <v>217.16879412089514</v>
      </c>
      <c r="J90" s="4">
        <f>m*g*G90/1000</f>
        <v>1.2462677923586167</v>
      </c>
      <c r="K90" s="5">
        <f>J90/(H90/1000)</f>
        <v>4.1395490242652686</v>
      </c>
      <c r="L90" s="5">
        <f>180-E90-A90</f>
        <v>38.563657357829371</v>
      </c>
      <c r="M90" s="5">
        <f t="shared" si="11"/>
        <v>0.67306279250505963</v>
      </c>
      <c r="N90" s="5">
        <f t="shared" si="16"/>
        <v>0.82790980485305377</v>
      </c>
      <c r="O90" s="5">
        <f t="shared" si="17"/>
        <v>3.2278835667624186</v>
      </c>
      <c r="P90" s="4">
        <f t="shared" si="18"/>
        <v>0.79083147385679253</v>
      </c>
    </row>
    <row r="91" spans="1:16" x14ac:dyDescent="0.45">
      <c r="A91">
        <f t="shared" si="12"/>
        <v>44</v>
      </c>
      <c r="B91" s="4">
        <f t="shared" si="7"/>
        <v>0.76794487087750496</v>
      </c>
      <c r="C91">
        <f t="shared" si="8"/>
        <v>46</v>
      </c>
      <c r="D91" s="5">
        <f t="shared" si="9"/>
        <v>0.8028514559173916</v>
      </c>
      <c r="E91" s="5">
        <f t="shared" si="13"/>
        <v>96.466328358916144</v>
      </c>
      <c r="F91" s="4">
        <f t="shared" si="1"/>
        <v>1.6836550471730649</v>
      </c>
      <c r="G91" s="5">
        <f t="shared" si="14"/>
        <v>85.452218522783781</v>
      </c>
      <c r="H91" s="5">
        <f t="shared" si="15"/>
        <v>307.03843255692493</v>
      </c>
      <c r="I91" s="5">
        <f t="shared" si="10"/>
        <v>221.58621403414116</v>
      </c>
      <c r="J91" s="4">
        <f>m*g*G91/1000</f>
        <v>1.2694023981465778</v>
      </c>
      <c r="K91" s="5">
        <f>J91/(H91/1000)</f>
        <v>4.1343436636754936</v>
      </c>
      <c r="L91" s="5">
        <f>180-E91-A91</f>
        <v>39.533671641083856</v>
      </c>
      <c r="M91" s="5">
        <f t="shared" si="11"/>
        <v>0.68999273553922325</v>
      </c>
      <c r="N91" s="5">
        <f t="shared" si="16"/>
        <v>0.82686873273509875</v>
      </c>
      <c r="O91" s="5">
        <f t="shared" si="17"/>
        <v>3.2693633410667164</v>
      </c>
      <c r="P91" s="4">
        <f t="shared" si="18"/>
        <v>0.80099401856134556</v>
      </c>
    </row>
    <row r="92" spans="1:16" x14ac:dyDescent="0.45">
      <c r="A92">
        <f t="shared" si="12"/>
        <v>45</v>
      </c>
      <c r="B92" s="4">
        <f t="shared" si="7"/>
        <v>0.78539816339744828</v>
      </c>
      <c r="C92">
        <f t="shared" si="8"/>
        <v>45</v>
      </c>
      <c r="D92" s="5">
        <f t="shared" si="9"/>
        <v>0.78539816339744828</v>
      </c>
      <c r="E92" s="5">
        <f t="shared" si="13"/>
        <v>94.498654479863461</v>
      </c>
      <c r="F92" s="4">
        <f t="shared" si="1"/>
        <v>1.6493126593781069</v>
      </c>
      <c r="G92" s="5">
        <f t="shared" si="14"/>
        <v>86.983538606135113</v>
      </c>
      <c r="H92" s="5">
        <f t="shared" si="15"/>
        <v>312.91487171629194</v>
      </c>
      <c r="I92" s="5">
        <f t="shared" si="10"/>
        <v>225.93133311015683</v>
      </c>
      <c r="J92" s="4">
        <f>m*g*G92/1000</f>
        <v>1.2921503316670857</v>
      </c>
      <c r="K92" s="5">
        <f>J92/(H92/1000)</f>
        <v>4.1293989147266528</v>
      </c>
      <c r="L92" s="5">
        <f>180-E92-A92</f>
        <v>40.501345520136539</v>
      </c>
      <c r="M92" s="5">
        <f t="shared" si="11"/>
        <v>0.70688183081423794</v>
      </c>
      <c r="N92" s="5">
        <f t="shared" si="16"/>
        <v>0.8258797829453306</v>
      </c>
      <c r="O92" s="5">
        <f t="shared" si="17"/>
        <v>3.3098951224196278</v>
      </c>
      <c r="P92" s="4">
        <f t="shared" si="18"/>
        <v>0.81092430499280888</v>
      </c>
    </row>
    <row r="93" spans="1:16" x14ac:dyDescent="0.45">
      <c r="A93">
        <f t="shared" si="12"/>
        <v>46</v>
      </c>
      <c r="B93" s="4">
        <f t="shared" si="7"/>
        <v>0.8028514559173916</v>
      </c>
      <c r="C93">
        <f t="shared" si="8"/>
        <v>44</v>
      </c>
      <c r="D93" s="5">
        <f t="shared" si="9"/>
        <v>0.76794487087750496</v>
      </c>
      <c r="E93" s="5">
        <f t="shared" si="13"/>
        <v>92.533202077619393</v>
      </c>
      <c r="F93" s="4">
        <f t="shared" si="1"/>
        <v>1.615009043667716</v>
      </c>
      <c r="G93" s="5">
        <f t="shared" si="14"/>
        <v>88.488362660998604</v>
      </c>
      <c r="H93" s="5">
        <f t="shared" si="15"/>
        <v>318.69195892139965</v>
      </c>
      <c r="I93" s="5">
        <f t="shared" si="10"/>
        <v>230.20359626040104</v>
      </c>
      <c r="J93" s="4">
        <f>m*g*G93/1000</f>
        <v>1.3145046636792272</v>
      </c>
      <c r="K93" s="5">
        <f>J93/(H93/1000)</f>
        <v>4.1246872626724453</v>
      </c>
      <c r="L93" s="5">
        <f>180-E93-A93</f>
        <v>41.466797922380607</v>
      </c>
      <c r="M93" s="5">
        <f t="shared" si="11"/>
        <v>0.7237321540046856</v>
      </c>
      <c r="N93" s="5">
        <f t="shared" si="16"/>
        <v>0.82493745253448914</v>
      </c>
      <c r="O93" s="5">
        <f t="shared" si="17"/>
        <v>3.3494681416092646</v>
      </c>
      <c r="P93" s="4">
        <f t="shared" si="18"/>
        <v>0.82061969469426976</v>
      </c>
    </row>
    <row r="94" spans="1:16" x14ac:dyDescent="0.45">
      <c r="A94">
        <f t="shared" si="12"/>
        <v>47</v>
      </c>
      <c r="B94" s="4">
        <f t="shared" si="7"/>
        <v>0.82030474843733492</v>
      </c>
      <c r="C94">
        <f t="shared" si="8"/>
        <v>43</v>
      </c>
      <c r="D94" s="5">
        <f t="shared" si="9"/>
        <v>0.75049157835756175</v>
      </c>
      <c r="E94" s="5">
        <f t="shared" si="13"/>
        <v>90.56986492715788</v>
      </c>
      <c r="F94" s="4">
        <f t="shared" si="1"/>
        <v>1.5807423460654393</v>
      </c>
      <c r="G94" s="5">
        <f t="shared" si="14"/>
        <v>89.966232303389503</v>
      </c>
      <c r="H94" s="5">
        <f t="shared" si="15"/>
        <v>324.36864902847134</v>
      </c>
      <c r="I94" s="5">
        <f t="shared" si="10"/>
        <v>234.40241672508182</v>
      </c>
      <c r="J94" s="4">
        <f>m*g*G94/1000</f>
        <v>1.3364585848369188</v>
      </c>
      <c r="K94" s="5">
        <f>J94/(H94/1000)</f>
        <v>4.1201842065803707</v>
      </c>
      <c r="L94" s="5">
        <f>180-E94-A94</f>
        <v>42.43013507284212</v>
      </c>
      <c r="M94" s="5">
        <f t="shared" si="11"/>
        <v>0.74054555908701902</v>
      </c>
      <c r="N94" s="5">
        <f t="shared" si="16"/>
        <v>0.82403684131607413</v>
      </c>
      <c r="O94" s="5">
        <f t="shared" si="17"/>
        <v>3.3880719977831513</v>
      </c>
      <c r="P94" s="4">
        <f t="shared" si="18"/>
        <v>0.83007763945687207</v>
      </c>
    </row>
    <row r="95" spans="1:16" x14ac:dyDescent="0.45">
      <c r="A95">
        <f t="shared" si="12"/>
        <v>48</v>
      </c>
      <c r="B95" s="4">
        <f t="shared" si="7"/>
        <v>0.83775804095727824</v>
      </c>
      <c r="C95">
        <f t="shared" si="8"/>
        <v>42</v>
      </c>
      <c r="D95" s="5">
        <f t="shared" si="9"/>
        <v>0.73303828583761843</v>
      </c>
      <c r="E95" s="5">
        <f t="shared" si="13"/>
        <v>88.608548080849943</v>
      </c>
      <c r="F95" s="4">
        <f t="shared" si="1"/>
        <v>1.5465109094225342</v>
      </c>
      <c r="G95" s="5">
        <f t="shared" si="14"/>
        <v>91.41669735989835</v>
      </c>
      <c r="H95" s="5">
        <f t="shared" si="15"/>
        <v>329.94388000094659</v>
      </c>
      <c r="I95" s="5">
        <f t="shared" si="10"/>
        <v>238.52718264104823</v>
      </c>
      <c r="J95" s="4">
        <f>m*g*G95/1000</f>
        <v>1.3580054077631043</v>
      </c>
      <c r="K95" s="5">
        <f>J95/(H95/1000)</f>
        <v>4.1158678492815453</v>
      </c>
      <c r="L95" s="5">
        <f>180-E95-A95</f>
        <v>43.391451919150057</v>
      </c>
      <c r="M95" s="5">
        <f t="shared" si="11"/>
        <v>0.75732370320998088</v>
      </c>
      <c r="N95" s="5">
        <f t="shared" si="16"/>
        <v>0.82317356985630907</v>
      </c>
      <c r="O95" s="5">
        <f t="shared" si="17"/>
        <v>3.4256966478843669</v>
      </c>
      <c r="P95" s="4">
        <f t="shared" si="18"/>
        <v>0.83929567873166988</v>
      </c>
    </row>
    <row r="96" spans="1:16" x14ac:dyDescent="0.45">
      <c r="A96">
        <f t="shared" si="12"/>
        <v>49</v>
      </c>
      <c r="B96" s="4">
        <f t="shared" si="7"/>
        <v>0.85521133347722145</v>
      </c>
      <c r="C96">
        <f t="shared" si="8"/>
        <v>41</v>
      </c>
      <c r="D96" s="5">
        <f t="shared" si="9"/>
        <v>0.71558499331767511</v>
      </c>
      <c r="E96" s="5">
        <f t="shared" si="13"/>
        <v>86.649166641526477</v>
      </c>
      <c r="F96" s="4">
        <f t="shared" si="1"/>
        <v>1.5123132520038742</v>
      </c>
      <c r="G96" s="5">
        <f t="shared" si="14"/>
        <v>92.839316004817931</v>
      </c>
      <c r="H96" s="5">
        <f t="shared" si="15"/>
        <v>335.41657876093626</v>
      </c>
      <c r="I96" s="5">
        <f t="shared" si="10"/>
        <v>242.57726275611833</v>
      </c>
      <c r="J96" s="4">
        <f>m*g*G96/1000</f>
        <v>1.3791385690867914</v>
      </c>
      <c r="K96" s="5">
        <f>J96/(H96/1000)</f>
        <v>4.1117185506496812</v>
      </c>
      <c r="L96" s="5">
        <f>180-E96-A96</f>
        <v>44.350833358473523</v>
      </c>
      <c r="M96" s="5">
        <f t="shared" si="11"/>
        <v>0.77406806810869755</v>
      </c>
      <c r="N96" s="5">
        <f t="shared" si="16"/>
        <v>0.82234371012993623</v>
      </c>
      <c r="O96" s="5">
        <f t="shared" si="17"/>
        <v>3.4623323987491244</v>
      </c>
      <c r="P96" s="4">
        <f t="shared" si="18"/>
        <v>0.84827143769353552</v>
      </c>
    </row>
    <row r="97" spans="1:19" x14ac:dyDescent="0.45">
      <c r="A97">
        <f t="shared" si="12"/>
        <v>50</v>
      </c>
      <c r="B97" s="4">
        <f t="shared" si="7"/>
        <v>0.87266462599716477</v>
      </c>
      <c r="C97">
        <f t="shared" si="8"/>
        <v>40</v>
      </c>
      <c r="D97" s="5">
        <f t="shared" si="9"/>
        <v>0.69813170079773179</v>
      </c>
      <c r="E97" s="5">
        <f t="shared" si="13"/>
        <v>84.691644702196797</v>
      </c>
      <c r="F97" s="4">
        <f t="shared" si="1"/>
        <v>1.4781480489825465</v>
      </c>
      <c r="G97" s="5">
        <f t="shared" si="14"/>
        <v>94.233654894727778</v>
      </c>
      <c r="H97" s="5">
        <f t="shared" si="15"/>
        <v>340.7856663193399</v>
      </c>
      <c r="I97" s="5">
        <f t="shared" si="10"/>
        <v>246.55201142461212</v>
      </c>
      <c r="J97" s="4">
        <f>m*g*G97/1000</f>
        <v>1.3998516314423191</v>
      </c>
      <c r="K97" s="5">
        <f>J97/(H97/1000)</f>
        <v>4.1077186331263142</v>
      </c>
      <c r="L97" s="5">
        <f>180-E97-A97</f>
        <v>45.308355297803203</v>
      </c>
      <c r="M97" s="5">
        <f t="shared" si="11"/>
        <v>0.79077997861008187</v>
      </c>
      <c r="N97" s="5">
        <f t="shared" si="16"/>
        <v>0.82154372662526287</v>
      </c>
      <c r="O97" s="5">
        <f t="shared" si="17"/>
        <v>3.4979699013315142</v>
      </c>
      <c r="P97" s="4">
        <f t="shared" si="18"/>
        <v>0.857002625826221</v>
      </c>
    </row>
    <row r="98" spans="1:19" x14ac:dyDescent="0.45">
      <c r="A98">
        <f t="shared" si="12"/>
        <v>51</v>
      </c>
      <c r="B98" s="4">
        <f t="shared" si="7"/>
        <v>0.89011791851710809</v>
      </c>
      <c r="C98">
        <f t="shared" si="8"/>
        <v>39</v>
      </c>
      <c r="D98" s="5">
        <f t="shared" si="9"/>
        <v>0.68067840827778847</v>
      </c>
      <c r="E98" s="5">
        <f t="shared" si="13"/>
        <v>82.735914426679457</v>
      </c>
      <c r="F98" s="4">
        <f t="shared" si="1"/>
        <v>1.4440141163938331</v>
      </c>
      <c r="G98" s="5">
        <f t="shared" si="14"/>
        <v>95.599289300494775</v>
      </c>
      <c r="H98" s="5">
        <f t="shared" si="15"/>
        <v>346.05006229518006</v>
      </c>
      <c r="I98" s="5">
        <f t="shared" si="10"/>
        <v>250.45077299468528</v>
      </c>
      <c r="J98" s="4">
        <f>m*g*G98/1000</f>
        <v>1.4201382854302422</v>
      </c>
      <c r="K98" s="5">
        <f>J98/(H98/1000)</f>
        <v>4.103852130559269</v>
      </c>
      <c r="L98" s="5">
        <f>180-E98-A98</f>
        <v>46.264085573320543</v>
      </c>
      <c r="M98" s="5">
        <f t="shared" si="11"/>
        <v>0.80746061867885199</v>
      </c>
      <c r="N98" s="5">
        <f t="shared" si="16"/>
        <v>0.8207704261118538</v>
      </c>
      <c r="O98" s="5">
        <f t="shared" si="17"/>
        <v>3.5326001466307817</v>
      </c>
      <c r="P98" s="4">
        <f t="shared" si="18"/>
        <v>0.86548703592454146</v>
      </c>
    </row>
    <row r="99" spans="1:19" x14ac:dyDescent="0.45">
      <c r="A99">
        <f t="shared" si="12"/>
        <v>52</v>
      </c>
      <c r="B99" s="4">
        <f t="shared" si="7"/>
        <v>0.90757121103705141</v>
      </c>
      <c r="C99">
        <f t="shared" si="8"/>
        <v>38</v>
      </c>
      <c r="D99" s="5">
        <f t="shared" si="9"/>
        <v>0.66322511575784526</v>
      </c>
      <c r="E99" s="5">
        <f t="shared" si="13"/>
        <v>80.781915249913084</v>
      </c>
      <c r="F99" s="4">
        <f t="shared" si="1"/>
        <v>1.4099103971780012</v>
      </c>
      <c r="G99" s="5">
        <f t="shared" si="14"/>
        <v>96.935803236649761</v>
      </c>
      <c r="H99" s="5">
        <f t="shared" si="15"/>
        <v>351.20868891534826</v>
      </c>
      <c r="I99" s="5">
        <f t="shared" si="10"/>
        <v>254.27288567869851</v>
      </c>
      <c r="J99" s="4">
        <f>m*g*G99/1000</f>
        <v>1.4399923515392352</v>
      </c>
      <c r="K99" s="5">
        <f>J99/(H99/1000)</f>
        <v>4.1001045731141241</v>
      </c>
      <c r="L99" s="5">
        <f>180-E99-A99</f>
        <v>47.218084750086916</v>
      </c>
      <c r="M99" s="5">
        <f t="shared" si="11"/>
        <v>0.82411104537474056</v>
      </c>
      <c r="N99" s="5">
        <f t="shared" si="16"/>
        <v>0.82002091462282489</v>
      </c>
      <c r="O99" s="5">
        <f t="shared" si="17"/>
        <v>3.5662144629821961</v>
      </c>
      <c r="P99" s="4">
        <f t="shared" si="18"/>
        <v>0.87372254343063804</v>
      </c>
    </row>
    <row r="100" spans="1:19" x14ac:dyDescent="0.45">
      <c r="A100">
        <f t="shared" si="12"/>
        <v>53</v>
      </c>
      <c r="B100" s="4">
        <f t="shared" si="7"/>
        <v>0.92502450355699462</v>
      </c>
      <c r="C100">
        <f t="shared" si="8"/>
        <v>37</v>
      </c>
      <c r="D100" s="5">
        <f t="shared" si="9"/>
        <v>0.64577182323790194</v>
      </c>
      <c r="E100" s="5">
        <f t="shared" si="13"/>
        <v>78.829593180348809</v>
      </c>
      <c r="F100" s="4">
        <f t="shared" si="1"/>
        <v>1.3758359490047549</v>
      </c>
      <c r="G100" s="5">
        <f t="shared" si="14"/>
        <v>98.242789588100663</v>
      </c>
      <c r="H100" s="5">
        <f t="shared" si="15"/>
        <v>356.26047457036674</v>
      </c>
      <c r="I100" s="5">
        <f t="shared" si="10"/>
        <v>258.01768498226608</v>
      </c>
      <c r="J100" s="4">
        <f>m*g*G100/1000</f>
        <v>1.4594077820284304</v>
      </c>
      <c r="K100" s="5">
        <f>J100/(H100/1000)</f>
        <v>4.0964628023594454</v>
      </c>
      <c r="L100" s="5">
        <f>180-E100-A100</f>
        <v>48.170406819651191</v>
      </c>
      <c r="M100" s="5">
        <f t="shared" si="11"/>
        <v>0.84073220102804369</v>
      </c>
      <c r="N100" s="5">
        <f t="shared" si="16"/>
        <v>0.81929256047188914</v>
      </c>
      <c r="O100" s="5">
        <f t="shared" si="17"/>
        <v>3.5988045144399017</v>
      </c>
      <c r="P100" s="4">
        <f t="shared" si="18"/>
        <v>0.88170710603777591</v>
      </c>
    </row>
    <row r="101" spans="1:19" x14ac:dyDescent="0.45">
      <c r="A101">
        <f t="shared" si="12"/>
        <v>54</v>
      </c>
      <c r="B101" s="4">
        <f t="shared" si="7"/>
        <v>0.94247779607693793</v>
      </c>
      <c r="C101">
        <f t="shared" si="8"/>
        <v>36</v>
      </c>
      <c r="D101" s="5">
        <f t="shared" si="9"/>
        <v>0.62831853071795862</v>
      </c>
      <c r="E101" s="5">
        <f t="shared" si="13"/>
        <v>76.878900189769823</v>
      </c>
      <c r="F101" s="4">
        <f t="shared" si="1"/>
        <v>1.3417899336235768</v>
      </c>
      <c r="G101" s="5">
        <f t="shared" si="14"/>
        <v>99.519850234143718</v>
      </c>
      <c r="H101" s="5">
        <f t="shared" si="15"/>
        <v>361.20435698914002</v>
      </c>
      <c r="I101" s="5">
        <f t="shared" si="10"/>
        <v>261.68450675499628</v>
      </c>
      <c r="J101" s="4">
        <f>m*g*G101/1000</f>
        <v>1.4783786627696183</v>
      </c>
      <c r="K101" s="5">
        <f>J101/(H101/1000)</f>
        <v>4.0929148116949969</v>
      </c>
      <c r="L101" s="5">
        <f>180-E101-A101</f>
        <v>49.121099810230177</v>
      </c>
      <c r="M101" s="5">
        <f t="shared" si="11"/>
        <v>0.85732492388927839</v>
      </c>
      <c r="N101" s="5">
        <f t="shared" si="16"/>
        <v>0.81858296233899941</v>
      </c>
      <c r="O101" s="5">
        <f t="shared" si="17"/>
        <v>3.6303623000331946</v>
      </c>
      <c r="P101" s="4">
        <f t="shared" si="18"/>
        <v>0.88943876350813267</v>
      </c>
    </row>
    <row r="102" spans="1:19" x14ac:dyDescent="0.45">
      <c r="A102">
        <f t="shared" si="12"/>
        <v>55</v>
      </c>
      <c r="B102" s="4">
        <f t="shared" si="7"/>
        <v>0.95993108859688125</v>
      </c>
      <c r="C102">
        <f t="shared" si="8"/>
        <v>35</v>
      </c>
      <c r="D102" s="5">
        <f t="shared" si="9"/>
        <v>0.6108652381980153</v>
      </c>
      <c r="E102" s="5">
        <f t="shared" si="13"/>
        <v>74.929793678281015</v>
      </c>
      <c r="F102" s="4">
        <f t="shared" si="1"/>
        <v>1.3077716075260364</v>
      </c>
      <c r="G102" s="5">
        <f t="shared" si="14"/>
        <v>100.76659616973504</v>
      </c>
      <c r="H102" s="5">
        <f t="shared" si="15"/>
        <v>366.03928608538945</v>
      </c>
      <c r="I102" s="5">
        <f t="shared" si="10"/>
        <v>265.27268991565438</v>
      </c>
      <c r="J102" s="4">
        <f>m*g*G102/1000</f>
        <v>1.4968992150487512</v>
      </c>
      <c r="K102" s="5">
        <f>J102/(H102/1000)</f>
        <v>4.0894496081482234</v>
      </c>
      <c r="L102" s="5">
        <f>180-E102-A102</f>
        <v>50.070206321718985</v>
      </c>
      <c r="M102" s="5">
        <f t="shared" si="11"/>
        <v>0.87388995746687548</v>
      </c>
      <c r="N102" s="5">
        <f t="shared" si="16"/>
        <v>0.81788992162964469</v>
      </c>
      <c r="O102" s="5">
        <f t="shared" si="17"/>
        <v>3.6608801537198263</v>
      </c>
      <c r="P102" s="4">
        <f t="shared" si="18"/>
        <v>0.8969156376613574</v>
      </c>
    </row>
    <row r="103" spans="1:19" x14ac:dyDescent="0.45">
      <c r="A103">
        <f t="shared" si="12"/>
        <v>56</v>
      </c>
      <c r="B103" s="4">
        <f t="shared" si="7"/>
        <v>0.97738438111682457</v>
      </c>
      <c r="C103">
        <f t="shared" si="8"/>
        <v>34</v>
      </c>
      <c r="D103" s="5">
        <f t="shared" si="9"/>
        <v>0.59341194567807209</v>
      </c>
      <c r="E103" s="5">
        <f t="shared" si="13"/>
        <v>72.982236004174069</v>
      </c>
      <c r="F103" s="4">
        <f t="shared" si="1"/>
        <v>1.2737803137403876</v>
      </c>
      <c r="G103" s="5">
        <f t="shared" si="14"/>
        <v>101.98264762398509</v>
      </c>
      <c r="H103" s="5">
        <f t="shared" si="15"/>
        <v>370.76422652004572</v>
      </c>
      <c r="I103" s="5">
        <f t="shared" si="10"/>
        <v>268.78157889606064</v>
      </c>
      <c r="J103" s="4">
        <f>m*g*G103/1000</f>
        <v>1.5149637973261918</v>
      </c>
      <c r="K103" s="5">
        <f>J103/(H103/1000)</f>
        <v>4.0860570922537045</v>
      </c>
      <c r="L103" s="5">
        <f>180-E103-A103</f>
        <v>51.017763995825931</v>
      </c>
      <c r="M103" s="5">
        <f t="shared" si="11"/>
        <v>0.89042795873258107</v>
      </c>
      <c r="N103" s="5">
        <f t="shared" si="16"/>
        <v>0.81721141845074097</v>
      </c>
      <c r="O103" s="5">
        <f t="shared" si="17"/>
        <v>3.6903507448933777</v>
      </c>
      <c r="P103" s="4">
        <f t="shared" si="18"/>
        <v>0.90413593249887758</v>
      </c>
    </row>
    <row r="104" spans="1:19" x14ac:dyDescent="0.45">
      <c r="A104">
        <f t="shared" si="12"/>
        <v>57</v>
      </c>
      <c r="B104" s="4">
        <f t="shared" si="7"/>
        <v>0.99483767363676789</v>
      </c>
      <c r="C104">
        <f t="shared" si="8"/>
        <v>33</v>
      </c>
      <c r="D104" s="5">
        <f t="shared" si="9"/>
        <v>0.57595865315812877</v>
      </c>
      <c r="E104" s="5">
        <f t="shared" si="13"/>
        <v>71.036194069987658</v>
      </c>
      <c r="F104" s="4">
        <f t="shared" si="1"/>
        <v>1.2398154746069558</v>
      </c>
      <c r="G104" s="5">
        <f t="shared" si="14"/>
        <v>103.16763417584083</v>
      </c>
      <c r="H104" s="5">
        <f t="shared" si="15"/>
        <v>375.37816001696024</v>
      </c>
      <c r="I104" s="5">
        <f t="shared" si="10"/>
        <v>272.21052584111942</v>
      </c>
      <c r="J104" s="4">
        <f>m*g*G104/1000</f>
        <v>1.5325669069551837</v>
      </c>
      <c r="K104" s="5">
        <f>J104/(H104/1000)</f>
        <v>4.0827279532883312</v>
      </c>
      <c r="L104" s="5">
        <f>180-E104-A104</f>
        <v>51.963805930012342</v>
      </c>
      <c r="M104" s="5">
        <f t="shared" si="11"/>
        <v>0.90693950534606949</v>
      </c>
      <c r="N104" s="5">
        <f t="shared" si="16"/>
        <v>0.8165455906576663</v>
      </c>
      <c r="O104" s="5">
        <f t="shared" si="17"/>
        <v>3.7187670793286109</v>
      </c>
      <c r="P104" s="4">
        <f t="shared" si="18"/>
        <v>0.91109793443550968</v>
      </c>
    </row>
    <row r="105" spans="1:19" x14ac:dyDescent="0.45">
      <c r="A105">
        <f t="shared" si="12"/>
        <v>58</v>
      </c>
      <c r="B105" s="4">
        <f t="shared" si="7"/>
        <v>1.0122909661567112</v>
      </c>
      <c r="C105">
        <f t="shared" si="8"/>
        <v>32</v>
      </c>
      <c r="D105" s="5">
        <f t="shared" si="9"/>
        <v>0.55850536063818546</v>
      </c>
      <c r="E105" s="5">
        <f t="shared" si="13"/>
        <v>69.091638957415555</v>
      </c>
      <c r="F105" s="4">
        <f t="shared" si="1"/>
        <v>1.2058765854060838</v>
      </c>
      <c r="G105" s="5">
        <f t="shared" si="14"/>
        <v>104.32119486691929</v>
      </c>
      <c r="H105" s="5">
        <f t="shared" si="15"/>
        <v>379.88008746357752</v>
      </c>
      <c r="I105" s="5">
        <f t="shared" si="10"/>
        <v>275.55889259665821</v>
      </c>
      <c r="J105" s="4">
        <f>m*g*G105/1000</f>
        <v>1.5497031818580076</v>
      </c>
      <c r="K105" s="5">
        <f>J105/(H105/1000)</f>
        <v>4.0794535775887208</v>
      </c>
      <c r="L105" s="5">
        <f>180-E105-A105</f>
        <v>52.908361042584445</v>
      </c>
      <c r="M105" s="5">
        <f t="shared" si="11"/>
        <v>0.92342510202699835</v>
      </c>
      <c r="N105" s="5">
        <f t="shared" si="16"/>
        <v>0.81589071551774417</v>
      </c>
      <c r="O105" s="5">
        <f t="shared" si="17"/>
        <v>3.7461225004701699</v>
      </c>
      <c r="P105" s="4">
        <f t="shared" si="18"/>
        <v>0.91780001261519162</v>
      </c>
    </row>
    <row r="106" spans="1:19" x14ac:dyDescent="0.45">
      <c r="A106">
        <f t="shared" si="12"/>
        <v>59</v>
      </c>
      <c r="B106" s="4">
        <f t="shared" si="7"/>
        <v>1.0297442586766545</v>
      </c>
      <c r="C106">
        <f t="shared" si="8"/>
        <v>31</v>
      </c>
      <c r="D106" s="5">
        <f t="shared" si="9"/>
        <v>0.54105206811824214</v>
      </c>
      <c r="E106" s="5">
        <f t="shared" si="13"/>
        <v>67.148545604823425</v>
      </c>
      <c r="F106" s="4">
        <f t="shared" si="1"/>
        <v>1.171963208729736</v>
      </c>
      <c r="G106" s="5">
        <f t="shared" si="14"/>
        <v>105.44297831145916</v>
      </c>
      <c r="H106" s="5">
        <f t="shared" si="15"/>
        <v>384.26903082347349</v>
      </c>
      <c r="I106" s="5">
        <f t="shared" si="10"/>
        <v>278.82605251201431</v>
      </c>
      <c r="J106" s="4">
        <f>m*g*G106/1000</f>
        <v>1.5663674021593259</v>
      </c>
      <c r="K106" s="5">
        <f>J106/(H106/1000)</f>
        <v>4.0762259680481199</v>
      </c>
      <c r="L106" s="5">
        <f>180-E106-A106</f>
        <v>53.851454395176575</v>
      </c>
      <c r="M106" s="5">
        <f t="shared" si="11"/>
        <v>0.93988518618340278</v>
      </c>
      <c r="N106" s="5">
        <f t="shared" si="16"/>
        <v>0.815245193609624</v>
      </c>
      <c r="O106" s="5">
        <f t="shared" si="17"/>
        <v>3.7724106909873631</v>
      </c>
      <c r="P106" s="4">
        <f t="shared" si="18"/>
        <v>0.92424061929190393</v>
      </c>
    </row>
    <row r="107" spans="1:19" x14ac:dyDescent="0.45">
      <c r="A107">
        <f t="shared" si="12"/>
        <v>60</v>
      </c>
      <c r="B107" s="4">
        <f t="shared" si="7"/>
        <v>1.0471975511965976</v>
      </c>
      <c r="C107">
        <f t="shared" si="8"/>
        <v>30</v>
      </c>
      <c r="D107" s="5">
        <f t="shared" si="9"/>
        <v>0.52359877559829882</v>
      </c>
      <c r="E107" s="5">
        <f t="shared" si="13"/>
        <v>65.206892522055796</v>
      </c>
      <c r="F107" s="4">
        <f t="shared" si="1"/>
        <v>1.1380749695039429</v>
      </c>
      <c r="G107" s="5">
        <f t="shared" si="14"/>
        <v>106.5326428033563</v>
      </c>
      <c r="H107" s="5">
        <f t="shared" si="15"/>
        <v>388.54403488371827</v>
      </c>
      <c r="I107" s="5">
        <f t="shared" si="10"/>
        <v>282.01139208036199</v>
      </c>
      <c r="J107" s="4">
        <f>m*g*G107/1000</f>
        <v>1.5825544917762044</v>
      </c>
      <c r="K107" s="5">
        <f>J107/(H107/1000)</f>
        <v>4.0730376731940421</v>
      </c>
      <c r="L107" s="5">
        <f>180-E107-A107</f>
        <v>54.793107477944204</v>
      </c>
      <c r="M107" s="5">
        <f t="shared" si="11"/>
        <v>0.95632013288925266</v>
      </c>
      <c r="N107" s="5">
        <f t="shared" si="16"/>
        <v>0.81460753463880842</v>
      </c>
      <c r="O107" s="5">
        <f t="shared" si="17"/>
        <v>3.7976256745317016</v>
      </c>
      <c r="P107" s="4">
        <f t="shared" si="18"/>
        <v>0.9304182902602669</v>
      </c>
    </row>
    <row r="108" spans="1:19" x14ac:dyDescent="0.45">
      <c r="A108">
        <f t="shared" si="12"/>
        <v>61</v>
      </c>
      <c r="B108" s="4">
        <f t="shared" si="7"/>
        <v>1.064650843716541</v>
      </c>
      <c r="C108">
        <f t="shared" si="8"/>
        <v>29</v>
      </c>
      <c r="D108" s="5">
        <f t="shared" si="9"/>
        <v>0.50614548307835561</v>
      </c>
      <c r="E108" s="5">
        <f t="shared" si="13"/>
        <v>63.266661537987886</v>
      </c>
      <c r="F108" s="4">
        <f t="shared" si="1"/>
        <v>1.1042115505827481</v>
      </c>
      <c r="G108" s="5">
        <f t="shared" si="14"/>
        <v>107.58985642025061</v>
      </c>
      <c r="H108" s="5">
        <f t="shared" si="15"/>
        <v>392.70416885671955</v>
      </c>
      <c r="I108" s="5">
        <f t="shared" si="10"/>
        <v>285.11431243646894</v>
      </c>
      <c r="J108" s="4">
        <f>m*g*G108/1000</f>
        <v>1.5982595199643379</v>
      </c>
      <c r="K108" s="5">
        <f>J108/(H108/1000)</f>
        <v>4.0698817244985053</v>
      </c>
      <c r="L108" s="5">
        <f>180-E108-A108</f>
        <v>55.733338462012114</v>
      </c>
      <c r="M108" s="5">
        <f t="shared" si="11"/>
        <v>0.97273025929050405</v>
      </c>
      <c r="N108" s="5">
        <f t="shared" si="16"/>
        <v>0.81397634489970105</v>
      </c>
      <c r="O108" s="5">
        <f t="shared" si="17"/>
        <v>3.8217618176453128</v>
      </c>
      <c r="P108" s="4">
        <f t="shared" si="18"/>
        <v>0.93633164532310165</v>
      </c>
      <c r="R108" t="s">
        <v>27</v>
      </c>
      <c r="S108" t="s">
        <v>28</v>
      </c>
    </row>
    <row r="109" spans="1:19" x14ac:dyDescent="0.45">
      <c r="A109">
        <f t="shared" si="12"/>
        <v>62</v>
      </c>
      <c r="B109" s="4">
        <f t="shared" si="7"/>
        <v>1.0821041362364843</v>
      </c>
      <c r="C109">
        <f t="shared" si="8"/>
        <v>28</v>
      </c>
      <c r="D109" s="5">
        <f t="shared" si="9"/>
        <v>0.48869219055841229</v>
      </c>
      <c r="E109" s="5">
        <f t="shared" si="13"/>
        <v>61.327837576925127</v>
      </c>
      <c r="F109" s="4">
        <f t="shared" si="1"/>
        <v>1.0703726888456446</v>
      </c>
      <c r="G109" s="5">
        <f t="shared" si="14"/>
        <v>108.61429712463305</v>
      </c>
      <c r="H109" s="5">
        <f t="shared" si="15"/>
        <v>396.74852785343472</v>
      </c>
      <c r="I109" s="5">
        <f t="shared" si="10"/>
        <v>288.13423072880164</v>
      </c>
      <c r="J109" s="4">
        <f>m*g*G109/1000</f>
        <v>1.6134777028200038</v>
      </c>
      <c r="K109" s="5">
        <f>J109/(H109/1000)</f>
        <v>4.0667515807797736</v>
      </c>
      <c r="L109" s="5">
        <f>180-E109-A109</f>
        <v>56.672162423074866</v>
      </c>
      <c r="M109" s="5">
        <f t="shared" si="11"/>
        <v>0.98911582850766411</v>
      </c>
      <c r="N109" s="5">
        <f t="shared" si="16"/>
        <v>0.81335031615595477</v>
      </c>
      <c r="O109" s="5">
        <f t="shared" si="17"/>
        <v>3.8448138317774943</v>
      </c>
      <c r="P109" s="4">
        <f t="shared" si="18"/>
        <v>0.94197938878548615</v>
      </c>
      <c r="R109">
        <v>10</v>
      </c>
      <c r="S109">
        <v>1.24</v>
      </c>
    </row>
    <row r="110" spans="1:19" x14ac:dyDescent="0.45">
      <c r="A110">
        <f t="shared" si="12"/>
        <v>63</v>
      </c>
      <c r="B110" s="4">
        <f t="shared" si="7"/>
        <v>1.0995574287564276</v>
      </c>
      <c r="C110">
        <f t="shared" si="8"/>
        <v>27</v>
      </c>
      <c r="D110" s="5">
        <f t="shared" si="9"/>
        <v>0.47123889803846897</v>
      </c>
      <c r="E110" s="5">
        <f t="shared" si="13"/>
        <v>59.390408460498357</v>
      </c>
      <c r="F110" s="4">
        <f t="shared" si="1"/>
        <v>1.036558171739993</v>
      </c>
      <c r="G110" s="5">
        <f t="shared" si="14"/>
        <v>109.605652861941</v>
      </c>
      <c r="H110" s="5">
        <f t="shared" si="15"/>
        <v>400.6762342425107</v>
      </c>
      <c r="I110" s="5">
        <f t="shared" si="10"/>
        <v>291.07058138056971</v>
      </c>
      <c r="J110" s="4">
        <f>m*g*G110/1000</f>
        <v>1.628204404737281</v>
      </c>
      <c r="K110" s="5">
        <f>J110/(H110/1000)</f>
        <v>4.063641078726433</v>
      </c>
      <c r="L110" s="5">
        <f>180-E110-A110</f>
        <v>57.60959153950165</v>
      </c>
      <c r="M110" s="5">
        <f t="shared" si="11"/>
        <v>1.0054770530933728</v>
      </c>
      <c r="N110" s="5">
        <f t="shared" si="16"/>
        <v>0.81272821574528664</v>
      </c>
      <c r="O110" s="5">
        <f t="shared" si="17"/>
        <v>3.8667767753742623</v>
      </c>
      <c r="P110" s="4">
        <f t="shared" si="18"/>
        <v>0.94736030996669429</v>
      </c>
      <c r="R110">
        <v>20</v>
      </c>
      <c r="S110">
        <v>1.1910000000000001</v>
      </c>
    </row>
    <row r="111" spans="1:19" x14ac:dyDescent="0.45">
      <c r="A111">
        <f t="shared" si="12"/>
        <v>64</v>
      </c>
      <c r="B111" s="4">
        <f t="shared" si="7"/>
        <v>1.1170107212763709</v>
      </c>
      <c r="C111">
        <f t="shared" si="8"/>
        <v>26</v>
      </c>
      <c r="D111" s="5">
        <f t="shared" si="9"/>
        <v>0.4537856055185257</v>
      </c>
      <c r="E111" s="5">
        <f t="shared" ref="E111:E119" si="19">180-A111-DEGREES(ACOS((y_AP*COS(B111)+r_W)/l_A))</f>
        <v>57.454364732167384</v>
      </c>
      <c r="F111" s="4">
        <f t="shared" si="1"/>
        <v>1.0027678342180308</v>
      </c>
      <c r="G111" s="5">
        <f t="shared" ref="G111:G119" si="20">(r_W/SIN(D111)+y_CG)*COS(D111)-r_W/TAN(D111)</f>
        <v>110.56362165561332</v>
      </c>
      <c r="H111" s="5">
        <f t="shared" ref="H111:H119" si="21">(r_W/SIN(D111)+y_AP)*COS(D111)-r_W/TAN(D111)+l_A*COS(F111-D111)</f>
        <v>404.48643890793596</v>
      </c>
      <c r="I111" s="5">
        <f t="shared" si="10"/>
        <v>293.92281725232266</v>
      </c>
      <c r="J111" s="4">
        <f>m*g*G111/1000</f>
        <v>1.6424351398201038</v>
      </c>
      <c r="K111" s="5">
        <f>J111/(H111/1000)</f>
        <v>4.0605443887178971</v>
      </c>
      <c r="L111" s="5">
        <f>180-E111-A111</f>
        <v>58.545635267832608</v>
      </c>
      <c r="M111" s="5">
        <f t="shared" si="11"/>
        <v>1.0218140980953914</v>
      </c>
      <c r="N111" s="5">
        <f t="shared" ref="N111:N119" si="22">K111*mu</f>
        <v>0.81210887774357943</v>
      </c>
      <c r="O111" s="5">
        <f t="shared" ref="O111:O119" si="23">K111*SIN(M111)+N111*COS(M111)</f>
        <v>3.8876460560119082</v>
      </c>
      <c r="P111" s="4">
        <f t="shared" ref="P111:P119" si="24">O111*l_A/1000</f>
        <v>0.95247328372291751</v>
      </c>
      <c r="R111">
        <v>30</v>
      </c>
      <c r="S111">
        <v>1.143</v>
      </c>
    </row>
    <row r="112" spans="1:19" x14ac:dyDescent="0.45">
      <c r="A112">
        <f t="shared" si="12"/>
        <v>65</v>
      </c>
      <c r="B112" s="4">
        <f t="shared" ref="B112:B119" si="25">RADIANS(A112)</f>
        <v>1.1344640137963142</v>
      </c>
      <c r="C112">
        <f t="shared" ref="C112:C119" si="26">90-A112</f>
        <v>25</v>
      </c>
      <c r="D112" s="5">
        <f t="shared" ref="D112:D119" si="27">RADIANS(C112)</f>
        <v>0.43633231299858238</v>
      </c>
      <c r="E112" s="5">
        <f t="shared" si="19"/>
        <v>55.5196995018362</v>
      </c>
      <c r="F112" s="4">
        <f t="shared" ref="F112:F119" si="28">RADIANS(E112)</f>
        <v>0.96900155602489724</v>
      </c>
      <c r="G112" s="5">
        <f t="shared" si="20"/>
        <v>111.48791169907553</v>
      </c>
      <c r="H112" s="5">
        <f t="shared" si="21"/>
        <v>408.1783224161253</v>
      </c>
      <c r="I112" s="5">
        <f t="shared" ref="I112:I119" si="29">H112-G112</f>
        <v>296.69041071704976</v>
      </c>
      <c r="J112" s="4">
        <f>m*g*G112/1000</f>
        <v>1.6561655732487117</v>
      </c>
      <c r="K112" s="5">
        <f>J112/(H112/1000)</f>
        <v>4.0574559752350146</v>
      </c>
      <c r="L112" s="5">
        <f>180-E112-A112</f>
        <v>59.4803004981638</v>
      </c>
      <c r="M112" s="5">
        <f t="shared" ref="M112:M119" si="30">RADIANS(L112)</f>
        <v>1.0381270837685816</v>
      </c>
      <c r="N112" s="5">
        <f t="shared" si="22"/>
        <v>0.81149119504700296</v>
      </c>
      <c r="O112" s="5">
        <f t="shared" si="23"/>
        <v>3.907417432550619</v>
      </c>
      <c r="P112" s="4">
        <f t="shared" si="24"/>
        <v>0.95731727097490171</v>
      </c>
      <c r="R112">
        <v>40</v>
      </c>
      <c r="S112">
        <v>1.093</v>
      </c>
    </row>
    <row r="113" spans="1:19" x14ac:dyDescent="0.45">
      <c r="A113">
        <f t="shared" ref="A113:A119" si="31">A112+1</f>
        <v>66</v>
      </c>
      <c r="B113" s="4">
        <f t="shared" si="25"/>
        <v>1.1519173063162575</v>
      </c>
      <c r="C113">
        <f t="shared" si="26"/>
        <v>24</v>
      </c>
      <c r="D113" s="5">
        <f t="shared" si="27"/>
        <v>0.41887902047863912</v>
      </c>
      <c r="E113" s="5">
        <f t="shared" si="19"/>
        <v>53.586408308418804</v>
      </c>
      <c r="F113" s="4">
        <f t="shared" si="28"/>
        <v>0.93525925929995313</v>
      </c>
      <c r="G113" s="5">
        <f t="shared" si="20"/>
        <v>112.37824144462658</v>
      </c>
      <c r="H113" s="5">
        <f t="shared" si="21"/>
        <v>411.75109610193459</v>
      </c>
      <c r="I113" s="5">
        <f t="shared" si="29"/>
        <v>299.37285465730804</v>
      </c>
      <c r="J113" s="4">
        <f>m*g*G113/1000</f>
        <v>1.6693915226000724</v>
      </c>
      <c r="K113" s="5">
        <f>J113/(H113/1000)</f>
        <v>4.0543705612547818</v>
      </c>
      <c r="L113" s="5">
        <f>180-E113-A113</f>
        <v>60.413591691581189</v>
      </c>
      <c r="M113" s="5">
        <f t="shared" si="30"/>
        <v>1.0544160879735824</v>
      </c>
      <c r="N113" s="5">
        <f t="shared" si="22"/>
        <v>0.8108741122509564</v>
      </c>
      <c r="O113" s="5">
        <f t="shared" si="23"/>
        <v>3.9260870172883369</v>
      </c>
      <c r="P113" s="4">
        <f t="shared" si="24"/>
        <v>0.96189131923564253</v>
      </c>
      <c r="R113">
        <v>50</v>
      </c>
      <c r="S113">
        <v>1.0429999999999999</v>
      </c>
    </row>
    <row r="114" spans="1:19" x14ac:dyDescent="0.45">
      <c r="A114">
        <f t="shared" si="31"/>
        <v>67</v>
      </c>
      <c r="B114" s="4">
        <f t="shared" si="25"/>
        <v>1.1693705988362009</v>
      </c>
      <c r="C114">
        <f t="shared" si="26"/>
        <v>23</v>
      </c>
      <c r="D114" s="5">
        <f t="shared" si="27"/>
        <v>0.4014257279586958</v>
      </c>
      <c r="E114" s="5">
        <f t="shared" si="19"/>
        <v>51.65448899848014</v>
      </c>
      <c r="F114" s="4">
        <f t="shared" si="28"/>
        <v>0.90154090645866669</v>
      </c>
      <c r="G114" s="5">
        <f t="shared" si="20"/>
        <v>113.23433968920109</v>
      </c>
      <c r="H114" s="5">
        <f t="shared" si="21"/>
        <v>415.20400308189727</v>
      </c>
      <c r="I114" s="5">
        <f t="shared" si="29"/>
        <v>301.96966339269619</v>
      </c>
      <c r="J114" s="4">
        <f>m*g*G114/1000</f>
        <v>1.6821089591218896</v>
      </c>
      <c r="K114" s="5">
        <f>J114/(H114/1000)</f>
        <v>4.0512830961075794</v>
      </c>
      <c r="L114" s="5">
        <f>180-E114-A114</f>
        <v>61.345511001519867</v>
      </c>
      <c r="M114" s="5">
        <f t="shared" si="30"/>
        <v>1.0706811482949259</v>
      </c>
      <c r="N114" s="5">
        <f t="shared" si="22"/>
        <v>0.81025661922151593</v>
      </c>
      <c r="O114" s="5">
        <f t="shared" si="23"/>
        <v>3.943651278098526</v>
      </c>
      <c r="P114" s="4">
        <f t="shared" si="24"/>
        <v>0.96619456313413887</v>
      </c>
      <c r="R114">
        <v>60</v>
      </c>
      <c r="S114">
        <v>0.99199999999999999</v>
      </c>
    </row>
    <row r="115" spans="1:19" x14ac:dyDescent="0.45">
      <c r="A115">
        <f t="shared" si="31"/>
        <v>68</v>
      </c>
      <c r="B115" s="4">
        <f t="shared" si="25"/>
        <v>1.1868238913561442</v>
      </c>
      <c r="C115">
        <f t="shared" si="26"/>
        <v>22</v>
      </c>
      <c r="D115" s="5">
        <f t="shared" si="27"/>
        <v>0.38397243543875248</v>
      </c>
      <c r="E115" s="5">
        <f t="shared" si="19"/>
        <v>49.723941619321735</v>
      </c>
      <c r="F115" s="4">
        <f t="shared" si="28"/>
        <v>0.86784649832660521</v>
      </c>
      <c r="G115" s="5">
        <f t="shared" si="20"/>
        <v>114.0559456569806</v>
      </c>
      <c r="H115" s="5">
        <f t="shared" si="21"/>
        <v>418.536319201938</v>
      </c>
      <c r="I115" s="5">
        <f t="shared" si="29"/>
        <v>304.48037354495739</v>
      </c>
      <c r="J115" s="4">
        <f>m*g*G115/1000</f>
        <v>1.694314008959803</v>
      </c>
      <c r="K115" s="5">
        <f>J115/(H115/1000)</f>
        <v>4.0481887263463978</v>
      </c>
      <c r="L115" s="5">
        <f>180-E115-A115</f>
        <v>62.276058380678251</v>
      </c>
      <c r="M115" s="5">
        <f t="shared" si="30"/>
        <v>1.0869222639070437</v>
      </c>
      <c r="N115" s="5">
        <f t="shared" si="22"/>
        <v>0.80963774526927956</v>
      </c>
      <c r="O115" s="5">
        <f t="shared" si="23"/>
        <v>3.9601070405382615</v>
      </c>
      <c r="P115" s="4">
        <f t="shared" si="24"/>
        <v>0.97022622493187405</v>
      </c>
      <c r="R115">
        <v>70</v>
      </c>
      <c r="S115">
        <v>0.94</v>
      </c>
    </row>
    <row r="116" spans="1:19" x14ac:dyDescent="0.45">
      <c r="A116">
        <f t="shared" si="31"/>
        <v>69</v>
      </c>
      <c r="B116" s="4">
        <f t="shared" si="25"/>
        <v>1.2042771838760873</v>
      </c>
      <c r="C116">
        <f t="shared" si="26"/>
        <v>21</v>
      </c>
      <c r="D116" s="5">
        <f t="shared" si="27"/>
        <v>0.36651914291880922</v>
      </c>
      <c r="E116" s="5">
        <f t="shared" si="19"/>
        <v>47.794768325092569</v>
      </c>
      <c r="F116" s="4">
        <f t="shared" si="28"/>
        <v>0.83417607250076087</v>
      </c>
      <c r="G116" s="5">
        <f t="shared" si="20"/>
        <v>114.84280907882822</v>
      </c>
      <c r="H116" s="5">
        <f t="shared" si="21"/>
        <v>421.74735392593527</v>
      </c>
      <c r="I116" s="5">
        <f t="shared" si="29"/>
        <v>306.90454484710705</v>
      </c>
      <c r="J116" s="4">
        <f>m*g*G116/1000</f>
        <v>1.7060029543373989</v>
      </c>
      <c r="K116" s="5">
        <f>J116/(H116/1000)</f>
        <v>4.0450827692377098</v>
      </c>
      <c r="L116" s="5">
        <f>180-E116-A116</f>
        <v>63.205231674907424</v>
      </c>
      <c r="M116" s="5">
        <f t="shared" si="30"/>
        <v>1.1031393972129448</v>
      </c>
      <c r="N116" s="5">
        <f t="shared" si="22"/>
        <v>0.80901655384754201</v>
      </c>
      <c r="O116" s="5">
        <f t="shared" si="23"/>
        <v>3.9754514899154239</v>
      </c>
      <c r="P116" s="4">
        <f t="shared" si="24"/>
        <v>0.97398561502927883</v>
      </c>
      <c r="R116">
        <v>80</v>
      </c>
      <c r="S116">
        <v>0.88700000000000001</v>
      </c>
    </row>
    <row r="117" spans="1:19" x14ac:dyDescent="0.45">
      <c r="A117">
        <f t="shared" si="31"/>
        <v>70</v>
      </c>
      <c r="B117" s="4">
        <f t="shared" si="25"/>
        <v>1.2217304763960306</v>
      </c>
      <c r="C117">
        <f t="shared" si="26"/>
        <v>20</v>
      </c>
      <c r="D117" s="5">
        <f t="shared" si="27"/>
        <v>0.3490658503988659</v>
      </c>
      <c r="E117" s="5">
        <f t="shared" si="19"/>
        <v>45.866973294687526</v>
      </c>
      <c r="F117" s="4">
        <f t="shared" si="28"/>
        <v>0.80052970191660866</v>
      </c>
      <c r="G117" s="5">
        <f t="shared" si="20"/>
        <v>115.59469026852321</v>
      </c>
      <c r="H117" s="5">
        <f t="shared" si="21"/>
        <v>424.83645117074525</v>
      </c>
      <c r="I117" s="5">
        <f t="shared" si="29"/>
        <v>309.24176090222204</v>
      </c>
      <c r="J117" s="4">
        <f>m*g*G117/1000</f>
        <v>1.7171722346886824</v>
      </c>
      <c r="K117" s="5">
        <f>J117/(H117/1000)</f>
        <v>4.0419606885345551</v>
      </c>
      <c r="L117" s="5">
        <f>180-E117-A117</f>
        <v>64.133026705312489</v>
      </c>
      <c r="M117" s="5">
        <f t="shared" si="30"/>
        <v>1.1193324752771541</v>
      </c>
      <c r="N117" s="5">
        <f t="shared" si="22"/>
        <v>0.8083921377069111</v>
      </c>
      <c r="O117" s="5">
        <f t="shared" si="23"/>
        <v>3.9896821733056544</v>
      </c>
      <c r="P117" s="4">
        <f t="shared" si="24"/>
        <v>0.97747213245988529</v>
      </c>
      <c r="R117">
        <v>90</v>
      </c>
      <c r="S117">
        <v>0.83099999999999996</v>
      </c>
    </row>
    <row r="118" spans="1:19" x14ac:dyDescent="0.45">
      <c r="A118">
        <f t="shared" si="31"/>
        <v>71</v>
      </c>
      <c r="B118" s="4">
        <f t="shared" si="25"/>
        <v>1.2391837689159739</v>
      </c>
      <c r="C118">
        <f t="shared" si="26"/>
        <v>19</v>
      </c>
      <c r="D118" s="5">
        <f t="shared" si="27"/>
        <v>0.33161255787892263</v>
      </c>
      <c r="E118" s="5">
        <f t="shared" si="19"/>
        <v>43.940562660353336</v>
      </c>
      <c r="F118" s="4">
        <f t="shared" si="28"/>
        <v>0.76690749360204458</v>
      </c>
      <c r="G118" s="5">
        <f t="shared" si="20"/>
        <v>116.31136019577146</v>
      </c>
      <c r="H118" s="5">
        <f t="shared" si="21"/>
        <v>427.80299009264093</v>
      </c>
      <c r="I118" s="5">
        <f t="shared" si="29"/>
        <v>311.49162989686948</v>
      </c>
      <c r="J118" s="4">
        <f>m*g*G118/1000</f>
        <v>1.7278184477426581</v>
      </c>
      <c r="K118" s="5">
        <f>J118/(H118/1000)</f>
        <v>4.0388180722357694</v>
      </c>
      <c r="L118" s="5">
        <f>180-E118-A118</f>
        <v>65.059437339646649</v>
      </c>
      <c r="M118" s="5">
        <f t="shared" si="30"/>
        <v>1.1355013910717744</v>
      </c>
      <c r="N118" s="5">
        <f t="shared" si="22"/>
        <v>0.80776361444715394</v>
      </c>
      <c r="O118" s="5">
        <f t="shared" si="23"/>
        <v>4.0027970015114009</v>
      </c>
      <c r="P118" s="4">
        <f t="shared" si="24"/>
        <v>0.98068526537029321</v>
      </c>
      <c r="R118">
        <v>100</v>
      </c>
      <c r="S118">
        <v>0.77300000000000002</v>
      </c>
    </row>
    <row r="119" spans="1:19" x14ac:dyDescent="0.45">
      <c r="A119">
        <f t="shared" si="31"/>
        <v>72</v>
      </c>
      <c r="B119" s="4">
        <f t="shared" si="25"/>
        <v>1.2566370614359172</v>
      </c>
      <c r="C119">
        <f t="shared" si="26"/>
        <v>18</v>
      </c>
      <c r="D119" s="5">
        <f t="shared" si="27"/>
        <v>0.31415926535897931</v>
      </c>
      <c r="E119" s="5">
        <f t="shared" si="19"/>
        <v>42.01554444605847</v>
      </c>
      <c r="F119" s="4">
        <f t="shared" si="28"/>
        <v>0.73330958760173737</v>
      </c>
      <c r="G119" s="5">
        <f t="shared" si="20"/>
        <v>116.9926005559706</v>
      </c>
      <c r="H119" s="5">
        <f t="shared" si="21"/>
        <v>430.64638582956331</v>
      </c>
      <c r="I119" s="5">
        <f t="shared" si="29"/>
        <v>313.65378527359269</v>
      </c>
      <c r="J119" s="4">
        <f>m*g*G119/1000</f>
        <v>1.7379383505596981</v>
      </c>
      <c r="K119" s="5">
        <f>J119/(H119/1000)</f>
        <v>4.035650612072061</v>
      </c>
      <c r="L119" s="5">
        <f>180-E119-A119</f>
        <v>65.98445555394153</v>
      </c>
      <c r="M119" s="5">
        <f t="shared" si="30"/>
        <v>1.1516460045521386</v>
      </c>
      <c r="N119" s="5">
        <f t="shared" si="22"/>
        <v>0.80713012241441229</v>
      </c>
      <c r="O119" s="5">
        <f t="shared" si="23"/>
        <v>4.0147942509566024</v>
      </c>
      <c r="P119" s="4">
        <f t="shared" si="24"/>
        <v>0.98362459148436754</v>
      </c>
      <c r="R119">
        <v>101</v>
      </c>
      <c r="S119">
        <v>0.76700000000000002</v>
      </c>
    </row>
    <row r="120" spans="1:19" x14ac:dyDescent="0.45">
      <c r="Q120">
        <v>120</v>
      </c>
    </row>
    <row r="121" spans="1:19" x14ac:dyDescent="0.45">
      <c r="N121" s="8" t="s">
        <v>26</v>
      </c>
      <c r="O121" s="4" t="e">
        <f>MAX(P47:P119)</f>
        <v>#NUM!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g</vt:lpstr>
      <vt:lpstr>l_A</vt:lpstr>
      <vt:lpstr>m</vt:lpstr>
      <vt:lpstr>mu</vt:lpstr>
      <vt:lpstr>r_W</vt:lpstr>
      <vt:lpstr>y_AP</vt:lpstr>
      <vt:lpstr>y_CG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PaulJ</dc:creator>
  <cp:lastModifiedBy>PaulJ</cp:lastModifiedBy>
  <dcterms:created xsi:type="dcterms:W3CDTF">2020-10-02T02:32:45Z</dcterms:created>
  <dcterms:modified xsi:type="dcterms:W3CDTF">2020-10-25T01:43:00Z</dcterms:modified>
</cp:coreProperties>
</file>