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90" windowWidth="23310" windowHeight="12533"/>
  </bookViews>
  <sheets>
    <sheet name="Sheet1" sheetId="1" r:id="rId1"/>
  </sheets>
  <definedNames>
    <definedName name="AB">Sheet1!$O$7</definedName>
    <definedName name="AC">Sheet1!$O$6</definedName>
    <definedName name="AD">Sheet1!$O$5</definedName>
    <definedName name="AH">Sheet1!$O$9</definedName>
    <definedName name="Arm_Length">Sheet1!$O$25</definedName>
    <definedName name="Arm_Pivot_Height">Sheet1!$N$34</definedName>
    <definedName name="Axie_Height">Sheet1!$N$33</definedName>
    <definedName name="Base_Dia">Sheet1!$O$8</definedName>
    <definedName name="Bearing_Height">Sheet1!$O$27</definedName>
    <definedName name="Body_Height">Sheet1!$O$20</definedName>
    <definedName name="Bottom_Height">Sheet1!$R$31</definedName>
    <definedName name="CI">Sheet1!$P$14</definedName>
    <definedName name="Cone_Angle">Sheet1!$O$40</definedName>
    <definedName name="Cone_Height">Sheet1!$R$37</definedName>
    <definedName name="FI">Sheet1!$M$14</definedName>
    <definedName name="GF">Sheet1!$P$18</definedName>
    <definedName name="GI">Sheet1!$P$17</definedName>
    <definedName name="Ground_Height">Sheet1!$N$30</definedName>
    <definedName name="HC">Sheet1!$M$18</definedName>
    <definedName name="Height">Sheet1!$N$37</definedName>
    <definedName name="HI">Sheet1!$O$12</definedName>
    <definedName name="Inside_Hex_Angle">Sheet1!$O$10</definedName>
    <definedName name="Lower_Shelf_Height">Sheet1!#REF!</definedName>
    <definedName name="Middle_Shelf_Height">Sheet1!$N$35</definedName>
    <definedName name="phi">Sheet1!$L$3</definedName>
    <definedName name="Shelf_Bearing_Height">Sheet1!$O$26</definedName>
    <definedName name="Shelf_Thickness">Sheet1!$O$23</definedName>
    <definedName name="solver_adj" localSheetId="0" hidden="1">Sheet1!$O$5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500</definedName>
    <definedName name="solver_ver" localSheetId="0" hidden="1">3</definedName>
    <definedName name="Top_Dia">Sheet1!$O$11</definedName>
    <definedName name="Top_of_Bottom_Height">Sheet1!$N$31</definedName>
    <definedName name="Top_Shelf_Height">Sheet1!$N$36</definedName>
    <definedName name="Wall_Thickness">Sheet1!$O$24</definedName>
    <definedName name="Wheel_Dia">Sheet1!$O$22</definedName>
  </definedNames>
  <calcPr calcId="145621"/>
</workbook>
</file>

<file path=xl/calcChain.xml><?xml version="1.0" encoding="utf-8"?>
<calcChain xmlns="http://schemas.openxmlformats.org/spreadsheetml/2006/main">
  <c r="U37" i="1" l="1"/>
  <c r="U31" i="1"/>
  <c r="O26" i="1" l="1"/>
  <c r="U32" i="1"/>
  <c r="Q5" i="1"/>
  <c r="R17" i="1"/>
  <c r="S17" i="1" s="1"/>
  <c r="O22" i="1" l="1"/>
  <c r="N33" i="1" s="1"/>
  <c r="S33" i="1" l="1"/>
  <c r="N31" i="1"/>
  <c r="S30" i="1"/>
  <c r="N32" i="1" l="1"/>
  <c r="R31" i="1"/>
  <c r="S31" i="1"/>
  <c r="R33" i="1"/>
  <c r="R30" i="1"/>
  <c r="O10" i="1"/>
  <c r="L3" i="1"/>
  <c r="L5" i="1" s="1"/>
  <c r="S32" i="1" l="1"/>
  <c r="R32" i="1"/>
  <c r="S37" i="1" l="1"/>
  <c r="N36" i="1"/>
  <c r="S36" i="1" s="1"/>
  <c r="R36" i="1"/>
  <c r="N34" i="1"/>
  <c r="N35" i="1" s="1"/>
  <c r="R37" i="1"/>
  <c r="M37" i="1" s="1"/>
  <c r="S34" i="1" l="1"/>
  <c r="O12" i="1"/>
  <c r="O5" i="1" s="1"/>
  <c r="O9" i="1" s="1"/>
  <c r="O11" i="1" s="1"/>
  <c r="R34" i="1"/>
  <c r="S35" i="1"/>
  <c r="R35" i="1"/>
  <c r="L32" i="1"/>
  <c r="M17" i="1" l="1"/>
  <c r="M14" i="1"/>
  <c r="O6" i="1"/>
  <c r="O7" i="1" s="1"/>
  <c r="O8" i="1" s="1"/>
  <c r="R13" i="1" s="1"/>
  <c r="S21" i="1" s="1"/>
  <c r="S22" i="1" s="1"/>
  <c r="R11" i="1"/>
  <c r="P18" i="1"/>
  <c r="M15" i="1"/>
  <c r="M18" i="1" l="1"/>
  <c r="P17" i="1" s="1"/>
  <c r="O20" i="1" s="1"/>
  <c r="O31" i="1"/>
  <c r="T31" i="1" s="1"/>
  <c r="P15" i="1"/>
  <c r="P14" i="1" s="1"/>
  <c r="O40" i="1" l="1"/>
  <c r="O33" i="1" l="1"/>
  <c r="T33" i="1" s="1"/>
  <c r="O25" i="1"/>
  <c r="O32" i="1"/>
  <c r="T32" i="1" s="1"/>
  <c r="O30" i="1"/>
  <c r="T30" i="1" s="1"/>
  <c r="O34" i="1"/>
  <c r="T34" i="1" s="1"/>
  <c r="O37" i="1"/>
  <c r="O36" i="1"/>
  <c r="T36" i="1" s="1"/>
  <c r="O47" i="1"/>
  <c r="O45" i="1"/>
  <c r="O35" i="1"/>
  <c r="T35" i="1" s="1"/>
  <c r="R9" i="1"/>
  <c r="R8" i="1"/>
  <c r="O46" i="1"/>
  <c r="T37" i="1" l="1"/>
  <c r="U36" i="1" l="1"/>
  <c r="V36" i="1" s="1"/>
  <c r="V31" i="1"/>
  <c r="U35" i="1"/>
  <c r="V35" i="1" s="1"/>
  <c r="U33" i="1"/>
  <c r="V33" i="1" s="1"/>
  <c r="U34" i="1"/>
  <c r="V34" i="1" s="1"/>
  <c r="V37" i="1"/>
  <c r="U30" i="1"/>
  <c r="V30" i="1" s="1"/>
</calcChain>
</file>

<file path=xl/sharedStrings.xml><?xml version="1.0" encoding="utf-8"?>
<sst xmlns="http://schemas.openxmlformats.org/spreadsheetml/2006/main" count="64" uniqueCount="62">
  <si>
    <t>Phi</t>
  </si>
  <si>
    <t>AD</t>
  </si>
  <si>
    <t>AC</t>
  </si>
  <si>
    <t>BC</t>
  </si>
  <si>
    <t>CD=AB</t>
  </si>
  <si>
    <t>HI</t>
  </si>
  <si>
    <t>FI=AD</t>
  </si>
  <si>
    <t>GI</t>
  </si>
  <si>
    <t>EF</t>
  </si>
  <si>
    <t>Given:</t>
  </si>
  <si>
    <t>Results:</t>
  </si>
  <si>
    <t>BC (Base):</t>
  </si>
  <si>
    <t>EF (Head):</t>
  </si>
  <si>
    <t>GH (Height):</t>
  </si>
  <si>
    <t>mm</t>
  </si>
  <si>
    <t>Cone Angle:</t>
  </si>
  <si>
    <t>Inside Hex Angle</t>
  </si>
  <si>
    <t>AH (AD/2)</t>
  </si>
  <si>
    <t>HI=AH * tan(Inside Angle/2)</t>
  </si>
  <si>
    <t xml:space="preserve"> = acos(GI/FI)</t>
  </si>
  <si>
    <t>deg.</t>
  </si>
  <si>
    <t>BC/GH</t>
  </si>
  <si>
    <t>EF/GH</t>
  </si>
  <si>
    <t>CI</t>
  </si>
  <si>
    <t xml:space="preserve">EF=AI=AH/sin(Inside Angle/2): </t>
  </si>
  <si>
    <t>GH (Height) =GI-HI</t>
  </si>
  <si>
    <t>BC (Base)</t>
  </si>
  <si>
    <t xml:space="preserve">AD: </t>
  </si>
  <si>
    <t>GF (EF/2)</t>
  </si>
  <si>
    <t>HC (BC/2)</t>
  </si>
  <si>
    <t>EF/AD</t>
  </si>
  <si>
    <t>Middle Shelf</t>
  </si>
  <si>
    <t>Top Shelf</t>
  </si>
  <si>
    <t xml:space="preserve">Arm Length: </t>
  </si>
  <si>
    <t>Bottom</t>
  </si>
  <si>
    <t>Top</t>
  </si>
  <si>
    <t>Axle</t>
  </si>
  <si>
    <t xml:space="preserve">Shelf Thickness: </t>
  </si>
  <si>
    <t>Ground</t>
  </si>
  <si>
    <t xml:space="preserve">Wheel Diameter: </t>
  </si>
  <si>
    <t>Dist. From Axle</t>
  </si>
  <si>
    <t>Dist. From Bottom</t>
  </si>
  <si>
    <t>Dist. From Ground</t>
  </si>
  <si>
    <t>Arm Pivot</t>
  </si>
  <si>
    <t>HI_Calc:</t>
  </si>
  <si>
    <t>Bearing Height:</t>
  </si>
  <si>
    <t xml:space="preserve"> (Base/Height)</t>
  </si>
  <si>
    <t xml:space="preserve"> (Top/Height)</t>
  </si>
  <si>
    <t>EF/BC)</t>
  </si>
  <si>
    <t xml:space="preserve"> (Top/Base = Phi + 1)</t>
  </si>
  <si>
    <t>1/Phi</t>
  </si>
  <si>
    <t xml:space="preserve"> (Top/AD = 1/Phi)</t>
  </si>
  <si>
    <t>Fore-Aft</t>
  </si>
  <si>
    <t>F/A Thickness Increase/ Unit Height</t>
  </si>
  <si>
    <t xml:space="preserve">Opposite Side of Shelf to Axle Centerline: </t>
  </si>
  <si>
    <t>Width of Shelf</t>
  </si>
  <si>
    <t xml:space="preserve">Wall Thickness: </t>
  </si>
  <si>
    <t>Lower Shelf, Top</t>
  </si>
  <si>
    <t>Bot./Lower Shelf, Bot.</t>
  </si>
  <si>
    <t>Fore-Aft Width</t>
  </si>
  <si>
    <t>Width at Height</t>
  </si>
  <si>
    <t>Fore-Aft Shelf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</si>
</sst>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3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4" fillId="0" borderId="0" xfId="0" applyFont="1"/>
    <xf numFmtId="2" fontId="1" fillId="2" borderId="0" xfId="0" applyNumberFormat="1" applyFont="1" applyFill="1"/>
    <xf numFmtId="0" fontId="2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1" fillId="0" borderId="0" xfId="0" applyFont="1" applyAlignment="1">
      <alignment horizontal="right" indent="1"/>
    </xf>
    <xf numFmtId="165" fontId="1" fillId="0" borderId="0" xfId="0" applyNumberFormat="1" applyFont="1"/>
    <xf numFmtId="165" fontId="3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vertical="top" indent="1"/>
    </xf>
    <xf numFmtId="165" fontId="3" fillId="0" borderId="0" xfId="0" applyNumberFormat="1" applyFont="1" applyAlignment="1">
      <alignment horizontal="right"/>
    </xf>
    <xf numFmtId="165" fontId="5" fillId="3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316468</xdr:colOff>
      <xdr:row>3</xdr:row>
      <xdr:rowOff>157163</xdr:rowOff>
    </xdr:from>
    <xdr:to>
      <xdr:col>9</xdr:col>
      <xdr:colOff>72628</xdr:colOff>
      <xdr:row>29</xdr:row>
      <xdr:rowOff>142875</xdr:rowOff>
    </xdr:to>
    <xdr:sp macro="" textlink="">
      <xdr:nvSpPr>
        <xdr:cNvPr id="2" name="Regular Pentagon 1"/>
        <xdr:cNvSpPr/>
      </xdr:nvSpPr>
      <xdr:spPr>
        <a:xfrm rot="10800000">
          <a:off x="964168" y="728663"/>
          <a:ext cx="4937760" cy="4938712"/>
        </a:xfrm>
        <a:prstGeom prst="pentag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316473</xdr:colOff>
      <xdr:row>19</xdr:row>
      <xdr:rowOff>161460</xdr:rowOff>
    </xdr:from>
    <xdr:to>
      <xdr:col>9</xdr:col>
      <xdr:colOff>72623</xdr:colOff>
      <xdr:row>19</xdr:row>
      <xdr:rowOff>161460</xdr:rowOff>
    </xdr:to>
    <xdr:cxnSp macro="">
      <xdr:nvCxnSpPr>
        <xdr:cNvPr id="4" name="Straight Connector 3"/>
        <xdr:cNvCxnSpPr>
          <a:stCxn id="2" idx="1"/>
          <a:endCxn id="2" idx="5"/>
        </xdr:cNvCxnSpPr>
      </xdr:nvCxnSpPr>
      <xdr:spPr>
        <a:xfrm flipH="1">
          <a:off x="964173" y="3780960"/>
          <a:ext cx="4937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611799</xdr:colOff>
      <xdr:row>3</xdr:row>
      <xdr:rowOff>157176</xdr:rowOff>
    </xdr:from>
    <xdr:to>
      <xdr:col>5</xdr:col>
      <xdr:colOff>194548</xdr:colOff>
      <xdr:row>29</xdr:row>
      <xdr:rowOff>142875</xdr:rowOff>
    </xdr:to>
    <xdr:cxnSp macro="">
      <xdr:nvCxnSpPr>
        <xdr:cNvPr id="8" name="Straight Connector 7"/>
        <xdr:cNvCxnSpPr>
          <a:stCxn id="2" idx="4"/>
          <a:endCxn id="2" idx="0"/>
        </xdr:cNvCxnSpPr>
      </xdr:nvCxnSpPr>
      <xdr:spPr>
        <a:xfrm>
          <a:off x="1907199" y="728676"/>
          <a:ext cx="1525849" cy="4938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194548</xdr:colOff>
      <xdr:row>3</xdr:row>
      <xdr:rowOff>157176</xdr:rowOff>
    </xdr:from>
    <xdr:to>
      <xdr:col>7</xdr:col>
      <xdr:colOff>424997</xdr:colOff>
      <xdr:row>29</xdr:row>
      <xdr:rowOff>142875</xdr:rowOff>
    </xdr:to>
    <xdr:cxnSp macro="">
      <xdr:nvCxnSpPr>
        <xdr:cNvPr id="10" name="Straight Connector 9"/>
        <xdr:cNvCxnSpPr>
          <a:stCxn id="2" idx="0"/>
          <a:endCxn id="2" idx="2"/>
        </xdr:cNvCxnSpPr>
      </xdr:nvCxnSpPr>
      <xdr:spPr>
        <a:xfrm flipV="1">
          <a:off x="3433048" y="728676"/>
          <a:ext cx="1525849" cy="4938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71438</xdr:colOff>
      <xdr:row>20</xdr:row>
      <xdr:rowOff>47625</xdr:rowOff>
    </xdr:from>
    <xdr:to>
      <xdr:col>1</xdr:col>
      <xdr:colOff>352425</xdr:colOff>
      <xdr:row>21</xdr:row>
      <xdr:rowOff>90488</xdr:rowOff>
    </xdr:to>
    <xdr:sp macro="" textlink="">
      <xdr:nvSpPr>
        <xdr:cNvPr id="12" name="TextBox 11"/>
        <xdr:cNvSpPr txBox="1"/>
      </xdr:nvSpPr>
      <xdr:spPr>
        <a:xfrm>
          <a:off x="719138" y="3857625"/>
          <a:ext cx="280987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</a:p>
      </xdr:txBody>
    </xdr:sp>
    <xdr:clientData/>
  </xdr:twoCellAnchor>
  <xdr:twoCellAnchor>
    <xdr:from>
      <xdr:col>3</xdr:col>
      <xdr:colOff>628651</xdr:colOff>
      <xdr:row>19</xdr:row>
      <xdr:rowOff>180975</xdr:rowOff>
    </xdr:from>
    <xdr:to>
      <xdr:col>4</xdr:col>
      <xdr:colOff>261938</xdr:colOff>
      <xdr:row>21</xdr:row>
      <xdr:rowOff>33338</xdr:rowOff>
    </xdr:to>
    <xdr:sp macro="" textlink="">
      <xdr:nvSpPr>
        <xdr:cNvPr id="13" name="TextBox 12"/>
        <xdr:cNvSpPr txBox="1"/>
      </xdr:nvSpPr>
      <xdr:spPr>
        <a:xfrm>
          <a:off x="2571751" y="3800475"/>
          <a:ext cx="280987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</a:t>
          </a:r>
        </a:p>
      </xdr:txBody>
    </xdr:sp>
    <xdr:clientData/>
  </xdr:twoCellAnchor>
  <xdr:twoCellAnchor>
    <xdr:from>
      <xdr:col>6</xdr:col>
      <xdr:colOff>152400</xdr:colOff>
      <xdr:row>20</xdr:row>
      <xdr:rowOff>0</xdr:rowOff>
    </xdr:from>
    <xdr:to>
      <xdr:col>6</xdr:col>
      <xdr:colOff>433387</xdr:colOff>
      <xdr:row>21</xdr:row>
      <xdr:rowOff>42863</xdr:rowOff>
    </xdr:to>
    <xdr:sp macro="" textlink="">
      <xdr:nvSpPr>
        <xdr:cNvPr id="14" name="TextBox 13"/>
        <xdr:cNvSpPr txBox="1"/>
      </xdr:nvSpPr>
      <xdr:spPr>
        <a:xfrm>
          <a:off x="4038600" y="3810000"/>
          <a:ext cx="280987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</a:t>
          </a:r>
        </a:p>
      </xdr:txBody>
    </xdr:sp>
    <xdr:clientData/>
  </xdr:twoCellAnchor>
  <xdr:twoCellAnchor>
    <xdr:from>
      <xdr:col>9</xdr:col>
      <xdr:colOff>66675</xdr:colOff>
      <xdr:row>19</xdr:row>
      <xdr:rowOff>180975</xdr:rowOff>
    </xdr:from>
    <xdr:to>
      <xdr:col>9</xdr:col>
      <xdr:colOff>347662</xdr:colOff>
      <xdr:row>21</xdr:row>
      <xdr:rowOff>33338</xdr:rowOff>
    </xdr:to>
    <xdr:sp macro="" textlink="">
      <xdr:nvSpPr>
        <xdr:cNvPr id="15" name="TextBox 14"/>
        <xdr:cNvSpPr txBox="1"/>
      </xdr:nvSpPr>
      <xdr:spPr>
        <a:xfrm>
          <a:off x="5895975" y="3800475"/>
          <a:ext cx="280987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2</xdr:col>
      <xdr:colOff>295275</xdr:colOff>
      <xdr:row>2</xdr:row>
      <xdr:rowOff>147638</xdr:rowOff>
    </xdr:from>
    <xdr:to>
      <xdr:col>2</xdr:col>
      <xdr:colOff>576262</xdr:colOff>
      <xdr:row>4</xdr:row>
      <xdr:rowOff>1</xdr:rowOff>
    </xdr:to>
    <xdr:sp macro="" textlink="">
      <xdr:nvSpPr>
        <xdr:cNvPr id="16" name="TextBox 15"/>
        <xdr:cNvSpPr txBox="1"/>
      </xdr:nvSpPr>
      <xdr:spPr>
        <a:xfrm>
          <a:off x="1590675" y="528638"/>
          <a:ext cx="280987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</a:t>
          </a:r>
        </a:p>
      </xdr:txBody>
    </xdr:sp>
    <xdr:clientData/>
  </xdr:twoCellAnchor>
  <xdr:twoCellAnchor>
    <xdr:from>
      <xdr:col>7</xdr:col>
      <xdr:colOff>157162</xdr:colOff>
      <xdr:row>2</xdr:row>
      <xdr:rowOff>95250</xdr:rowOff>
    </xdr:from>
    <xdr:to>
      <xdr:col>7</xdr:col>
      <xdr:colOff>438149</xdr:colOff>
      <xdr:row>3</xdr:row>
      <xdr:rowOff>138113</xdr:rowOff>
    </xdr:to>
    <xdr:sp macro="" textlink="">
      <xdr:nvSpPr>
        <xdr:cNvPr id="17" name="TextBox 16"/>
        <xdr:cNvSpPr txBox="1"/>
      </xdr:nvSpPr>
      <xdr:spPr>
        <a:xfrm>
          <a:off x="4691062" y="476250"/>
          <a:ext cx="280987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</a:t>
          </a:r>
        </a:p>
      </xdr:txBody>
    </xdr:sp>
    <xdr:clientData/>
  </xdr:twoCellAnchor>
  <xdr:twoCellAnchor>
    <xdr:from>
      <xdr:col>5</xdr:col>
      <xdr:colOff>152400</xdr:colOff>
      <xdr:row>3</xdr:row>
      <xdr:rowOff>157163</xdr:rowOff>
    </xdr:from>
    <xdr:to>
      <xdr:col>5</xdr:col>
      <xdr:colOff>194548</xdr:colOff>
      <xdr:row>19</xdr:row>
      <xdr:rowOff>152400</xdr:rowOff>
    </xdr:to>
    <xdr:cxnSp macro="">
      <xdr:nvCxnSpPr>
        <xdr:cNvPr id="19" name="Straight Connector 18"/>
        <xdr:cNvCxnSpPr>
          <a:stCxn id="2" idx="3"/>
        </xdr:cNvCxnSpPr>
      </xdr:nvCxnSpPr>
      <xdr:spPr>
        <a:xfrm flipH="1">
          <a:off x="3390900" y="728663"/>
          <a:ext cx="42148" cy="3043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</xdr:colOff>
      <xdr:row>2</xdr:row>
      <xdr:rowOff>85725</xdr:rowOff>
    </xdr:from>
    <xdr:to>
      <xdr:col>5</xdr:col>
      <xdr:colOff>323849</xdr:colOff>
      <xdr:row>3</xdr:row>
      <xdr:rowOff>128588</xdr:rowOff>
    </xdr:to>
    <xdr:sp macro="" textlink="">
      <xdr:nvSpPr>
        <xdr:cNvPr id="20" name="TextBox 19"/>
        <xdr:cNvSpPr txBox="1"/>
      </xdr:nvSpPr>
      <xdr:spPr>
        <a:xfrm>
          <a:off x="3281362" y="466725"/>
          <a:ext cx="280987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</a:t>
          </a:r>
        </a:p>
      </xdr:txBody>
    </xdr:sp>
    <xdr:clientData/>
  </xdr:twoCellAnchor>
  <xdr:twoCellAnchor>
    <xdr:from>
      <xdr:col>5</xdr:col>
      <xdr:colOff>190499</xdr:colOff>
      <xdr:row>18</xdr:row>
      <xdr:rowOff>90488</xdr:rowOff>
    </xdr:from>
    <xdr:to>
      <xdr:col>5</xdr:col>
      <xdr:colOff>471486</xdr:colOff>
      <xdr:row>19</xdr:row>
      <xdr:rowOff>133351</xdr:rowOff>
    </xdr:to>
    <xdr:sp macro="" textlink="">
      <xdr:nvSpPr>
        <xdr:cNvPr id="21" name="TextBox 20"/>
        <xdr:cNvSpPr txBox="1"/>
      </xdr:nvSpPr>
      <xdr:spPr>
        <a:xfrm>
          <a:off x="3428999" y="3519488"/>
          <a:ext cx="280987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</a:t>
          </a:r>
        </a:p>
      </xdr:txBody>
    </xdr:sp>
    <xdr:clientData/>
  </xdr:twoCellAnchor>
  <xdr:twoCellAnchor>
    <xdr:from>
      <xdr:col>5</xdr:col>
      <xdr:colOff>228599</xdr:colOff>
      <xdr:row>29</xdr:row>
      <xdr:rowOff>138113</xdr:rowOff>
    </xdr:from>
    <xdr:to>
      <xdr:col>5</xdr:col>
      <xdr:colOff>509586</xdr:colOff>
      <xdr:row>30</xdr:row>
      <xdr:rowOff>180976</xdr:rowOff>
    </xdr:to>
    <xdr:sp macro="" textlink="">
      <xdr:nvSpPr>
        <xdr:cNvPr id="22" name="TextBox 21"/>
        <xdr:cNvSpPr txBox="1"/>
      </xdr:nvSpPr>
      <xdr:spPr>
        <a:xfrm>
          <a:off x="3467099" y="5662613"/>
          <a:ext cx="280987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</a:t>
          </a:r>
        </a:p>
      </xdr:txBody>
    </xdr:sp>
    <xdr:clientData/>
  </xdr:twoCellAnchor>
  <xdr:twoCellAnchor>
    <xdr:from>
      <xdr:col>5</xdr:col>
      <xdr:colOff>190505</xdr:colOff>
      <xdr:row>19</xdr:row>
      <xdr:rowOff>147637</xdr:rowOff>
    </xdr:from>
    <xdr:to>
      <xdr:col>5</xdr:col>
      <xdr:colOff>190505</xdr:colOff>
      <xdr:row>29</xdr:row>
      <xdr:rowOff>138112</xdr:rowOff>
    </xdr:to>
    <xdr:cxnSp macro="">
      <xdr:nvCxnSpPr>
        <xdr:cNvPr id="24" name="Straight Connector 23"/>
        <xdr:cNvCxnSpPr/>
      </xdr:nvCxnSpPr>
      <xdr:spPr>
        <a:xfrm>
          <a:off x="3429005" y="3767137"/>
          <a:ext cx="0" cy="1895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15</xdr:row>
      <xdr:rowOff>57145</xdr:rowOff>
    </xdr:from>
    <xdr:to>
      <xdr:col>7</xdr:col>
      <xdr:colOff>466725</xdr:colOff>
      <xdr:row>23</xdr:row>
      <xdr:rowOff>71432</xdr:rowOff>
    </xdr:to>
    <xdr:sp macro="" textlink="">
      <xdr:nvSpPr>
        <xdr:cNvPr id="28" name="Rectangle 27"/>
        <xdr:cNvSpPr/>
      </xdr:nvSpPr>
      <xdr:spPr>
        <a:xfrm>
          <a:off x="4314825" y="2914645"/>
          <a:ext cx="685800" cy="153828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233363</xdr:colOff>
      <xdr:row>19</xdr:row>
      <xdr:rowOff>66680</xdr:rowOff>
    </xdr:from>
    <xdr:to>
      <xdr:col>7</xdr:col>
      <xdr:colOff>481013</xdr:colOff>
      <xdr:row>19</xdr:row>
      <xdr:rowOff>66680</xdr:rowOff>
    </xdr:to>
    <xdr:cxnSp macro="">
      <xdr:nvCxnSpPr>
        <xdr:cNvPr id="30" name="Straight Connector 29"/>
        <xdr:cNvCxnSpPr/>
      </xdr:nvCxnSpPr>
      <xdr:spPr>
        <a:xfrm flipH="1">
          <a:off x="3471863" y="3686180"/>
          <a:ext cx="1543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16</xdr:row>
      <xdr:rowOff>147628</xdr:rowOff>
    </xdr:from>
    <xdr:to>
      <xdr:col>6</xdr:col>
      <xdr:colOff>123063</xdr:colOff>
      <xdr:row>22</xdr:row>
      <xdr:rowOff>165916</xdr:rowOff>
    </xdr:to>
    <xdr:sp macro="" textlink="">
      <xdr:nvSpPr>
        <xdr:cNvPr id="32" name="Oval 31"/>
        <xdr:cNvSpPr>
          <a:spLocks noChangeAspect="1"/>
        </xdr:cNvSpPr>
      </xdr:nvSpPr>
      <xdr:spPr>
        <a:xfrm>
          <a:off x="2847975" y="3195628"/>
          <a:ext cx="1161288" cy="1161288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604838</xdr:colOff>
      <xdr:row>3</xdr:row>
      <xdr:rowOff>157163</xdr:rowOff>
    </xdr:from>
    <xdr:to>
      <xdr:col>7</xdr:col>
      <xdr:colOff>419100</xdr:colOff>
      <xdr:row>19</xdr:row>
      <xdr:rowOff>161925</xdr:rowOff>
    </xdr:to>
    <xdr:sp macro="" textlink="">
      <xdr:nvSpPr>
        <xdr:cNvPr id="27" name="Freeform 26"/>
        <xdr:cNvSpPr/>
      </xdr:nvSpPr>
      <xdr:spPr>
        <a:xfrm>
          <a:off x="1900238" y="728663"/>
          <a:ext cx="3052762" cy="3052762"/>
        </a:xfrm>
        <a:custGeom>
          <a:avLst/>
          <a:gdLst>
            <a:gd name="connsiteX0" fmla="*/ 109537 w 3052762"/>
            <a:gd name="connsiteY0" fmla="*/ 42863 h 3048000"/>
            <a:gd name="connsiteX1" fmla="*/ 3052762 w 3052762"/>
            <a:gd name="connsiteY1" fmla="*/ 4763 h 3048000"/>
            <a:gd name="connsiteX2" fmla="*/ 2119312 w 3052762"/>
            <a:gd name="connsiteY2" fmla="*/ 3038475 h 3048000"/>
            <a:gd name="connsiteX3" fmla="*/ 938212 w 3052762"/>
            <a:gd name="connsiteY3" fmla="*/ 3048000 h 3048000"/>
            <a:gd name="connsiteX4" fmla="*/ 0 w 3052762"/>
            <a:gd name="connsiteY4" fmla="*/ 0 h 3048000"/>
            <a:gd name="connsiteX5" fmla="*/ 0 w 3052762"/>
            <a:gd name="connsiteY5" fmla="*/ 0 h 3048000"/>
            <a:gd name="connsiteX0" fmla="*/ 14287 w 3052762"/>
            <a:gd name="connsiteY0" fmla="*/ 0 h 3052762"/>
            <a:gd name="connsiteX1" fmla="*/ 3052762 w 3052762"/>
            <a:gd name="connsiteY1" fmla="*/ 9525 h 3052762"/>
            <a:gd name="connsiteX2" fmla="*/ 2119312 w 3052762"/>
            <a:gd name="connsiteY2" fmla="*/ 3043237 h 3052762"/>
            <a:gd name="connsiteX3" fmla="*/ 938212 w 3052762"/>
            <a:gd name="connsiteY3" fmla="*/ 3052762 h 3052762"/>
            <a:gd name="connsiteX4" fmla="*/ 0 w 3052762"/>
            <a:gd name="connsiteY4" fmla="*/ 4762 h 3052762"/>
            <a:gd name="connsiteX5" fmla="*/ 0 w 3052762"/>
            <a:gd name="connsiteY5" fmla="*/ 4762 h 30527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052762" h="3052762">
              <a:moveTo>
                <a:pt x="14287" y="0"/>
              </a:moveTo>
              <a:lnTo>
                <a:pt x="3052762" y="9525"/>
              </a:lnTo>
              <a:lnTo>
                <a:pt x="2119312" y="3043237"/>
              </a:lnTo>
              <a:lnTo>
                <a:pt x="938212" y="3052762"/>
              </a:lnTo>
              <a:lnTo>
                <a:pt x="0" y="4762"/>
              </a:lnTo>
              <a:lnTo>
                <a:pt x="0" y="4762"/>
              </a:lnTo>
            </a:path>
          </a:pathLst>
        </a:cu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590550</xdr:colOff>
      <xdr:row>22</xdr:row>
      <xdr:rowOff>176213</xdr:rowOff>
    </xdr:from>
    <xdr:to>
      <xdr:col>7</xdr:col>
      <xdr:colOff>447675</xdr:colOff>
      <xdr:row>22</xdr:row>
      <xdr:rowOff>176213</xdr:rowOff>
    </xdr:to>
    <xdr:cxnSp macro="">
      <xdr:nvCxnSpPr>
        <xdr:cNvPr id="34" name="Straight Connector 33"/>
        <xdr:cNvCxnSpPr/>
      </xdr:nvCxnSpPr>
      <xdr:spPr>
        <a:xfrm>
          <a:off x="1885950" y="4367213"/>
          <a:ext cx="3095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169628</xdr:colOff>
      <xdr:row>4</xdr:row>
      <xdr:rowOff>1</xdr:rowOff>
    </xdr:from>
    <xdr:to>
      <xdr:col>8</xdr:col>
      <xdr:colOff>169641</xdr:colOff>
      <xdr:row>18</xdr:row>
      <xdr:rowOff>7719</xdr:rowOff>
    </xdr:to>
    <xdr:cxnSp macro="">
      <xdr:nvCxnSpPr>
        <xdr:cNvPr id="5" name="Straight Connector 4"/>
        <xdr:cNvCxnSpPr/>
      </xdr:nvCxnSpPr>
      <xdr:spPr>
        <a:xfrm rot="5400000">
          <a:off x="4013876" y="2099353"/>
          <a:ext cx="2674718" cy="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128587</xdr:colOff>
      <xdr:row>3</xdr:row>
      <xdr:rowOff>52387</xdr:rowOff>
    </xdr:from>
    <xdr:to>
      <xdr:col>7</xdr:col>
      <xdr:colOff>248214</xdr:colOff>
      <xdr:row>20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333366"/>
            </a:clrFrom>
            <a:clrTo>
              <a:srgbClr val="333366">
                <a:alpha val="0"/>
              </a:srgbClr>
            </a:clrTo>
          </a:clrChange>
        </a:blip>
        <a:stretch>
          <a:fillRect/>
        </a:stretch>
      </xdr:blipFill>
      <xdr:spPr>
        <a:xfrm>
          <a:off x="3367087" y="623887"/>
          <a:ext cx="1415027" cy="3300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V47"/>
  <sheetViews>
    <sheetView tabSelected="1" workbookViewId="0">
      <selection activeCell="U31" sqref="U31"/>
    </sheetView>
  </sheetViews>
  <sheetFormatPr defaultRowHeight="15" x14ac:dyDescent="0.4"/>
  <cols>
    <col min="1" max="13" width="9.06640625" style="1"/>
    <col min="14" max="14" width="11.06640625" style="1" customWidth="1"/>
    <col min="15" max="15" width="11" style="1" customWidth="1"/>
    <col min="16" max="16" width="12.796875" style="1" customWidth="1"/>
    <col min="17" max="16384" width="9.06640625" style="1"/>
  </cols>
  <sheetData>
    <row r="3" spans="11:19" x14ac:dyDescent="0.4">
      <c r="K3" s="1" t="s">
        <v>0</v>
      </c>
      <c r="L3" s="1">
        <f>(1+SQRT(5))/2</f>
        <v>1.6180339887498949</v>
      </c>
    </row>
    <row r="5" spans="11:19" x14ac:dyDescent="0.4">
      <c r="K5" s="1" t="s">
        <v>50</v>
      </c>
      <c r="L5" s="1">
        <f>1/phi</f>
        <v>0.61803398874989479</v>
      </c>
      <c r="N5" s="1" t="s">
        <v>1</v>
      </c>
      <c r="O5" s="1">
        <f>2*HI*TAN(RADIANS(54))</f>
        <v>828.172360741337</v>
      </c>
      <c r="Q5" s="1">
        <f>500/809*500</f>
        <v>309.02348578491967</v>
      </c>
    </row>
    <row r="6" spans="11:19" x14ac:dyDescent="0.4">
      <c r="N6" s="1" t="s">
        <v>2</v>
      </c>
      <c r="O6" s="1">
        <f>O5/phi</f>
        <v>511.8386674813853</v>
      </c>
    </row>
    <row r="7" spans="11:19" x14ac:dyDescent="0.4">
      <c r="N7" s="1" t="s">
        <v>4</v>
      </c>
      <c r="O7" s="1">
        <f>O5-O6</f>
        <v>316.3336932599517</v>
      </c>
    </row>
    <row r="8" spans="11:19" x14ac:dyDescent="0.4">
      <c r="N8" s="5" t="s">
        <v>26</v>
      </c>
      <c r="O8" s="6">
        <f>O6-O7</f>
        <v>195.5049742214336</v>
      </c>
      <c r="Q8" s="1" t="s">
        <v>21</v>
      </c>
      <c r="R8" s="1">
        <f>O8/O20</f>
        <v>0.40162283177245428</v>
      </c>
      <c r="S8" s="8" t="s">
        <v>46</v>
      </c>
    </row>
    <row r="9" spans="11:19" x14ac:dyDescent="0.4">
      <c r="N9" s="2" t="s">
        <v>17</v>
      </c>
      <c r="O9" s="1">
        <f>O5/2</f>
        <v>414.0861803706685</v>
      </c>
      <c r="Q9" s="1" t="s">
        <v>22</v>
      </c>
      <c r="R9" s="1">
        <f>Top_Dia/Body_Height</f>
        <v>1.0514622242382667</v>
      </c>
      <c r="S9" s="8" t="s">
        <v>47</v>
      </c>
    </row>
    <row r="10" spans="11:19" x14ac:dyDescent="0.4">
      <c r="N10" s="2" t="s">
        <v>16</v>
      </c>
      <c r="O10" s="1">
        <f>180-360/5</f>
        <v>108</v>
      </c>
      <c r="P10" s="1" t="s">
        <v>20</v>
      </c>
    </row>
    <row r="11" spans="11:19" x14ac:dyDescent="0.4">
      <c r="N11" s="5" t="s">
        <v>24</v>
      </c>
      <c r="O11" s="6">
        <f>O9/SIN(RADIANS(O10/2))</f>
        <v>511.8386674813853</v>
      </c>
      <c r="Q11" s="1" t="s">
        <v>30</v>
      </c>
      <c r="R11" s="7">
        <f>O11/AD</f>
        <v>0.61803398874989479</v>
      </c>
      <c r="S11" s="8" t="s">
        <v>51</v>
      </c>
    </row>
    <row r="12" spans="11:19" x14ac:dyDescent="0.4">
      <c r="N12" s="2" t="s">
        <v>18</v>
      </c>
      <c r="O12" s="3">
        <f>2*TAN(RADIANS(18))*COS(RADIANS(54))*Cone_Height/(1-2*TAN(RADIANS(18))*COS(RADIANS(54)))</f>
        <v>300.8512202985894</v>
      </c>
    </row>
    <row r="13" spans="11:19" x14ac:dyDescent="0.4">
      <c r="Q13" s="1" t="s">
        <v>48</v>
      </c>
      <c r="R13" s="1">
        <f>Top_Dia/Base_Dia</f>
        <v>2.6180339887498953</v>
      </c>
      <c r="S13" s="8" t="s">
        <v>49</v>
      </c>
    </row>
    <row r="14" spans="11:19" x14ac:dyDescent="0.4">
      <c r="M14" s="10">
        <f>O5</f>
        <v>828.172360741337</v>
      </c>
      <c r="N14" s="11" t="s">
        <v>6</v>
      </c>
      <c r="O14" s="12" t="s">
        <v>23</v>
      </c>
      <c r="P14" s="10">
        <f>M14*P15/M15</f>
        <v>316.33369325995159</v>
      </c>
    </row>
    <row r="15" spans="11:19" x14ac:dyDescent="0.4">
      <c r="M15" s="13">
        <f>O11</f>
        <v>511.8386674813853</v>
      </c>
      <c r="N15" s="13" t="s">
        <v>8</v>
      </c>
      <c r="O15" s="13" t="s">
        <v>3</v>
      </c>
      <c r="P15" s="13">
        <f>O8</f>
        <v>195.5049742214336</v>
      </c>
    </row>
    <row r="17" spans="11:22" x14ac:dyDescent="0.4">
      <c r="M17" s="3">
        <f>O12</f>
        <v>300.8512202985894</v>
      </c>
      <c r="N17" s="4" t="s">
        <v>5</v>
      </c>
      <c r="O17" s="9" t="s">
        <v>7</v>
      </c>
      <c r="P17" s="3">
        <f>M17*P18/M18</f>
        <v>787.63872029858942</v>
      </c>
      <c r="R17" s="1">
        <f>45/200</f>
        <v>0.22500000000000001</v>
      </c>
      <c r="S17" s="1">
        <f>1/R17</f>
        <v>4.4444444444444446</v>
      </c>
    </row>
    <row r="18" spans="11:22" x14ac:dyDescent="0.4">
      <c r="M18" s="3">
        <f>O8/2</f>
        <v>97.7524871107168</v>
      </c>
      <c r="N18" s="1" t="s">
        <v>29</v>
      </c>
      <c r="O18" s="1" t="s">
        <v>28</v>
      </c>
      <c r="P18" s="3">
        <f>O11/2</f>
        <v>255.91933374069265</v>
      </c>
    </row>
    <row r="19" spans="11:22" ht="13.5" customHeight="1" x14ac:dyDescent="0.4">
      <c r="R19" s="1" t="s">
        <v>52</v>
      </c>
    </row>
    <row r="20" spans="11:22" x14ac:dyDescent="0.4">
      <c r="N20" s="5" t="s">
        <v>25</v>
      </c>
      <c r="O20" s="19">
        <f>GI-HI</f>
        <v>486.78750000000002</v>
      </c>
      <c r="R20" s="1" t="s">
        <v>34</v>
      </c>
      <c r="S20" s="1">
        <v>45</v>
      </c>
    </row>
    <row r="21" spans="11:22" x14ac:dyDescent="0.4">
      <c r="R21" s="1" t="s">
        <v>35</v>
      </c>
      <c r="S21" s="1">
        <f>S20*R13</f>
        <v>117.8115294937453</v>
      </c>
    </row>
    <row r="22" spans="11:22" x14ac:dyDescent="0.4">
      <c r="N22" s="14" t="s">
        <v>39</v>
      </c>
      <c r="O22" s="1">
        <f>32.5*2</f>
        <v>65</v>
      </c>
      <c r="R22" s="2" t="s">
        <v>53</v>
      </c>
      <c r="S22" s="1">
        <f>(S21-S20)/(Height-Top_of_Bottom_Height)</f>
        <v>0.14957559406054036</v>
      </c>
    </row>
    <row r="23" spans="11:22" x14ac:dyDescent="0.4">
      <c r="N23" s="14" t="s">
        <v>37</v>
      </c>
      <c r="O23" s="1">
        <v>5</v>
      </c>
    </row>
    <row r="24" spans="11:22" x14ac:dyDescent="0.4">
      <c r="N24" s="14" t="s">
        <v>56</v>
      </c>
      <c r="O24" s="1">
        <v>5</v>
      </c>
    </row>
    <row r="25" spans="11:22" x14ac:dyDescent="0.4">
      <c r="N25" s="14" t="s">
        <v>33</v>
      </c>
      <c r="O25" s="15">
        <f>(Body_Height-R30)/2-5</f>
        <v>245</v>
      </c>
    </row>
    <row r="26" spans="11:22" x14ac:dyDescent="0.4">
      <c r="N26" s="14" t="s">
        <v>54</v>
      </c>
      <c r="O26" s="3">
        <f>Bearing_Height/2+Shelf_Thickness</f>
        <v>19.287500000000001</v>
      </c>
    </row>
    <row r="27" spans="11:22" x14ac:dyDescent="0.4">
      <c r="N27" s="14" t="s">
        <v>45</v>
      </c>
      <c r="O27" s="3">
        <v>28.574999999999999</v>
      </c>
    </row>
    <row r="29" spans="11:22" ht="45" x14ac:dyDescent="0.4">
      <c r="N29" s="17" t="s">
        <v>42</v>
      </c>
      <c r="O29" s="17" t="s">
        <v>60</v>
      </c>
      <c r="P29" s="17"/>
      <c r="R29" s="17" t="s">
        <v>41</v>
      </c>
      <c r="S29" s="17" t="s">
        <v>40</v>
      </c>
      <c r="T29" s="17" t="s">
        <v>55</v>
      </c>
      <c r="U29" s="17" t="s">
        <v>59</v>
      </c>
      <c r="V29" s="17" t="s">
        <v>61</v>
      </c>
    </row>
    <row r="30" spans="11:22" x14ac:dyDescent="0.4">
      <c r="M30" s="14"/>
      <c r="N30" s="15">
        <v>0</v>
      </c>
      <c r="O30" s="15">
        <f>(N30/Body_Height)*(Top_Dia-Base_Dia)+Base_Dia</f>
        <v>195.5049742214336</v>
      </c>
      <c r="P30" s="1" t="s">
        <v>38</v>
      </c>
      <c r="R30" s="15">
        <f>Ground_Height-Top_of_Bottom_Height</f>
        <v>-13.212499999999999</v>
      </c>
      <c r="S30" s="15">
        <f t="shared" ref="S30:S37" si="0">N30-Axie_Height</f>
        <v>-32.5</v>
      </c>
      <c r="T30" s="15">
        <f t="shared" ref="T30:T37" si="1">O30-2*Wall_Thickness</f>
        <v>185.5049742214336</v>
      </c>
      <c r="U30" s="15">
        <f>(N30-N$32)/(N$37-N$32)*(U$37-U$32)+U$32</f>
        <v>43.058447409546922</v>
      </c>
      <c r="V30" s="15">
        <f>U30-2*Wall_Thickness</f>
        <v>33.058447409546922</v>
      </c>
    </row>
    <row r="31" spans="11:22" x14ac:dyDescent="0.4">
      <c r="M31" s="15"/>
      <c r="N31" s="15">
        <f>Axie_Height-Shelf_Bearing_Height</f>
        <v>13.212499999999999</v>
      </c>
      <c r="O31" s="15">
        <f>Base_Dia</f>
        <v>195.5049742214336</v>
      </c>
      <c r="P31" s="1" t="s">
        <v>58</v>
      </c>
      <c r="R31" s="15">
        <f>Top_of_Bottom_Height-Top_of_Bottom_Height</f>
        <v>0</v>
      </c>
      <c r="S31" s="15">
        <f t="shared" si="0"/>
        <v>-19.287500000000001</v>
      </c>
      <c r="T31" s="15">
        <f t="shared" si="1"/>
        <v>185.5049742214336</v>
      </c>
      <c r="U31" s="15">
        <f>U32-Shelf_Thickness*SIN(RADIANS(5))</f>
        <v>54.564221286261706</v>
      </c>
      <c r="V31" s="15">
        <f>U31-2*Wall_Thickness</f>
        <v>44.564221286261706</v>
      </c>
    </row>
    <row r="32" spans="11:22" x14ac:dyDescent="0.4">
      <c r="K32" s="18" t="s">
        <v>44</v>
      </c>
      <c r="L32" s="15">
        <f>2*TAN(RADIANS(18))*COS(RADIANS(54))*R36/(1-2*TAN(RADIANS(18))*COS(RADIANS(54)))</f>
        <v>263.76918097359572</v>
      </c>
      <c r="N32" s="15">
        <f>Top_of_Bottom_Height+Shelf_Thickness</f>
        <v>18.212499999999999</v>
      </c>
      <c r="O32" s="15">
        <f t="shared" ref="O32:O37" si="2">(R32/Body_Height)*(Top_Dia-Base_Dia)+Base_Dia</f>
        <v>198.75417118376265</v>
      </c>
      <c r="P32" s="1" t="s">
        <v>57</v>
      </c>
      <c r="R32" s="15">
        <f t="shared" ref="R32:R37" si="3">N32-Top_of_Bottom_Height</f>
        <v>5</v>
      </c>
      <c r="S32" s="15">
        <f t="shared" si="0"/>
        <v>-14.287500000000001</v>
      </c>
      <c r="T32" s="15">
        <f t="shared" si="1"/>
        <v>188.75417118376265</v>
      </c>
      <c r="U32" s="16">
        <f>V32+2*Wall_Thickness</f>
        <v>55</v>
      </c>
      <c r="V32" s="16">
        <v>45</v>
      </c>
    </row>
    <row r="33" spans="12:22" x14ac:dyDescent="0.4">
      <c r="N33" s="15">
        <f>Wheel_Dia/2</f>
        <v>32.5</v>
      </c>
      <c r="O33" s="15">
        <f t="shared" si="2"/>
        <v>208.03875150361796</v>
      </c>
      <c r="P33" s="1" t="s">
        <v>36</v>
      </c>
      <c r="R33" s="15">
        <f t="shared" si="3"/>
        <v>19.287500000000001</v>
      </c>
      <c r="S33" s="15">
        <f t="shared" si="0"/>
        <v>0</v>
      </c>
      <c r="T33" s="15">
        <f t="shared" si="1"/>
        <v>198.03875150361796</v>
      </c>
      <c r="U33" s="15">
        <f t="shared" ref="U33:U36" si="4">(N33-N$32)/(N$37-N$32)*(U$37-U$32)+U$32</f>
        <v>64.368012773430252</v>
      </c>
      <c r="V33" s="15">
        <f>U33-2*Wall_Thickness</f>
        <v>54.368012773430252</v>
      </c>
    </row>
    <row r="34" spans="12:22" x14ac:dyDescent="0.4">
      <c r="N34" s="15">
        <f>Height/2</f>
        <v>250</v>
      </c>
      <c r="O34" s="15">
        <f t="shared" si="2"/>
        <v>349.37881936493216</v>
      </c>
      <c r="P34" s="1" t="s">
        <v>43</v>
      </c>
      <c r="R34" s="15">
        <f t="shared" si="3"/>
        <v>236.78749999999999</v>
      </c>
      <c r="S34" s="15">
        <f t="shared" si="0"/>
        <v>217.5</v>
      </c>
      <c r="T34" s="15">
        <f t="shared" si="1"/>
        <v>339.37881936493216</v>
      </c>
      <c r="U34" s="15">
        <f t="shared" si="4"/>
        <v>206.97818097788019</v>
      </c>
      <c r="V34" s="15">
        <f>U34-2*Wall_Thickness</f>
        <v>196.97818097788019</v>
      </c>
    </row>
    <row r="35" spans="12:22" x14ac:dyDescent="0.4">
      <c r="N35" s="15">
        <f>Arm_Pivot_Height+Shelf_Bearing_Height</f>
        <v>269.28750000000002</v>
      </c>
      <c r="O35" s="15">
        <f t="shared" si="2"/>
        <v>361.91259664711652</v>
      </c>
      <c r="P35" s="1" t="s">
        <v>31</v>
      </c>
      <c r="R35" s="15">
        <f t="shared" si="3"/>
        <v>256.07500000000005</v>
      </c>
      <c r="S35" s="15">
        <f t="shared" si="0"/>
        <v>236.78750000000002</v>
      </c>
      <c r="T35" s="15">
        <f t="shared" si="1"/>
        <v>351.91259664711652</v>
      </c>
      <c r="U35" s="16">
        <f t="shared" si="4"/>
        <v>219.62458842267714</v>
      </c>
      <c r="V35" s="16">
        <f>U35-2*Wall_Thickness</f>
        <v>209.62458842267714</v>
      </c>
    </row>
    <row r="36" spans="12:22" x14ac:dyDescent="0.4">
      <c r="N36" s="15">
        <f>Height-60</f>
        <v>440</v>
      </c>
      <c r="O36" s="15">
        <f t="shared" si="2"/>
        <v>472.84830393343657</v>
      </c>
      <c r="P36" s="1" t="s">
        <v>32</v>
      </c>
      <c r="R36" s="15">
        <f t="shared" si="3"/>
        <v>426.78750000000002</v>
      </c>
      <c r="S36" s="15">
        <f t="shared" si="0"/>
        <v>407.5</v>
      </c>
      <c r="T36" s="15">
        <f t="shared" si="1"/>
        <v>462.84830393343657</v>
      </c>
      <c r="U36" s="15">
        <f t="shared" si="4"/>
        <v>331.55717848981351</v>
      </c>
      <c r="V36" s="15">
        <f>U36-2*Wall_Thickness</f>
        <v>321.55717848981351</v>
      </c>
    </row>
    <row r="37" spans="12:22" ht="15.4" x14ac:dyDescent="0.45">
      <c r="M37" s="1">
        <f>Cone_Height+Top_of_Bottom_Height</f>
        <v>500</v>
      </c>
      <c r="N37" s="20">
        <v>500</v>
      </c>
      <c r="O37" s="15">
        <f t="shared" si="2"/>
        <v>511.8386674813853</v>
      </c>
      <c r="P37" s="1" t="s">
        <v>35</v>
      </c>
      <c r="R37" s="15">
        <f t="shared" si="3"/>
        <v>486.78750000000002</v>
      </c>
      <c r="S37" s="15">
        <f t="shared" si="0"/>
        <v>467.5</v>
      </c>
      <c r="T37" s="15">
        <f t="shared" si="1"/>
        <v>501.8386674813853</v>
      </c>
      <c r="U37" s="16">
        <f>U31+2*(N37-N31)*TAN(RADIANS(18))</f>
        <v>370.89791454621349</v>
      </c>
      <c r="V37" s="16">
        <f>U37-2*Wall_Thickness</f>
        <v>360.89791454621349</v>
      </c>
    </row>
    <row r="39" spans="12:22" x14ac:dyDescent="0.4">
      <c r="N39" s="2" t="s">
        <v>15</v>
      </c>
      <c r="O39" s="8" t="s">
        <v>19</v>
      </c>
    </row>
    <row r="40" spans="12:22" x14ac:dyDescent="0.4">
      <c r="O40" s="3">
        <f>DEGREES(ACOS(P17/M14))</f>
        <v>17.99999999999995</v>
      </c>
      <c r="P40" s="1" t="s">
        <v>20</v>
      </c>
    </row>
    <row r="42" spans="12:22" x14ac:dyDescent="0.4">
      <c r="O42" s="1" t="s">
        <v>14</v>
      </c>
    </row>
    <row r="43" spans="12:22" x14ac:dyDescent="0.4">
      <c r="L43" s="1" t="s">
        <v>9</v>
      </c>
      <c r="N43" s="2" t="s">
        <v>13</v>
      </c>
      <c r="O43" s="1">
        <v>1</v>
      </c>
    </row>
    <row r="45" spans="12:22" x14ac:dyDescent="0.4">
      <c r="L45" s="1" t="s">
        <v>10</v>
      </c>
      <c r="N45" s="2" t="s">
        <v>12</v>
      </c>
      <c r="O45" s="7">
        <f>O43*(O11/O20)</f>
        <v>1.0514622242382667</v>
      </c>
    </row>
    <row r="46" spans="12:22" x14ac:dyDescent="0.4">
      <c r="N46" s="2" t="s">
        <v>11</v>
      </c>
      <c r="O46" s="7">
        <f>O43*(O8/O20)</f>
        <v>0.40162283177245428</v>
      </c>
    </row>
    <row r="47" spans="12:22" x14ac:dyDescent="0.4">
      <c r="N47" s="1" t="s">
        <v>27</v>
      </c>
      <c r="O47" s="1">
        <f>O5*(O43/O20)</f>
        <v>1.7013016167040791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Sheet1</vt:lpstr>
      <vt:lpstr>AB</vt:lpstr>
      <vt:lpstr>AC</vt:lpstr>
      <vt:lpstr>AD</vt:lpstr>
      <vt:lpstr>AH</vt:lpstr>
      <vt:lpstr>Arm_Length</vt:lpstr>
      <vt:lpstr>Arm_Pivot_Height</vt:lpstr>
      <vt:lpstr>Axie_Height</vt:lpstr>
      <vt:lpstr>Base_Dia</vt:lpstr>
      <vt:lpstr>Bearing_Height</vt:lpstr>
      <vt:lpstr>Body_Height</vt:lpstr>
      <vt:lpstr>Bottom_Height</vt:lpstr>
      <vt:lpstr>CI</vt:lpstr>
      <vt:lpstr>Cone_Angle</vt:lpstr>
      <vt:lpstr>Cone_Height</vt:lpstr>
      <vt:lpstr>FI</vt:lpstr>
      <vt:lpstr>GF</vt:lpstr>
      <vt:lpstr>GI</vt:lpstr>
      <vt:lpstr>Ground_Height</vt:lpstr>
      <vt:lpstr>HC</vt:lpstr>
      <vt:lpstr>Height</vt:lpstr>
      <vt:lpstr>HI</vt:lpstr>
      <vt:lpstr>Inside_Hex_Angle</vt:lpstr>
      <vt:lpstr>Middle_Shelf_Height</vt:lpstr>
      <vt:lpstr>phi</vt:lpstr>
      <vt:lpstr>Shelf_Bearing_Height</vt:lpstr>
      <vt:lpstr>Shelf_Thickness</vt:lpstr>
      <vt:lpstr>Top_Dia</vt:lpstr>
      <vt:lpstr>Top_of_Bottom_Height</vt:lpstr>
      <vt:lpstr>Top_Shelf_Height</vt:lpstr>
      <vt:lpstr>Wall_Thickness</vt:lpstr>
      <vt:lpstr>Wheel_Dia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PaulJ</dc:creator>
  <cp:lastModifiedBy>PaulJ</cp:lastModifiedBy>
  <dcterms:created xsi:type="dcterms:W3CDTF">2020-09-22T01:54:47Z</dcterms:created>
  <dcterms:modified xsi:type="dcterms:W3CDTF">2020-10-26T18:41:20Z</dcterms:modified>
</cp:coreProperties>
</file>