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iarmuidCollins\OneDrive - Endura Technologies\Documents\Analog_Design\Coherant_Sampling\"/>
    </mc:Choice>
  </mc:AlternateContent>
  <xr:revisionPtr revIDLastSave="0" documentId="13_ncr:1_{B55A8B20-FCB8-40D7-A698-A1665C97CF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herant_sampling" sheetId="1" r:id="rId1"/>
    <sheet name="Square_wave_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1" l="1"/>
  <c r="O47" i="1"/>
  <c r="O46" i="1"/>
  <c r="F13" i="2"/>
  <c r="G13" i="2"/>
  <c r="F12" i="2"/>
  <c r="F22" i="1"/>
  <c r="D22" i="1" l="1"/>
  <c r="G22" i="1" l="1"/>
  <c r="E12" i="2" l="1"/>
  <c r="I13" i="2"/>
  <c r="I14" i="2"/>
  <c r="I15" i="2"/>
  <c r="I16" i="2"/>
  <c r="I17" i="2"/>
  <c r="I12" i="2"/>
  <c r="E6" i="2"/>
  <c r="E5" i="2"/>
  <c r="F17" i="2" l="1"/>
  <c r="H17" i="2" s="1"/>
  <c r="J17" i="2" s="1"/>
  <c r="E7" i="2"/>
  <c r="G12" i="2" s="1"/>
  <c r="H12" i="2"/>
  <c r="J12" i="2" s="1"/>
  <c r="L12" i="2" s="1"/>
  <c r="M12" i="2" s="1"/>
  <c r="F15" i="2"/>
  <c r="F14" i="2"/>
  <c r="F16" i="2"/>
  <c r="H22" i="1"/>
  <c r="G17" i="2" l="1"/>
  <c r="H16" i="2"/>
  <c r="J16" i="2" s="1"/>
  <c r="G16" i="2"/>
  <c r="H15" i="2"/>
  <c r="J15" i="2" s="1"/>
  <c r="G15" i="2"/>
  <c r="L17" i="2"/>
  <c r="M17" i="2" s="1"/>
  <c r="K17" i="2"/>
  <c r="H13" i="2"/>
  <c r="J13" i="2" s="1"/>
  <c r="G14" i="2"/>
  <c r="H14" i="2"/>
  <c r="J14" i="2" s="1"/>
  <c r="K12" i="2" l="1"/>
  <c r="K19" i="2" s="1"/>
  <c r="K15" i="2"/>
  <c r="L15" i="2"/>
  <c r="M15" i="2" s="1"/>
  <c r="K14" i="2"/>
  <c r="L14" i="2"/>
  <c r="M14" i="2" s="1"/>
  <c r="K13" i="2"/>
  <c r="L13" i="2"/>
  <c r="M13" i="2" s="1"/>
  <c r="K16" i="2"/>
  <c r="L16" i="2"/>
  <c r="M16" i="2" s="1"/>
  <c r="K20" i="2" l="1"/>
  <c r="K21" i="2" s="1"/>
  <c r="G36" i="1"/>
  <c r="F36" i="1"/>
  <c r="H36" i="1" l="1"/>
  <c r="D36" i="1"/>
  <c r="B36" i="1"/>
  <c r="B22" i="1"/>
  <c r="I22" i="1" l="1"/>
  <c r="J22" i="1" s="1"/>
  <c r="J20" i="1" s="1"/>
  <c r="K22" i="1" s="1"/>
  <c r="R22" i="1"/>
  <c r="I36" i="1"/>
  <c r="J36" i="1" s="1"/>
  <c r="J34" i="1" s="1"/>
  <c r="K36" i="1" s="1"/>
  <c r="R36" i="1"/>
  <c r="L22" i="1" l="1"/>
  <c r="N22" i="1" s="1"/>
  <c r="E8" i="2" s="1"/>
  <c r="L36" i="1"/>
  <c r="E16" i="2" l="1"/>
  <c r="E17" i="2"/>
  <c r="E14" i="2"/>
  <c r="E15" i="2"/>
  <c r="E13" i="2"/>
  <c r="N23" i="1"/>
  <c r="L25" i="1"/>
  <c r="L24" i="1"/>
  <c r="L31" i="1"/>
  <c r="L29" i="1"/>
  <c r="L59" i="1"/>
  <c r="L51" i="1"/>
  <c r="L28" i="1"/>
  <c r="L32" i="1"/>
  <c r="L61" i="1"/>
  <c r="L53" i="1"/>
  <c r="L30" i="1"/>
  <c r="L27" i="1"/>
  <c r="L57" i="1"/>
  <c r="L26" i="1"/>
  <c r="L33" i="1"/>
  <c r="L55" i="1"/>
  <c r="L62" i="1"/>
  <c r="L54" i="1"/>
  <c r="L45" i="1"/>
  <c r="L42" i="1"/>
  <c r="L50" i="1"/>
  <c r="L44" i="1"/>
  <c r="L41" i="1"/>
  <c r="L60" i="1"/>
  <c r="L52" i="1"/>
  <c r="L43" i="1"/>
  <c r="L58" i="1"/>
  <c r="L49" i="1"/>
  <c r="L40" i="1"/>
  <c r="N36" i="1"/>
  <c r="L56" i="1"/>
  <c r="L47" i="1"/>
  <c r="L39" i="1"/>
  <c r="L46" i="1"/>
  <c r="L38" i="1"/>
  <c r="O22" i="1" l="1"/>
  <c r="S22" i="1"/>
  <c r="P22" i="1"/>
  <c r="Q22" i="1" s="1"/>
  <c r="O36" i="1"/>
  <c r="L63" i="1"/>
  <c r="S36" i="1"/>
  <c r="P36" i="1"/>
  <c r="Q36" i="1" s="1"/>
  <c r="L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Diarmuid Collins</author>
  </authors>
  <commentList>
    <comment ref="J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If M_round is even this cell equals 1.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M_new = M_round + this cell. This ensures M is odd.</t>
        </r>
      </text>
    </comment>
    <comment ref="R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Calculated with both expressions. S22 goes green when both results match i.e. when %error = 0.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Note: Equals 1/fft_res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 sampling frequency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Calculated sampling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Enter carrier frequency</t>
        </r>
      </text>
    </comment>
    <comment ref="D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Calculated carrier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Enter sampling resolution (bits)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 xr:uid="{A4AA26AF-CCE2-4316-AC05-74BF1122811F}">
      <text>
        <r>
          <rPr>
            <b/>
            <sz val="9"/>
            <color indexed="81"/>
            <rFont val="Tahoma"/>
            <family val="2"/>
          </rPr>
          <t>Increase num bits if not sufficient. Beware of sim time!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 = # of samples = 2^b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 = N * (fc/fs)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M_new = whole no. and odd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fc = (M_new / N)*fs.
Cell displays to 10 decimal places.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Accuracy. You need to increase this until %error =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fc calculated to "sig_digit" decimal places. Fc_sig_dig ≠ fc if %error ≠ 0. Cell displays to 10 decimal places.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The %error between fc and fc_sig_dig. Will go red unless = 0 i.e. will go red unless large enough # sig_digit is used.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fs = (N / M_new)*fc. Cell displays to 10 decimal places.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fs displayed in Hz. Only equals fs in A14 if %error = 0 (large enough sig_dig). Cell highlights green then.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<sst xmlns="http://schemas.openxmlformats.org/spreadsheetml/2006/main" count="99" uniqueCount="67">
  <si>
    <r>
      <rPr>
        <b/>
        <sz val="11"/>
        <color theme="1"/>
        <rFont val="Calibri"/>
        <family val="2"/>
        <scheme val="minor"/>
      </rPr>
      <t>Coherancy sampling calculator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Note: This assumes N is to the power of 2. 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Results correlate with those from: </t>
    </r>
    <r>
      <rPr>
        <i/>
        <sz val="11"/>
        <color rgb="FF0070C0"/>
        <rFont val="Calibri"/>
        <family val="2"/>
        <scheme val="minor"/>
      </rPr>
      <t xml:space="preserve">https://www.maximintegrated.com/en/design/tools/calculators/general-engineering/coherent-sampling.cfm
</t>
    </r>
    <r>
      <rPr>
        <i/>
        <sz val="11"/>
        <color theme="1"/>
        <rFont val="Calibri"/>
        <family val="2"/>
        <scheme val="minor"/>
      </rPr>
      <t>Note: The rounding algorithm for "M_round" always rounds up. This is purely to correlate with maxim which seems to round up also. It could just as accurately be rounded down.</t>
    </r>
  </si>
  <si>
    <t>Sampling window (us)</t>
  </si>
  <si>
    <t>fs (Hz)</t>
  </si>
  <si>
    <t>Ts (s)</t>
  </si>
  <si>
    <t>fc (Hz)</t>
  </si>
  <si>
    <t>Tc (s)</t>
  </si>
  <si>
    <t>b (bits)</t>
  </si>
  <si>
    <t>N (#)</t>
  </si>
  <si>
    <t>M (#)</t>
  </si>
  <si>
    <t>M_round</t>
  </si>
  <si>
    <t>M_new</t>
  </si>
  <si>
    <t>fc (MHz)</t>
  </si>
  <si>
    <t>sig_dig</t>
  </si>
  <si>
    <t>fc_sig_dig (MHz)</t>
  </si>
  <si>
    <t>%error</t>
  </si>
  <si>
    <t>fs (MHz)</t>
  </si>
  <si>
    <t>N*Ts</t>
  </si>
  <si>
    <t>M_new*(1/fc_sig_dig)</t>
  </si>
  <si>
    <t>Harmonics (MHz)</t>
  </si>
  <si>
    <t>HD2</t>
  </si>
  <si>
    <t>HD3</t>
  </si>
  <si>
    <t>HD4</t>
  </si>
  <si>
    <t>HD5</t>
  </si>
  <si>
    <t>HD6</t>
  </si>
  <si>
    <t>HD7</t>
  </si>
  <si>
    <t>HD8</t>
  </si>
  <si>
    <t>HD9</t>
  </si>
  <si>
    <t>HD10</t>
  </si>
  <si>
    <t>HD11</t>
  </si>
  <si>
    <t>IM products</t>
  </si>
  <si>
    <t>IM2_1</t>
  </si>
  <si>
    <t>IM2_2</t>
  </si>
  <si>
    <t>IM3_1</t>
  </si>
  <si>
    <t>IM3_2</t>
  </si>
  <si>
    <t>IM3_3</t>
  </si>
  <si>
    <t>IM3_4</t>
  </si>
  <si>
    <t>IM4_1</t>
  </si>
  <si>
    <t>IM4_2</t>
  </si>
  <si>
    <t>IM4_3</t>
  </si>
  <si>
    <t>IM4_4</t>
  </si>
  <si>
    <t>IM5_1</t>
  </si>
  <si>
    <t>IM5_2</t>
  </si>
  <si>
    <t>IM5_3</t>
  </si>
  <si>
    <t>IM5_4</t>
  </si>
  <si>
    <t xml:space="preserve">Beat freq </t>
  </si>
  <si>
    <t xml:space="preserve">Sum freq </t>
  </si>
  <si>
    <t>fft_res = fmin (Hz)</t>
  </si>
  <si>
    <t>fmax (Hz)</t>
  </si>
  <si>
    <t>fo (MHz)</t>
  </si>
  <si>
    <t>Vmax (V)</t>
  </si>
  <si>
    <t>Vmin (V)</t>
  </si>
  <si>
    <t>Vamp (V)</t>
  </si>
  <si>
    <t>Vdc (V)</t>
  </si>
  <si>
    <t>H</t>
  </si>
  <si>
    <t>Vdc (dB)</t>
  </si>
  <si>
    <t>Vamp (dB)</t>
  </si>
  <si>
    <t>P_har (W)</t>
  </si>
  <si>
    <t>P_orig (W)</t>
  </si>
  <si>
    <t>P_har/P_orig</t>
  </si>
  <si>
    <t>P_har/P_orig (%)</t>
  </si>
  <si>
    <t>P_har/P_orig (dB)</t>
  </si>
  <si>
    <t>Chk</t>
  </si>
  <si>
    <t>Rload (ohm)</t>
  </si>
  <si>
    <t>P_DC/H1/H3/H5 (%)</t>
  </si>
  <si>
    <t>P_H1/H3/H5 (%)</t>
  </si>
  <si>
    <t>P_DC (%)</t>
  </si>
  <si>
    <t>f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</si>
</sst>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00"/>
    <numFmt numFmtId="166" formatCode="0.0000000000"/>
    <numFmt numFmtId="167" formatCode="0.0000000"/>
    <numFmt numFmtId="168" formatCode="0.000E+00"/>
    <numFmt numFmtId="169" formatCode="0.000"/>
    <numFmt numFmtId="170" formatCode="0.00000000000"/>
    <numFmt numFmtId="171" formatCode="0.E+00"/>
    <numFmt numFmtId="172" formatCode="0.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left"/>
    </xf>
    <xf numFmtId="165" fontId="0" fillId="0" borderId="20" xfId="0" applyNumberForma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70" fontId="0" fillId="0" borderId="0" xfId="0" applyNumberFormat="1" applyAlignment="1">
      <alignment horizontal="center"/>
    </xf>
    <xf numFmtId="166" fontId="0" fillId="0" borderId="22" xfId="0" applyNumberForma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72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381000</xdr:colOff>
      <xdr:row>15</xdr:row>
      <xdr:rowOff>134470</xdr:rowOff>
    </xdr:from>
    <xdr:to>
      <xdr:col>27</xdr:col>
      <xdr:colOff>55652</xdr:colOff>
      <xdr:row>49</xdr:row>
      <xdr:rowOff>56333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B4E85-B218-43B0-9A04-A934D45B8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8176" y="3384176"/>
          <a:ext cx="3914286" cy="6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zoomScale="85" zoomScaleNormal="85" workbookViewId="0">
      <selection activeCell="E22" sqref="E22"/>
    </sheetView>
  </sheetViews>
  <sheetFormatPr defaultColWidth="9.109375" defaultRowHeight="14.4" x14ac:dyDescent="0.3"/>
  <cols>
    <col min="1" max="1" width="9.6640625" style="1" bestFit="1" customWidth="1"/>
    <col min="2" max="2" width="9.44140625" style="1" bestFit="1" customWidth="1"/>
    <col min="3" max="3" width="9.6640625" style="1" bestFit="1" customWidth="1"/>
    <col min="4" max="4" width="9.44140625" style="1" bestFit="1" customWidth="1"/>
    <col min="5" max="5" width="9.21875" style="1" bestFit="1" customWidth="1"/>
    <col min="6" max="6" width="17.5546875" style="1" bestFit="1" customWidth="1"/>
    <col min="7" max="7" width="9.5546875" style="1" bestFit="1" customWidth="1"/>
    <col min="8" max="8" width="6.109375" style="1" bestFit="1" customWidth="1"/>
    <col min="9" max="9" width="5.6640625" style="1" bestFit="1" customWidth="1"/>
    <col min="10" max="10" width="9.21875" style="1" bestFit="1" customWidth="1"/>
    <col min="11" max="11" width="10" style="1" bestFit="1" customWidth="1"/>
    <col min="12" max="12" width="12.88671875" style="1" bestFit="1" customWidth="1"/>
    <col min="13" max="13" width="7.6640625" style="1" bestFit="1" customWidth="1"/>
    <col min="14" max="14" width="17.21875" style="1" bestFit="1" customWidth="1"/>
    <col min="15" max="15" width="11.6640625" style="1" bestFit="1" customWidth="1"/>
    <col min="16" max="16" width="15" style="1" bestFit="1" customWidth="1"/>
    <col min="17" max="17" width="9.6640625" style="1" bestFit="1" customWidth="1"/>
    <col min="18" max="18" width="8.109375" style="1" bestFit="1" customWidth="1"/>
    <col min="19" max="19" width="21.21875" style="1" bestFit="1" customWidth="1"/>
    <col min="20" max="16384" width="9.109375" style="1"/>
  </cols>
  <sheetData>
    <row r="1" spans="1:19" ht="45.7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9" spans="1:19" x14ac:dyDescent="0.3">
      <c r="B9" s="2"/>
      <c r="E9" s="3"/>
      <c r="F9" s="3"/>
      <c r="G9" s="3"/>
    </row>
    <row r="10" spans="1:19" x14ac:dyDescent="0.3">
      <c r="B10" s="2"/>
      <c r="E10" s="4"/>
      <c r="F10" s="4"/>
      <c r="G10" s="4"/>
      <c r="H10" s="5"/>
    </row>
    <row r="11" spans="1:19" x14ac:dyDescent="0.3">
      <c r="B11" s="2"/>
    </row>
    <row r="12" spans="1:19" x14ac:dyDescent="0.3">
      <c r="B12" s="2"/>
      <c r="E12" s="6"/>
      <c r="F12" s="6"/>
      <c r="G12" s="6"/>
    </row>
    <row r="15" spans="1:19" x14ac:dyDescent="0.3">
      <c r="B15" s="3"/>
    </row>
    <row r="16" spans="1:19" x14ac:dyDescent="0.3">
      <c r="B16" s="3"/>
      <c r="C16" s="3"/>
    </row>
    <row r="17" spans="1:19" x14ac:dyDescent="0.3">
      <c r="B17" s="3"/>
      <c r="C17" s="3"/>
    </row>
    <row r="18" spans="1:19" x14ac:dyDescent="0.3">
      <c r="B18" s="3"/>
    </row>
    <row r="19" spans="1:19" ht="15" thickBot="1" x14ac:dyDescent="0.35"/>
    <row r="20" spans="1:19" ht="15" thickBot="1" x14ac:dyDescent="0.35">
      <c r="J20" s="7">
        <f>IF(MOD(J22,2)=0,1,0)</f>
        <v>1</v>
      </c>
      <c r="R20" s="52" t="s">
        <v>1</v>
      </c>
      <c r="S20" s="53"/>
    </row>
    <row r="21" spans="1:19" ht="15" thickBot="1" x14ac:dyDescent="0.35">
      <c r="A21" s="8" t="s">
        <v>2</v>
      </c>
      <c r="B21" s="9" t="s">
        <v>3</v>
      </c>
      <c r="C21" s="10" t="s">
        <v>4</v>
      </c>
      <c r="D21" s="9" t="s">
        <v>5</v>
      </c>
      <c r="E21" s="9" t="s">
        <v>6</v>
      </c>
      <c r="F21" s="10" t="s">
        <v>46</v>
      </c>
      <c r="G21" s="9" t="s">
        <v>47</v>
      </c>
      <c r="H21" s="11" t="s">
        <v>7</v>
      </c>
      <c r="I21" s="10" t="s">
        <v>8</v>
      </c>
      <c r="J21" s="9" t="s">
        <v>9</v>
      </c>
      <c r="K21" s="12" t="s">
        <v>10</v>
      </c>
      <c r="L21" s="13" t="s">
        <v>11</v>
      </c>
      <c r="M21" s="9" t="s">
        <v>12</v>
      </c>
      <c r="N21" s="9" t="s">
        <v>13</v>
      </c>
      <c r="O21" s="10" t="s">
        <v>14</v>
      </c>
      <c r="P21" s="11" t="s">
        <v>15</v>
      </c>
      <c r="Q21" s="10" t="s">
        <v>2</v>
      </c>
      <c r="R21" s="14" t="s">
        <v>16</v>
      </c>
      <c r="S21" s="15" t="s">
        <v>17</v>
      </c>
    </row>
    <row r="22" spans="1:19" ht="15" thickBot="1" x14ac:dyDescent="0.35">
      <c r="A22" s="16">
        <v>40000000</v>
      </c>
      <c r="B22" s="17">
        <f>1/A22</f>
        <v>2.4999999999999999E-8</v>
      </c>
      <c r="C22" s="18">
        <v>1000000</v>
      </c>
      <c r="D22" s="17">
        <f>1/C22</f>
        <v>9.9999999999999995E-7</v>
      </c>
      <c r="E22" s="25">
        <v>10</v>
      </c>
      <c r="F22" s="47">
        <f>A22/2^E22</f>
        <v>39062.5</v>
      </c>
      <c r="G22" s="48">
        <f>A22/2</f>
        <v>20000000</v>
      </c>
      <c r="H22" s="20">
        <f>2^E22</f>
        <v>1024</v>
      </c>
      <c r="I22" s="21">
        <f>(B22*H22)/D22</f>
        <v>25.6</v>
      </c>
      <c r="J22" s="22">
        <f>ROUNDUP(I22,0)</f>
        <v>26</v>
      </c>
      <c r="K22" s="23">
        <f>J22+J20</f>
        <v>27</v>
      </c>
      <c r="L22" s="24">
        <f>((K22/H22)*A22)/1000000</f>
        <v>1.0546875</v>
      </c>
      <c r="M22" s="25">
        <v>14</v>
      </c>
      <c r="N22" s="50">
        <f>ROUND(L22,M22)</f>
        <v>1.0546875</v>
      </c>
      <c r="O22" s="18">
        <f>100-((N22/L22)*100)</f>
        <v>0</v>
      </c>
      <c r="P22" s="27">
        <f>(H22/K22)*N22</f>
        <v>40</v>
      </c>
      <c r="Q22" s="18">
        <f>P22*1000000</f>
        <v>40000000</v>
      </c>
      <c r="R22" s="28">
        <f>(H22*B22)*1000000</f>
        <v>25.599999999999998</v>
      </c>
      <c r="S22" s="29">
        <f>(K22*(1/(N22*1000000)))*1000000</f>
        <v>25.599999999999998</v>
      </c>
    </row>
    <row r="23" spans="1:19" ht="15" thickBot="1" x14ac:dyDescent="0.35">
      <c r="K23" s="52" t="s">
        <v>18</v>
      </c>
      <c r="L23" s="53"/>
      <c r="N23" s="1">
        <f>N22*1000</f>
        <v>1054.6875</v>
      </c>
    </row>
    <row r="24" spans="1:19" x14ac:dyDescent="0.3">
      <c r="K24" s="30" t="s">
        <v>19</v>
      </c>
      <c r="L24" s="31">
        <f>2*L22</f>
        <v>2.109375</v>
      </c>
    </row>
    <row r="25" spans="1:19" x14ac:dyDescent="0.3">
      <c r="K25" s="32" t="s">
        <v>20</v>
      </c>
      <c r="L25" s="33">
        <f>3*L22</f>
        <v>3.1640625</v>
      </c>
    </row>
    <row r="26" spans="1:19" x14ac:dyDescent="0.3">
      <c r="K26" s="32" t="s">
        <v>21</v>
      </c>
      <c r="L26" s="33">
        <f>4*L22</f>
        <v>4.21875</v>
      </c>
    </row>
    <row r="27" spans="1:19" x14ac:dyDescent="0.3">
      <c r="K27" s="32" t="s">
        <v>22</v>
      </c>
      <c r="L27" s="33">
        <f>5*L22</f>
        <v>5.2734375</v>
      </c>
    </row>
    <row r="28" spans="1:19" x14ac:dyDescent="0.3">
      <c r="K28" s="32" t="s">
        <v>23</v>
      </c>
      <c r="L28" s="33">
        <f>6*L22</f>
        <v>6.328125</v>
      </c>
    </row>
    <row r="29" spans="1:19" x14ac:dyDescent="0.3">
      <c r="K29" s="32" t="s">
        <v>24</v>
      </c>
      <c r="L29" s="33">
        <f>7*L22</f>
        <v>7.3828125</v>
      </c>
    </row>
    <row r="30" spans="1:19" x14ac:dyDescent="0.3">
      <c r="K30" s="32" t="s">
        <v>25</v>
      </c>
      <c r="L30" s="33">
        <f>8*L22</f>
        <v>8.4375</v>
      </c>
    </row>
    <row r="31" spans="1:19" x14ac:dyDescent="0.3">
      <c r="K31" s="32" t="s">
        <v>26</v>
      </c>
      <c r="L31" s="33">
        <f>9*L22</f>
        <v>9.4921875</v>
      </c>
    </row>
    <row r="32" spans="1:19" x14ac:dyDescent="0.3">
      <c r="K32" s="32" t="s">
        <v>27</v>
      </c>
      <c r="L32" s="33">
        <f>10*L22</f>
        <v>10.546875</v>
      </c>
    </row>
    <row r="33" spans="1:19" ht="15" thickBot="1" x14ac:dyDescent="0.35">
      <c r="K33" s="34" t="s">
        <v>28</v>
      </c>
      <c r="L33" s="35">
        <f>11*L22</f>
        <v>11.6015625</v>
      </c>
    </row>
    <row r="34" spans="1:19" ht="15" thickBot="1" x14ac:dyDescent="0.35">
      <c r="J34" s="7">
        <f>IF(MOD(J36,2)=0,1,0)</f>
        <v>1</v>
      </c>
      <c r="K34" s="36"/>
      <c r="L34" s="37"/>
    </row>
    <row r="35" spans="1:19" ht="15" thickBot="1" x14ac:dyDescent="0.35">
      <c r="A35" s="8" t="s">
        <v>2</v>
      </c>
      <c r="B35" s="9" t="s">
        <v>3</v>
      </c>
      <c r="C35" s="10" t="s">
        <v>4</v>
      </c>
      <c r="D35" s="9" t="s">
        <v>5</v>
      </c>
      <c r="E35" s="10" t="s">
        <v>6</v>
      </c>
      <c r="F35" s="10" t="s">
        <v>46</v>
      </c>
      <c r="G35" s="9" t="s">
        <v>47</v>
      </c>
      <c r="H35" s="11" t="s">
        <v>7</v>
      </c>
      <c r="I35" s="10" t="s">
        <v>8</v>
      </c>
      <c r="J35" s="9" t="s">
        <v>9</v>
      </c>
      <c r="K35" s="12" t="s">
        <v>10</v>
      </c>
      <c r="L35" s="13" t="s">
        <v>11</v>
      </c>
      <c r="M35" s="9" t="s">
        <v>12</v>
      </c>
      <c r="N35" s="9" t="s">
        <v>13</v>
      </c>
      <c r="O35" s="10" t="s">
        <v>14</v>
      </c>
      <c r="P35" s="11" t="s">
        <v>15</v>
      </c>
      <c r="Q35" s="10" t="s">
        <v>2</v>
      </c>
      <c r="R35" s="14" t="s">
        <v>16</v>
      </c>
      <c r="S35" s="15" t="s">
        <v>17</v>
      </c>
    </row>
    <row r="36" spans="1:19" ht="15" thickBot="1" x14ac:dyDescent="0.35">
      <c r="A36" s="16">
        <v>100000000</v>
      </c>
      <c r="B36" s="17">
        <f>1/A36</f>
        <v>1E-8</v>
      </c>
      <c r="C36" s="18">
        <v>700000</v>
      </c>
      <c r="D36" s="17">
        <f>1/C36</f>
        <v>1.4285714285714286E-6</v>
      </c>
      <c r="E36" s="19">
        <v>10</v>
      </c>
      <c r="F36" s="47">
        <f>A36/2^E36</f>
        <v>97656.25</v>
      </c>
      <c r="G36" s="48">
        <f>A36/2</f>
        <v>50000000</v>
      </c>
      <c r="H36" s="20">
        <f>2^E36</f>
        <v>1024</v>
      </c>
      <c r="I36" s="21">
        <f>(B36*H36)/D36</f>
        <v>7.1680000000000001</v>
      </c>
      <c r="J36" s="22">
        <f>ROUNDUP(I36,0)</f>
        <v>8</v>
      </c>
      <c r="K36" s="23">
        <f>J36+J34</f>
        <v>9</v>
      </c>
      <c r="L36" s="24">
        <f>((K36/H36)*A36)/1000000</f>
        <v>0.87890625</v>
      </c>
      <c r="M36" s="25">
        <v>8</v>
      </c>
      <c r="N36" s="26">
        <f>ROUND(L36,M36)</f>
        <v>0.87890625</v>
      </c>
      <c r="O36" s="18">
        <f>100-((N36/L36)*100)</f>
        <v>0</v>
      </c>
      <c r="P36" s="27">
        <f>(H36/K36)*N36</f>
        <v>100</v>
      </c>
      <c r="Q36" s="18">
        <f>P36*1000000</f>
        <v>100000000</v>
      </c>
      <c r="R36" s="28">
        <f>(H36*B36)*1000000</f>
        <v>10.24</v>
      </c>
      <c r="S36" s="29">
        <f>(K36*(1/(N36*1000000)))*1000000</f>
        <v>10.24</v>
      </c>
    </row>
    <row r="37" spans="1:19" ht="15" thickBot="1" x14ac:dyDescent="0.35">
      <c r="K37" s="52" t="s">
        <v>18</v>
      </c>
      <c r="L37" s="53"/>
    </row>
    <row r="38" spans="1:19" x14ac:dyDescent="0.3">
      <c r="K38" s="30" t="s">
        <v>19</v>
      </c>
      <c r="L38" s="31">
        <f>2*L36</f>
        <v>1.7578125</v>
      </c>
    </row>
    <row r="39" spans="1:19" x14ac:dyDescent="0.3">
      <c r="K39" s="32" t="s">
        <v>20</v>
      </c>
      <c r="L39" s="33">
        <f>3*L36</f>
        <v>2.63671875</v>
      </c>
    </row>
    <row r="40" spans="1:19" x14ac:dyDescent="0.3">
      <c r="C40" s="38"/>
      <c r="K40" s="32" t="s">
        <v>21</v>
      </c>
      <c r="L40" s="33">
        <f>4*L36</f>
        <v>3.515625</v>
      </c>
    </row>
    <row r="41" spans="1:19" x14ac:dyDescent="0.3">
      <c r="K41" s="32" t="s">
        <v>22</v>
      </c>
      <c r="L41" s="33">
        <f>5*L36</f>
        <v>4.39453125</v>
      </c>
    </row>
    <row r="42" spans="1:19" x14ac:dyDescent="0.3">
      <c r="K42" s="32" t="s">
        <v>23</v>
      </c>
      <c r="L42" s="33">
        <f>6*L36</f>
        <v>5.2734375</v>
      </c>
    </row>
    <row r="43" spans="1:19" x14ac:dyDescent="0.3">
      <c r="K43" s="32" t="s">
        <v>24</v>
      </c>
      <c r="L43" s="33">
        <f>7*L36</f>
        <v>6.15234375</v>
      </c>
    </row>
    <row r="44" spans="1:19" x14ac:dyDescent="0.3">
      <c r="K44" s="32" t="s">
        <v>25</v>
      </c>
      <c r="L44" s="33">
        <f>8*L36</f>
        <v>7.03125</v>
      </c>
    </row>
    <row r="45" spans="1:19" x14ac:dyDescent="0.3">
      <c r="D45" s="2"/>
      <c r="K45" s="32" t="s">
        <v>26</v>
      </c>
      <c r="L45" s="33">
        <f>9*L36</f>
        <v>7.91015625</v>
      </c>
    </row>
    <row r="46" spans="1:19" x14ac:dyDescent="0.3">
      <c r="K46" s="32" t="s">
        <v>27</v>
      </c>
      <c r="L46" s="33">
        <f>10*L36</f>
        <v>8.7890625</v>
      </c>
      <c r="O46" s="1">
        <f>1/40000000</f>
        <v>2.4999999999999999E-8</v>
      </c>
    </row>
    <row r="47" spans="1:19" ht="15" thickBot="1" x14ac:dyDescent="0.35">
      <c r="D47" s="2"/>
      <c r="K47" s="34" t="s">
        <v>28</v>
      </c>
      <c r="L47" s="35">
        <f>11*L36</f>
        <v>9.66796875</v>
      </c>
      <c r="O47" s="1">
        <f>1000000*O46</f>
        <v>2.4999999999999998E-2</v>
      </c>
      <c r="P47" s="1">
        <f>4096/40000000</f>
        <v>1.024E-4</v>
      </c>
    </row>
    <row r="48" spans="1:19" ht="15" thickBot="1" x14ac:dyDescent="0.35">
      <c r="K48" s="54" t="s">
        <v>29</v>
      </c>
      <c r="L48" s="55"/>
    </row>
    <row r="49" spans="4:12" x14ac:dyDescent="0.3">
      <c r="D49" s="2"/>
      <c r="K49" s="30" t="s">
        <v>30</v>
      </c>
      <c r="L49" s="39">
        <f>L36-L22</f>
        <v>-0.17578125</v>
      </c>
    </row>
    <row r="50" spans="4:12" x14ac:dyDescent="0.3">
      <c r="K50" s="32" t="s">
        <v>31</v>
      </c>
      <c r="L50" s="40">
        <f>L36+L22</f>
        <v>1.93359375</v>
      </c>
    </row>
    <row r="51" spans="4:12" x14ac:dyDescent="0.3">
      <c r="D51" s="2"/>
      <c r="K51" s="32" t="s">
        <v>32</v>
      </c>
      <c r="L51" s="41">
        <f>(2*L22)-L36</f>
        <v>1.23046875</v>
      </c>
    </row>
    <row r="52" spans="4:12" x14ac:dyDescent="0.3">
      <c r="D52" s="2"/>
      <c r="K52" s="32" t="s">
        <v>33</v>
      </c>
      <c r="L52" s="41">
        <f>(2*L36)-L22</f>
        <v>0.703125</v>
      </c>
    </row>
    <row r="53" spans="4:12" x14ac:dyDescent="0.3">
      <c r="K53" s="32" t="s">
        <v>34</v>
      </c>
      <c r="L53" s="41">
        <f>(2*L22)+L36</f>
        <v>2.98828125</v>
      </c>
    </row>
    <row r="54" spans="4:12" x14ac:dyDescent="0.3">
      <c r="K54" s="32" t="s">
        <v>35</v>
      </c>
      <c r="L54" s="41">
        <f>(2*L36)+L22</f>
        <v>2.8125</v>
      </c>
    </row>
    <row r="55" spans="4:12" x14ac:dyDescent="0.3">
      <c r="K55" s="32" t="s">
        <v>36</v>
      </c>
      <c r="L55" s="41">
        <f>(3*L22)-L36</f>
        <v>2.28515625</v>
      </c>
    </row>
    <row r="56" spans="4:12" x14ac:dyDescent="0.3">
      <c r="K56" s="32" t="s">
        <v>37</v>
      </c>
      <c r="L56" s="41">
        <f>(3*L36)-L22</f>
        <v>1.58203125</v>
      </c>
    </row>
    <row r="57" spans="4:12" x14ac:dyDescent="0.3">
      <c r="K57" s="32" t="s">
        <v>38</v>
      </c>
      <c r="L57" s="41">
        <f>(3*L22)+L36</f>
        <v>4.04296875</v>
      </c>
    </row>
    <row r="58" spans="4:12" x14ac:dyDescent="0.3">
      <c r="K58" s="32" t="s">
        <v>39</v>
      </c>
      <c r="L58" s="41">
        <f>(3*L36)+L22</f>
        <v>3.69140625</v>
      </c>
    </row>
    <row r="59" spans="4:12" x14ac:dyDescent="0.3">
      <c r="K59" s="32" t="s">
        <v>40</v>
      </c>
      <c r="L59" s="41">
        <f>(3*L22)-(2*L36)</f>
        <v>1.40625</v>
      </c>
    </row>
    <row r="60" spans="4:12" x14ac:dyDescent="0.3">
      <c r="K60" s="32" t="s">
        <v>41</v>
      </c>
      <c r="L60" s="42">
        <f>(3*L36)-(2*L22)</f>
        <v>0.52734375</v>
      </c>
    </row>
    <row r="61" spans="4:12" x14ac:dyDescent="0.3">
      <c r="K61" s="32" t="s">
        <v>42</v>
      </c>
      <c r="L61" s="41">
        <f>(3*L22)+(2*L36)</f>
        <v>4.921875</v>
      </c>
    </row>
    <row r="62" spans="4:12" ht="15" thickBot="1" x14ac:dyDescent="0.35">
      <c r="K62" s="43" t="s">
        <v>43</v>
      </c>
      <c r="L62" s="44">
        <f>(3*L36)+(2*L22)</f>
        <v>4.74609375</v>
      </c>
    </row>
    <row r="63" spans="4:12" x14ac:dyDescent="0.3">
      <c r="K63" s="45" t="s">
        <v>44</v>
      </c>
      <c r="L63" s="39">
        <f>N36-N22</f>
        <v>-0.17578125</v>
      </c>
    </row>
    <row r="64" spans="4:12" ht="15" thickBot="1" x14ac:dyDescent="0.35">
      <c r="K64" s="46" t="s">
        <v>45</v>
      </c>
      <c r="L64" s="44">
        <f>(N22+N36)/2</f>
        <v>0.966796875</v>
      </c>
    </row>
  </sheetData>
  <mergeCells count="5">
    <mergeCell ref="A1:S2"/>
    <mergeCell ref="R20:S20"/>
    <mergeCell ref="K23:L23"/>
    <mergeCell ref="K37:L37"/>
    <mergeCell ref="K48:L48"/>
  </mergeCells>
  <conditionalFormatting sqref="O22">
    <cfRule type="cellIs" dxfId="4" priority="5" operator="notEqual">
      <formula>0</formula>
    </cfRule>
  </conditionalFormatting>
  <conditionalFormatting sqref="O36">
    <cfRule type="cellIs" dxfId="3" priority="2" operator="notEqual">
      <formula>0</formula>
    </cfRule>
  </conditionalFormatting>
  <conditionalFormatting sqref="Q22">
    <cfRule type="cellIs" dxfId="2" priority="6" operator="equal">
      <formula>$A$22</formula>
    </cfRule>
  </conditionalFormatting>
  <conditionalFormatting sqref="Q36">
    <cfRule type="cellIs" dxfId="1" priority="3" operator="equal">
      <formula>$A$22</formula>
    </cfRule>
  </conditionalFormatting>
  <conditionalFormatting sqref="S22 S36">
    <cfRule type="cellIs" dxfId="0" priority="4" operator="equal">
      <formula>$R$22</formula>
    </cfRule>
  </conditionalFormatting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D360-81EF-4CF7-B88B-975EFC4289FD}">
  <dimension ref="D3:M24"/>
  <sheetViews>
    <sheetView workbookViewId="0">
      <selection activeCell="J3" sqref="J3"/>
    </sheetView>
  </sheetViews>
  <sheetFormatPr defaultColWidth="9.109375" defaultRowHeight="14.4" x14ac:dyDescent="0.3"/>
  <cols>
    <col min="1" max="3" width="9.109375" style="1"/>
    <col min="4" max="4" width="11.88671875" style="1" bestFit="1" customWidth="1"/>
    <col min="5" max="5" width="12.6640625" style="1" bestFit="1" customWidth="1"/>
    <col min="6" max="6" width="10.21875" style="1" bestFit="1" customWidth="1"/>
    <col min="7" max="7" width="9.6640625" style="1" bestFit="1" customWidth="1"/>
    <col min="8" max="8" width="10.21875" style="1" bestFit="1" customWidth="1"/>
    <col min="9" max="10" width="18.6640625" style="1" bestFit="1" customWidth="1"/>
    <col min="11" max="12" width="16.6640625" style="1" bestFit="1" customWidth="1"/>
    <col min="13" max="16384" width="9.109375" style="1"/>
  </cols>
  <sheetData>
    <row r="3" spans="4:13" x14ac:dyDescent="0.3">
      <c r="D3" s="36" t="s">
        <v>49</v>
      </c>
      <c r="E3" s="1">
        <v>1</v>
      </c>
    </row>
    <row r="4" spans="4:13" x14ac:dyDescent="0.3">
      <c r="D4" s="36" t="s">
        <v>50</v>
      </c>
      <c r="E4" s="1">
        <v>0</v>
      </c>
    </row>
    <row r="5" spans="4:13" x14ac:dyDescent="0.3">
      <c r="D5" s="36" t="s">
        <v>51</v>
      </c>
      <c r="E5" s="1">
        <f>(E3+ABS(E4))/2</f>
        <v>0.5</v>
      </c>
    </row>
    <row r="6" spans="4:13" x14ac:dyDescent="0.3">
      <c r="D6" s="36" t="s">
        <v>52</v>
      </c>
      <c r="E6" s="1">
        <f>(E3+E4)/2</f>
        <v>0.5</v>
      </c>
    </row>
    <row r="7" spans="4:13" x14ac:dyDescent="0.3">
      <c r="D7" s="36" t="s">
        <v>54</v>
      </c>
      <c r="E7" s="49">
        <f>20*LOG10(E6)</f>
        <v>-6.0205999132796242</v>
      </c>
    </row>
    <row r="8" spans="4:13" x14ac:dyDescent="0.3">
      <c r="D8" s="36" t="s">
        <v>48</v>
      </c>
      <c r="E8" s="1">
        <f>Coherant_sampling!N22</f>
        <v>1.0546875</v>
      </c>
    </row>
    <row r="9" spans="4:13" x14ac:dyDescent="0.3">
      <c r="D9" s="36" t="s">
        <v>62</v>
      </c>
      <c r="E9" s="1">
        <v>1</v>
      </c>
    </row>
    <row r="11" spans="4:13" x14ac:dyDescent="0.3">
      <c r="D11" s="1" t="s">
        <v>53</v>
      </c>
      <c r="E11" s="1" t="s">
        <v>66</v>
      </c>
      <c r="F11" s="1" t="s">
        <v>51</v>
      </c>
      <c r="G11" s="1" t="s">
        <v>55</v>
      </c>
      <c r="H11" s="1" t="s">
        <v>56</v>
      </c>
      <c r="I11" s="1" t="s">
        <v>57</v>
      </c>
      <c r="J11" s="1" t="s">
        <v>58</v>
      </c>
      <c r="K11" s="1" t="s">
        <v>59</v>
      </c>
      <c r="L11" s="1" t="s">
        <v>60</v>
      </c>
      <c r="M11" s="1" t="s">
        <v>61</v>
      </c>
    </row>
    <row r="12" spans="4:13" x14ac:dyDescent="0.3">
      <c r="D12" s="1">
        <v>0</v>
      </c>
      <c r="E12" s="1">
        <f>0</f>
        <v>0</v>
      </c>
      <c r="F12" s="49">
        <f>E6</f>
        <v>0.5</v>
      </c>
      <c r="G12" s="49">
        <f>E7</f>
        <v>-6.0205999132796242</v>
      </c>
      <c r="H12" s="49">
        <f>(F12*F12)/$E$9</f>
        <v>0.25</v>
      </c>
      <c r="I12" s="49">
        <f>($E$3+ABS($E$4))/$E$9</f>
        <v>1</v>
      </c>
      <c r="J12" s="49">
        <f>H12/I12</f>
        <v>0.25</v>
      </c>
      <c r="K12" s="49">
        <f>100*J12</f>
        <v>25</v>
      </c>
      <c r="L12" s="49">
        <f>20*LOG10(J12)</f>
        <v>-12.041199826559248</v>
      </c>
      <c r="M12" s="49">
        <f>(10^(L12/20))*100</f>
        <v>24.999999999999993</v>
      </c>
    </row>
    <row r="13" spans="4:13" x14ac:dyDescent="0.3">
      <c r="D13" s="1">
        <v>1</v>
      </c>
      <c r="E13" s="1">
        <f>D13*$E$8</f>
        <v>1.0546875</v>
      </c>
      <c r="F13" s="49">
        <f>(4*$E$5)/(D13*3.1416)</f>
        <v>0.63661828367710727</v>
      </c>
      <c r="G13" s="49">
        <f>20*LOG10(F13)</f>
        <v>-3.9224178519676118</v>
      </c>
      <c r="H13" s="49">
        <f t="shared" ref="H13:H17" si="0">(F13*F13)/$E$9</f>
        <v>0.40528283911198582</v>
      </c>
      <c r="I13" s="49">
        <f t="shared" ref="I13:I17" si="1">($E$3+ABS($E$4))/$E$9</f>
        <v>1</v>
      </c>
      <c r="J13" s="49">
        <f t="shared" ref="J13:J17" si="2">H13/I13</f>
        <v>0.40528283911198582</v>
      </c>
      <c r="K13" s="49">
        <f t="shared" ref="K13:K17" si="3">100*J13</f>
        <v>40.528283911198585</v>
      </c>
      <c r="L13" s="49">
        <f t="shared" ref="L13:L17" si="4">20*LOG10(J13)</f>
        <v>-7.8448357039352237</v>
      </c>
      <c r="M13" s="49">
        <f t="shared" ref="M13:M17" si="5">(10^(L13/20))*100</f>
        <v>40.528283911198585</v>
      </c>
    </row>
    <row r="14" spans="4:13" x14ac:dyDescent="0.3">
      <c r="D14" s="1">
        <v>3</v>
      </c>
      <c r="E14" s="1">
        <f t="shared" ref="E14:E15" si="6">D14*$E$8</f>
        <v>3.1640625</v>
      </c>
      <c r="F14" s="49">
        <f>(4*$E$5)/(D14*3.1416)</f>
        <v>0.21220609455903575</v>
      </c>
      <c r="G14" s="49">
        <f t="shared" ref="G14:G17" si="7">20*LOG10(F14)</f>
        <v>-13.464842946360861</v>
      </c>
      <c r="H14" s="49">
        <f t="shared" si="0"/>
        <v>4.5031426567998419E-2</v>
      </c>
      <c r="I14" s="49">
        <f t="shared" si="1"/>
        <v>1</v>
      </c>
      <c r="J14" s="49">
        <f t="shared" si="2"/>
        <v>4.5031426567998419E-2</v>
      </c>
      <c r="K14" s="49">
        <f t="shared" si="3"/>
        <v>4.5031426567998416</v>
      </c>
      <c r="L14" s="49">
        <f t="shared" si="4"/>
        <v>-26.929685892721725</v>
      </c>
      <c r="M14" s="49">
        <f t="shared" si="5"/>
        <v>4.5031426567998389</v>
      </c>
    </row>
    <row r="15" spans="4:13" x14ac:dyDescent="0.3">
      <c r="D15" s="1">
        <v>5</v>
      </c>
      <c r="E15" s="1">
        <f t="shared" si="6"/>
        <v>5.2734375</v>
      </c>
      <c r="F15" s="49">
        <f>(4*$E$5)/(D15*3.1416)</f>
        <v>0.12732365673542145</v>
      </c>
      <c r="G15" s="49">
        <f t="shared" si="7"/>
        <v>-17.901817938687987</v>
      </c>
      <c r="H15" s="49">
        <f t="shared" si="0"/>
        <v>1.6211313564479433E-2</v>
      </c>
      <c r="I15" s="49">
        <f t="shared" si="1"/>
        <v>1</v>
      </c>
      <c r="J15" s="49">
        <f t="shared" si="2"/>
        <v>1.6211313564479433E-2</v>
      </c>
      <c r="K15" s="49">
        <f t="shared" si="3"/>
        <v>1.6211313564479433</v>
      </c>
      <c r="L15" s="49">
        <f t="shared" si="4"/>
        <v>-35.803635877375974</v>
      </c>
      <c r="M15" s="49">
        <f t="shared" si="5"/>
        <v>1.6211313564479426</v>
      </c>
    </row>
    <row r="16" spans="4:13" x14ac:dyDescent="0.3">
      <c r="D16" s="1">
        <v>7</v>
      </c>
      <c r="E16" s="1">
        <f>D16*$E$8</f>
        <v>7.3828125</v>
      </c>
      <c r="F16" s="49">
        <f>(4*$E$5)/(D16*3.1416)</f>
        <v>9.0945469096729598E-2</v>
      </c>
      <c r="G16" s="49">
        <f t="shared" si="7"/>
        <v>-20.824378652252751</v>
      </c>
      <c r="H16" s="49">
        <f t="shared" si="0"/>
        <v>8.2710783492241976E-3</v>
      </c>
      <c r="I16" s="49">
        <f t="shared" si="1"/>
        <v>1</v>
      </c>
      <c r="J16" s="49">
        <f t="shared" si="2"/>
        <v>8.2710783492241976E-3</v>
      </c>
      <c r="K16" s="49">
        <f t="shared" si="3"/>
        <v>0.82710783492241979</v>
      </c>
      <c r="L16" s="49">
        <f t="shared" si="4"/>
        <v>-41.648757304505502</v>
      </c>
      <c r="M16" s="49">
        <f t="shared" si="5"/>
        <v>0.82710783492241891</v>
      </c>
    </row>
    <row r="17" spans="4:13" x14ac:dyDescent="0.3">
      <c r="D17" s="1">
        <v>20</v>
      </c>
      <c r="E17" s="1">
        <f>D17*$E$8</f>
        <v>21.09375</v>
      </c>
      <c r="F17" s="49">
        <f>(4*$E$5)/(D17*3.1416)</f>
        <v>3.1830914183855363E-2</v>
      </c>
      <c r="G17" s="49">
        <f t="shared" si="7"/>
        <v>-29.943017765247237</v>
      </c>
      <c r="H17" s="49">
        <f t="shared" si="0"/>
        <v>1.0132070977799646E-3</v>
      </c>
      <c r="I17" s="49">
        <f t="shared" si="1"/>
        <v>1</v>
      </c>
      <c r="J17" s="49">
        <f t="shared" si="2"/>
        <v>1.0132070977799646E-3</v>
      </c>
      <c r="K17" s="49">
        <f t="shared" si="3"/>
        <v>0.10132070977799645</v>
      </c>
      <c r="L17" s="49">
        <f t="shared" si="4"/>
        <v>-59.886035530494475</v>
      </c>
      <c r="M17" s="49">
        <f t="shared" si="5"/>
        <v>0.10132070977799637</v>
      </c>
    </row>
    <row r="18" spans="4:13" x14ac:dyDescent="0.3">
      <c r="F18" s="49"/>
      <c r="G18" s="49"/>
      <c r="H18" s="49"/>
      <c r="I18" s="49"/>
      <c r="J18" s="49"/>
      <c r="K18" s="49"/>
      <c r="L18" s="49"/>
      <c r="M18" s="49"/>
    </row>
    <row r="19" spans="4:13" x14ac:dyDescent="0.3">
      <c r="F19" s="49"/>
      <c r="G19" s="49"/>
      <c r="H19" s="49"/>
      <c r="I19" s="49"/>
      <c r="J19" s="36" t="s">
        <v>65</v>
      </c>
      <c r="K19" s="49">
        <f>K12</f>
        <v>25</v>
      </c>
      <c r="L19" s="49"/>
      <c r="M19" s="49"/>
    </row>
    <row r="20" spans="4:13" x14ac:dyDescent="0.3">
      <c r="J20" s="36" t="s">
        <v>64</v>
      </c>
      <c r="K20" s="49">
        <f>SUM(K13:K15)</f>
        <v>46.65255792444637</v>
      </c>
    </row>
    <row r="21" spans="4:13" x14ac:dyDescent="0.3">
      <c r="J21" s="36" t="s">
        <v>63</v>
      </c>
      <c r="K21" s="49">
        <f>K19+K20</f>
        <v>71.65255792444637</v>
      </c>
    </row>
    <row r="23" spans="4:13" x14ac:dyDescent="0.3">
      <c r="I23" s="49"/>
      <c r="J23" s="49"/>
    </row>
    <row r="24" spans="4:13" x14ac:dyDescent="0.3">
      <c r="J24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Coherant_sampling</vt:lpstr>
      <vt:lpstr>Square_wave_analysis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Collins</dc:creator>
  <cp:keywords>No Markings, , , , , , , , ,</cp:keywords>
  <cp:lastModifiedBy>Diarmuid Collins</cp:lastModifiedBy>
  <dcterms:created xsi:type="dcterms:W3CDTF">2018-05-01T07:04:49Z</dcterms:created>
  <dcterms:modified xsi:type="dcterms:W3CDTF">2024-01-21T22:13:05Z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96e2bcf3-51fa-49e4-99da-e7df5fb79dde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