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420" activeTab="1"/>
  </bookViews>
  <sheets>
    <sheet name="info" sheetId="2" r:id="rId1"/>
    <sheet name="mass yields and composi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4" l="1"/>
  <c r="D44" i="4"/>
  <c r="H51" i="4"/>
  <c r="G50" i="4"/>
  <c r="G49" i="4"/>
  <c r="H50" i="4"/>
  <c r="D41" i="4"/>
  <c r="F50" i="4" s="1"/>
  <c r="D39" i="4"/>
  <c r="F49" i="4" s="1"/>
  <c r="D28" i="4"/>
  <c r="D35" i="4" s="1"/>
  <c r="D19" i="4"/>
  <c r="D30" i="4" s="1"/>
  <c r="D37" i="4" s="1"/>
  <c r="D8" i="4"/>
  <c r="D9" i="4"/>
  <c r="D7" i="4"/>
  <c r="D23" i="4"/>
  <c r="D22" i="4"/>
  <c r="D32" i="4" s="1"/>
  <c r="D33" i="4" s="1"/>
  <c r="D26" i="4"/>
  <c r="D25" i="4"/>
  <c r="D24" i="4"/>
  <c r="D29" i="4" l="1"/>
  <c r="D36" i="4" s="1"/>
  <c r="D40" i="4"/>
  <c r="F51" i="4" s="1"/>
  <c r="D43" i="4"/>
  <c r="I49" i="4" s="1"/>
  <c r="I50" i="4"/>
  <c r="I51" i="4" l="1"/>
  <c r="E49" i="4" s="1" a="1"/>
  <c r="E49" i="4" s="1"/>
  <c r="D49" i="4" s="1"/>
  <c r="E50" i="4" l="1"/>
  <c r="D50" i="4" s="1"/>
  <c r="E51" i="4"/>
  <c r="D51" i="4" s="1"/>
  <c r="D54" i="4" s="1"/>
</calcChain>
</file>

<file path=xl/sharedStrings.xml><?xml version="1.0" encoding="utf-8"?>
<sst xmlns="http://schemas.openxmlformats.org/spreadsheetml/2006/main" count="136" uniqueCount="106">
  <si>
    <t>Name</t>
  </si>
  <si>
    <t>Author</t>
  </si>
  <si>
    <t>Elias Azzi</t>
  </si>
  <si>
    <t>Contact</t>
  </si>
  <si>
    <t>eazzi@kth.se</t>
  </si>
  <si>
    <t>Date</t>
  </si>
  <si>
    <t>Content description</t>
  </si>
  <si>
    <t>References</t>
  </si>
  <si>
    <t>Unit</t>
  </si>
  <si>
    <t>Symbol</t>
  </si>
  <si>
    <t>%</t>
  </si>
  <si>
    <t>3-coproduct-use-model-heat-production.xlsx</t>
  </si>
  <si>
    <t>Scenarios</t>
  </si>
  <si>
    <t>Model inputs</t>
  </si>
  <si>
    <t>A</t>
  </si>
  <si>
    <t>B</t>
  </si>
  <si>
    <t>C</t>
  </si>
  <si>
    <t>D</t>
  </si>
  <si>
    <t>E</t>
  </si>
  <si>
    <t>F</t>
  </si>
  <si>
    <t>G</t>
  </si>
  <si>
    <t xml:space="preserve">This second model is derived from the research article by [Woolf and colleagues (2014)](https://pubs.acs.org/doi/10.1021/es500474q) and further re-used by [Tisserant and colleagues (2021)](https://doi.org/10.1016/j.resconrec.2021.106030). The model allows to calculate the biochar, bio-oil and gas composition from a slow pyrolysis process, based on statistic regression from various experiments. 
</t>
  </si>
  <si>
    <t>Pyrolysis temperature</t>
  </si>
  <si>
    <t>HHT</t>
  </si>
  <si>
    <t>°C</t>
  </si>
  <si>
    <t>Biomass ligning content</t>
  </si>
  <si>
    <t>L</t>
  </si>
  <si>
    <t>Regression analysis functions</t>
  </si>
  <si>
    <t>F1</t>
  </si>
  <si>
    <t>Biochar yield from HHT &amp; L (Woolf 2021)</t>
  </si>
  <si>
    <t>Yield of CO (Woolf 2014)</t>
  </si>
  <si>
    <t>Yield of H2 (Woolf 2014)</t>
  </si>
  <si>
    <t>Yield of CH4 (Woolf 2014)</t>
  </si>
  <si>
    <t>F2</t>
  </si>
  <si>
    <t>F3</t>
  </si>
  <si>
    <t>F4</t>
  </si>
  <si>
    <t>F5</t>
  </si>
  <si>
    <t>eq ok, same val as Tiss</t>
  </si>
  <si>
    <t>diff, Tiss has 0.04</t>
  </si>
  <si>
    <t>Biomass C content, daf (dry ash free)</t>
  </si>
  <si>
    <t>Biomass H content, daf (dry ash free)</t>
  </si>
  <si>
    <t>Biomass O content, daf (dry ash free)</t>
  </si>
  <si>
    <t>C_bio_daf</t>
  </si>
  <si>
    <t>H_bio_daf</t>
  </si>
  <si>
    <t>O_bio_daf</t>
  </si>
  <si>
    <t>Biomass ash, dry basis</t>
  </si>
  <si>
    <t>ash_bio_db</t>
  </si>
  <si>
    <t>Biomass C content, dry basis</t>
  </si>
  <si>
    <t>Biomass H content, dry basis</t>
  </si>
  <si>
    <t>Biomass O content, dry basis</t>
  </si>
  <si>
    <t>C_bio_db</t>
  </si>
  <si>
    <t>H_bio_db</t>
  </si>
  <si>
    <t>O_bio_db</t>
  </si>
  <si>
    <t>F6</t>
  </si>
  <si>
    <t>Biochar C content, dry ash free (Woolf 2014)</t>
  </si>
  <si>
    <t>Biochar H content, dry ash free (Woolf 2014)</t>
  </si>
  <si>
    <t>Biochar O content, dry ash free (Woolf 2014)</t>
  </si>
  <si>
    <t>F7</t>
  </si>
  <si>
    <t>F8</t>
  </si>
  <si>
    <t>HHT, K</t>
  </si>
  <si>
    <t>Yield of C2Hx (approx. to C2H2) (Woolf 2014)</t>
  </si>
  <si>
    <t>Hypothesis: 100% biomass ash to biochar</t>
  </si>
  <si>
    <t>Biochar C content, db</t>
  </si>
  <si>
    <t>Biochar H content, db</t>
  </si>
  <si>
    <t>Biochar O content, db</t>
  </si>
  <si>
    <t>kg / kg biomass, daf</t>
  </si>
  <si>
    <t>kg / kg biochar, daf</t>
  </si>
  <si>
    <t>kg / kg biochar, db</t>
  </si>
  <si>
    <t>Biochar yield, db</t>
  </si>
  <si>
    <t>kg bc db / kg bio db</t>
  </si>
  <si>
    <t>Biochar ash content, db</t>
  </si>
  <si>
    <t>kg ash / kg biochar db</t>
  </si>
  <si>
    <t>diff, Tiss has 79.9</t>
  </si>
  <si>
    <t>diff, Tiss has 2.5</t>
  </si>
  <si>
    <t>diff, Tiss has 14.4</t>
  </si>
  <si>
    <t>Tar C content, daf (Woolf 2014)</t>
  </si>
  <si>
    <t>Tar O content, daf (Woolf 2014)</t>
  </si>
  <si>
    <t>Tar H content, daf (Woolf 2014)</t>
  </si>
  <si>
    <t>F9</t>
  </si>
  <si>
    <t>F10</t>
  </si>
  <si>
    <t>F11</t>
  </si>
  <si>
    <t>kg / kg tar daf</t>
  </si>
  <si>
    <t>Unaccounted H in other products</t>
  </si>
  <si>
    <t>Unaccounted O in other products</t>
  </si>
  <si>
    <t>Unaccounted C in other products</t>
  </si>
  <si>
    <t>U_C</t>
  </si>
  <si>
    <t>U_H</t>
  </si>
  <si>
    <t>U_O</t>
  </si>
  <si>
    <t>kg / kg bio daf</t>
  </si>
  <si>
    <t>Matrix inversion for mass balance</t>
  </si>
  <si>
    <t>X = inv(A) * U</t>
  </si>
  <si>
    <t>X</t>
  </si>
  <si>
    <t>Yield of tars, daf</t>
  </si>
  <si>
    <t>Yield of CO2, daf</t>
  </si>
  <si>
    <t>Yield of H2O, daf</t>
  </si>
  <si>
    <t>Y_tar</t>
  </si>
  <si>
    <t>Y_CO2</t>
  </si>
  <si>
    <t>Y_H2O</t>
  </si>
  <si>
    <t>U</t>
  </si>
  <si>
    <t>diff, Tiss 0.11 db</t>
  </si>
  <si>
    <t>diff, Tiss 0.22 db</t>
  </si>
  <si>
    <t>diff, Tiss 0.34 db</t>
  </si>
  <si>
    <t>&gt; wrong values…</t>
  </si>
  <si>
    <t>Sum of yields</t>
  </si>
  <si>
    <t>Y</t>
  </si>
  <si>
    <t xml:space="preserve">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</si>
</sst>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0"/>
    <numFmt numFmtId="166" formatCode="0.000"/>
    <numFmt numFmtId="168" formatCode="0.0%"/>
    <numFmt numFmtId="175" formatCode="0.00000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4" fillId="0" borderId="0" xfId="2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5" fontId="0" fillId="0" borderId="0" xfId="0" applyNumberFormat="1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/>
    <xf numFmtId="166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0" fontId="0" fillId="2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17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8" fontId="0" fillId="2" borderId="0" xfId="0" applyNumberFormat="1" applyFill="1" applyAlignment="1">
      <alignment horizontal="center"/>
    </xf>
    <xf numFmtId="0" fontId="0" fillId="0" borderId="0" xfId="0" applyFont="1" applyAlignment="1">
      <alignment horizontal="right"/>
    </xf>
    <xf numFmtId="166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6" xfId="0" applyNumberFormat="1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azzi@kth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8" sqref="C8"/>
    </sheetView>
  </sheetViews>
  <sheetFormatPr defaultRowHeight="14" x14ac:dyDescent="0.3"/>
  <cols>
    <col min="1" max="1" width="6.75" customWidth="1"/>
    <col min="2" max="2" width="23" style="6" customWidth="1"/>
    <col min="3" max="3" width="77.08203125" style="2" customWidth="1"/>
  </cols>
  <sheetData>
    <row r="2" spans="2:3" x14ac:dyDescent="0.3">
      <c r="B2" s="1" t="s">
        <v>0</v>
      </c>
      <c r="C2" s="2" t="s">
        <v>11</v>
      </c>
    </row>
    <row r="3" spans="2:3" x14ac:dyDescent="0.3">
      <c r="B3" s="1" t="s">
        <v>1</v>
      </c>
      <c r="C3" s="2" t="s">
        <v>2</v>
      </c>
    </row>
    <row r="4" spans="2:3" x14ac:dyDescent="0.3">
      <c r="B4" s="1" t="s">
        <v>3</v>
      </c>
      <c r="C4" s="3" t="s">
        <v>4</v>
      </c>
    </row>
    <row r="5" spans="2:3" x14ac:dyDescent="0.3">
      <c r="B5" s="1" t="s">
        <v>5</v>
      </c>
      <c r="C5" s="4">
        <v>44546</v>
      </c>
    </row>
    <row r="7" spans="2:3" ht="353" customHeight="1" x14ac:dyDescent="0.3">
      <c r="B7" s="1" t="s">
        <v>6</v>
      </c>
      <c r="C7" s="5" t="s">
        <v>21</v>
      </c>
    </row>
    <row r="9" spans="2:3" x14ac:dyDescent="0.3">
      <c r="B9" s="1" t="s">
        <v>7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A22" zoomScale="54" zoomScaleNormal="54" workbookViewId="0">
      <selection activeCell="D45" sqref="D45"/>
    </sheetView>
  </sheetViews>
  <sheetFormatPr defaultRowHeight="14" x14ac:dyDescent="0.3"/>
  <cols>
    <col min="1" max="1" width="41.83203125" customWidth="1"/>
    <col min="2" max="2" width="13.6640625" customWidth="1"/>
    <col min="3" max="3" width="17.75" customWidth="1"/>
    <col min="4" max="4" width="14.75" style="11" customWidth="1"/>
    <col min="5" max="5" width="9.83203125" style="11" customWidth="1"/>
    <col min="6" max="10" width="8.6640625" style="11"/>
    <col min="14" max="14" width="15.9140625" customWidth="1"/>
    <col min="15" max="15" width="13" customWidth="1"/>
    <col min="16" max="16" width="14.08203125" customWidth="1"/>
  </cols>
  <sheetData>
    <row r="1" spans="1:24" x14ac:dyDescent="0.3"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x14ac:dyDescent="0.3">
      <c r="A2" s="9" t="s">
        <v>13</v>
      </c>
      <c r="N2" s="21"/>
      <c r="O2" s="22"/>
      <c r="P2" s="22"/>
      <c r="Q2" s="45"/>
      <c r="R2" s="45"/>
      <c r="S2" s="45"/>
      <c r="T2" s="45"/>
      <c r="U2" s="45"/>
      <c r="V2" s="45"/>
      <c r="W2" s="45"/>
      <c r="X2" s="20"/>
    </row>
    <row r="3" spans="1:24" x14ac:dyDescent="0.3">
      <c r="A3" s="9"/>
      <c r="D3" s="44" t="s">
        <v>12</v>
      </c>
      <c r="E3" s="44"/>
      <c r="F3" s="44"/>
      <c r="G3" s="44"/>
      <c r="H3" s="44"/>
      <c r="I3" s="44"/>
      <c r="J3" s="4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x14ac:dyDescent="0.3">
      <c r="A4" s="8" t="s">
        <v>0</v>
      </c>
      <c r="B4" s="8" t="s">
        <v>9</v>
      </c>
      <c r="C4" s="8" t="s">
        <v>8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8"/>
      <c r="N4" s="19"/>
      <c r="O4" s="22"/>
      <c r="P4" s="22"/>
      <c r="Q4" s="18"/>
      <c r="R4" s="18"/>
      <c r="S4" s="18"/>
      <c r="T4" s="18"/>
      <c r="U4" s="18"/>
      <c r="V4" s="18"/>
      <c r="W4" s="18"/>
      <c r="X4" s="18"/>
    </row>
    <row r="5" spans="1:24" x14ac:dyDescent="0.3">
      <c r="A5" s="12" t="s">
        <v>22</v>
      </c>
      <c r="B5" s="11" t="s">
        <v>23</v>
      </c>
      <c r="C5" s="11" t="s">
        <v>24</v>
      </c>
      <c r="D5" s="36">
        <v>500</v>
      </c>
      <c r="E5" s="36"/>
      <c r="F5" s="36"/>
      <c r="G5" s="36"/>
      <c r="H5" s="36"/>
      <c r="I5" s="36"/>
      <c r="J5" s="36"/>
      <c r="K5" s="11"/>
      <c r="N5" s="19"/>
      <c r="O5" s="22"/>
      <c r="P5" s="22"/>
      <c r="Q5" s="18"/>
      <c r="R5" s="18"/>
      <c r="S5" s="18"/>
      <c r="T5" s="18"/>
      <c r="U5" s="18"/>
      <c r="V5" s="18"/>
      <c r="W5" s="18"/>
      <c r="X5" s="18"/>
    </row>
    <row r="6" spans="1:24" x14ac:dyDescent="0.3">
      <c r="A6" s="12" t="s">
        <v>25</v>
      </c>
      <c r="B6" s="11" t="s">
        <v>26</v>
      </c>
      <c r="C6" s="11" t="s">
        <v>10</v>
      </c>
      <c r="D6" s="40">
        <v>0.3</v>
      </c>
      <c r="E6" s="37"/>
      <c r="F6" s="37"/>
      <c r="G6" s="37"/>
      <c r="H6" s="37"/>
      <c r="I6" s="37"/>
      <c r="J6" s="37"/>
      <c r="K6" s="13"/>
      <c r="N6" s="19"/>
      <c r="O6" s="22"/>
      <c r="P6" s="22"/>
      <c r="Q6" s="18"/>
      <c r="R6" s="18"/>
      <c r="S6" s="18"/>
      <c r="T6" s="18"/>
      <c r="U6" s="18"/>
      <c r="V6" s="18"/>
      <c r="W6" s="18"/>
      <c r="X6" s="18"/>
    </row>
    <row r="7" spans="1:24" x14ac:dyDescent="0.3">
      <c r="A7" s="12" t="s">
        <v>39</v>
      </c>
      <c r="B7" s="11" t="s">
        <v>42</v>
      </c>
      <c r="C7" s="11" t="s">
        <v>10</v>
      </c>
      <c r="D7" s="50">
        <f>D11/(1-$D$10)</f>
        <v>0.49395161290322581</v>
      </c>
      <c r="E7" s="37"/>
      <c r="F7" s="37"/>
      <c r="G7" s="37"/>
      <c r="H7" s="37"/>
      <c r="I7" s="37"/>
      <c r="J7" s="37"/>
      <c r="K7" s="13"/>
      <c r="N7" s="20"/>
      <c r="O7" s="20"/>
      <c r="P7" s="20"/>
      <c r="Q7" s="18"/>
      <c r="R7" s="18"/>
      <c r="S7" s="18"/>
      <c r="T7" s="18"/>
      <c r="U7" s="18"/>
      <c r="V7" s="18"/>
      <c r="W7" s="18"/>
      <c r="X7" s="18"/>
    </row>
    <row r="8" spans="1:24" x14ac:dyDescent="0.3">
      <c r="A8" s="12" t="s">
        <v>40</v>
      </c>
      <c r="B8" s="11" t="s">
        <v>43</v>
      </c>
      <c r="C8" s="11" t="s">
        <v>10</v>
      </c>
      <c r="D8" s="39">
        <f t="shared" ref="D8:D9" si="0">D12/(1-$D$10)</f>
        <v>5.8467741935483875E-2</v>
      </c>
      <c r="E8" s="36"/>
      <c r="F8" s="36"/>
      <c r="G8" s="36"/>
      <c r="H8" s="36"/>
      <c r="I8" s="36"/>
      <c r="J8" s="36"/>
      <c r="K8" s="11"/>
      <c r="N8" s="19"/>
      <c r="O8" s="22"/>
      <c r="P8" s="22"/>
      <c r="Q8" s="18"/>
      <c r="R8" s="18"/>
      <c r="S8" s="18"/>
      <c r="T8" s="18"/>
      <c r="U8" s="18"/>
      <c r="V8" s="18"/>
      <c r="W8" s="18"/>
      <c r="X8" s="18"/>
    </row>
    <row r="9" spans="1:24" x14ac:dyDescent="0.3">
      <c r="A9" s="12" t="s">
        <v>41</v>
      </c>
      <c r="B9" s="11" t="s">
        <v>44</v>
      </c>
      <c r="C9" s="11" t="s">
        <v>10</v>
      </c>
      <c r="D9" s="50">
        <f t="shared" si="0"/>
        <v>0.44556451612903225</v>
      </c>
      <c r="E9" s="36"/>
      <c r="F9" s="36"/>
      <c r="G9" s="36"/>
      <c r="H9" s="36"/>
      <c r="I9" s="36"/>
      <c r="J9" s="36"/>
      <c r="K9" s="11"/>
      <c r="N9" s="19"/>
      <c r="O9" s="22"/>
      <c r="P9" s="22"/>
      <c r="Q9" s="18"/>
      <c r="R9" s="18"/>
      <c r="S9" s="18"/>
      <c r="T9" s="18"/>
      <c r="U9" s="18"/>
      <c r="V9" s="18"/>
      <c r="W9" s="18"/>
      <c r="X9" s="18"/>
    </row>
    <row r="10" spans="1:24" x14ac:dyDescent="0.3">
      <c r="A10" s="12" t="s">
        <v>45</v>
      </c>
      <c r="B10" s="11" t="s">
        <v>46</v>
      </c>
      <c r="C10" s="11" t="s">
        <v>10</v>
      </c>
      <c r="D10" s="39">
        <v>8.0000000000000002E-3</v>
      </c>
      <c r="E10" s="36"/>
      <c r="F10" s="36"/>
      <c r="G10" s="36"/>
      <c r="H10" s="36"/>
      <c r="I10" s="36"/>
      <c r="J10" s="36"/>
      <c r="K10" s="11"/>
      <c r="N10" s="19"/>
      <c r="O10" s="22"/>
      <c r="P10" s="22"/>
      <c r="Q10" s="18"/>
      <c r="R10" s="18"/>
      <c r="S10" s="18"/>
      <c r="T10" s="18"/>
      <c r="U10" s="18"/>
      <c r="V10" s="18"/>
      <c r="W10" s="18"/>
      <c r="X10" s="18"/>
    </row>
    <row r="11" spans="1:24" x14ac:dyDescent="0.3">
      <c r="A11" s="12" t="s">
        <v>47</v>
      </c>
      <c r="B11" s="11" t="s">
        <v>50</v>
      </c>
      <c r="C11" s="11" t="s">
        <v>10</v>
      </c>
      <c r="D11" s="39">
        <v>0.49</v>
      </c>
      <c r="E11" s="36"/>
      <c r="F11" s="36"/>
      <c r="G11" s="36"/>
      <c r="H11" s="36"/>
      <c r="I11" s="36"/>
      <c r="J11" s="36"/>
      <c r="K11" s="11"/>
      <c r="N11" s="19"/>
      <c r="O11" s="22"/>
      <c r="P11" s="22"/>
      <c r="Q11" s="18"/>
      <c r="R11" s="24"/>
      <c r="S11" s="24"/>
      <c r="T11" s="24"/>
      <c r="U11" s="24"/>
      <c r="V11" s="24"/>
      <c r="W11" s="24"/>
      <c r="X11" s="24"/>
    </row>
    <row r="12" spans="1:24" x14ac:dyDescent="0.3">
      <c r="A12" s="12" t="s">
        <v>48</v>
      </c>
      <c r="B12" s="11" t="s">
        <v>51</v>
      </c>
      <c r="C12" s="11" t="s">
        <v>10</v>
      </c>
      <c r="D12" s="39">
        <v>5.8000000000000003E-2</v>
      </c>
      <c r="E12" s="37"/>
      <c r="F12" s="37"/>
      <c r="G12" s="37"/>
      <c r="H12" s="37"/>
      <c r="I12" s="37"/>
      <c r="J12" s="37"/>
      <c r="K12" s="13"/>
      <c r="N12" s="19"/>
      <c r="O12" s="22"/>
      <c r="P12" s="22"/>
      <c r="Q12" s="18"/>
      <c r="R12" s="18"/>
      <c r="S12" s="18"/>
      <c r="T12" s="18"/>
      <c r="U12" s="18"/>
      <c r="V12" s="18"/>
      <c r="W12" s="18"/>
      <c r="X12" s="18"/>
    </row>
    <row r="13" spans="1:24" x14ac:dyDescent="0.3">
      <c r="A13" s="12" t="s">
        <v>49</v>
      </c>
      <c r="B13" s="11" t="s">
        <v>52</v>
      </c>
      <c r="C13" s="11" t="s">
        <v>10</v>
      </c>
      <c r="D13" s="39">
        <v>0.442</v>
      </c>
      <c r="E13" s="36"/>
      <c r="F13" s="36"/>
      <c r="G13" s="36"/>
      <c r="H13" s="36"/>
      <c r="I13" s="36"/>
      <c r="J13" s="36"/>
      <c r="K13" s="11"/>
      <c r="N13" s="19"/>
      <c r="O13" s="22"/>
      <c r="P13" s="22"/>
      <c r="Q13" s="25"/>
      <c r="R13" s="25"/>
      <c r="S13" s="25"/>
      <c r="T13" s="25"/>
      <c r="U13" s="25"/>
      <c r="V13" s="25"/>
      <c r="W13" s="25"/>
      <c r="X13" s="25"/>
    </row>
    <row r="14" spans="1:24" x14ac:dyDescent="0.3">
      <c r="A14" s="12"/>
      <c r="B14" s="11"/>
      <c r="C14" s="11"/>
      <c r="D14" s="37"/>
      <c r="E14" s="37"/>
      <c r="F14" s="37"/>
      <c r="G14" s="37"/>
      <c r="H14" s="37"/>
      <c r="I14" s="37"/>
      <c r="J14" s="37"/>
      <c r="K14" s="16"/>
      <c r="N14" s="20"/>
      <c r="O14" s="20"/>
      <c r="P14" s="22"/>
      <c r="Q14" s="25"/>
      <c r="R14" s="18"/>
      <c r="S14" s="18"/>
      <c r="T14" s="18"/>
      <c r="U14" s="18"/>
      <c r="V14" s="18"/>
      <c r="W14" s="18"/>
      <c r="X14" s="20"/>
    </row>
    <row r="15" spans="1:24" x14ac:dyDescent="0.3">
      <c r="A15" s="12" t="s">
        <v>61</v>
      </c>
      <c r="B15" s="11"/>
      <c r="C15" s="11"/>
      <c r="D15" s="40"/>
      <c r="E15" s="39"/>
      <c r="F15" s="39"/>
      <c r="G15" s="39"/>
      <c r="H15" s="39"/>
      <c r="I15" s="39"/>
      <c r="J15" s="39"/>
      <c r="K15" s="17"/>
      <c r="N15" s="19"/>
      <c r="O15" s="22"/>
      <c r="P15" s="22"/>
      <c r="Q15" s="18"/>
      <c r="R15" s="18"/>
      <c r="S15" s="18"/>
      <c r="T15" s="18"/>
      <c r="U15" s="18"/>
      <c r="V15" s="18"/>
      <c r="W15" s="18"/>
      <c r="X15" s="20"/>
    </row>
    <row r="16" spans="1:24" x14ac:dyDescent="0.3">
      <c r="A16" s="12"/>
      <c r="B16" s="11"/>
      <c r="C16" s="11"/>
      <c r="D16" s="42"/>
      <c r="E16" s="37"/>
      <c r="F16" s="37"/>
      <c r="G16" s="37"/>
      <c r="H16" s="37"/>
      <c r="I16" s="37"/>
      <c r="J16" s="37"/>
      <c r="K16" s="16"/>
      <c r="N16" s="19"/>
      <c r="O16" s="22"/>
      <c r="P16" s="22"/>
      <c r="Q16" s="25"/>
      <c r="R16" s="25"/>
      <c r="S16" s="25"/>
      <c r="T16" s="25"/>
      <c r="U16" s="25"/>
      <c r="V16" s="25"/>
      <c r="W16" s="25"/>
      <c r="X16" s="25"/>
    </row>
    <row r="17" spans="1:24" x14ac:dyDescent="0.3">
      <c r="A17" s="12"/>
      <c r="B17" s="11"/>
      <c r="C17" s="11"/>
      <c r="D17" s="36"/>
      <c r="E17" s="38"/>
      <c r="F17" s="38"/>
      <c r="G17" s="38"/>
      <c r="H17" s="38"/>
      <c r="I17" s="38"/>
      <c r="J17" s="38"/>
      <c r="K17" s="18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x14ac:dyDescent="0.3">
      <c r="A18" s="12"/>
      <c r="B18" s="11"/>
      <c r="C18" s="11"/>
      <c r="E18" s="14"/>
      <c r="F18" s="14"/>
      <c r="G18" s="14"/>
      <c r="H18" s="14"/>
      <c r="I18" s="14"/>
      <c r="J18" s="14"/>
      <c r="K18" s="14"/>
      <c r="N18" s="26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x14ac:dyDescent="0.3">
      <c r="C19" t="s">
        <v>59</v>
      </c>
      <c r="D19" s="11">
        <f>D5+273.15</f>
        <v>773.15</v>
      </c>
      <c r="K19" s="11"/>
      <c r="N19" s="20"/>
      <c r="O19" s="20"/>
      <c r="P19" s="20"/>
      <c r="Q19" s="27"/>
      <c r="R19" s="27"/>
      <c r="S19" s="27"/>
      <c r="T19" s="27"/>
      <c r="U19" s="27"/>
      <c r="V19" s="27"/>
      <c r="W19" s="27"/>
      <c r="X19" s="27"/>
    </row>
    <row r="20" spans="1:24" x14ac:dyDescent="0.3">
      <c r="A20" s="10" t="s">
        <v>27</v>
      </c>
      <c r="C20" s="11"/>
      <c r="K20" s="11"/>
      <c r="N20" s="20"/>
      <c r="O20" s="20"/>
      <c r="P20" s="20"/>
      <c r="Q20" s="27"/>
      <c r="R20" s="27"/>
      <c r="S20" s="27"/>
      <c r="T20" s="27"/>
      <c r="U20" s="27"/>
      <c r="V20" s="27"/>
      <c r="W20" s="27"/>
      <c r="X20" s="27"/>
    </row>
    <row r="21" spans="1:24" x14ac:dyDescent="0.3">
      <c r="A21" s="10" t="s">
        <v>0</v>
      </c>
      <c r="B21" s="10" t="s">
        <v>9</v>
      </c>
      <c r="C21" s="10" t="s">
        <v>8</v>
      </c>
      <c r="K21" s="11"/>
      <c r="N21" s="20"/>
      <c r="O21" s="20"/>
      <c r="P21" s="20"/>
      <c r="Q21" s="28"/>
      <c r="R21" s="28"/>
      <c r="S21" s="28"/>
      <c r="T21" s="28"/>
      <c r="U21" s="28"/>
      <c r="V21" s="28"/>
      <c r="W21" s="28"/>
      <c r="X21" s="28"/>
    </row>
    <row r="22" spans="1:24" x14ac:dyDescent="0.3">
      <c r="A22" s="12" t="s">
        <v>29</v>
      </c>
      <c r="B22" s="11" t="s">
        <v>28</v>
      </c>
      <c r="C22" s="11" t="s">
        <v>65</v>
      </c>
      <c r="D22" s="48">
        <f>0.1261+0.5391*EXP(-0.004*D5)+0.2733*D6</f>
        <v>0.2810492511928579</v>
      </c>
      <c r="E22" s="49" t="s">
        <v>37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x14ac:dyDescent="0.3">
      <c r="A23" s="12" t="s">
        <v>30</v>
      </c>
      <c r="B23" s="11" t="s">
        <v>33</v>
      </c>
      <c r="C23" s="11" t="s">
        <v>65</v>
      </c>
      <c r="D23" s="48">
        <f>(0.043/(1+EXP(17.2-0.03*(D5+273.15))))+(0.317/(1+EXP(10.9-0.01*(D5+273.15))))</f>
        <v>5.568990160245206E-2</v>
      </c>
      <c r="E23" s="49" t="s">
        <v>38</v>
      </c>
      <c r="N23" s="20"/>
      <c r="O23" s="20"/>
      <c r="P23" s="20"/>
      <c r="Q23" s="29"/>
      <c r="R23" s="29"/>
      <c r="S23" s="29"/>
      <c r="T23" s="29"/>
      <c r="U23" s="29"/>
      <c r="V23" s="29"/>
      <c r="W23" s="29"/>
      <c r="X23" s="29"/>
    </row>
    <row r="24" spans="1:24" x14ac:dyDescent="0.3">
      <c r="A24" s="12" t="s">
        <v>31</v>
      </c>
      <c r="B24" s="11" t="s">
        <v>34</v>
      </c>
      <c r="C24" s="11" t="s">
        <v>65</v>
      </c>
      <c r="D24" s="48">
        <f>0.0295*(1-EXP(-0.0035*(D5+273.15)))^62.98</f>
        <v>3.7912049843478313E-4</v>
      </c>
      <c r="E24" s="49" t="s">
        <v>37</v>
      </c>
      <c r="F24" s="10"/>
      <c r="G24" s="10"/>
      <c r="H24" s="10"/>
      <c r="I24" s="10"/>
      <c r="J24" s="10"/>
      <c r="K24" s="1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x14ac:dyDescent="0.3">
      <c r="A25" s="12" t="s">
        <v>32</v>
      </c>
      <c r="B25" s="11" t="s">
        <v>35</v>
      </c>
      <c r="C25" s="11" t="s">
        <v>65</v>
      </c>
      <c r="D25" s="48">
        <f>0.0782*(1-EXP(-0.00338*(D5+273.15)))^30.15</f>
        <v>7.8791018598895757E-3</v>
      </c>
      <c r="E25" s="49" t="s">
        <v>37</v>
      </c>
      <c r="F25" s="15"/>
      <c r="G25" s="15"/>
      <c r="H25" s="15"/>
      <c r="I25" s="15"/>
      <c r="J25" s="15"/>
      <c r="N25" s="30"/>
      <c r="O25" s="31"/>
      <c r="P25" s="31"/>
      <c r="Q25" s="20"/>
      <c r="R25" s="20"/>
      <c r="S25" s="20"/>
      <c r="T25" s="20"/>
      <c r="U25" s="20"/>
      <c r="V25" s="20"/>
      <c r="W25" s="20"/>
      <c r="X25" s="20"/>
    </row>
    <row r="26" spans="1:24" x14ac:dyDescent="0.3">
      <c r="A26" s="12" t="s">
        <v>60</v>
      </c>
      <c r="B26" s="11" t="s">
        <v>36</v>
      </c>
      <c r="C26" s="11" t="s">
        <v>65</v>
      </c>
      <c r="D26" s="48">
        <f>0.036*(1-EXP(-0.00522*(D5+273.15)))^154.97</f>
        <v>2.2718500992576661E-3</v>
      </c>
      <c r="E26" s="49" t="s">
        <v>37</v>
      </c>
      <c r="F26" s="15"/>
      <c r="G26" s="15"/>
      <c r="H26" s="15"/>
      <c r="I26" s="15"/>
      <c r="J26" s="15"/>
      <c r="N26" s="20"/>
      <c r="O26" s="32"/>
      <c r="P26" s="33"/>
      <c r="Q26" s="34"/>
      <c r="R26" s="34"/>
      <c r="S26" s="34"/>
      <c r="T26" s="34"/>
      <c r="U26" s="34"/>
      <c r="V26" s="34"/>
      <c r="W26" s="34"/>
      <c r="X26" s="34"/>
    </row>
    <row r="27" spans="1:24" x14ac:dyDescent="0.3">
      <c r="A27" s="12"/>
      <c r="B27" s="11"/>
      <c r="C27" s="11"/>
      <c r="D27" s="41"/>
      <c r="E27" s="41"/>
      <c r="F27" s="41"/>
      <c r="G27" s="41"/>
      <c r="H27" s="41"/>
      <c r="I27" s="41"/>
      <c r="J27" s="4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x14ac:dyDescent="0.3">
      <c r="A28" s="12" t="s">
        <v>54</v>
      </c>
      <c r="B28" s="11" t="s">
        <v>53</v>
      </c>
      <c r="C28" s="11" t="s">
        <v>66</v>
      </c>
      <c r="D28" s="15">
        <f>0.93-0.92*EXP(-0.0042*(D5+273.15))</f>
        <v>0.89422877962224234</v>
      </c>
      <c r="E28" s="41"/>
      <c r="F28" s="41"/>
      <c r="G28" s="41"/>
      <c r="H28" s="41"/>
      <c r="I28" s="41"/>
      <c r="J28" s="4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x14ac:dyDescent="0.3">
      <c r="A29" s="12" t="s">
        <v>55</v>
      </c>
      <c r="B29" s="11" t="s">
        <v>57</v>
      </c>
      <c r="C29" s="11" t="s">
        <v>66</v>
      </c>
      <c r="D29" s="15">
        <f>-0.0041+0.1*EXP(-0.0024*D19)</f>
        <v>1.1536535355429957E-2</v>
      </c>
      <c r="E29" s="41"/>
      <c r="F29" s="41"/>
      <c r="G29" s="41"/>
      <c r="H29" s="41"/>
      <c r="I29" s="41"/>
      <c r="J29" s="4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x14ac:dyDescent="0.3">
      <c r="A30" s="12" t="s">
        <v>56</v>
      </c>
      <c r="B30" s="11" t="s">
        <v>58</v>
      </c>
      <c r="C30" s="11" t="s">
        <v>66</v>
      </c>
      <c r="D30" s="15">
        <f>0.07+0.85*EXP(-0.0048*D19)</f>
        <v>9.0782605223336935E-2</v>
      </c>
      <c r="E30" s="41"/>
      <c r="F30" s="41"/>
      <c r="G30" s="41"/>
      <c r="H30" s="41"/>
      <c r="I30" s="41"/>
      <c r="J30" s="4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x14ac:dyDescent="0.3">
      <c r="A31" s="12"/>
      <c r="B31" s="11"/>
      <c r="C31" s="11"/>
      <c r="D31" s="15"/>
      <c r="E31" s="15"/>
      <c r="F31" s="15"/>
      <c r="G31" s="15"/>
      <c r="H31" s="15"/>
      <c r="I31" s="15"/>
      <c r="J31" s="15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x14ac:dyDescent="0.3">
      <c r="A32" s="12" t="s">
        <v>68</v>
      </c>
      <c r="C32" s="11" t="s">
        <v>69</v>
      </c>
      <c r="D32" s="15">
        <f>D22*(1-D10)+D10</f>
        <v>0.28680085718331505</v>
      </c>
      <c r="E32" s="15"/>
      <c r="F32" s="15"/>
      <c r="G32" s="15"/>
      <c r="H32" s="15"/>
      <c r="I32" s="15"/>
      <c r="J32" s="15"/>
      <c r="N32" s="19"/>
      <c r="O32" s="22"/>
      <c r="P32" s="22"/>
      <c r="Q32" s="24"/>
      <c r="R32" s="24"/>
      <c r="S32" s="24"/>
      <c r="T32" s="24"/>
      <c r="U32" s="24"/>
      <c r="V32" s="24"/>
      <c r="W32" s="24"/>
      <c r="X32" s="24"/>
    </row>
    <row r="33" spans="1:24" x14ac:dyDescent="0.3">
      <c r="A33" s="12" t="s">
        <v>70</v>
      </c>
      <c r="C33" s="11" t="s">
        <v>71</v>
      </c>
      <c r="D33" s="43">
        <f>(D32-D22)/D32</f>
        <v>2.005435425453031E-2</v>
      </c>
      <c r="E33" s="15"/>
      <c r="F33" s="15"/>
      <c r="G33" s="15"/>
      <c r="H33" s="15"/>
      <c r="I33" s="15"/>
      <c r="J33" s="15"/>
      <c r="N33" s="19"/>
      <c r="O33" s="22"/>
      <c r="P33" s="22"/>
      <c r="Q33" s="24"/>
      <c r="R33" s="24"/>
      <c r="S33" s="24"/>
      <c r="T33" s="24"/>
      <c r="U33" s="24"/>
      <c r="V33" s="24"/>
      <c r="W33" s="24"/>
      <c r="X33" s="24"/>
    </row>
    <row r="34" spans="1:24" x14ac:dyDescent="0.3">
      <c r="E34" s="15"/>
      <c r="F34" s="15"/>
      <c r="G34" s="15"/>
      <c r="H34" s="15"/>
      <c r="I34" s="15"/>
      <c r="J34" s="15"/>
      <c r="N34" s="19"/>
      <c r="O34" s="22"/>
      <c r="P34" s="22"/>
      <c r="Q34" s="24"/>
      <c r="R34" s="24"/>
      <c r="S34" s="24"/>
      <c r="T34" s="24"/>
      <c r="U34" s="24"/>
      <c r="V34" s="24"/>
      <c r="W34" s="24"/>
      <c r="X34" s="24"/>
    </row>
    <row r="35" spans="1:24" x14ac:dyDescent="0.3">
      <c r="A35" s="12" t="s">
        <v>62</v>
      </c>
      <c r="B35" s="11"/>
      <c r="C35" s="11" t="s">
        <v>67</v>
      </c>
      <c r="D35" s="15">
        <f>D28*(1-$D$33)</f>
        <v>0.87629559889110165</v>
      </c>
      <c r="E35" s="49" t="s">
        <v>72</v>
      </c>
      <c r="F35" s="15"/>
      <c r="G35" s="15"/>
      <c r="H35" s="15"/>
      <c r="I35" s="15"/>
      <c r="J35" s="15"/>
      <c r="N35" s="19"/>
      <c r="O35" s="22"/>
      <c r="P35" s="22"/>
      <c r="Q35" s="24"/>
      <c r="R35" s="24"/>
      <c r="S35" s="24"/>
      <c r="T35" s="24"/>
      <c r="U35" s="24"/>
      <c r="V35" s="24"/>
      <c r="W35" s="24"/>
      <c r="X35" s="24"/>
    </row>
    <row r="36" spans="1:24" x14ac:dyDescent="0.3">
      <c r="A36" s="12" t="s">
        <v>63</v>
      </c>
      <c r="B36" s="11"/>
      <c r="C36" s="11" t="s">
        <v>67</v>
      </c>
      <c r="D36" s="15">
        <f t="shared" ref="D36:D37" si="1">D29*(1-$D$33)</f>
        <v>1.1305177588542251E-2</v>
      </c>
      <c r="E36" s="49" t="s">
        <v>73</v>
      </c>
      <c r="F36" s="41"/>
      <c r="G36" s="41"/>
      <c r="H36" s="41"/>
      <c r="I36" s="41"/>
      <c r="J36" s="41"/>
      <c r="N36" s="19"/>
      <c r="O36" s="22"/>
      <c r="P36" s="22"/>
      <c r="Q36" s="24"/>
      <c r="R36" s="24"/>
      <c r="S36" s="24"/>
      <c r="T36" s="24"/>
      <c r="U36" s="24"/>
      <c r="V36" s="24"/>
      <c r="W36" s="24"/>
      <c r="X36" s="24"/>
    </row>
    <row r="37" spans="1:24" x14ac:dyDescent="0.3">
      <c r="A37" s="12" t="s">
        <v>64</v>
      </c>
      <c r="B37" s="11"/>
      <c r="C37" s="11" t="s">
        <v>67</v>
      </c>
      <c r="D37" s="15">
        <f t="shared" si="1"/>
        <v>8.8962018698038964E-2</v>
      </c>
      <c r="E37" s="49" t="s">
        <v>74</v>
      </c>
      <c r="N37" s="20"/>
      <c r="O37" s="20"/>
      <c r="P37" s="20"/>
      <c r="Q37" s="18"/>
      <c r="R37" s="18"/>
      <c r="S37" s="18"/>
      <c r="T37" s="18"/>
      <c r="U37" s="18"/>
      <c r="V37" s="18"/>
      <c r="W37" s="18"/>
      <c r="X37" s="18"/>
    </row>
    <row r="38" spans="1:24" x14ac:dyDescent="0.3">
      <c r="A38" s="9"/>
      <c r="N38" s="19"/>
      <c r="O38" s="22"/>
      <c r="P38" s="22"/>
      <c r="Q38" s="18"/>
      <c r="R38" s="18"/>
      <c r="S38" s="18"/>
      <c r="T38" s="18"/>
      <c r="U38" s="18"/>
      <c r="V38" s="18"/>
      <c r="W38" s="18"/>
      <c r="X38" s="18"/>
    </row>
    <row r="39" spans="1:24" x14ac:dyDescent="0.3">
      <c r="A39" s="46" t="s">
        <v>75</v>
      </c>
      <c r="B39" s="46" t="s">
        <v>78</v>
      </c>
      <c r="C39" s="46" t="s">
        <v>81</v>
      </c>
      <c r="D39" s="53">
        <f>1.25*D7</f>
        <v>0.61743951612903225</v>
      </c>
      <c r="E39" s="10"/>
      <c r="F39" s="10"/>
      <c r="G39" s="10"/>
      <c r="H39" s="10"/>
      <c r="I39" s="10"/>
      <c r="J39" s="10"/>
      <c r="N39" s="19"/>
      <c r="O39" s="22"/>
      <c r="P39" s="22"/>
      <c r="Q39" s="24"/>
      <c r="R39" s="24"/>
      <c r="S39" s="24"/>
      <c r="T39" s="24"/>
      <c r="U39" s="24"/>
      <c r="V39" s="24"/>
      <c r="W39" s="24"/>
      <c r="X39" s="24"/>
    </row>
    <row r="40" spans="1:24" x14ac:dyDescent="0.3">
      <c r="A40" s="46" t="s">
        <v>77</v>
      </c>
      <c r="B40" s="11" t="s">
        <v>79</v>
      </c>
      <c r="C40" s="46" t="s">
        <v>81</v>
      </c>
      <c r="D40" s="41">
        <f>1.25*D8</f>
        <v>7.3084677419354843E-2</v>
      </c>
      <c r="E40" s="41"/>
      <c r="F40" s="41"/>
      <c r="G40" s="41"/>
      <c r="H40" s="41"/>
      <c r="I40" s="41"/>
      <c r="J40" s="41"/>
      <c r="N40" s="19"/>
      <c r="O40" s="22"/>
      <c r="P40" s="22"/>
      <c r="Q40" s="24"/>
      <c r="R40" s="24"/>
      <c r="S40" s="24"/>
      <c r="T40" s="24"/>
      <c r="U40" s="24"/>
      <c r="V40" s="24"/>
      <c r="W40" s="24"/>
      <c r="X40" s="24"/>
    </row>
    <row r="41" spans="1:24" x14ac:dyDescent="0.3">
      <c r="A41" s="46" t="s">
        <v>76</v>
      </c>
      <c r="B41" s="11" t="s">
        <v>80</v>
      </c>
      <c r="C41" s="46" t="s">
        <v>81</v>
      </c>
      <c r="D41" s="41">
        <f>1.17*D9-0.21</f>
        <v>0.31131048387096771</v>
      </c>
      <c r="E41" s="41"/>
      <c r="F41" s="41"/>
      <c r="G41" s="41"/>
      <c r="H41" s="41"/>
      <c r="I41" s="41"/>
      <c r="J41" s="41"/>
      <c r="N41" s="19"/>
      <c r="O41" s="22"/>
      <c r="P41" s="22"/>
      <c r="Q41" s="35"/>
      <c r="R41" s="35"/>
      <c r="S41" s="35"/>
      <c r="T41" s="35"/>
      <c r="U41" s="35"/>
      <c r="V41" s="35"/>
      <c r="W41" s="35"/>
      <c r="X41" s="35"/>
    </row>
    <row r="42" spans="1:24" x14ac:dyDescent="0.3">
      <c r="A42" s="51"/>
      <c r="B42" s="11"/>
      <c r="C42" s="11"/>
      <c r="D42" s="15"/>
      <c r="E42" s="15"/>
      <c r="F42" s="15"/>
      <c r="G42" s="15"/>
      <c r="H42" s="15"/>
      <c r="I42" s="15"/>
      <c r="J42" s="15"/>
      <c r="N42" s="19"/>
      <c r="O42" s="22"/>
      <c r="P42" s="22"/>
      <c r="Q42" s="24"/>
      <c r="R42" s="24"/>
      <c r="S42" s="24"/>
      <c r="T42" s="24"/>
      <c r="U42" s="24"/>
      <c r="V42" s="24"/>
      <c r="W42" s="24"/>
      <c r="X42" s="24"/>
    </row>
    <row r="43" spans="1:24" x14ac:dyDescent="0.3">
      <c r="A43" s="12" t="s">
        <v>84</v>
      </c>
      <c r="B43" s="11" t="s">
        <v>85</v>
      </c>
      <c r="C43" s="11" t="s">
        <v>88</v>
      </c>
      <c r="D43" s="47">
        <f>D7-D22*D28-D23*(12*1/28)-D25*(12*1/16)-D26*(12*2/26)</f>
        <v>0.21075576451429431</v>
      </c>
      <c r="E43" s="43"/>
      <c r="F43" s="43"/>
      <c r="G43" s="43"/>
      <c r="H43" s="43"/>
      <c r="I43" s="43"/>
      <c r="J43" s="43"/>
      <c r="N43" s="19"/>
      <c r="O43" s="22"/>
      <c r="P43" s="22"/>
      <c r="Q43" s="25"/>
      <c r="R43" s="25"/>
      <c r="S43" s="25"/>
      <c r="T43" s="25"/>
      <c r="U43" s="25"/>
      <c r="V43" s="25"/>
      <c r="W43" s="25"/>
      <c r="X43" s="25"/>
    </row>
    <row r="44" spans="1:24" x14ac:dyDescent="0.3">
      <c r="A44" s="51" t="s">
        <v>82</v>
      </c>
      <c r="B44" s="11" t="s">
        <v>86</v>
      </c>
      <c r="C44" s="11" t="s">
        <v>88</v>
      </c>
      <c r="D44" s="15">
        <f>D8-D22*D29-D23*(0*1/28)-D24*(1*2/2)-D25*(1*4/16)-D26*(1*2/26)</f>
        <v>5.2701753649130274E-2</v>
      </c>
      <c r="N44" s="20"/>
      <c r="O44" s="20"/>
      <c r="P44" s="22"/>
      <c r="Q44" s="18"/>
      <c r="R44" s="18"/>
      <c r="S44" s="18"/>
      <c r="T44" s="18"/>
      <c r="U44" s="18"/>
      <c r="V44" s="18"/>
      <c r="W44" s="18"/>
      <c r="X44" s="20"/>
    </row>
    <row r="45" spans="1:24" x14ac:dyDescent="0.3">
      <c r="A45" s="51" t="s">
        <v>83</v>
      </c>
      <c r="B45" s="11" t="s">
        <v>87</v>
      </c>
      <c r="C45" s="11" t="s">
        <v>88</v>
      </c>
      <c r="D45" s="41">
        <f>D9-D22*D30-D23*(16*1/28)-D24*(0*2/2)-D25*(0*4/16)-D26*(0*2/26)</f>
        <v>0.38822733199398968</v>
      </c>
      <c r="N45" s="19"/>
      <c r="O45" s="22"/>
      <c r="P45" s="22"/>
      <c r="Q45" s="18"/>
      <c r="R45" s="18"/>
      <c r="S45" s="18"/>
      <c r="T45" s="18"/>
      <c r="U45" s="18"/>
      <c r="V45" s="18"/>
      <c r="W45" s="18"/>
      <c r="X45" s="20"/>
    </row>
    <row r="46" spans="1:24" x14ac:dyDescent="0.3">
      <c r="A46" s="12"/>
      <c r="N46" s="19"/>
      <c r="O46" s="22"/>
      <c r="P46" s="22"/>
      <c r="Q46" s="25"/>
      <c r="R46" s="25"/>
      <c r="S46" s="25"/>
      <c r="T46" s="25"/>
      <c r="U46" s="25"/>
      <c r="V46" s="25"/>
      <c r="W46" s="25"/>
      <c r="X46" s="25"/>
    </row>
    <row r="47" spans="1:24" x14ac:dyDescent="0.3">
      <c r="A47" s="7" t="s">
        <v>89</v>
      </c>
      <c r="B47" s="64" t="s">
        <v>90</v>
      </c>
      <c r="C47" s="64" t="s">
        <v>102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x14ac:dyDescent="0.3">
      <c r="A48" s="10"/>
      <c r="C48" s="11"/>
      <c r="D48" s="13"/>
      <c r="E48" s="13" t="s">
        <v>91</v>
      </c>
      <c r="F48" s="54" t="s">
        <v>14</v>
      </c>
      <c r="G48" s="54"/>
      <c r="H48" s="54"/>
      <c r="I48" s="13" t="s">
        <v>98</v>
      </c>
      <c r="J48" s="13"/>
    </row>
    <row r="49" spans="1:11" x14ac:dyDescent="0.3">
      <c r="A49" s="51" t="s">
        <v>92</v>
      </c>
      <c r="B49" s="46" t="s">
        <v>95</v>
      </c>
      <c r="C49" s="11" t="s">
        <v>88</v>
      </c>
      <c r="D49" s="15">
        <f>E49</f>
        <v>0.31012586908463402</v>
      </c>
      <c r="E49" s="11">
        <f t="array" ref="E49:E51">MMULT((MINVERSE(F49:H51)),(I49:I51))</f>
        <v>0.31012586908463402</v>
      </c>
      <c r="F49" s="55">
        <f>D39</f>
        <v>0.61743951612903225</v>
      </c>
      <c r="G49" s="56">
        <f>12/44</f>
        <v>0.27272727272727271</v>
      </c>
      <c r="H49" s="57">
        <v>0</v>
      </c>
      <c r="I49" s="52">
        <f>D43</f>
        <v>0.21075576451429431</v>
      </c>
      <c r="J49" s="46"/>
      <c r="K49" t="s">
        <v>101</v>
      </c>
    </row>
    <row r="50" spans="1:11" x14ac:dyDescent="0.3">
      <c r="A50" s="51" t="s">
        <v>93</v>
      </c>
      <c r="B50" s="46" t="s">
        <v>96</v>
      </c>
      <c r="C50" s="11" t="s">
        <v>88</v>
      </c>
      <c r="D50" s="15">
        <f>SQRT(E50)</f>
        <v>0.26582561805527399</v>
      </c>
      <c r="E50" s="46">
        <v>7.0663259214468421E-2</v>
      </c>
      <c r="F50" s="58">
        <f>D41</f>
        <v>0.31131048387096771</v>
      </c>
      <c r="G50" s="59">
        <f>16*2/44</f>
        <v>0.72727272727272729</v>
      </c>
      <c r="H50" s="60">
        <f>16/18</f>
        <v>0.88888888888888884</v>
      </c>
      <c r="I50" s="53">
        <f>D45</f>
        <v>0.38822733199398968</v>
      </c>
      <c r="J50" s="46"/>
      <c r="K50" t="s">
        <v>99</v>
      </c>
    </row>
    <row r="51" spans="1:11" x14ac:dyDescent="0.3">
      <c r="A51" s="51" t="s">
        <v>94</v>
      </c>
      <c r="B51" s="46" t="s">
        <v>97</v>
      </c>
      <c r="C51" s="11" t="s">
        <v>88</v>
      </c>
      <c r="D51" s="15">
        <f>SQRT(E51)</f>
        <v>0.51992955381392247</v>
      </c>
      <c r="E51" s="15">
        <v>0.27032674092914455</v>
      </c>
      <c r="F51" s="61">
        <f>D40</f>
        <v>7.3084677419354843E-2</v>
      </c>
      <c r="G51" s="62">
        <v>0</v>
      </c>
      <c r="H51" s="63">
        <f>1*2/18</f>
        <v>0.1111111111111111</v>
      </c>
      <c r="I51" s="52">
        <f>D44</f>
        <v>5.2701753649130274E-2</v>
      </c>
      <c r="J51" s="52"/>
      <c r="K51" t="s">
        <v>100</v>
      </c>
    </row>
    <row r="52" spans="1:11" x14ac:dyDescent="0.3">
      <c r="A52" s="19"/>
      <c r="B52" s="11"/>
      <c r="C52" s="11"/>
      <c r="D52" s="15"/>
      <c r="E52" s="15"/>
      <c r="F52" s="15"/>
      <c r="G52" s="15"/>
      <c r="H52" s="15"/>
      <c r="I52" s="15"/>
      <c r="J52" s="15"/>
    </row>
    <row r="53" spans="1:11" x14ac:dyDescent="0.3">
      <c r="A53" s="19"/>
      <c r="B53" s="11"/>
      <c r="C53" s="11"/>
      <c r="D53" s="15"/>
      <c r="E53" s="15"/>
      <c r="F53" s="15"/>
      <c r="G53" s="15"/>
      <c r="H53" s="15"/>
      <c r="I53" s="15"/>
      <c r="J53" s="15"/>
    </row>
    <row r="54" spans="1:11" x14ac:dyDescent="0.3">
      <c r="A54" s="32" t="s">
        <v>103</v>
      </c>
      <c r="B54" s="64" t="s">
        <v>104</v>
      </c>
      <c r="C54" s="64" t="s">
        <v>105</v>
      </c>
      <c r="D54" s="65">
        <f>D51+D50+D49+D32+D23+D24+D25+D26</f>
        <v>1.4489018721971794</v>
      </c>
      <c r="E54" s="15"/>
      <c r="F54" s="15"/>
      <c r="G54" s="15"/>
      <c r="H54" s="15"/>
      <c r="I54" s="15"/>
      <c r="J54" s="15"/>
    </row>
    <row r="55" spans="1:11" x14ac:dyDescent="0.3">
      <c r="A55" s="19"/>
      <c r="B55" s="11"/>
      <c r="C55" s="11"/>
      <c r="D55" s="15"/>
      <c r="E55" s="15"/>
      <c r="F55" s="15"/>
      <c r="G55" s="15"/>
      <c r="H55" s="15"/>
      <c r="I55" s="15"/>
      <c r="J55" s="15"/>
    </row>
    <row r="56" spans="1:11" x14ac:dyDescent="0.3">
      <c r="A56" s="19"/>
      <c r="B56" s="11"/>
      <c r="C56" s="11"/>
      <c r="D56" s="15"/>
      <c r="E56" s="15"/>
      <c r="F56" s="15"/>
      <c r="G56" s="15"/>
      <c r="H56" s="15"/>
      <c r="I56" s="15"/>
      <c r="J56" s="15"/>
    </row>
    <row r="57" spans="1:11" x14ac:dyDescent="0.3">
      <c r="A57" s="19"/>
      <c r="B57" s="11"/>
      <c r="C57" s="11"/>
      <c r="D57" s="15"/>
      <c r="E57" s="15"/>
      <c r="F57" s="15"/>
      <c r="G57" s="15"/>
      <c r="H57" s="15"/>
      <c r="I57" s="15"/>
      <c r="J57" s="15"/>
    </row>
    <row r="58" spans="1:11" x14ac:dyDescent="0.3">
      <c r="A58" s="19"/>
      <c r="B58" s="11"/>
      <c r="C58" s="11"/>
      <c r="D58" s="15"/>
      <c r="E58" s="15"/>
      <c r="F58" s="15"/>
      <c r="G58" s="15"/>
      <c r="H58" s="15"/>
      <c r="I58" s="15"/>
      <c r="J58" s="15"/>
    </row>
    <row r="59" spans="1:11" x14ac:dyDescent="0.3">
      <c r="A59" s="19"/>
      <c r="B59" s="11"/>
      <c r="C59" s="11"/>
      <c r="D59" s="15"/>
      <c r="E59" s="15"/>
      <c r="F59" s="15"/>
      <c r="G59" s="15"/>
      <c r="H59" s="15"/>
      <c r="I59" s="15"/>
      <c r="J59" s="15"/>
    </row>
    <row r="60" spans="1:11" x14ac:dyDescent="0.3">
      <c r="A60" s="19"/>
      <c r="B60" s="11"/>
      <c r="C60" s="11"/>
      <c r="D60" s="15"/>
      <c r="E60" s="15"/>
      <c r="F60" s="15"/>
      <c r="G60" s="15"/>
      <c r="H60" s="15"/>
      <c r="I60" s="15"/>
      <c r="J60" s="15"/>
    </row>
    <row r="61" spans="1:11" x14ac:dyDescent="0.3">
      <c r="A61" s="19"/>
      <c r="B61" s="11"/>
      <c r="C61" s="11"/>
      <c r="D61" s="15"/>
      <c r="E61" s="15"/>
      <c r="F61" s="15"/>
      <c r="G61" s="15"/>
      <c r="H61" s="15"/>
      <c r="I61" s="15"/>
      <c r="J61" s="15"/>
    </row>
    <row r="62" spans="1:11" x14ac:dyDescent="0.3">
      <c r="A62" s="19"/>
      <c r="B62" s="11"/>
      <c r="C62" s="11"/>
      <c r="D62" s="15"/>
      <c r="E62" s="15"/>
      <c r="F62" s="15"/>
      <c r="G62" s="15"/>
      <c r="H62" s="15"/>
      <c r="I62" s="15"/>
      <c r="J62" s="15"/>
    </row>
  </sheetData>
  <mergeCells count="3">
    <mergeCell ref="D3:J3"/>
    <mergeCell ref="Q2:W2"/>
    <mergeCell ref="F48:H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mass yields and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2021-12-23T09:28:04Z</dcterms:modified>
</cp:coreProperties>
</file>