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github\biocharStability\biocharStability\database\"/>
    </mc:Choice>
  </mc:AlternateContent>
  <xr:revisionPtr revIDLastSave="0" documentId="13_ncr:1_{ECA72516-CBCD-47FE-A613-E90A94A0911F}" xr6:coauthVersionLast="47" xr6:coauthVersionMax="47" xr10:uidLastSave="{00000000-0000-0000-0000-000000000000}"/>
  <bookViews>
    <workbookView xWindow="-108" yWindow="-108" windowWidth="23256" windowHeight="12456" tabRatio="756" activeTab="1" xr2:uid="{00000000-000D-0000-FFFF-FFFF00000000}"/>
  </bookViews>
  <sheets>
    <sheet name="articles" sheetId="1" r:id="rId1"/>
    <sheet name="data" sheetId="6" r:id="rId2"/>
    <sheet name="metadata" sheetId="3" r:id="rId3"/>
    <sheet name="validation" sheetId="4" r:id="rId4"/>
  </sheets>
  <definedNames>
    <definedName name="_xlnm._FilterDatabase" localSheetId="3" hidden="1">validation!$A$6:$DF$139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2603" i="6" l="1"/>
  <c r="AW186" i="3"/>
  <c r="AW187" i="3"/>
  <c r="AW188" i="3"/>
  <c r="AW189" i="3"/>
  <c r="AW190" i="3"/>
  <c r="AW191" i="3"/>
  <c r="AU187" i="3"/>
  <c r="AU188" i="3"/>
  <c r="AU189" i="3"/>
  <c r="AU190" i="3"/>
  <c r="AU191" i="3"/>
  <c r="AU186" i="3"/>
  <c r="B3" i="3"/>
  <c r="D1" i="3"/>
  <c r="R1307" i="6"/>
  <c r="S1307" i="6"/>
  <c r="K3" i="1" l="1"/>
  <c r="R2257" i="6"/>
  <c r="S2257" i="6"/>
  <c r="R2258" i="6"/>
  <c r="S2258" i="6"/>
  <c r="R2259" i="6"/>
  <c r="S2259" i="6"/>
  <c r="R2260" i="6"/>
  <c r="S2260" i="6"/>
  <c r="R2261" i="6"/>
  <c r="S2261" i="6"/>
  <c r="R2262" i="6"/>
  <c r="S2262" i="6"/>
  <c r="R2263" i="6"/>
  <c r="S2263" i="6"/>
  <c r="R2264" i="6"/>
  <c r="S2264" i="6"/>
  <c r="R2265" i="6"/>
  <c r="S2265" i="6"/>
  <c r="R2266" i="6"/>
  <c r="S2266" i="6"/>
  <c r="R2267" i="6"/>
  <c r="S2267" i="6"/>
  <c r="U2263" i="6"/>
  <c r="U2250" i="6"/>
  <c r="W2250" i="6"/>
  <c r="S2244" i="6"/>
  <c r="S2245" i="6"/>
  <c r="S2246" i="6"/>
  <c r="S2247" i="6"/>
  <c r="S2248" i="6"/>
  <c r="S2249" i="6"/>
  <c r="S2252" i="6"/>
  <c r="S2253" i="6"/>
  <c r="S2254" i="6"/>
  <c r="S2255" i="6"/>
  <c r="S2243" i="6"/>
  <c r="R2244" i="6"/>
  <c r="R2245" i="6"/>
  <c r="R2246" i="6"/>
  <c r="R2247" i="6"/>
  <c r="R2248" i="6"/>
  <c r="R2249" i="6"/>
  <c r="R2252" i="6"/>
  <c r="R2253" i="6"/>
  <c r="R2254" i="6"/>
  <c r="R2255" i="6"/>
  <c r="S2251" i="6" l="1"/>
  <c r="R2250" i="6"/>
  <c r="S2250" i="6"/>
  <c r="R2251" i="6"/>
  <c r="U53" i="6"/>
  <c r="AW185" i="3"/>
  <c r="AW184" i="3"/>
  <c r="AW183" i="3"/>
  <c r="AW178" i="3"/>
  <c r="AW177" i="3"/>
  <c r="AW181" i="3"/>
  <c r="AW180" i="3"/>
  <c r="AW179" i="3"/>
  <c r="AW182" i="3"/>
  <c r="AW12" i="3"/>
  <c r="AV169" i="3"/>
  <c r="AU185" i="3"/>
  <c r="AU184" i="3"/>
  <c r="AU183" i="3"/>
  <c r="S185" i="3"/>
  <c r="S184" i="3"/>
  <c r="S183" i="3"/>
  <c r="AD185" i="3"/>
  <c r="AD184" i="3"/>
  <c r="AD183" i="3"/>
  <c r="M185" i="3"/>
  <c r="M184" i="3"/>
  <c r="N185" i="3"/>
  <c r="N184" i="3"/>
  <c r="S2734" i="6"/>
  <c r="C1" i="1"/>
  <c r="D1" i="6"/>
  <c r="G1" i="6"/>
  <c r="S2754" i="6"/>
  <c r="S2764" i="6"/>
  <c r="S2774" i="6"/>
  <c r="S2783" i="6"/>
  <c r="S2744" i="6"/>
  <c r="W2744" i="6"/>
  <c r="W2754" i="6"/>
  <c r="W2764" i="6"/>
  <c r="W2774" i="6"/>
  <c r="W2783" i="6"/>
  <c r="W2734" i="6"/>
  <c r="U2784" i="6"/>
  <c r="U2785" i="6" s="1"/>
  <c r="U2786" i="6" s="1"/>
  <c r="U2787" i="6" s="1"/>
  <c r="U2788" i="6" s="1"/>
  <c r="U2789" i="6" s="1"/>
  <c r="U2790" i="6" s="1"/>
  <c r="U2791" i="6" s="1"/>
  <c r="U2775" i="6"/>
  <c r="U2776" i="6" s="1"/>
  <c r="U2777" i="6" s="1"/>
  <c r="U2778" i="6" s="1"/>
  <c r="U2779" i="6" s="1"/>
  <c r="U2780" i="6" s="1"/>
  <c r="U2781" i="6" s="1"/>
  <c r="U2782" i="6" s="1"/>
  <c r="W2782" i="6" s="1"/>
  <c r="U2765" i="6"/>
  <c r="S2765" i="6" s="1"/>
  <c r="U2755" i="6"/>
  <c r="U2756" i="6" s="1"/>
  <c r="U2745" i="6"/>
  <c r="W2745" i="6" s="1"/>
  <c r="U2735" i="6"/>
  <c r="U2736" i="6" s="1"/>
  <c r="AU54" i="3"/>
  <c r="AU55" i="3"/>
  <c r="AU56" i="3"/>
  <c r="F1" i="3"/>
  <c r="N178" i="3"/>
  <c r="N179" i="3"/>
  <c r="N180" i="3"/>
  <c r="N181" i="3"/>
  <c r="N182" i="3"/>
  <c r="N177" i="3"/>
  <c r="M178" i="3"/>
  <c r="M179" i="3"/>
  <c r="M180" i="3"/>
  <c r="M181" i="3"/>
  <c r="M182" i="3"/>
  <c r="M177" i="3"/>
  <c r="S182" i="3"/>
  <c r="S181" i="3"/>
  <c r="S180" i="3"/>
  <c r="S179" i="3"/>
  <c r="S178" i="3"/>
  <c r="S177" i="3"/>
  <c r="AU182" i="3"/>
  <c r="AU181" i="3"/>
  <c r="AU180" i="3"/>
  <c r="AU179" i="3"/>
  <c r="AU178" i="3"/>
  <c r="AU177" i="3"/>
  <c r="R41" i="6"/>
  <c r="R52" i="6"/>
  <c r="R63" i="6"/>
  <c r="R74" i="6"/>
  <c r="U74" i="6"/>
  <c r="U63" i="6"/>
  <c r="U52" i="6"/>
  <c r="U41" i="6"/>
  <c r="R29" i="6"/>
  <c r="U29" i="6"/>
  <c r="R2242" i="6"/>
  <c r="R2243" i="6"/>
  <c r="R2256" i="6"/>
  <c r="R2268" i="6"/>
  <c r="R2353" i="6"/>
  <c r="R2438" i="6"/>
  <c r="R2447" i="6"/>
  <c r="R2456" i="6"/>
  <c r="R2465" i="6"/>
  <c r="R2474" i="6"/>
  <c r="R2483" i="6"/>
  <c r="R2515" i="6"/>
  <c r="R2547" i="6"/>
  <c r="R2582" i="6"/>
  <c r="R2601" i="6"/>
  <c r="R2620" i="6"/>
  <c r="R2639" i="6"/>
  <c r="R2658" i="6"/>
  <c r="R2677" i="6"/>
  <c r="R2696" i="6"/>
  <c r="R2715" i="6"/>
  <c r="R633" i="6"/>
  <c r="R722" i="6"/>
  <c r="R780" i="6"/>
  <c r="R811" i="6"/>
  <c r="R842" i="6"/>
  <c r="R873" i="6"/>
  <c r="R904" i="6"/>
  <c r="R935" i="6"/>
  <c r="R966" i="6"/>
  <c r="R997" i="6"/>
  <c r="R1028" i="6"/>
  <c r="R1059" i="6"/>
  <c r="R1090" i="6"/>
  <c r="R1121" i="6"/>
  <c r="R1152" i="6"/>
  <c r="R1183" i="6"/>
  <c r="R1214" i="6"/>
  <c r="R1245" i="6"/>
  <c r="R1276" i="6"/>
  <c r="R1319" i="6"/>
  <c r="R1331" i="6"/>
  <c r="R1343" i="6"/>
  <c r="R1355" i="6"/>
  <c r="R1375" i="6"/>
  <c r="R1395" i="6"/>
  <c r="R1415" i="6"/>
  <c r="R1435" i="6"/>
  <c r="R1455" i="6"/>
  <c r="R1475" i="6"/>
  <c r="R1495" i="6"/>
  <c r="R1515" i="6"/>
  <c r="R1535" i="6"/>
  <c r="R1555" i="6"/>
  <c r="R1575" i="6"/>
  <c r="R1595" i="6"/>
  <c r="R1615" i="6"/>
  <c r="R1635" i="6"/>
  <c r="R1655" i="6"/>
  <c r="R1675" i="6"/>
  <c r="R1695" i="6"/>
  <c r="R1715" i="6"/>
  <c r="R1735" i="6"/>
  <c r="R1755" i="6"/>
  <c r="R1775" i="6"/>
  <c r="R1795" i="6"/>
  <c r="R1815" i="6"/>
  <c r="R1835" i="6"/>
  <c r="R1855" i="6"/>
  <c r="R1875" i="6"/>
  <c r="R1895" i="6"/>
  <c r="R1896" i="6"/>
  <c r="R1897" i="6"/>
  <c r="R1898" i="6"/>
  <c r="R1899" i="6"/>
  <c r="R1900" i="6"/>
  <c r="R1901" i="6"/>
  <c r="R1902" i="6"/>
  <c r="R1903" i="6"/>
  <c r="R1904" i="6"/>
  <c r="R1905" i="6"/>
  <c r="R1906" i="6"/>
  <c r="R1907" i="6"/>
  <c r="R1908" i="6"/>
  <c r="R1909" i="6"/>
  <c r="R1910" i="6"/>
  <c r="R1911" i="6"/>
  <c r="R1912" i="6"/>
  <c r="R1913" i="6"/>
  <c r="R1914" i="6"/>
  <c r="R1915" i="6"/>
  <c r="R1916" i="6"/>
  <c r="R1917" i="6"/>
  <c r="R1918" i="6"/>
  <c r="R1919" i="6"/>
  <c r="R1920" i="6"/>
  <c r="R1921" i="6"/>
  <c r="R1922" i="6"/>
  <c r="R1923" i="6"/>
  <c r="R1924" i="6"/>
  <c r="R1925" i="6"/>
  <c r="R1926" i="6"/>
  <c r="R1927" i="6"/>
  <c r="R1928" i="6"/>
  <c r="R1929" i="6"/>
  <c r="R1930" i="6"/>
  <c r="R1931" i="6"/>
  <c r="R1932" i="6"/>
  <c r="R1933" i="6"/>
  <c r="R1934" i="6"/>
  <c r="R1935" i="6"/>
  <c r="R1936" i="6"/>
  <c r="R1937" i="6"/>
  <c r="R1938" i="6"/>
  <c r="R1939" i="6"/>
  <c r="R1940" i="6"/>
  <c r="R1941" i="6"/>
  <c r="R1942" i="6"/>
  <c r="R1943" i="6"/>
  <c r="R1944" i="6"/>
  <c r="R1945" i="6"/>
  <c r="R1946" i="6"/>
  <c r="R1947" i="6"/>
  <c r="R1948" i="6"/>
  <c r="R1949" i="6"/>
  <c r="R1950" i="6"/>
  <c r="R1951" i="6"/>
  <c r="R1952" i="6"/>
  <c r="R1953" i="6"/>
  <c r="R1954" i="6"/>
  <c r="R1955" i="6"/>
  <c r="R1956" i="6"/>
  <c r="R1957" i="6"/>
  <c r="R1958" i="6"/>
  <c r="R1959" i="6"/>
  <c r="R1960" i="6"/>
  <c r="R1961" i="6"/>
  <c r="R1962" i="6"/>
  <c r="R1963" i="6"/>
  <c r="R1964" i="6"/>
  <c r="R1965" i="6"/>
  <c r="R1966" i="6"/>
  <c r="R1967" i="6"/>
  <c r="R1968" i="6"/>
  <c r="R1969" i="6"/>
  <c r="R1970" i="6"/>
  <c r="R1971" i="6"/>
  <c r="R1972" i="6"/>
  <c r="R1973" i="6"/>
  <c r="R1974" i="6"/>
  <c r="R1975" i="6"/>
  <c r="R1976" i="6"/>
  <c r="R1977" i="6"/>
  <c r="R1978" i="6"/>
  <c r="R1979" i="6"/>
  <c r="R1980" i="6"/>
  <c r="R1981" i="6"/>
  <c r="R1982" i="6"/>
  <c r="R1983" i="6"/>
  <c r="R1984" i="6"/>
  <c r="R1985" i="6"/>
  <c r="R1986" i="6"/>
  <c r="R1987" i="6"/>
  <c r="R1988" i="6"/>
  <c r="R1989" i="6"/>
  <c r="R1990" i="6"/>
  <c r="R1991" i="6"/>
  <c r="R1992" i="6"/>
  <c r="R1993" i="6"/>
  <c r="R1994" i="6"/>
  <c r="R1995" i="6"/>
  <c r="R1996" i="6"/>
  <c r="R1997" i="6"/>
  <c r="R1998" i="6"/>
  <c r="R1999" i="6"/>
  <c r="R2000" i="6"/>
  <c r="R2001" i="6"/>
  <c r="R2002" i="6"/>
  <c r="R2003" i="6"/>
  <c r="R2004" i="6"/>
  <c r="R2005" i="6"/>
  <c r="R2006" i="6"/>
  <c r="R2007" i="6"/>
  <c r="R2008" i="6"/>
  <c r="R2009" i="6"/>
  <c r="R2010" i="6"/>
  <c r="R2011" i="6"/>
  <c r="R2012" i="6"/>
  <c r="R2013" i="6"/>
  <c r="R2014" i="6"/>
  <c r="R2015" i="6"/>
  <c r="R2016" i="6"/>
  <c r="R2017" i="6"/>
  <c r="R2018" i="6"/>
  <c r="R2019" i="6"/>
  <c r="R2020" i="6"/>
  <c r="R2021" i="6"/>
  <c r="R2022" i="6"/>
  <c r="R2023" i="6"/>
  <c r="R2024" i="6"/>
  <c r="R2025" i="6"/>
  <c r="R2026" i="6"/>
  <c r="R2027" i="6"/>
  <c r="R2028" i="6"/>
  <c r="R2029" i="6"/>
  <c r="R2030" i="6"/>
  <c r="R2031" i="6"/>
  <c r="R2032" i="6"/>
  <c r="R2033" i="6"/>
  <c r="R2034" i="6"/>
  <c r="R2035" i="6"/>
  <c r="R2036" i="6"/>
  <c r="R2037" i="6"/>
  <c r="R2038" i="6"/>
  <c r="R2039" i="6"/>
  <c r="R2040" i="6"/>
  <c r="R2041" i="6"/>
  <c r="R2042" i="6"/>
  <c r="R2043" i="6"/>
  <c r="R2044" i="6"/>
  <c r="R2045" i="6"/>
  <c r="R2046" i="6"/>
  <c r="R2047" i="6"/>
  <c r="R2048" i="6"/>
  <c r="R2049" i="6"/>
  <c r="R2050" i="6"/>
  <c r="R2051" i="6"/>
  <c r="R2052" i="6"/>
  <c r="R2053" i="6"/>
  <c r="R2054" i="6"/>
  <c r="R2055" i="6"/>
  <c r="R2056" i="6"/>
  <c r="R2057" i="6"/>
  <c r="R2058" i="6"/>
  <c r="R2059" i="6"/>
  <c r="R2060" i="6"/>
  <c r="R2061" i="6"/>
  <c r="R2062" i="6"/>
  <c r="R2063" i="6"/>
  <c r="R2064" i="6"/>
  <c r="R2065" i="6"/>
  <c r="R2066" i="6"/>
  <c r="R2067" i="6"/>
  <c r="R2068" i="6"/>
  <c r="R2069" i="6"/>
  <c r="R2070" i="6"/>
  <c r="R2071" i="6"/>
  <c r="R2072" i="6"/>
  <c r="R2073" i="6"/>
  <c r="R2074" i="6"/>
  <c r="R2075" i="6"/>
  <c r="R2076" i="6"/>
  <c r="R2077" i="6"/>
  <c r="R2078" i="6"/>
  <c r="R2079" i="6"/>
  <c r="R2080" i="6"/>
  <c r="R2081" i="6"/>
  <c r="R2082" i="6"/>
  <c r="R2083" i="6"/>
  <c r="R2084" i="6"/>
  <c r="R2085" i="6"/>
  <c r="R2086" i="6"/>
  <c r="R2087" i="6"/>
  <c r="R2088" i="6"/>
  <c r="R2089" i="6"/>
  <c r="R2090" i="6"/>
  <c r="R2091" i="6"/>
  <c r="R2092" i="6"/>
  <c r="R2093" i="6"/>
  <c r="R2094" i="6"/>
  <c r="R2095" i="6"/>
  <c r="R2096" i="6"/>
  <c r="R2097" i="6"/>
  <c r="R2098" i="6"/>
  <c r="R2099" i="6"/>
  <c r="R2100" i="6"/>
  <c r="R2101" i="6"/>
  <c r="R2102" i="6"/>
  <c r="R2103" i="6"/>
  <c r="R2104" i="6"/>
  <c r="R2105" i="6"/>
  <c r="R2106" i="6"/>
  <c r="R2107" i="6"/>
  <c r="R2108" i="6"/>
  <c r="R2109" i="6"/>
  <c r="R2110" i="6"/>
  <c r="R2111" i="6"/>
  <c r="R2112" i="6"/>
  <c r="R2113" i="6"/>
  <c r="R2114" i="6"/>
  <c r="R2115" i="6"/>
  <c r="R2116" i="6"/>
  <c r="R2117" i="6"/>
  <c r="R2118" i="6"/>
  <c r="R2119" i="6"/>
  <c r="R2120" i="6"/>
  <c r="R2121" i="6"/>
  <c r="R2122" i="6"/>
  <c r="R2123" i="6"/>
  <c r="R2124" i="6"/>
  <c r="R2125" i="6"/>
  <c r="S633" i="6"/>
  <c r="R599" i="6"/>
  <c r="R555" i="6"/>
  <c r="S555" i="6"/>
  <c r="W2765" i="6" l="1"/>
  <c r="S2735" i="6"/>
  <c r="W2735" i="6"/>
  <c r="S2736" i="6" s="1"/>
  <c r="W2789" i="6"/>
  <c r="S2790" i="6" s="1"/>
  <c r="W2776" i="6"/>
  <c r="S2777" i="6" s="1"/>
  <c r="S2755" i="6"/>
  <c r="W2781" i="6"/>
  <c r="S2782" i="6" s="1"/>
  <c r="W2791" i="6"/>
  <c r="W2775" i="6"/>
  <c r="S2776" i="6" s="1"/>
  <c r="W2790" i="6"/>
  <c r="S2791" i="6" s="1"/>
  <c r="W2784" i="6"/>
  <c r="S2785" i="6" s="1"/>
  <c r="U2766" i="6"/>
  <c r="S2784" i="6"/>
  <c r="U2757" i="6"/>
  <c r="W2756" i="6"/>
  <c r="U2737" i="6"/>
  <c r="W2736" i="6"/>
  <c r="W2788" i="6"/>
  <c r="S2789" i="6" s="1"/>
  <c r="W2780" i="6"/>
  <c r="S2781" i="6" s="1"/>
  <c r="S2775" i="6"/>
  <c r="W2787" i="6"/>
  <c r="S2788" i="6" s="1"/>
  <c r="W2779" i="6"/>
  <c r="S2780" i="6" s="1"/>
  <c r="W2755" i="6"/>
  <c r="S2756" i="6" s="1"/>
  <c r="U2746" i="6"/>
  <c r="S2745" i="6"/>
  <c r="W2786" i="6"/>
  <c r="S2787" i="6" s="1"/>
  <c r="W2778" i="6"/>
  <c r="S2779" i="6" s="1"/>
  <c r="W2785" i="6"/>
  <c r="S2786" i="6" s="1"/>
  <c r="W2777" i="6"/>
  <c r="S2778" i="6" s="1"/>
  <c r="S2601" i="6"/>
  <c r="S2620" i="6"/>
  <c r="S2639" i="6"/>
  <c r="S2658" i="6"/>
  <c r="S2677" i="6"/>
  <c r="S2696" i="6"/>
  <c r="S2715" i="6"/>
  <c r="S2582" i="6"/>
  <c r="V2639" i="6"/>
  <c r="V2620" i="6"/>
  <c r="V2601" i="6"/>
  <c r="V2715" i="6"/>
  <c r="V2696" i="6"/>
  <c r="V2677" i="6"/>
  <c r="V2658" i="6"/>
  <c r="V2582" i="6"/>
  <c r="T2438" i="6"/>
  <c r="F2583" i="6"/>
  <c r="F2584" i="6"/>
  <c r="F2585" i="6"/>
  <c r="F2586" i="6"/>
  <c r="F2587" i="6"/>
  <c r="F2588" i="6"/>
  <c r="F2589" i="6"/>
  <c r="F2590" i="6"/>
  <c r="F2591" i="6"/>
  <c r="F2592" i="6"/>
  <c r="F2593" i="6"/>
  <c r="F2594" i="6"/>
  <c r="F2595" i="6"/>
  <c r="F2596" i="6"/>
  <c r="F2597" i="6"/>
  <c r="F2598" i="6"/>
  <c r="F2599" i="6"/>
  <c r="F2600" i="6"/>
  <c r="F2601" i="6"/>
  <c r="F2602" i="6"/>
  <c r="F2603" i="6"/>
  <c r="F2604" i="6"/>
  <c r="F2605" i="6"/>
  <c r="F2606" i="6"/>
  <c r="F2607" i="6"/>
  <c r="F2608" i="6"/>
  <c r="F2609" i="6"/>
  <c r="F2610" i="6"/>
  <c r="F2611" i="6"/>
  <c r="F2612" i="6"/>
  <c r="F2613" i="6"/>
  <c r="F2614" i="6"/>
  <c r="F2615" i="6"/>
  <c r="F2616" i="6"/>
  <c r="F2617" i="6"/>
  <c r="F2618" i="6"/>
  <c r="F2619" i="6"/>
  <c r="F2620" i="6"/>
  <c r="F2621" i="6"/>
  <c r="F2622" i="6"/>
  <c r="F2623" i="6"/>
  <c r="F2624" i="6"/>
  <c r="F2625" i="6"/>
  <c r="F2626" i="6"/>
  <c r="F2627" i="6"/>
  <c r="F2628" i="6"/>
  <c r="F2629" i="6"/>
  <c r="F2630" i="6"/>
  <c r="F2631" i="6"/>
  <c r="F2632" i="6"/>
  <c r="F2633" i="6"/>
  <c r="F2634" i="6"/>
  <c r="F2635" i="6"/>
  <c r="F2636" i="6"/>
  <c r="F2637" i="6"/>
  <c r="F2638" i="6"/>
  <c r="F2639" i="6"/>
  <c r="F2640" i="6"/>
  <c r="F2641" i="6"/>
  <c r="F2642" i="6"/>
  <c r="F2643" i="6"/>
  <c r="F2644" i="6"/>
  <c r="F2645" i="6"/>
  <c r="F2646" i="6"/>
  <c r="F2647" i="6"/>
  <c r="F2648" i="6"/>
  <c r="F2649" i="6"/>
  <c r="F2650" i="6"/>
  <c r="F2651" i="6"/>
  <c r="F2652" i="6"/>
  <c r="F2653" i="6"/>
  <c r="F2654" i="6"/>
  <c r="F2655" i="6"/>
  <c r="F2656" i="6"/>
  <c r="F2657" i="6"/>
  <c r="F2658" i="6"/>
  <c r="F2659" i="6"/>
  <c r="F2660" i="6"/>
  <c r="F2661" i="6"/>
  <c r="F2662" i="6"/>
  <c r="F2663" i="6"/>
  <c r="F2664" i="6"/>
  <c r="F2665" i="6"/>
  <c r="F2666" i="6"/>
  <c r="F2667" i="6"/>
  <c r="F2668" i="6"/>
  <c r="F2669" i="6"/>
  <c r="F2670" i="6"/>
  <c r="F2671" i="6"/>
  <c r="F2672" i="6"/>
  <c r="F2673" i="6"/>
  <c r="F2674" i="6"/>
  <c r="F2675" i="6"/>
  <c r="F2676" i="6"/>
  <c r="F2677" i="6"/>
  <c r="F2678" i="6"/>
  <c r="F2679" i="6"/>
  <c r="F2680" i="6"/>
  <c r="F2681" i="6"/>
  <c r="F2682" i="6"/>
  <c r="F2683" i="6"/>
  <c r="F2684" i="6"/>
  <c r="F2685" i="6"/>
  <c r="F2686" i="6"/>
  <c r="F2687" i="6"/>
  <c r="F2688" i="6"/>
  <c r="F2689" i="6"/>
  <c r="F2690" i="6"/>
  <c r="F2691" i="6"/>
  <c r="F2692" i="6"/>
  <c r="F2693" i="6"/>
  <c r="F2694" i="6"/>
  <c r="F2695" i="6"/>
  <c r="F2696" i="6"/>
  <c r="F2697" i="6"/>
  <c r="F2698" i="6"/>
  <c r="F2699" i="6"/>
  <c r="F2700" i="6"/>
  <c r="F2701" i="6"/>
  <c r="F2702" i="6"/>
  <c r="F2703" i="6"/>
  <c r="F2704" i="6"/>
  <c r="F2705" i="6"/>
  <c r="F2706" i="6"/>
  <c r="F2707" i="6"/>
  <c r="F2708" i="6"/>
  <c r="F2709" i="6"/>
  <c r="F2710" i="6"/>
  <c r="F2711" i="6"/>
  <c r="F2712" i="6"/>
  <c r="F2713" i="6"/>
  <c r="F2714" i="6"/>
  <c r="F2715" i="6"/>
  <c r="F2716" i="6"/>
  <c r="F2717" i="6"/>
  <c r="F2718" i="6"/>
  <c r="F2719" i="6"/>
  <c r="F2720" i="6"/>
  <c r="F2721" i="6"/>
  <c r="F2722" i="6"/>
  <c r="F2723" i="6"/>
  <c r="F2724" i="6"/>
  <c r="F2725" i="6"/>
  <c r="F2726" i="6"/>
  <c r="F2727" i="6"/>
  <c r="F2728" i="6"/>
  <c r="F2729" i="6"/>
  <c r="F2730" i="6"/>
  <c r="F2731" i="6"/>
  <c r="F2732" i="6"/>
  <c r="F2733" i="6"/>
  <c r="F2582" i="6"/>
  <c r="I2607" i="6"/>
  <c r="I2608" i="6"/>
  <c r="I2609" i="6"/>
  <c r="I2610" i="6"/>
  <c r="I2611" i="6"/>
  <c r="I2612" i="6"/>
  <c r="I2613" i="6"/>
  <c r="I2614" i="6"/>
  <c r="I2615" i="6"/>
  <c r="I2616" i="6"/>
  <c r="I2617" i="6"/>
  <c r="I2618" i="6"/>
  <c r="I2619" i="6"/>
  <c r="I2620" i="6"/>
  <c r="I2621" i="6"/>
  <c r="I2622" i="6"/>
  <c r="I2623" i="6"/>
  <c r="I2624" i="6"/>
  <c r="I2625" i="6"/>
  <c r="I2626" i="6"/>
  <c r="I2627" i="6"/>
  <c r="I2628" i="6"/>
  <c r="I2629" i="6"/>
  <c r="I2630" i="6"/>
  <c r="I2631" i="6"/>
  <c r="I2632" i="6"/>
  <c r="I2633" i="6"/>
  <c r="I2634" i="6"/>
  <c r="I2635" i="6"/>
  <c r="I2636" i="6"/>
  <c r="I2637" i="6"/>
  <c r="I2638" i="6"/>
  <c r="I2639" i="6"/>
  <c r="I2640" i="6"/>
  <c r="I2641" i="6"/>
  <c r="I2642" i="6"/>
  <c r="I2643" i="6"/>
  <c r="I2644" i="6"/>
  <c r="I2645" i="6"/>
  <c r="I2646" i="6"/>
  <c r="I2647" i="6"/>
  <c r="I2648" i="6"/>
  <c r="I2649" i="6"/>
  <c r="I2650" i="6"/>
  <c r="I2651" i="6"/>
  <c r="I2652" i="6"/>
  <c r="I2653" i="6"/>
  <c r="I2654" i="6"/>
  <c r="I2655" i="6"/>
  <c r="I2656" i="6"/>
  <c r="I2657" i="6"/>
  <c r="I2658" i="6"/>
  <c r="I2659" i="6"/>
  <c r="I2660" i="6"/>
  <c r="I2661" i="6"/>
  <c r="I2662" i="6"/>
  <c r="I2663" i="6"/>
  <c r="I2664" i="6"/>
  <c r="I2665" i="6"/>
  <c r="J2665" i="6" s="1"/>
  <c r="I2666" i="6"/>
  <c r="J2666" i="6" s="1"/>
  <c r="I2667" i="6"/>
  <c r="I2668" i="6"/>
  <c r="I2669" i="6"/>
  <c r="I2670" i="6"/>
  <c r="I2671" i="6"/>
  <c r="I2672" i="6"/>
  <c r="I2673" i="6"/>
  <c r="I2674" i="6"/>
  <c r="I2675" i="6"/>
  <c r="I2676" i="6"/>
  <c r="I2677" i="6"/>
  <c r="T2677" i="6" s="1"/>
  <c r="I2678" i="6"/>
  <c r="I2679" i="6"/>
  <c r="I2680" i="6"/>
  <c r="I2681" i="6"/>
  <c r="I2682" i="6"/>
  <c r="I2683" i="6"/>
  <c r="I2684" i="6"/>
  <c r="I2685" i="6"/>
  <c r="I2686" i="6"/>
  <c r="I2687" i="6"/>
  <c r="I2688" i="6"/>
  <c r="I2689" i="6"/>
  <c r="I2690" i="6"/>
  <c r="I2691" i="6"/>
  <c r="I2692" i="6"/>
  <c r="I2693" i="6"/>
  <c r="I2694" i="6"/>
  <c r="I2695" i="6"/>
  <c r="I2696" i="6"/>
  <c r="I2697" i="6"/>
  <c r="I2698" i="6"/>
  <c r="I2699" i="6"/>
  <c r="I2700" i="6"/>
  <c r="I2701" i="6"/>
  <c r="I2702" i="6"/>
  <c r="I2703" i="6"/>
  <c r="I2704" i="6"/>
  <c r="I2705" i="6"/>
  <c r="I2706" i="6"/>
  <c r="I2707" i="6"/>
  <c r="I2708" i="6"/>
  <c r="I2709" i="6"/>
  <c r="I2710" i="6"/>
  <c r="I2711" i="6"/>
  <c r="I2712" i="6"/>
  <c r="I2713" i="6"/>
  <c r="I2714" i="6"/>
  <c r="I2715" i="6"/>
  <c r="I2716" i="6"/>
  <c r="I2717" i="6"/>
  <c r="I2718" i="6"/>
  <c r="I2719" i="6"/>
  <c r="I2720" i="6"/>
  <c r="I2721" i="6"/>
  <c r="J2721" i="6" s="1"/>
  <c r="I2722" i="6"/>
  <c r="I2723" i="6"/>
  <c r="I2724" i="6"/>
  <c r="I2725" i="6"/>
  <c r="I2726" i="6"/>
  <c r="I2727" i="6"/>
  <c r="I2728" i="6"/>
  <c r="I2729" i="6"/>
  <c r="I2730" i="6"/>
  <c r="I2731" i="6"/>
  <c r="I2732" i="6"/>
  <c r="I2733" i="6"/>
  <c r="I2582" i="6"/>
  <c r="I2583" i="6"/>
  <c r="I2584" i="6"/>
  <c r="I2585" i="6"/>
  <c r="I2586" i="6"/>
  <c r="I2587" i="6"/>
  <c r="I2588" i="6"/>
  <c r="I2589" i="6"/>
  <c r="I2590" i="6"/>
  <c r="I2591" i="6"/>
  <c r="I2592" i="6"/>
  <c r="I2593" i="6"/>
  <c r="J2593" i="6" s="1"/>
  <c r="I2594" i="6"/>
  <c r="I2595" i="6"/>
  <c r="I2596" i="6"/>
  <c r="I2597" i="6"/>
  <c r="I2598" i="6"/>
  <c r="I2599" i="6"/>
  <c r="I2600" i="6"/>
  <c r="I2601" i="6"/>
  <c r="I2602" i="6"/>
  <c r="I2603" i="6"/>
  <c r="I2604" i="6"/>
  <c r="J2604" i="6" s="1"/>
  <c r="I2605" i="6"/>
  <c r="I2606" i="6"/>
  <c r="I86" i="6"/>
  <c r="I85" i="6"/>
  <c r="T85" i="6" s="1"/>
  <c r="I104" i="6"/>
  <c r="U69" i="6"/>
  <c r="U68" i="6"/>
  <c r="U10" i="6"/>
  <c r="U11" i="6"/>
  <c r="U12" i="6"/>
  <c r="U13" i="6"/>
  <c r="U14" i="6"/>
  <c r="U15" i="6"/>
  <c r="U16" i="6"/>
  <c r="U17" i="6"/>
  <c r="U18" i="6"/>
  <c r="U19" i="6"/>
  <c r="U20" i="6"/>
  <c r="U21" i="6"/>
  <c r="U22" i="6"/>
  <c r="U23" i="6"/>
  <c r="U24" i="6"/>
  <c r="U25" i="6"/>
  <c r="U26" i="6"/>
  <c r="U27" i="6"/>
  <c r="U28" i="6"/>
  <c r="U30" i="6"/>
  <c r="R30" i="6" s="1"/>
  <c r="U31" i="6"/>
  <c r="U32" i="6"/>
  <c r="U33" i="6"/>
  <c r="U34" i="6"/>
  <c r="U35" i="6"/>
  <c r="U36" i="6"/>
  <c r="U37" i="6"/>
  <c r="U38" i="6"/>
  <c r="U39" i="6"/>
  <c r="U40" i="6"/>
  <c r="U42" i="6"/>
  <c r="U43" i="6"/>
  <c r="U44" i="6"/>
  <c r="U45" i="6"/>
  <c r="U46" i="6"/>
  <c r="U47" i="6"/>
  <c r="U48" i="6"/>
  <c r="U49" i="6"/>
  <c r="U50" i="6"/>
  <c r="U51" i="6"/>
  <c r="U54" i="6"/>
  <c r="U55" i="6"/>
  <c r="U56" i="6"/>
  <c r="U57" i="6"/>
  <c r="U58" i="6"/>
  <c r="U59" i="6"/>
  <c r="U60" i="6"/>
  <c r="U61" i="6"/>
  <c r="U62" i="6"/>
  <c r="U64" i="6"/>
  <c r="U65" i="6"/>
  <c r="U66" i="6"/>
  <c r="U67" i="6"/>
  <c r="U70" i="6"/>
  <c r="U71" i="6"/>
  <c r="U72" i="6"/>
  <c r="U73" i="6"/>
  <c r="U75" i="6"/>
  <c r="U76" i="6"/>
  <c r="U77" i="6"/>
  <c r="U78" i="6"/>
  <c r="U79" i="6"/>
  <c r="U80" i="6"/>
  <c r="U81" i="6"/>
  <c r="U82" i="6"/>
  <c r="U83" i="6"/>
  <c r="U84" i="6"/>
  <c r="U9" i="6"/>
  <c r="V2483" i="6"/>
  <c r="U2503" i="6" s="1"/>
  <c r="S2515" i="6"/>
  <c r="S2547" i="6"/>
  <c r="S2483" i="6"/>
  <c r="S2447" i="6"/>
  <c r="T2447" i="6"/>
  <c r="T2448" i="6" s="1"/>
  <c r="S2456" i="6"/>
  <c r="T2456" i="6"/>
  <c r="T2457" i="6" s="1"/>
  <c r="T2458" i="6" s="1"/>
  <c r="S2465" i="6"/>
  <c r="T2465" i="6"/>
  <c r="S2474" i="6"/>
  <c r="T2474" i="6"/>
  <c r="U2474" i="6" s="1"/>
  <c r="W2474" i="6" s="1"/>
  <c r="S2438" i="6"/>
  <c r="I2475" i="6"/>
  <c r="I2466" i="6"/>
  <c r="I2457" i="6"/>
  <c r="I2448" i="6"/>
  <c r="I2439" i="6"/>
  <c r="I2438" i="6"/>
  <c r="I2446" i="6"/>
  <c r="I2445" i="6"/>
  <c r="I2447" i="6"/>
  <c r="I2449" i="6"/>
  <c r="I2450" i="6"/>
  <c r="I2451" i="6"/>
  <c r="I2452" i="6"/>
  <c r="I2453" i="6"/>
  <c r="I2454" i="6"/>
  <c r="I2455" i="6"/>
  <c r="I2456" i="6"/>
  <c r="I2458" i="6"/>
  <c r="I2459" i="6"/>
  <c r="I2460" i="6"/>
  <c r="I2461" i="6"/>
  <c r="I2462" i="6"/>
  <c r="I2463" i="6"/>
  <c r="I2464" i="6"/>
  <c r="I2465" i="6"/>
  <c r="I2467" i="6"/>
  <c r="I2468" i="6"/>
  <c r="I2469" i="6"/>
  <c r="I2470" i="6"/>
  <c r="I2471" i="6"/>
  <c r="I2472" i="6"/>
  <c r="I2473" i="6"/>
  <c r="I2474" i="6"/>
  <c r="I2476" i="6"/>
  <c r="I2477" i="6"/>
  <c r="I2478" i="6"/>
  <c r="I2479" i="6"/>
  <c r="I2480" i="6"/>
  <c r="I2481" i="6"/>
  <c r="I2482" i="6"/>
  <c r="I2440" i="6"/>
  <c r="I2441" i="6"/>
  <c r="I2442" i="6"/>
  <c r="I2443" i="6"/>
  <c r="I2444" i="6"/>
  <c r="U2270" i="6"/>
  <c r="U2269" i="6"/>
  <c r="U2271" i="6"/>
  <c r="U2272" i="6"/>
  <c r="U2273" i="6"/>
  <c r="U2274" i="6"/>
  <c r="U2275" i="6"/>
  <c r="U2276" i="6"/>
  <c r="U2277" i="6"/>
  <c r="U2278" i="6"/>
  <c r="U2279" i="6"/>
  <c r="U2280" i="6"/>
  <c r="U2281" i="6"/>
  <c r="U2282" i="6"/>
  <c r="U2283" i="6"/>
  <c r="U2284" i="6"/>
  <c r="U2285" i="6"/>
  <c r="U2286" i="6"/>
  <c r="U2287" i="6"/>
  <c r="U2288" i="6"/>
  <c r="U2289" i="6"/>
  <c r="U2290" i="6"/>
  <c r="U2291" i="6"/>
  <c r="U2292" i="6"/>
  <c r="U2293" i="6"/>
  <c r="U2294" i="6"/>
  <c r="U2295" i="6"/>
  <c r="U2296" i="6"/>
  <c r="U2297" i="6"/>
  <c r="U2298" i="6"/>
  <c r="U2299" i="6"/>
  <c r="U2300" i="6"/>
  <c r="U2301" i="6"/>
  <c r="U2302" i="6"/>
  <c r="U2303" i="6"/>
  <c r="U2304" i="6"/>
  <c r="U2305" i="6"/>
  <c r="U2306" i="6"/>
  <c r="U2307" i="6"/>
  <c r="U2308" i="6"/>
  <c r="U2309" i="6"/>
  <c r="U2310" i="6"/>
  <c r="U2311" i="6"/>
  <c r="U2312" i="6"/>
  <c r="U2313" i="6"/>
  <c r="U2314" i="6"/>
  <c r="U2315" i="6"/>
  <c r="U2316" i="6"/>
  <c r="U2317" i="6"/>
  <c r="U2318" i="6"/>
  <c r="U2319" i="6"/>
  <c r="U2320" i="6"/>
  <c r="U2321" i="6"/>
  <c r="U2322" i="6"/>
  <c r="U2323" i="6"/>
  <c r="U2324" i="6"/>
  <c r="U2325" i="6"/>
  <c r="U2326" i="6"/>
  <c r="U2327" i="6"/>
  <c r="U2328" i="6"/>
  <c r="U2329" i="6"/>
  <c r="U2330" i="6"/>
  <c r="U2331" i="6"/>
  <c r="U2332" i="6"/>
  <c r="U2333" i="6"/>
  <c r="U2334" i="6"/>
  <c r="U2335" i="6"/>
  <c r="U2336" i="6"/>
  <c r="U2337" i="6"/>
  <c r="U2338" i="6"/>
  <c r="U2339" i="6"/>
  <c r="U2340" i="6"/>
  <c r="U2341" i="6"/>
  <c r="U2342" i="6"/>
  <c r="U2343" i="6"/>
  <c r="U2344" i="6"/>
  <c r="U2345" i="6"/>
  <c r="U2346" i="6"/>
  <c r="U2347" i="6"/>
  <c r="U2348" i="6"/>
  <c r="U2349" i="6"/>
  <c r="U2350" i="6"/>
  <c r="U2351" i="6"/>
  <c r="U2352" i="6"/>
  <c r="S2353" i="6"/>
  <c r="U2354" i="6"/>
  <c r="U2353" i="6"/>
  <c r="U2355" i="6"/>
  <c r="U2356" i="6"/>
  <c r="U2357" i="6"/>
  <c r="U2358" i="6"/>
  <c r="U2359" i="6"/>
  <c r="U2360" i="6"/>
  <c r="U2361" i="6"/>
  <c r="U2362" i="6"/>
  <c r="U2363" i="6"/>
  <c r="U2364" i="6"/>
  <c r="U2365" i="6"/>
  <c r="U2366" i="6"/>
  <c r="U2367" i="6"/>
  <c r="U2368" i="6"/>
  <c r="U2369" i="6"/>
  <c r="U2370" i="6"/>
  <c r="U2371" i="6"/>
  <c r="U2372" i="6"/>
  <c r="U2373" i="6"/>
  <c r="U2374" i="6"/>
  <c r="U2375" i="6"/>
  <c r="U2376" i="6"/>
  <c r="U2377" i="6"/>
  <c r="U2378" i="6"/>
  <c r="U2379" i="6"/>
  <c r="U2380" i="6"/>
  <c r="U2381" i="6"/>
  <c r="U2382" i="6"/>
  <c r="U2383" i="6"/>
  <c r="U2384" i="6"/>
  <c r="U2385" i="6"/>
  <c r="U2386" i="6"/>
  <c r="U2387" i="6"/>
  <c r="U2388" i="6"/>
  <c r="U2389" i="6"/>
  <c r="U2390" i="6"/>
  <c r="U2391" i="6"/>
  <c r="U2392" i="6"/>
  <c r="U2393" i="6"/>
  <c r="U2394" i="6"/>
  <c r="U2395" i="6"/>
  <c r="U2396" i="6"/>
  <c r="U2397" i="6"/>
  <c r="U2398" i="6"/>
  <c r="U2399" i="6"/>
  <c r="U2400" i="6"/>
  <c r="U2401" i="6"/>
  <c r="U2402" i="6"/>
  <c r="U2403" i="6"/>
  <c r="U2404" i="6"/>
  <c r="U2405" i="6"/>
  <c r="U2406" i="6"/>
  <c r="U2407" i="6"/>
  <c r="U2408" i="6"/>
  <c r="U2409" i="6"/>
  <c r="U2410" i="6"/>
  <c r="U2411" i="6"/>
  <c r="U2412" i="6"/>
  <c r="U2413" i="6"/>
  <c r="U2414" i="6"/>
  <c r="U2415" i="6"/>
  <c r="U2416" i="6"/>
  <c r="U2417" i="6"/>
  <c r="U2418" i="6"/>
  <c r="U2419" i="6"/>
  <c r="U2420" i="6"/>
  <c r="U2421" i="6"/>
  <c r="U2422" i="6"/>
  <c r="U2423" i="6"/>
  <c r="U2424" i="6"/>
  <c r="U2425" i="6"/>
  <c r="U2426" i="6"/>
  <c r="U2427" i="6"/>
  <c r="U2428" i="6"/>
  <c r="U2429" i="6"/>
  <c r="U2430" i="6"/>
  <c r="U2431" i="6"/>
  <c r="U2432" i="6"/>
  <c r="U2433" i="6"/>
  <c r="U2434" i="6"/>
  <c r="U2435" i="6"/>
  <c r="U2436" i="6"/>
  <c r="U2437" i="6"/>
  <c r="U2268" i="6"/>
  <c r="S2268" i="6"/>
  <c r="W2264" i="6"/>
  <c r="W2265" i="6"/>
  <c r="W2266" i="6"/>
  <c r="W2255" i="6"/>
  <c r="S2256" i="6" s="1"/>
  <c r="W2256" i="6"/>
  <c r="W2257" i="6"/>
  <c r="W2258" i="6"/>
  <c r="W2259" i="6"/>
  <c r="W2260" i="6"/>
  <c r="W2261" i="6"/>
  <c r="W2262" i="6"/>
  <c r="W2263" i="6"/>
  <c r="W2247" i="6"/>
  <c r="W2248" i="6"/>
  <c r="W2249" i="6"/>
  <c r="W2251" i="6"/>
  <c r="W2252" i="6"/>
  <c r="W2253" i="6"/>
  <c r="W2254" i="6"/>
  <c r="W2242" i="6"/>
  <c r="W2243" i="6"/>
  <c r="W2244" i="6"/>
  <c r="W2245" i="6"/>
  <c r="W2246" i="6"/>
  <c r="S2242" i="6"/>
  <c r="W2267" i="6"/>
  <c r="BH128" i="3"/>
  <c r="AU128" i="3"/>
  <c r="AV129" i="3"/>
  <c r="AD129" i="3"/>
  <c r="AD128" i="3"/>
  <c r="S129" i="3"/>
  <c r="S128" i="3"/>
  <c r="R129" i="3"/>
  <c r="R128" i="3"/>
  <c r="W1895" i="6"/>
  <c r="S1896" i="6" s="1"/>
  <c r="W1896" i="6"/>
  <c r="S1897" i="6" s="1"/>
  <c r="W1897" i="6"/>
  <c r="S1898" i="6" s="1"/>
  <c r="W1898" i="6"/>
  <c r="S1899" i="6" s="1"/>
  <c r="W1899" i="6"/>
  <c r="S1900" i="6" s="1"/>
  <c r="W1900" i="6"/>
  <c r="S1901" i="6" s="1"/>
  <c r="W1901" i="6"/>
  <c r="S1902" i="6" s="1"/>
  <c r="W1902" i="6"/>
  <c r="S1903" i="6" s="1"/>
  <c r="W1903" i="6"/>
  <c r="S1904" i="6" s="1"/>
  <c r="W1904" i="6"/>
  <c r="S1905" i="6" s="1"/>
  <c r="W1905" i="6"/>
  <c r="S1906" i="6" s="1"/>
  <c r="W1906" i="6"/>
  <c r="S1907" i="6" s="1"/>
  <c r="W1907" i="6"/>
  <c r="S1908" i="6" s="1"/>
  <c r="W1908" i="6"/>
  <c r="S1909" i="6" s="1"/>
  <c r="W1909" i="6"/>
  <c r="S1910" i="6" s="1"/>
  <c r="W1910" i="6"/>
  <c r="S1911" i="6" s="1"/>
  <c r="W1911" i="6"/>
  <c r="S1912" i="6" s="1"/>
  <c r="W1912" i="6"/>
  <c r="S1913" i="6" s="1"/>
  <c r="W1913" i="6"/>
  <c r="S1914" i="6" s="1"/>
  <c r="W1914" i="6"/>
  <c r="S1915" i="6" s="1"/>
  <c r="S1916" i="6"/>
  <c r="W1916" i="6"/>
  <c r="S1917" i="6" s="1"/>
  <c r="W1917" i="6"/>
  <c r="S1918" i="6" s="1"/>
  <c r="W1918" i="6"/>
  <c r="S1919" i="6" s="1"/>
  <c r="W1919" i="6"/>
  <c r="S1920" i="6" s="1"/>
  <c r="W1920" i="6"/>
  <c r="S1921" i="6" s="1"/>
  <c r="W1921" i="6"/>
  <c r="S1922" i="6" s="1"/>
  <c r="W1922" i="6"/>
  <c r="S1923" i="6" s="1"/>
  <c r="W1923" i="6"/>
  <c r="S1924" i="6" s="1"/>
  <c r="W1924" i="6"/>
  <c r="S1925" i="6" s="1"/>
  <c r="W1925" i="6"/>
  <c r="S1926" i="6" s="1"/>
  <c r="W1926" i="6"/>
  <c r="S1927" i="6" s="1"/>
  <c r="W1927" i="6"/>
  <c r="S1928" i="6" s="1"/>
  <c r="W1928" i="6"/>
  <c r="S1929" i="6" s="1"/>
  <c r="W1929" i="6"/>
  <c r="S1930" i="6" s="1"/>
  <c r="W1930" i="6"/>
  <c r="S1931" i="6" s="1"/>
  <c r="W1931" i="6"/>
  <c r="S1932" i="6" s="1"/>
  <c r="W1932" i="6"/>
  <c r="S1933" i="6" s="1"/>
  <c r="W1933" i="6"/>
  <c r="S1934" i="6" s="1"/>
  <c r="W1934" i="6"/>
  <c r="S1935" i="6" s="1"/>
  <c r="W1935" i="6"/>
  <c r="S1936" i="6" s="1"/>
  <c r="S1937" i="6"/>
  <c r="W1937" i="6"/>
  <c r="S1938" i="6" s="1"/>
  <c r="W1938" i="6"/>
  <c r="S1939" i="6" s="1"/>
  <c r="W1939" i="6"/>
  <c r="S1940" i="6" s="1"/>
  <c r="W1940" i="6"/>
  <c r="S1941" i="6" s="1"/>
  <c r="W1941" i="6"/>
  <c r="S1942" i="6" s="1"/>
  <c r="W1942" i="6"/>
  <c r="S1943" i="6" s="1"/>
  <c r="W1943" i="6"/>
  <c r="S1944" i="6" s="1"/>
  <c r="W1944" i="6"/>
  <c r="S1945" i="6" s="1"/>
  <c r="W1945" i="6"/>
  <c r="S1946" i="6" s="1"/>
  <c r="W1946" i="6"/>
  <c r="S1947" i="6" s="1"/>
  <c r="W1947" i="6"/>
  <c r="S1948" i="6" s="1"/>
  <c r="W1948" i="6"/>
  <c r="S1949" i="6" s="1"/>
  <c r="W1949" i="6"/>
  <c r="S1950" i="6" s="1"/>
  <c r="W1950" i="6"/>
  <c r="S1951" i="6" s="1"/>
  <c r="W1951" i="6"/>
  <c r="S1952" i="6" s="1"/>
  <c r="W1952" i="6"/>
  <c r="S1953" i="6" s="1"/>
  <c r="W1953" i="6"/>
  <c r="S1954" i="6" s="1"/>
  <c r="W1954" i="6"/>
  <c r="S1955" i="6" s="1"/>
  <c r="W1955" i="6"/>
  <c r="S1956" i="6" s="1"/>
  <c r="W1956" i="6"/>
  <c r="S1957" i="6" s="1"/>
  <c r="S1958" i="6"/>
  <c r="W1958" i="6"/>
  <c r="S1959" i="6" s="1"/>
  <c r="W1959" i="6"/>
  <c r="S1960" i="6" s="1"/>
  <c r="W1960" i="6"/>
  <c r="S1961" i="6" s="1"/>
  <c r="W1961" i="6"/>
  <c r="S1962" i="6" s="1"/>
  <c r="W1962" i="6"/>
  <c r="S1963" i="6" s="1"/>
  <c r="W1963" i="6"/>
  <c r="S1964" i="6" s="1"/>
  <c r="W1964" i="6"/>
  <c r="S1965" i="6" s="1"/>
  <c r="W1965" i="6"/>
  <c r="S1966" i="6" s="1"/>
  <c r="W1966" i="6"/>
  <c r="S1967" i="6" s="1"/>
  <c r="W1967" i="6"/>
  <c r="S1968" i="6" s="1"/>
  <c r="W1968" i="6"/>
  <c r="S1969" i="6" s="1"/>
  <c r="W1969" i="6"/>
  <c r="S1970" i="6" s="1"/>
  <c r="W1970" i="6"/>
  <c r="S1971" i="6" s="1"/>
  <c r="W1971" i="6"/>
  <c r="S1972" i="6" s="1"/>
  <c r="W1972" i="6"/>
  <c r="S1973" i="6" s="1"/>
  <c r="W1973" i="6"/>
  <c r="S1974" i="6" s="1"/>
  <c r="W1974" i="6"/>
  <c r="S1975" i="6" s="1"/>
  <c r="W1975" i="6"/>
  <c r="S1976" i="6" s="1"/>
  <c r="W1976" i="6"/>
  <c r="S1977" i="6" s="1"/>
  <c r="W1977" i="6"/>
  <c r="S1978" i="6" s="1"/>
  <c r="S1979" i="6"/>
  <c r="W1979" i="6"/>
  <c r="S1980" i="6" s="1"/>
  <c r="W1980" i="6"/>
  <c r="S1981" i="6" s="1"/>
  <c r="W1981" i="6"/>
  <c r="S1982" i="6" s="1"/>
  <c r="W1982" i="6"/>
  <c r="S1983" i="6" s="1"/>
  <c r="W1983" i="6"/>
  <c r="S1984" i="6" s="1"/>
  <c r="W1984" i="6"/>
  <c r="S1985" i="6" s="1"/>
  <c r="W1985" i="6"/>
  <c r="S1986" i="6" s="1"/>
  <c r="W1986" i="6"/>
  <c r="S1987" i="6" s="1"/>
  <c r="W1987" i="6"/>
  <c r="S1988" i="6" s="1"/>
  <c r="W1988" i="6"/>
  <c r="S1989" i="6" s="1"/>
  <c r="W1989" i="6"/>
  <c r="S1990" i="6" s="1"/>
  <c r="W1990" i="6"/>
  <c r="S1991" i="6" s="1"/>
  <c r="W1991" i="6"/>
  <c r="S1992" i="6" s="1"/>
  <c r="W1992" i="6"/>
  <c r="S1993" i="6" s="1"/>
  <c r="W1993" i="6"/>
  <c r="S1994" i="6" s="1"/>
  <c r="W1994" i="6"/>
  <c r="S1995" i="6" s="1"/>
  <c r="W1995" i="6"/>
  <c r="S1996" i="6" s="1"/>
  <c r="W1996" i="6"/>
  <c r="S1997" i="6" s="1"/>
  <c r="W1997" i="6"/>
  <c r="S1998" i="6" s="1"/>
  <c r="W1998" i="6"/>
  <c r="S1999" i="6" s="1"/>
  <c r="S2000" i="6"/>
  <c r="W2000" i="6"/>
  <c r="S2001" i="6" s="1"/>
  <c r="W2001" i="6"/>
  <c r="S2002" i="6" s="1"/>
  <c r="W2002" i="6"/>
  <c r="S2003" i="6" s="1"/>
  <c r="W2003" i="6"/>
  <c r="S2004" i="6" s="1"/>
  <c r="W2004" i="6"/>
  <c r="S2005" i="6" s="1"/>
  <c r="W2005" i="6"/>
  <c r="S2006" i="6" s="1"/>
  <c r="W2006" i="6"/>
  <c r="S2007" i="6" s="1"/>
  <c r="W2007" i="6"/>
  <c r="S2008" i="6" s="1"/>
  <c r="W2008" i="6"/>
  <c r="S2009" i="6" s="1"/>
  <c r="W2009" i="6"/>
  <c r="S2010" i="6" s="1"/>
  <c r="W2010" i="6"/>
  <c r="S2011" i="6" s="1"/>
  <c r="W2011" i="6"/>
  <c r="S2012" i="6" s="1"/>
  <c r="W2012" i="6"/>
  <c r="S2013" i="6" s="1"/>
  <c r="W2013" i="6"/>
  <c r="S2014" i="6" s="1"/>
  <c r="W2014" i="6"/>
  <c r="S2015" i="6" s="1"/>
  <c r="W2015" i="6"/>
  <c r="S2016" i="6" s="1"/>
  <c r="W2016" i="6"/>
  <c r="S2017" i="6" s="1"/>
  <c r="W2017" i="6"/>
  <c r="S2018" i="6" s="1"/>
  <c r="W2018" i="6"/>
  <c r="S2019" i="6" s="1"/>
  <c r="W2019" i="6"/>
  <c r="S2020" i="6" s="1"/>
  <c r="S2021" i="6"/>
  <c r="W2021" i="6"/>
  <c r="S2022" i="6" s="1"/>
  <c r="W2022" i="6"/>
  <c r="S2023" i="6" s="1"/>
  <c r="W2023" i="6"/>
  <c r="S2024" i="6" s="1"/>
  <c r="W2024" i="6"/>
  <c r="S2025" i="6" s="1"/>
  <c r="W2025" i="6"/>
  <c r="S2026" i="6" s="1"/>
  <c r="W2026" i="6"/>
  <c r="S2027" i="6" s="1"/>
  <c r="W2027" i="6"/>
  <c r="S2028" i="6" s="1"/>
  <c r="W2028" i="6"/>
  <c r="S2029" i="6" s="1"/>
  <c r="W2029" i="6"/>
  <c r="S2030" i="6" s="1"/>
  <c r="W2030" i="6"/>
  <c r="S2031" i="6" s="1"/>
  <c r="W2031" i="6"/>
  <c r="S2032" i="6" s="1"/>
  <c r="W2032" i="6"/>
  <c r="S2033" i="6" s="1"/>
  <c r="W2033" i="6"/>
  <c r="S2034" i="6" s="1"/>
  <c r="W2034" i="6"/>
  <c r="S2035" i="6" s="1"/>
  <c r="W2035" i="6"/>
  <c r="S2036" i="6" s="1"/>
  <c r="W2036" i="6"/>
  <c r="S2037" i="6" s="1"/>
  <c r="W2037" i="6"/>
  <c r="S2038" i="6" s="1"/>
  <c r="W2038" i="6"/>
  <c r="S2039" i="6" s="1"/>
  <c r="W2039" i="6"/>
  <c r="S2040" i="6" s="1"/>
  <c r="W2040" i="6"/>
  <c r="S2041" i="6" s="1"/>
  <c r="S2042" i="6"/>
  <c r="W2042" i="6"/>
  <c r="S2043" i="6" s="1"/>
  <c r="W2043" i="6"/>
  <c r="S2044" i="6" s="1"/>
  <c r="W2044" i="6"/>
  <c r="S2045" i="6" s="1"/>
  <c r="W2045" i="6"/>
  <c r="S2046" i="6" s="1"/>
  <c r="W2046" i="6"/>
  <c r="S2047" i="6" s="1"/>
  <c r="W2047" i="6"/>
  <c r="S2048" i="6" s="1"/>
  <c r="W2048" i="6"/>
  <c r="S2049" i="6" s="1"/>
  <c r="W2049" i="6"/>
  <c r="S2050" i="6" s="1"/>
  <c r="W2050" i="6"/>
  <c r="S2051" i="6" s="1"/>
  <c r="W2051" i="6"/>
  <c r="S2052" i="6" s="1"/>
  <c r="W2052" i="6"/>
  <c r="S2053" i="6" s="1"/>
  <c r="W2053" i="6"/>
  <c r="S2054" i="6" s="1"/>
  <c r="W2054" i="6"/>
  <c r="S2055" i="6" s="1"/>
  <c r="W2055" i="6"/>
  <c r="S2056" i="6" s="1"/>
  <c r="W2056" i="6"/>
  <c r="S2057" i="6" s="1"/>
  <c r="W2057" i="6"/>
  <c r="S2058" i="6" s="1"/>
  <c r="W2058" i="6"/>
  <c r="S2059" i="6" s="1"/>
  <c r="W2059" i="6"/>
  <c r="S2060" i="6" s="1"/>
  <c r="W2060" i="6"/>
  <c r="S2061" i="6" s="1"/>
  <c r="W2061" i="6"/>
  <c r="S2062" i="6" s="1"/>
  <c r="S2063" i="6"/>
  <c r="W2063" i="6"/>
  <c r="S2064" i="6" s="1"/>
  <c r="W2064" i="6"/>
  <c r="S2065" i="6" s="1"/>
  <c r="W2065" i="6"/>
  <c r="S2066" i="6" s="1"/>
  <c r="W2066" i="6"/>
  <c r="S2067" i="6" s="1"/>
  <c r="W2067" i="6"/>
  <c r="S2068" i="6" s="1"/>
  <c r="W2068" i="6"/>
  <c r="S2069" i="6" s="1"/>
  <c r="W2069" i="6"/>
  <c r="S2070" i="6" s="1"/>
  <c r="W2070" i="6"/>
  <c r="S2071" i="6" s="1"/>
  <c r="W2071" i="6"/>
  <c r="S2072" i="6" s="1"/>
  <c r="W2072" i="6"/>
  <c r="S2073" i="6" s="1"/>
  <c r="W2073" i="6"/>
  <c r="S2074" i="6" s="1"/>
  <c r="W2074" i="6"/>
  <c r="S2075" i="6" s="1"/>
  <c r="W2075" i="6"/>
  <c r="S2076" i="6" s="1"/>
  <c r="W2076" i="6"/>
  <c r="S2077" i="6" s="1"/>
  <c r="W2077" i="6"/>
  <c r="S2078" i="6" s="1"/>
  <c r="W2078" i="6"/>
  <c r="S2079" i="6" s="1"/>
  <c r="W2079" i="6"/>
  <c r="S2080" i="6" s="1"/>
  <c r="W2080" i="6"/>
  <c r="S2081" i="6" s="1"/>
  <c r="W2081" i="6"/>
  <c r="S2082" i="6" s="1"/>
  <c r="W2082" i="6"/>
  <c r="S2083" i="6" s="1"/>
  <c r="S2084" i="6"/>
  <c r="W2084" i="6"/>
  <c r="S2085" i="6" s="1"/>
  <c r="W2085" i="6"/>
  <c r="S2086" i="6" s="1"/>
  <c r="W2086" i="6"/>
  <c r="S2087" i="6" s="1"/>
  <c r="W2087" i="6"/>
  <c r="S2088" i="6" s="1"/>
  <c r="W2088" i="6"/>
  <c r="S2089" i="6" s="1"/>
  <c r="W2089" i="6"/>
  <c r="S2090" i="6" s="1"/>
  <c r="W2090" i="6"/>
  <c r="S2091" i="6" s="1"/>
  <c r="W2091" i="6"/>
  <c r="S2092" i="6" s="1"/>
  <c r="W2092" i="6"/>
  <c r="S2093" i="6" s="1"/>
  <c r="W2093" i="6"/>
  <c r="S2094" i="6" s="1"/>
  <c r="W2094" i="6"/>
  <c r="S2095" i="6" s="1"/>
  <c r="W2095" i="6"/>
  <c r="S2096" i="6" s="1"/>
  <c r="W2096" i="6"/>
  <c r="S2097" i="6" s="1"/>
  <c r="W2097" i="6"/>
  <c r="S2098" i="6" s="1"/>
  <c r="W2098" i="6"/>
  <c r="S2099" i="6" s="1"/>
  <c r="W2099" i="6"/>
  <c r="S2100" i="6" s="1"/>
  <c r="W2100" i="6"/>
  <c r="S2101" i="6" s="1"/>
  <c r="W2101" i="6"/>
  <c r="S2102" i="6" s="1"/>
  <c r="W2102" i="6"/>
  <c r="S2103" i="6" s="1"/>
  <c r="W2103" i="6"/>
  <c r="S2104" i="6" s="1"/>
  <c r="S2105" i="6"/>
  <c r="W2105" i="6"/>
  <c r="S2106" i="6" s="1"/>
  <c r="W2106" i="6"/>
  <c r="S2107" i="6" s="1"/>
  <c r="W2107" i="6"/>
  <c r="S2108" i="6" s="1"/>
  <c r="W2108" i="6"/>
  <c r="S2109" i="6" s="1"/>
  <c r="W2109" i="6"/>
  <c r="S2110" i="6" s="1"/>
  <c r="W2110" i="6"/>
  <c r="S2111" i="6" s="1"/>
  <c r="W2111" i="6"/>
  <c r="S2112" i="6" s="1"/>
  <c r="W2112" i="6"/>
  <c r="S2113" i="6" s="1"/>
  <c r="W2113" i="6"/>
  <c r="S2114" i="6" s="1"/>
  <c r="W2114" i="6"/>
  <c r="S2115" i="6" s="1"/>
  <c r="W2115" i="6"/>
  <c r="S2116" i="6" s="1"/>
  <c r="W2116" i="6"/>
  <c r="S2117" i="6" s="1"/>
  <c r="W2117" i="6"/>
  <c r="S2118" i="6" s="1"/>
  <c r="W2118" i="6"/>
  <c r="S2119" i="6" s="1"/>
  <c r="W2119" i="6"/>
  <c r="S2120" i="6" s="1"/>
  <c r="W2120" i="6"/>
  <c r="S2121" i="6" s="1"/>
  <c r="W2121" i="6"/>
  <c r="S2122" i="6" s="1"/>
  <c r="W2122" i="6"/>
  <c r="S2123" i="6" s="1"/>
  <c r="W2123" i="6"/>
  <c r="S2124" i="6" s="1"/>
  <c r="W2124" i="6"/>
  <c r="S2125" i="6" s="1"/>
  <c r="S1895" i="6"/>
  <c r="W1915" i="6"/>
  <c r="W1936" i="6"/>
  <c r="W1957" i="6"/>
  <c r="W1978" i="6"/>
  <c r="W1999" i="6"/>
  <c r="W2020" i="6"/>
  <c r="W2041" i="6"/>
  <c r="W2062" i="6"/>
  <c r="W2083" i="6"/>
  <c r="W2104" i="6"/>
  <c r="W2125" i="6"/>
  <c r="S1355" i="6"/>
  <c r="U1355" i="6"/>
  <c r="U1356" i="6"/>
  <c r="U1357" i="6"/>
  <c r="U1358" i="6"/>
  <c r="U1359" i="6"/>
  <c r="U1360" i="6"/>
  <c r="U1361" i="6"/>
  <c r="U1362" i="6"/>
  <c r="U1363" i="6"/>
  <c r="U1364" i="6"/>
  <c r="U1365" i="6"/>
  <c r="U1366" i="6"/>
  <c r="U1367" i="6"/>
  <c r="U1368" i="6"/>
  <c r="U1369" i="6"/>
  <c r="U1370" i="6"/>
  <c r="U1371" i="6"/>
  <c r="U1372" i="6"/>
  <c r="U1373" i="6"/>
  <c r="U1374" i="6"/>
  <c r="S1375" i="6"/>
  <c r="U1375" i="6"/>
  <c r="U1376" i="6"/>
  <c r="U1377" i="6"/>
  <c r="U1378" i="6"/>
  <c r="U1379" i="6"/>
  <c r="U1380" i="6"/>
  <c r="U1381" i="6"/>
  <c r="U1382" i="6"/>
  <c r="U1383" i="6"/>
  <c r="U1384" i="6"/>
  <c r="U1385" i="6"/>
  <c r="U1386" i="6"/>
  <c r="U1387" i="6"/>
  <c r="U1388" i="6"/>
  <c r="U1389" i="6"/>
  <c r="U1390" i="6"/>
  <c r="U1391" i="6"/>
  <c r="U1392" i="6"/>
  <c r="U1393" i="6"/>
  <c r="U1394" i="6"/>
  <c r="S1395" i="6"/>
  <c r="U1395" i="6"/>
  <c r="U1396" i="6"/>
  <c r="U1397" i="6"/>
  <c r="U1398" i="6"/>
  <c r="U1399" i="6"/>
  <c r="U1400" i="6"/>
  <c r="U1401" i="6"/>
  <c r="U1402" i="6"/>
  <c r="U1403" i="6"/>
  <c r="U1404" i="6"/>
  <c r="U1405" i="6"/>
  <c r="U1406" i="6"/>
  <c r="U1407" i="6"/>
  <c r="U1408" i="6"/>
  <c r="U1409" i="6"/>
  <c r="U1410" i="6"/>
  <c r="U1411" i="6"/>
  <c r="U1412" i="6"/>
  <c r="U1413" i="6"/>
  <c r="U1414" i="6"/>
  <c r="S1415" i="6"/>
  <c r="U1415" i="6"/>
  <c r="U1416" i="6"/>
  <c r="U1417" i="6"/>
  <c r="U1418" i="6"/>
  <c r="U1419" i="6"/>
  <c r="U1420" i="6"/>
  <c r="U1421" i="6"/>
  <c r="U1422" i="6"/>
  <c r="U1423" i="6"/>
  <c r="U1424" i="6"/>
  <c r="U1425" i="6"/>
  <c r="U1426" i="6"/>
  <c r="U1427" i="6"/>
  <c r="U1428" i="6"/>
  <c r="U1429" i="6"/>
  <c r="U1430" i="6"/>
  <c r="U1431" i="6"/>
  <c r="U1432" i="6"/>
  <c r="U1433" i="6"/>
  <c r="U1434" i="6"/>
  <c r="S1435" i="6"/>
  <c r="U1435" i="6"/>
  <c r="U1436" i="6"/>
  <c r="U1437" i="6"/>
  <c r="U1438" i="6"/>
  <c r="U1439" i="6"/>
  <c r="U1440" i="6"/>
  <c r="U1441" i="6"/>
  <c r="U1442" i="6"/>
  <c r="U1443" i="6"/>
  <c r="U1444" i="6"/>
  <c r="U1445" i="6"/>
  <c r="U1446" i="6"/>
  <c r="U1447" i="6"/>
  <c r="U1448" i="6"/>
  <c r="U1449" i="6"/>
  <c r="U1450" i="6"/>
  <c r="U1451" i="6"/>
  <c r="U1452" i="6"/>
  <c r="U1453" i="6"/>
  <c r="U1454" i="6"/>
  <c r="S1455" i="6"/>
  <c r="U1455" i="6"/>
  <c r="U1456" i="6"/>
  <c r="U1457" i="6"/>
  <c r="U1458" i="6"/>
  <c r="U1459" i="6"/>
  <c r="U1460" i="6"/>
  <c r="U1461" i="6"/>
  <c r="U1462" i="6"/>
  <c r="U1463" i="6"/>
  <c r="U1464" i="6"/>
  <c r="U1465" i="6"/>
  <c r="U1466" i="6"/>
  <c r="U1467" i="6"/>
  <c r="U1468" i="6"/>
  <c r="U1469" i="6"/>
  <c r="U1470" i="6"/>
  <c r="U1471" i="6"/>
  <c r="U1472" i="6"/>
  <c r="U1473" i="6"/>
  <c r="U1474" i="6"/>
  <c r="S1475" i="6"/>
  <c r="U1475" i="6"/>
  <c r="U1476" i="6"/>
  <c r="U1477" i="6"/>
  <c r="U1478" i="6"/>
  <c r="U1479" i="6"/>
  <c r="U1480" i="6"/>
  <c r="U1481" i="6"/>
  <c r="U1482" i="6"/>
  <c r="U1483" i="6"/>
  <c r="U1484" i="6"/>
  <c r="U1485" i="6"/>
  <c r="U1486" i="6"/>
  <c r="U1487" i="6"/>
  <c r="U1488" i="6"/>
  <c r="U1489" i="6"/>
  <c r="U1490" i="6"/>
  <c r="U1491" i="6"/>
  <c r="U1492" i="6"/>
  <c r="U1493" i="6"/>
  <c r="U1494" i="6"/>
  <c r="S1495" i="6"/>
  <c r="U1495" i="6"/>
  <c r="U1496" i="6"/>
  <c r="U1497" i="6"/>
  <c r="U1498" i="6"/>
  <c r="U1499" i="6"/>
  <c r="U1500" i="6"/>
  <c r="U1501" i="6"/>
  <c r="U1502" i="6"/>
  <c r="U1503" i="6"/>
  <c r="U1504" i="6"/>
  <c r="U1505" i="6"/>
  <c r="U1506" i="6"/>
  <c r="U1507" i="6"/>
  <c r="U1508" i="6"/>
  <c r="U1509" i="6"/>
  <c r="U1510" i="6"/>
  <c r="U1511" i="6"/>
  <c r="U1512" i="6"/>
  <c r="U1513" i="6"/>
  <c r="U1514" i="6"/>
  <c r="S1515" i="6"/>
  <c r="U1515" i="6"/>
  <c r="U1516" i="6"/>
  <c r="U1517" i="6"/>
  <c r="U1518" i="6"/>
  <c r="U1519" i="6"/>
  <c r="U1520" i="6"/>
  <c r="U1521" i="6"/>
  <c r="U1522" i="6"/>
  <c r="U1523" i="6"/>
  <c r="U1524" i="6"/>
  <c r="U1525" i="6"/>
  <c r="U1526" i="6"/>
  <c r="U1527" i="6"/>
  <c r="U1528" i="6"/>
  <c r="U1529" i="6"/>
  <c r="U1530" i="6"/>
  <c r="U1531" i="6"/>
  <c r="U1532" i="6"/>
  <c r="U1533" i="6"/>
  <c r="U1534" i="6"/>
  <c r="S1535" i="6"/>
  <c r="U1535" i="6"/>
  <c r="U1536" i="6"/>
  <c r="U1537" i="6"/>
  <c r="U1538" i="6"/>
  <c r="U1539" i="6"/>
  <c r="U1540" i="6"/>
  <c r="U1541" i="6"/>
  <c r="U1542" i="6"/>
  <c r="U1543" i="6"/>
  <c r="U1544" i="6"/>
  <c r="U1545" i="6"/>
  <c r="U1546" i="6"/>
  <c r="U1547" i="6"/>
  <c r="U1548" i="6"/>
  <c r="U1549" i="6"/>
  <c r="U1550" i="6"/>
  <c r="U1551" i="6"/>
  <c r="U1552" i="6"/>
  <c r="U1553" i="6"/>
  <c r="U1554" i="6"/>
  <c r="S1555" i="6"/>
  <c r="U1555" i="6"/>
  <c r="U1556" i="6"/>
  <c r="U1557" i="6"/>
  <c r="U1558" i="6"/>
  <c r="U1559" i="6"/>
  <c r="U1560" i="6"/>
  <c r="U1561" i="6"/>
  <c r="U1562" i="6"/>
  <c r="U1563" i="6"/>
  <c r="U1564" i="6"/>
  <c r="U1565" i="6"/>
  <c r="U1566" i="6"/>
  <c r="U1567" i="6"/>
  <c r="U1568" i="6"/>
  <c r="U1569" i="6"/>
  <c r="U1570" i="6"/>
  <c r="U1571" i="6"/>
  <c r="U1572" i="6"/>
  <c r="U1573" i="6"/>
  <c r="U1574" i="6"/>
  <c r="S1575" i="6"/>
  <c r="U1575" i="6"/>
  <c r="U1576" i="6"/>
  <c r="U1577" i="6"/>
  <c r="U1578" i="6"/>
  <c r="U1579" i="6"/>
  <c r="U1580" i="6"/>
  <c r="U1581" i="6"/>
  <c r="U1582" i="6"/>
  <c r="U1583" i="6"/>
  <c r="U1584" i="6"/>
  <c r="U1585" i="6"/>
  <c r="U1586" i="6"/>
  <c r="U1587" i="6"/>
  <c r="U1588" i="6"/>
  <c r="U1589" i="6"/>
  <c r="U1590" i="6"/>
  <c r="U1591" i="6"/>
  <c r="U1592" i="6"/>
  <c r="U1593" i="6"/>
  <c r="U1594" i="6"/>
  <c r="S1595" i="6"/>
  <c r="U1595" i="6"/>
  <c r="U1596" i="6"/>
  <c r="U1597" i="6"/>
  <c r="U1598" i="6"/>
  <c r="U1599" i="6"/>
  <c r="U1600" i="6"/>
  <c r="U1601" i="6"/>
  <c r="U1602" i="6"/>
  <c r="U1603" i="6"/>
  <c r="U1604" i="6"/>
  <c r="U1605" i="6"/>
  <c r="U1606" i="6"/>
  <c r="U1607" i="6"/>
  <c r="U1608" i="6"/>
  <c r="U1609" i="6"/>
  <c r="U1610" i="6"/>
  <c r="U1611" i="6"/>
  <c r="U1612" i="6"/>
  <c r="U1613" i="6"/>
  <c r="U1614" i="6"/>
  <c r="S1615" i="6"/>
  <c r="U1615" i="6"/>
  <c r="U1616" i="6"/>
  <c r="U1617" i="6"/>
  <c r="U1618" i="6"/>
  <c r="U1619" i="6"/>
  <c r="U1620" i="6"/>
  <c r="U1621" i="6"/>
  <c r="U1622" i="6"/>
  <c r="U1623" i="6"/>
  <c r="U1624" i="6"/>
  <c r="U1625" i="6"/>
  <c r="U1626" i="6"/>
  <c r="U1627" i="6"/>
  <c r="U1628" i="6"/>
  <c r="U1629" i="6"/>
  <c r="U1630" i="6"/>
  <c r="U1631" i="6"/>
  <c r="U1632" i="6"/>
  <c r="U1633" i="6"/>
  <c r="U1634" i="6"/>
  <c r="S1635" i="6"/>
  <c r="U1635" i="6"/>
  <c r="U1636" i="6"/>
  <c r="U1637" i="6"/>
  <c r="U1638" i="6"/>
  <c r="U1639" i="6"/>
  <c r="U1640" i="6"/>
  <c r="U1641" i="6"/>
  <c r="U1642" i="6"/>
  <c r="U1643" i="6"/>
  <c r="U1644" i="6"/>
  <c r="U1645" i="6"/>
  <c r="U1646" i="6"/>
  <c r="U1647" i="6"/>
  <c r="U1648" i="6"/>
  <c r="U1649" i="6"/>
  <c r="U1650" i="6"/>
  <c r="U1651" i="6"/>
  <c r="U1652" i="6"/>
  <c r="U1653" i="6"/>
  <c r="U1654" i="6"/>
  <c r="S1655" i="6"/>
  <c r="U1655" i="6"/>
  <c r="U1656" i="6"/>
  <c r="U1657" i="6"/>
  <c r="U1658" i="6"/>
  <c r="U1659" i="6"/>
  <c r="U1660" i="6"/>
  <c r="U1661" i="6"/>
  <c r="U1662" i="6"/>
  <c r="U1663" i="6"/>
  <c r="U1664" i="6"/>
  <c r="U1665" i="6"/>
  <c r="U1666" i="6"/>
  <c r="U1667" i="6"/>
  <c r="U1668" i="6"/>
  <c r="U1669" i="6"/>
  <c r="U1670" i="6"/>
  <c r="U1671" i="6"/>
  <c r="U1672" i="6"/>
  <c r="U1673" i="6"/>
  <c r="U1674" i="6"/>
  <c r="S1675" i="6"/>
  <c r="U1675" i="6"/>
  <c r="U1676" i="6"/>
  <c r="U1677" i="6"/>
  <c r="U1678" i="6"/>
  <c r="U1679" i="6"/>
  <c r="U1680" i="6"/>
  <c r="U1681" i="6"/>
  <c r="U1682" i="6"/>
  <c r="U1683" i="6"/>
  <c r="U1684" i="6"/>
  <c r="U1685" i="6"/>
  <c r="U1686" i="6"/>
  <c r="U1687" i="6"/>
  <c r="U1688" i="6"/>
  <c r="U1689" i="6"/>
  <c r="U1690" i="6"/>
  <c r="U1691" i="6"/>
  <c r="U1692" i="6"/>
  <c r="U1693" i="6"/>
  <c r="U1694" i="6"/>
  <c r="S1695" i="6"/>
  <c r="U1695" i="6"/>
  <c r="U1696" i="6"/>
  <c r="U1697" i="6"/>
  <c r="U1698" i="6"/>
  <c r="U1699" i="6"/>
  <c r="U1700" i="6"/>
  <c r="U1701" i="6"/>
  <c r="U1702" i="6"/>
  <c r="U1703" i="6"/>
  <c r="U1704" i="6"/>
  <c r="U1705" i="6"/>
  <c r="U1706" i="6"/>
  <c r="U1707" i="6"/>
  <c r="U1708" i="6"/>
  <c r="U1709" i="6"/>
  <c r="U1710" i="6"/>
  <c r="U1711" i="6"/>
  <c r="U1712" i="6"/>
  <c r="U1713" i="6"/>
  <c r="U1714" i="6"/>
  <c r="S1715" i="6"/>
  <c r="U1715" i="6"/>
  <c r="U1716" i="6"/>
  <c r="U1717" i="6"/>
  <c r="U1718" i="6"/>
  <c r="U1719" i="6"/>
  <c r="U1720" i="6"/>
  <c r="U1721" i="6"/>
  <c r="U1722" i="6"/>
  <c r="U1723" i="6"/>
  <c r="U1724" i="6"/>
  <c r="U1725" i="6"/>
  <c r="U1726" i="6"/>
  <c r="U1727" i="6"/>
  <c r="U1728" i="6"/>
  <c r="U1729" i="6"/>
  <c r="U1730" i="6"/>
  <c r="U1731" i="6"/>
  <c r="U1732" i="6"/>
  <c r="U1733" i="6"/>
  <c r="U1734" i="6"/>
  <c r="S1735" i="6"/>
  <c r="U1735" i="6"/>
  <c r="U1736" i="6"/>
  <c r="U1737" i="6"/>
  <c r="U1738" i="6"/>
  <c r="U1739" i="6"/>
  <c r="U1740" i="6"/>
  <c r="U1741" i="6"/>
  <c r="U1742" i="6"/>
  <c r="U1743" i="6"/>
  <c r="U1744" i="6"/>
  <c r="U1745" i="6"/>
  <c r="U1746" i="6"/>
  <c r="U1747" i="6"/>
  <c r="U1748" i="6"/>
  <c r="U1749" i="6"/>
  <c r="U1750" i="6"/>
  <c r="U1751" i="6"/>
  <c r="U1752" i="6"/>
  <c r="U1753" i="6"/>
  <c r="U1754" i="6"/>
  <c r="S1755" i="6"/>
  <c r="U1755" i="6"/>
  <c r="U1756" i="6"/>
  <c r="U1757" i="6"/>
  <c r="U1758" i="6"/>
  <c r="U1759" i="6"/>
  <c r="U1760" i="6"/>
  <c r="U1761" i="6"/>
  <c r="U1762" i="6"/>
  <c r="U1763" i="6"/>
  <c r="U1764" i="6"/>
  <c r="U1765" i="6"/>
  <c r="U1766" i="6"/>
  <c r="U1767" i="6"/>
  <c r="U1768" i="6"/>
  <c r="U1769" i="6"/>
  <c r="U1770" i="6"/>
  <c r="U1771" i="6"/>
  <c r="U1772" i="6"/>
  <c r="U1773" i="6"/>
  <c r="U1774" i="6"/>
  <c r="S1775" i="6"/>
  <c r="U1775" i="6"/>
  <c r="U1776" i="6"/>
  <c r="U1777" i="6"/>
  <c r="U1778" i="6"/>
  <c r="U1779" i="6"/>
  <c r="U1780" i="6"/>
  <c r="U1781" i="6"/>
  <c r="U1782" i="6"/>
  <c r="U1783" i="6"/>
  <c r="U1784" i="6"/>
  <c r="U1785" i="6"/>
  <c r="U1786" i="6"/>
  <c r="U1787" i="6"/>
  <c r="U1788" i="6"/>
  <c r="U1789" i="6"/>
  <c r="U1790" i="6"/>
  <c r="U1791" i="6"/>
  <c r="U1792" i="6"/>
  <c r="U1793" i="6"/>
  <c r="U1794" i="6"/>
  <c r="S1795" i="6"/>
  <c r="U1795" i="6"/>
  <c r="U1796" i="6"/>
  <c r="U1797" i="6"/>
  <c r="U1798" i="6"/>
  <c r="U1799" i="6"/>
  <c r="U1800" i="6"/>
  <c r="U1801" i="6"/>
  <c r="U1802" i="6"/>
  <c r="U1803" i="6"/>
  <c r="U1804" i="6"/>
  <c r="U1805" i="6"/>
  <c r="U1806" i="6"/>
  <c r="U1807" i="6"/>
  <c r="U1808" i="6"/>
  <c r="U1809" i="6"/>
  <c r="U1810" i="6"/>
  <c r="U1811" i="6"/>
  <c r="U1812" i="6"/>
  <c r="U1813" i="6"/>
  <c r="U1814" i="6"/>
  <c r="S1815" i="6"/>
  <c r="U1815" i="6"/>
  <c r="U1816" i="6"/>
  <c r="U1817" i="6"/>
  <c r="U1818" i="6"/>
  <c r="U1819" i="6"/>
  <c r="U1820" i="6"/>
  <c r="U1821" i="6"/>
  <c r="U1822" i="6"/>
  <c r="U1823" i="6"/>
  <c r="U1824" i="6"/>
  <c r="U1825" i="6"/>
  <c r="U1826" i="6"/>
  <c r="U1827" i="6"/>
  <c r="U1828" i="6"/>
  <c r="U1829" i="6"/>
  <c r="U1830" i="6"/>
  <c r="U1831" i="6"/>
  <c r="U1832" i="6"/>
  <c r="U1833" i="6"/>
  <c r="U1834" i="6"/>
  <c r="S1835" i="6"/>
  <c r="U1835" i="6"/>
  <c r="U1836" i="6"/>
  <c r="U1837" i="6"/>
  <c r="U1838" i="6"/>
  <c r="U1839" i="6"/>
  <c r="U1840" i="6"/>
  <c r="U1841" i="6"/>
  <c r="U1842" i="6"/>
  <c r="U1843" i="6"/>
  <c r="U1844" i="6"/>
  <c r="U1845" i="6"/>
  <c r="U1846" i="6"/>
  <c r="U1847" i="6"/>
  <c r="U1848" i="6"/>
  <c r="U1849" i="6"/>
  <c r="U1850" i="6"/>
  <c r="U1851" i="6"/>
  <c r="U1852" i="6"/>
  <c r="U1853" i="6"/>
  <c r="U1854" i="6"/>
  <c r="S1855" i="6"/>
  <c r="U1855" i="6"/>
  <c r="U1856" i="6"/>
  <c r="U1857" i="6"/>
  <c r="U1858" i="6"/>
  <c r="U1859" i="6"/>
  <c r="U1860" i="6"/>
  <c r="U1861" i="6"/>
  <c r="U1862" i="6"/>
  <c r="U1863" i="6"/>
  <c r="U1864" i="6"/>
  <c r="U1865" i="6"/>
  <c r="U1866" i="6"/>
  <c r="U1867" i="6"/>
  <c r="U1868" i="6"/>
  <c r="U1869" i="6"/>
  <c r="U1870" i="6"/>
  <c r="U1871" i="6"/>
  <c r="U1872" i="6"/>
  <c r="U1873" i="6"/>
  <c r="U1874" i="6"/>
  <c r="S1875" i="6"/>
  <c r="U1875" i="6"/>
  <c r="U1876" i="6"/>
  <c r="U1877" i="6"/>
  <c r="U1878" i="6"/>
  <c r="U1879" i="6"/>
  <c r="U1880" i="6"/>
  <c r="U1881" i="6"/>
  <c r="U1882" i="6"/>
  <c r="U1883" i="6"/>
  <c r="U1884" i="6"/>
  <c r="U1885" i="6"/>
  <c r="U1886" i="6"/>
  <c r="U1887" i="6"/>
  <c r="U1888" i="6"/>
  <c r="U1889" i="6"/>
  <c r="U1890" i="6"/>
  <c r="U1891" i="6"/>
  <c r="U1892" i="6"/>
  <c r="U1893" i="6"/>
  <c r="U1894" i="6"/>
  <c r="U1307" i="6"/>
  <c r="U1308" i="6"/>
  <c r="U1309" i="6"/>
  <c r="U1310" i="6"/>
  <c r="U1311" i="6"/>
  <c r="U1312" i="6"/>
  <c r="U1313" i="6"/>
  <c r="U1314" i="6"/>
  <c r="U1315" i="6"/>
  <c r="U1316" i="6"/>
  <c r="U1317" i="6"/>
  <c r="U1318" i="6"/>
  <c r="S1319" i="6"/>
  <c r="U1319" i="6"/>
  <c r="U1320" i="6"/>
  <c r="U1321" i="6"/>
  <c r="U1322" i="6"/>
  <c r="U1323" i="6"/>
  <c r="U1324" i="6"/>
  <c r="U1325" i="6"/>
  <c r="U1326" i="6"/>
  <c r="U1327" i="6"/>
  <c r="U1328" i="6"/>
  <c r="U1329" i="6"/>
  <c r="U1330" i="6"/>
  <c r="S1331" i="6"/>
  <c r="U1331" i="6"/>
  <c r="U1332" i="6"/>
  <c r="U1333" i="6"/>
  <c r="U1334" i="6"/>
  <c r="U1335" i="6"/>
  <c r="U1336" i="6"/>
  <c r="U1337" i="6"/>
  <c r="U1338" i="6"/>
  <c r="U1339" i="6"/>
  <c r="U1340" i="6"/>
  <c r="U1341" i="6"/>
  <c r="U1342" i="6"/>
  <c r="S1343" i="6"/>
  <c r="U1343" i="6"/>
  <c r="U1344" i="6"/>
  <c r="U1345" i="6"/>
  <c r="U1346" i="6"/>
  <c r="U1347" i="6"/>
  <c r="U1348" i="6"/>
  <c r="U1349" i="6"/>
  <c r="U1350" i="6"/>
  <c r="U1351" i="6"/>
  <c r="U1352" i="6"/>
  <c r="U1353" i="6"/>
  <c r="U1354" i="6"/>
  <c r="S780" i="6"/>
  <c r="U780" i="6"/>
  <c r="U781" i="6"/>
  <c r="U782" i="6"/>
  <c r="U783" i="6"/>
  <c r="U784" i="6"/>
  <c r="U785" i="6"/>
  <c r="U786" i="6"/>
  <c r="U787" i="6"/>
  <c r="U788" i="6"/>
  <c r="U789" i="6"/>
  <c r="U790" i="6"/>
  <c r="U791" i="6"/>
  <c r="U792" i="6"/>
  <c r="U793" i="6"/>
  <c r="U794" i="6"/>
  <c r="U795" i="6"/>
  <c r="U796" i="6"/>
  <c r="U797" i="6"/>
  <c r="U798" i="6"/>
  <c r="U799" i="6"/>
  <c r="U800" i="6"/>
  <c r="U801" i="6"/>
  <c r="U802" i="6"/>
  <c r="U803" i="6"/>
  <c r="U804" i="6"/>
  <c r="U805" i="6"/>
  <c r="U806" i="6"/>
  <c r="U807" i="6"/>
  <c r="U808" i="6"/>
  <c r="U809" i="6"/>
  <c r="U810" i="6"/>
  <c r="S811" i="6"/>
  <c r="U811" i="6"/>
  <c r="U812" i="6"/>
  <c r="U813" i="6"/>
  <c r="U814" i="6"/>
  <c r="U815" i="6"/>
  <c r="U816" i="6"/>
  <c r="U817" i="6"/>
  <c r="U818" i="6"/>
  <c r="U819" i="6"/>
  <c r="U820" i="6"/>
  <c r="U821" i="6"/>
  <c r="U822" i="6"/>
  <c r="U823" i="6"/>
  <c r="U824" i="6"/>
  <c r="U825" i="6"/>
  <c r="U826" i="6"/>
  <c r="U827" i="6"/>
  <c r="U828" i="6"/>
  <c r="U829" i="6"/>
  <c r="U830" i="6"/>
  <c r="U831" i="6"/>
  <c r="U832" i="6"/>
  <c r="U833" i="6"/>
  <c r="U834" i="6"/>
  <c r="U835" i="6"/>
  <c r="U836" i="6"/>
  <c r="U837" i="6"/>
  <c r="U838" i="6"/>
  <c r="U839" i="6"/>
  <c r="U840" i="6"/>
  <c r="U841" i="6"/>
  <c r="S842" i="6"/>
  <c r="U842" i="6"/>
  <c r="U843" i="6"/>
  <c r="U844" i="6"/>
  <c r="U845" i="6"/>
  <c r="U846" i="6"/>
  <c r="U847" i="6"/>
  <c r="U848" i="6"/>
  <c r="U849" i="6"/>
  <c r="U850" i="6"/>
  <c r="U851" i="6"/>
  <c r="U852" i="6"/>
  <c r="U853" i="6"/>
  <c r="U854" i="6"/>
  <c r="U855" i="6"/>
  <c r="U856" i="6"/>
  <c r="U857" i="6"/>
  <c r="U858" i="6"/>
  <c r="U859" i="6"/>
  <c r="U860" i="6"/>
  <c r="U861" i="6"/>
  <c r="U862" i="6"/>
  <c r="U863" i="6"/>
  <c r="U864" i="6"/>
  <c r="U865" i="6"/>
  <c r="U866" i="6"/>
  <c r="U867" i="6"/>
  <c r="U868" i="6"/>
  <c r="U869" i="6"/>
  <c r="U870" i="6"/>
  <c r="U871" i="6"/>
  <c r="U872" i="6"/>
  <c r="S873" i="6"/>
  <c r="U873" i="6"/>
  <c r="U874" i="6"/>
  <c r="U875" i="6"/>
  <c r="U876" i="6"/>
  <c r="U877" i="6"/>
  <c r="U878" i="6"/>
  <c r="U879" i="6"/>
  <c r="U880" i="6"/>
  <c r="U881" i="6"/>
  <c r="U882" i="6"/>
  <c r="U883" i="6"/>
  <c r="U884" i="6"/>
  <c r="U885" i="6"/>
  <c r="U886" i="6"/>
  <c r="U887" i="6"/>
  <c r="U888" i="6"/>
  <c r="U889" i="6"/>
  <c r="U890" i="6"/>
  <c r="U891" i="6"/>
  <c r="U892" i="6"/>
  <c r="U893" i="6"/>
  <c r="U894" i="6"/>
  <c r="U895" i="6"/>
  <c r="U896" i="6"/>
  <c r="U897" i="6"/>
  <c r="U898" i="6"/>
  <c r="U899" i="6"/>
  <c r="U900" i="6"/>
  <c r="U901" i="6"/>
  <c r="U902" i="6"/>
  <c r="U903" i="6"/>
  <c r="S904" i="6"/>
  <c r="U904" i="6"/>
  <c r="U905" i="6"/>
  <c r="U906" i="6"/>
  <c r="U907" i="6"/>
  <c r="U908" i="6"/>
  <c r="U909" i="6"/>
  <c r="U910" i="6"/>
  <c r="U911" i="6"/>
  <c r="U912" i="6"/>
  <c r="U913" i="6"/>
  <c r="U914" i="6"/>
  <c r="U915" i="6"/>
  <c r="U916" i="6"/>
  <c r="U917" i="6"/>
  <c r="U918" i="6"/>
  <c r="U919" i="6"/>
  <c r="U920" i="6"/>
  <c r="U921" i="6"/>
  <c r="U922" i="6"/>
  <c r="U923" i="6"/>
  <c r="U924" i="6"/>
  <c r="U925" i="6"/>
  <c r="U926" i="6"/>
  <c r="U927" i="6"/>
  <c r="U928" i="6"/>
  <c r="U929" i="6"/>
  <c r="U930" i="6"/>
  <c r="U931" i="6"/>
  <c r="U932" i="6"/>
  <c r="U933" i="6"/>
  <c r="U934" i="6"/>
  <c r="S935" i="6"/>
  <c r="U935" i="6"/>
  <c r="U936" i="6"/>
  <c r="U937" i="6"/>
  <c r="U938" i="6"/>
  <c r="U939" i="6"/>
  <c r="U940" i="6"/>
  <c r="U941" i="6"/>
  <c r="U942" i="6"/>
  <c r="U943" i="6"/>
  <c r="U944" i="6"/>
  <c r="U945" i="6"/>
  <c r="U946" i="6"/>
  <c r="U947" i="6"/>
  <c r="U948" i="6"/>
  <c r="U949" i="6"/>
  <c r="U950" i="6"/>
  <c r="U951" i="6"/>
  <c r="U952" i="6"/>
  <c r="U953" i="6"/>
  <c r="U954" i="6"/>
  <c r="U955" i="6"/>
  <c r="U956" i="6"/>
  <c r="U957" i="6"/>
  <c r="U958" i="6"/>
  <c r="U959" i="6"/>
  <c r="U960" i="6"/>
  <c r="U961" i="6"/>
  <c r="U962" i="6"/>
  <c r="U963" i="6"/>
  <c r="U964" i="6"/>
  <c r="U965" i="6"/>
  <c r="S966" i="6"/>
  <c r="U966" i="6"/>
  <c r="U967" i="6"/>
  <c r="U968" i="6"/>
  <c r="U969" i="6"/>
  <c r="U970" i="6"/>
  <c r="U971" i="6"/>
  <c r="U972" i="6"/>
  <c r="U973" i="6"/>
  <c r="U974" i="6"/>
  <c r="U975" i="6"/>
  <c r="U976" i="6"/>
  <c r="U977" i="6"/>
  <c r="U978" i="6"/>
  <c r="U979" i="6"/>
  <c r="U980" i="6"/>
  <c r="U981" i="6"/>
  <c r="U982" i="6"/>
  <c r="U983" i="6"/>
  <c r="U984" i="6"/>
  <c r="U985" i="6"/>
  <c r="U986" i="6"/>
  <c r="U987" i="6"/>
  <c r="U988" i="6"/>
  <c r="U989" i="6"/>
  <c r="U990" i="6"/>
  <c r="U991" i="6"/>
  <c r="U992" i="6"/>
  <c r="U993" i="6"/>
  <c r="U994" i="6"/>
  <c r="U995" i="6"/>
  <c r="U996" i="6"/>
  <c r="S997" i="6"/>
  <c r="U997" i="6"/>
  <c r="U998" i="6"/>
  <c r="U999" i="6"/>
  <c r="U1000" i="6"/>
  <c r="U1001" i="6"/>
  <c r="U1002" i="6"/>
  <c r="U1003" i="6"/>
  <c r="U1004" i="6"/>
  <c r="U1005" i="6"/>
  <c r="U1006" i="6"/>
  <c r="U1007" i="6"/>
  <c r="U1008" i="6"/>
  <c r="U1009" i="6"/>
  <c r="U1010" i="6"/>
  <c r="U1011" i="6"/>
  <c r="U1012" i="6"/>
  <c r="U1013" i="6"/>
  <c r="U1014" i="6"/>
  <c r="U1015" i="6"/>
  <c r="U1016" i="6"/>
  <c r="U1017" i="6"/>
  <c r="U1018" i="6"/>
  <c r="U1019" i="6"/>
  <c r="U1020" i="6"/>
  <c r="U1021" i="6"/>
  <c r="U1022" i="6"/>
  <c r="U1023" i="6"/>
  <c r="U1024" i="6"/>
  <c r="U1025" i="6"/>
  <c r="U1026" i="6"/>
  <c r="U1027" i="6"/>
  <c r="S1028" i="6"/>
  <c r="U1028" i="6"/>
  <c r="U1029" i="6"/>
  <c r="U1030" i="6"/>
  <c r="U1031" i="6"/>
  <c r="U1032" i="6"/>
  <c r="U1033" i="6"/>
  <c r="U1034" i="6"/>
  <c r="U1035" i="6"/>
  <c r="U1036" i="6"/>
  <c r="U1037" i="6"/>
  <c r="U1038" i="6"/>
  <c r="U1039" i="6"/>
  <c r="U1040" i="6"/>
  <c r="U1041" i="6"/>
  <c r="U1042" i="6"/>
  <c r="U1043" i="6"/>
  <c r="U1044" i="6"/>
  <c r="U1045" i="6"/>
  <c r="U1046" i="6"/>
  <c r="U1047" i="6"/>
  <c r="U1048" i="6"/>
  <c r="U1049" i="6"/>
  <c r="U1050" i="6"/>
  <c r="U1051" i="6"/>
  <c r="U1052" i="6"/>
  <c r="U1053" i="6"/>
  <c r="U1054" i="6"/>
  <c r="U1055" i="6"/>
  <c r="U1056" i="6"/>
  <c r="U1057" i="6"/>
  <c r="U1058" i="6"/>
  <c r="S1059" i="6"/>
  <c r="U1059" i="6"/>
  <c r="U1060" i="6"/>
  <c r="U1061" i="6"/>
  <c r="U1062" i="6"/>
  <c r="U1063" i="6"/>
  <c r="U1064" i="6"/>
  <c r="U1065" i="6"/>
  <c r="U1066" i="6"/>
  <c r="U1067" i="6"/>
  <c r="U1068" i="6"/>
  <c r="U1069" i="6"/>
  <c r="U1070" i="6"/>
  <c r="U1071" i="6"/>
  <c r="U1072" i="6"/>
  <c r="U1073" i="6"/>
  <c r="U1074" i="6"/>
  <c r="U1075" i="6"/>
  <c r="U1076" i="6"/>
  <c r="U1077" i="6"/>
  <c r="U1078" i="6"/>
  <c r="U1079" i="6"/>
  <c r="U1080" i="6"/>
  <c r="U1081" i="6"/>
  <c r="U1082" i="6"/>
  <c r="U1083" i="6"/>
  <c r="U1084" i="6"/>
  <c r="U1085" i="6"/>
  <c r="U1086" i="6"/>
  <c r="U1087" i="6"/>
  <c r="U1088" i="6"/>
  <c r="U1089" i="6"/>
  <c r="S1090" i="6"/>
  <c r="U1090" i="6"/>
  <c r="U1091" i="6"/>
  <c r="U1092" i="6"/>
  <c r="U1093" i="6"/>
  <c r="U1094" i="6"/>
  <c r="U1095" i="6"/>
  <c r="U1096" i="6"/>
  <c r="U1097" i="6"/>
  <c r="U1098" i="6"/>
  <c r="U1099" i="6"/>
  <c r="U1100" i="6"/>
  <c r="U1101" i="6"/>
  <c r="U1102" i="6"/>
  <c r="U1103" i="6"/>
  <c r="U1104" i="6"/>
  <c r="U1105" i="6"/>
  <c r="U1106" i="6"/>
  <c r="U1107" i="6"/>
  <c r="U1108" i="6"/>
  <c r="U1109" i="6"/>
  <c r="U1110" i="6"/>
  <c r="U1111" i="6"/>
  <c r="U1112" i="6"/>
  <c r="U1113" i="6"/>
  <c r="U1114" i="6"/>
  <c r="U1115" i="6"/>
  <c r="U1116" i="6"/>
  <c r="U1117" i="6"/>
  <c r="U1118" i="6"/>
  <c r="U1119" i="6"/>
  <c r="U1120" i="6"/>
  <c r="S1121" i="6"/>
  <c r="U1121" i="6"/>
  <c r="U1122" i="6"/>
  <c r="U1123" i="6"/>
  <c r="U1124" i="6"/>
  <c r="U1125" i="6"/>
  <c r="U1126" i="6"/>
  <c r="U1127" i="6"/>
  <c r="U1128" i="6"/>
  <c r="U1129" i="6"/>
  <c r="U1130" i="6"/>
  <c r="U1131" i="6"/>
  <c r="U1132" i="6"/>
  <c r="U1133" i="6"/>
  <c r="U1134" i="6"/>
  <c r="U1135" i="6"/>
  <c r="U1136" i="6"/>
  <c r="U1137" i="6"/>
  <c r="U1138" i="6"/>
  <c r="U1139" i="6"/>
  <c r="U1140" i="6"/>
  <c r="U1141" i="6"/>
  <c r="U1142" i="6"/>
  <c r="U1143" i="6"/>
  <c r="U1144" i="6"/>
  <c r="U1145" i="6"/>
  <c r="U1146" i="6"/>
  <c r="U1147" i="6"/>
  <c r="U1148" i="6"/>
  <c r="U1149" i="6"/>
  <c r="U1150" i="6"/>
  <c r="U1151" i="6"/>
  <c r="S1152" i="6"/>
  <c r="U1152" i="6"/>
  <c r="U1153" i="6"/>
  <c r="U1154" i="6"/>
  <c r="U1155" i="6"/>
  <c r="U1156" i="6"/>
  <c r="U1157" i="6"/>
  <c r="U1158" i="6"/>
  <c r="U1159" i="6"/>
  <c r="U1160" i="6"/>
  <c r="U1161" i="6"/>
  <c r="U1162" i="6"/>
  <c r="U1163" i="6"/>
  <c r="U1164" i="6"/>
  <c r="U1165" i="6"/>
  <c r="U1166" i="6"/>
  <c r="U1167" i="6"/>
  <c r="U1168" i="6"/>
  <c r="U1169" i="6"/>
  <c r="U1170" i="6"/>
  <c r="U1171" i="6"/>
  <c r="U1172" i="6"/>
  <c r="U1173" i="6"/>
  <c r="U1174" i="6"/>
  <c r="U1175" i="6"/>
  <c r="U1176" i="6"/>
  <c r="U1177" i="6"/>
  <c r="U1178" i="6"/>
  <c r="U1179" i="6"/>
  <c r="U1180" i="6"/>
  <c r="U1181" i="6"/>
  <c r="U1182" i="6"/>
  <c r="S1183" i="6"/>
  <c r="U1183" i="6"/>
  <c r="U1184" i="6"/>
  <c r="U1185" i="6"/>
  <c r="U1186" i="6"/>
  <c r="U1187" i="6"/>
  <c r="U1188" i="6"/>
  <c r="U1189" i="6"/>
  <c r="U1190" i="6"/>
  <c r="U1191" i="6"/>
  <c r="U1192" i="6"/>
  <c r="U1193" i="6"/>
  <c r="U1194" i="6"/>
  <c r="U1195" i="6"/>
  <c r="U1196" i="6"/>
  <c r="U1197" i="6"/>
  <c r="U1198" i="6"/>
  <c r="U1199" i="6"/>
  <c r="U1200" i="6"/>
  <c r="U1201" i="6"/>
  <c r="U1202" i="6"/>
  <c r="U1203" i="6"/>
  <c r="U1204" i="6"/>
  <c r="U1205" i="6"/>
  <c r="U1206" i="6"/>
  <c r="U1207" i="6"/>
  <c r="U1208" i="6"/>
  <c r="U1209" i="6"/>
  <c r="U1210" i="6"/>
  <c r="U1211" i="6"/>
  <c r="U1212" i="6"/>
  <c r="U1213" i="6"/>
  <c r="S1214" i="6"/>
  <c r="U1214" i="6"/>
  <c r="U1215" i="6"/>
  <c r="U1216" i="6"/>
  <c r="U1217" i="6"/>
  <c r="U1218" i="6"/>
  <c r="U1219" i="6"/>
  <c r="U1220" i="6"/>
  <c r="U1221" i="6"/>
  <c r="U1222" i="6"/>
  <c r="U1223" i="6"/>
  <c r="U1224" i="6"/>
  <c r="U1225" i="6"/>
  <c r="U1226" i="6"/>
  <c r="U1227" i="6"/>
  <c r="U1228" i="6"/>
  <c r="U1229" i="6"/>
  <c r="U1230" i="6"/>
  <c r="U1231" i="6"/>
  <c r="U1232" i="6"/>
  <c r="U1233" i="6"/>
  <c r="U1234" i="6"/>
  <c r="U1235" i="6"/>
  <c r="U1236" i="6"/>
  <c r="U1237" i="6"/>
  <c r="U1238" i="6"/>
  <c r="U1239" i="6"/>
  <c r="U1240" i="6"/>
  <c r="U1241" i="6"/>
  <c r="U1242" i="6"/>
  <c r="U1243" i="6"/>
  <c r="U1244" i="6"/>
  <c r="S1245" i="6"/>
  <c r="U1245" i="6"/>
  <c r="U1246" i="6"/>
  <c r="U1247" i="6"/>
  <c r="U1248" i="6"/>
  <c r="U1249" i="6"/>
  <c r="U1250" i="6"/>
  <c r="U1251" i="6"/>
  <c r="U1252" i="6"/>
  <c r="U1253" i="6"/>
  <c r="U1254" i="6"/>
  <c r="U1255" i="6"/>
  <c r="U1256" i="6"/>
  <c r="U1257" i="6"/>
  <c r="U1258" i="6"/>
  <c r="U1259" i="6"/>
  <c r="U1260" i="6"/>
  <c r="U1261" i="6"/>
  <c r="U1262" i="6"/>
  <c r="U1263" i="6"/>
  <c r="U1264" i="6"/>
  <c r="U1265" i="6"/>
  <c r="U1266" i="6"/>
  <c r="U1267" i="6"/>
  <c r="U1268" i="6"/>
  <c r="U1269" i="6"/>
  <c r="U1270" i="6"/>
  <c r="U1271" i="6"/>
  <c r="U1272" i="6"/>
  <c r="U1273" i="6"/>
  <c r="U1274" i="6"/>
  <c r="U1275" i="6"/>
  <c r="S1276" i="6"/>
  <c r="U1276" i="6"/>
  <c r="U1277" i="6"/>
  <c r="U1278" i="6"/>
  <c r="U1279" i="6"/>
  <c r="U1280" i="6"/>
  <c r="U1281" i="6"/>
  <c r="U1282" i="6"/>
  <c r="U1283" i="6"/>
  <c r="U1284" i="6"/>
  <c r="U1285" i="6"/>
  <c r="U1286" i="6"/>
  <c r="U1287" i="6"/>
  <c r="U1288" i="6"/>
  <c r="U1289" i="6"/>
  <c r="U1290" i="6"/>
  <c r="U1291" i="6"/>
  <c r="U1292" i="6"/>
  <c r="U1293" i="6"/>
  <c r="U1294" i="6"/>
  <c r="U1295" i="6"/>
  <c r="U1296" i="6"/>
  <c r="U1297" i="6"/>
  <c r="U1298" i="6"/>
  <c r="U1299" i="6"/>
  <c r="U1300" i="6"/>
  <c r="U1301" i="6"/>
  <c r="U1302" i="6"/>
  <c r="U1303" i="6"/>
  <c r="U1304" i="6"/>
  <c r="U1305" i="6"/>
  <c r="U1306"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709" i="6"/>
  <c r="U710" i="6"/>
  <c r="U711" i="6"/>
  <c r="U712" i="6"/>
  <c r="U713" i="6"/>
  <c r="U714" i="6"/>
  <c r="U715" i="6"/>
  <c r="U716" i="6"/>
  <c r="U717" i="6"/>
  <c r="U718" i="6"/>
  <c r="U719" i="6"/>
  <c r="U720" i="6"/>
  <c r="U721" i="6"/>
  <c r="S722" i="6"/>
  <c r="U722" i="6"/>
  <c r="U723" i="6"/>
  <c r="U724" i="6"/>
  <c r="U725" i="6"/>
  <c r="U726" i="6"/>
  <c r="U727" i="6"/>
  <c r="U728" i="6"/>
  <c r="U729" i="6"/>
  <c r="U730" i="6"/>
  <c r="U731" i="6"/>
  <c r="U732" i="6"/>
  <c r="U733" i="6"/>
  <c r="U734" i="6"/>
  <c r="U735" i="6"/>
  <c r="U736" i="6"/>
  <c r="U737" i="6"/>
  <c r="U738" i="6"/>
  <c r="U739" i="6"/>
  <c r="U740" i="6"/>
  <c r="U741" i="6"/>
  <c r="U742" i="6"/>
  <c r="U743" i="6"/>
  <c r="U744" i="6"/>
  <c r="U745" i="6"/>
  <c r="U746" i="6"/>
  <c r="U747" i="6"/>
  <c r="U748" i="6"/>
  <c r="U749" i="6"/>
  <c r="U750" i="6"/>
  <c r="U751" i="6"/>
  <c r="U752" i="6"/>
  <c r="U753" i="6"/>
  <c r="U754" i="6"/>
  <c r="U755" i="6"/>
  <c r="U756" i="6"/>
  <c r="U757" i="6"/>
  <c r="U758" i="6"/>
  <c r="U759" i="6"/>
  <c r="U760" i="6"/>
  <c r="U761" i="6"/>
  <c r="U762" i="6"/>
  <c r="U763" i="6"/>
  <c r="U764" i="6"/>
  <c r="U765" i="6"/>
  <c r="U766" i="6"/>
  <c r="U767" i="6"/>
  <c r="U768" i="6"/>
  <c r="U769" i="6"/>
  <c r="U770" i="6"/>
  <c r="U771" i="6"/>
  <c r="U772" i="6"/>
  <c r="U773" i="6"/>
  <c r="U774" i="6"/>
  <c r="U775" i="6"/>
  <c r="U776" i="6"/>
  <c r="U777" i="6"/>
  <c r="U778" i="6"/>
  <c r="U779" i="6"/>
  <c r="E723" i="6"/>
  <c r="E724" i="6" s="1"/>
  <c r="E725" i="6" s="1"/>
  <c r="E726" i="6" s="1"/>
  <c r="E727" i="6" s="1"/>
  <c r="E728" i="6" s="1"/>
  <c r="E729" i="6" s="1"/>
  <c r="E730" i="6" s="1"/>
  <c r="E731" i="6" s="1"/>
  <c r="E732" i="6" s="1"/>
  <c r="E733" i="6" s="1"/>
  <c r="E734" i="6" s="1"/>
  <c r="E735" i="6" s="1"/>
  <c r="E736" i="6" s="1"/>
  <c r="E737" i="6" s="1"/>
  <c r="E738" i="6" s="1"/>
  <c r="E739" i="6" s="1"/>
  <c r="E740" i="6" s="1"/>
  <c r="E741" i="6" s="1"/>
  <c r="E742" i="6" s="1"/>
  <c r="E743" i="6" s="1"/>
  <c r="E744" i="6" s="1"/>
  <c r="E745" i="6" s="1"/>
  <c r="E746" i="6" s="1"/>
  <c r="E747" i="6" s="1"/>
  <c r="E748" i="6" s="1"/>
  <c r="E749" i="6" s="1"/>
  <c r="E750" i="6" s="1"/>
  <c r="E751" i="6" s="1"/>
  <c r="E752" i="6" s="1"/>
  <c r="E753" i="6" s="1"/>
  <c r="E754" i="6" s="1"/>
  <c r="E755" i="6" s="1"/>
  <c r="E756" i="6" s="1"/>
  <c r="E757" i="6" s="1"/>
  <c r="E758" i="6" s="1"/>
  <c r="E759" i="6" s="1"/>
  <c r="E760" i="6" s="1"/>
  <c r="E761" i="6" s="1"/>
  <c r="E762" i="6" s="1"/>
  <c r="E763" i="6" s="1"/>
  <c r="E764" i="6" s="1"/>
  <c r="E765" i="6" s="1"/>
  <c r="E766" i="6" s="1"/>
  <c r="E767" i="6" s="1"/>
  <c r="E768" i="6" s="1"/>
  <c r="E769" i="6" s="1"/>
  <c r="E770" i="6" s="1"/>
  <c r="E771" i="6" s="1"/>
  <c r="E772" i="6" s="1"/>
  <c r="E773" i="6" s="1"/>
  <c r="E774" i="6" s="1"/>
  <c r="E775" i="6" s="1"/>
  <c r="E776" i="6" s="1"/>
  <c r="E777" i="6" s="1"/>
  <c r="E778" i="6" s="1"/>
  <c r="E779" i="6" s="1"/>
  <c r="E634" i="6"/>
  <c r="E635" i="6" s="1"/>
  <c r="E636" i="6" s="1"/>
  <c r="E637" i="6" s="1"/>
  <c r="E638" i="6" s="1"/>
  <c r="E639" i="6" s="1"/>
  <c r="E640" i="6" s="1"/>
  <c r="E641" i="6" s="1"/>
  <c r="E642" i="6" s="1"/>
  <c r="E643" i="6" s="1"/>
  <c r="E644" i="6" s="1"/>
  <c r="E645" i="6" s="1"/>
  <c r="E646" i="6" s="1"/>
  <c r="E647" i="6" s="1"/>
  <c r="E648" i="6" s="1"/>
  <c r="E649" i="6" s="1"/>
  <c r="E650" i="6" s="1"/>
  <c r="E651" i="6" s="1"/>
  <c r="E652" i="6" s="1"/>
  <c r="E653" i="6" s="1"/>
  <c r="E654" i="6" s="1"/>
  <c r="E655" i="6" s="1"/>
  <c r="E656" i="6" s="1"/>
  <c r="E657" i="6" s="1"/>
  <c r="E658" i="6" s="1"/>
  <c r="E659" i="6" s="1"/>
  <c r="E660" i="6" s="1"/>
  <c r="E661" i="6" s="1"/>
  <c r="E662" i="6" s="1"/>
  <c r="E663" i="6" s="1"/>
  <c r="E664" i="6" s="1"/>
  <c r="E665" i="6" s="1"/>
  <c r="E666" i="6" s="1"/>
  <c r="E667" i="6" s="1"/>
  <c r="E668" i="6" s="1"/>
  <c r="E669" i="6" s="1"/>
  <c r="E670" i="6" s="1"/>
  <c r="E671" i="6" s="1"/>
  <c r="E672" i="6" s="1"/>
  <c r="E673" i="6" s="1"/>
  <c r="E674" i="6" s="1"/>
  <c r="E675" i="6" s="1"/>
  <c r="E676" i="6" s="1"/>
  <c r="E677" i="6" s="1"/>
  <c r="E678" i="6" s="1"/>
  <c r="E679" i="6" s="1"/>
  <c r="E680" i="6" s="1"/>
  <c r="E681" i="6" s="1"/>
  <c r="E682" i="6" s="1"/>
  <c r="E683" i="6" s="1"/>
  <c r="E684" i="6" s="1"/>
  <c r="E685" i="6" s="1"/>
  <c r="E686" i="6" s="1"/>
  <c r="E687" i="6" s="1"/>
  <c r="E688" i="6" s="1"/>
  <c r="E689" i="6" s="1"/>
  <c r="E690" i="6" s="1"/>
  <c r="E691" i="6" s="1"/>
  <c r="E692" i="6" s="1"/>
  <c r="E693" i="6" s="1"/>
  <c r="E694" i="6" s="1"/>
  <c r="E695" i="6" s="1"/>
  <c r="E696" i="6" s="1"/>
  <c r="E697" i="6" s="1"/>
  <c r="E698" i="6" s="1"/>
  <c r="E699" i="6" s="1"/>
  <c r="E700" i="6" s="1"/>
  <c r="E701" i="6" s="1"/>
  <c r="E702" i="6" s="1"/>
  <c r="E703" i="6" s="1"/>
  <c r="E704" i="6" s="1"/>
  <c r="E705" i="6" s="1"/>
  <c r="E706" i="6" s="1"/>
  <c r="E707" i="6" s="1"/>
  <c r="E708" i="6" s="1"/>
  <c r="E709" i="6" s="1"/>
  <c r="E710" i="6" s="1"/>
  <c r="E711" i="6" s="1"/>
  <c r="E712" i="6" s="1"/>
  <c r="E713" i="6" s="1"/>
  <c r="E714" i="6" s="1"/>
  <c r="E715" i="6" s="1"/>
  <c r="E716" i="6" s="1"/>
  <c r="E717" i="6" s="1"/>
  <c r="E718" i="6" s="1"/>
  <c r="E719" i="6" s="1"/>
  <c r="E720" i="6" s="1"/>
  <c r="E721" i="6" s="1"/>
  <c r="U558" i="6"/>
  <c r="U557"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S599" i="6"/>
  <c r="U600" i="6"/>
  <c r="U599"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556" i="6"/>
  <c r="U555" i="6"/>
  <c r="I538" i="6"/>
  <c r="T538" i="6" s="1"/>
  <c r="V538" i="6" s="1"/>
  <c r="I539" i="6"/>
  <c r="I540" i="6"/>
  <c r="I541" i="6"/>
  <c r="I542" i="6"/>
  <c r="I543" i="6"/>
  <c r="I544" i="6"/>
  <c r="I545" i="6"/>
  <c r="I546" i="6"/>
  <c r="I547" i="6"/>
  <c r="I548" i="6"/>
  <c r="I549" i="6"/>
  <c r="I550" i="6"/>
  <c r="I551" i="6"/>
  <c r="I552" i="6"/>
  <c r="I553" i="6"/>
  <c r="AV121" i="3"/>
  <c r="AU53" i="3"/>
  <c r="AU52" i="3"/>
  <c r="AU51" i="3"/>
  <c r="AU50" i="3"/>
  <c r="S53" i="3"/>
  <c r="S52" i="3"/>
  <c r="S51" i="3"/>
  <c r="S50" i="3"/>
  <c r="R119" i="3"/>
  <c r="R47" i="3"/>
  <c r="AV128" i="3"/>
  <c r="AW58" i="3"/>
  <c r="AW59" i="3"/>
  <c r="AW60" i="3"/>
  <c r="AW61" i="3"/>
  <c r="AW62" i="3"/>
  <c r="AW63" i="3"/>
  <c r="AW64" i="3"/>
  <c r="AW65" i="3"/>
  <c r="AW66" i="3"/>
  <c r="AW73" i="3"/>
  <c r="AW67" i="3"/>
  <c r="AW68" i="3"/>
  <c r="AW69" i="3"/>
  <c r="AW70" i="3"/>
  <c r="AW71" i="3"/>
  <c r="AW72" i="3"/>
  <c r="AW128" i="3"/>
  <c r="AW57" i="3"/>
  <c r="AV58" i="3"/>
  <c r="AV59" i="3"/>
  <c r="AV60" i="3"/>
  <c r="AV61" i="3"/>
  <c r="AV62" i="3"/>
  <c r="AV63" i="3"/>
  <c r="AV64" i="3"/>
  <c r="AV65" i="3"/>
  <c r="AV66" i="3"/>
  <c r="AV73" i="3"/>
  <c r="AV67" i="3"/>
  <c r="AV68" i="3"/>
  <c r="AV69" i="3"/>
  <c r="AV70" i="3"/>
  <c r="AV71" i="3"/>
  <c r="AV72" i="3"/>
  <c r="AV57" i="3"/>
  <c r="AU58" i="3"/>
  <c r="AU59" i="3"/>
  <c r="AU60" i="3"/>
  <c r="AU61" i="3"/>
  <c r="AU62" i="3"/>
  <c r="AU63" i="3"/>
  <c r="AU64" i="3"/>
  <c r="AU65" i="3"/>
  <c r="AU66" i="3"/>
  <c r="AU73" i="3"/>
  <c r="AU67" i="3"/>
  <c r="AU68" i="3"/>
  <c r="AU69" i="3"/>
  <c r="AU70" i="3"/>
  <c r="AU71" i="3"/>
  <c r="AU72" i="3"/>
  <c r="AR128" i="3"/>
  <c r="AR72" i="3"/>
  <c r="AR71" i="3"/>
  <c r="AR70" i="3"/>
  <c r="AR69" i="3"/>
  <c r="AR68" i="3"/>
  <c r="AR67" i="3"/>
  <c r="AR73" i="3"/>
  <c r="AR66" i="3"/>
  <c r="AR65" i="3"/>
  <c r="AR64" i="3"/>
  <c r="AR63" i="3"/>
  <c r="AR62" i="3"/>
  <c r="AR61" i="3"/>
  <c r="AR60" i="3"/>
  <c r="AR59" i="3"/>
  <c r="AR58" i="3"/>
  <c r="AR57" i="3"/>
  <c r="AQ128" i="3"/>
  <c r="AQ72" i="3"/>
  <c r="AQ71" i="3"/>
  <c r="AQ70" i="3"/>
  <c r="AQ69" i="3"/>
  <c r="AQ68" i="3"/>
  <c r="AQ67" i="3"/>
  <c r="AQ73" i="3"/>
  <c r="AQ66" i="3"/>
  <c r="AQ65" i="3"/>
  <c r="AQ64" i="3"/>
  <c r="AQ63" i="3"/>
  <c r="AQ62" i="3"/>
  <c r="AQ61" i="3"/>
  <c r="AQ60" i="3"/>
  <c r="AQ59" i="3"/>
  <c r="AQ58" i="3"/>
  <c r="AQ57" i="3"/>
  <c r="M65" i="3"/>
  <c r="M58" i="3"/>
  <c r="AU57" i="3"/>
  <c r="S58" i="3"/>
  <c r="S59" i="3"/>
  <c r="S60" i="3"/>
  <c r="S61" i="3"/>
  <c r="S62" i="3"/>
  <c r="S63" i="3"/>
  <c r="S64" i="3"/>
  <c r="S65" i="3"/>
  <c r="S66" i="3"/>
  <c r="S73" i="3"/>
  <c r="S67" i="3"/>
  <c r="S68" i="3"/>
  <c r="S69" i="3"/>
  <c r="S70" i="3"/>
  <c r="S71" i="3"/>
  <c r="S72" i="3"/>
  <c r="S57" i="3"/>
  <c r="AK137" i="3"/>
  <c r="AM137" i="3" s="1"/>
  <c r="AP137" i="3" s="1"/>
  <c r="AW137" i="3"/>
  <c r="AV137" i="3"/>
  <c r="AK136" i="3"/>
  <c r="AW136" i="3" s="1"/>
  <c r="AK135" i="3"/>
  <c r="AW135" i="3" s="1"/>
  <c r="AK134" i="3"/>
  <c r="AW134" i="3" s="1"/>
  <c r="AK131" i="3"/>
  <c r="AM131" i="3" s="1"/>
  <c r="AP131" i="3" s="1"/>
  <c r="AV131" i="3" s="1"/>
  <c r="AK132" i="3"/>
  <c r="AW132" i="3" s="1"/>
  <c r="AK133" i="3"/>
  <c r="AM133" i="3" s="1"/>
  <c r="AP133" i="3" s="1"/>
  <c r="AV133" i="3" s="1"/>
  <c r="AK130" i="3"/>
  <c r="AK32" i="3"/>
  <c r="S131" i="3"/>
  <c r="S132" i="3"/>
  <c r="S133" i="3"/>
  <c r="S134" i="3"/>
  <c r="S135" i="3"/>
  <c r="S136" i="3"/>
  <c r="S137" i="3"/>
  <c r="S130" i="3"/>
  <c r="N131" i="3"/>
  <c r="N132" i="3"/>
  <c r="N133" i="3"/>
  <c r="N134" i="3"/>
  <c r="N135" i="3"/>
  <c r="N136" i="3"/>
  <c r="N137" i="3"/>
  <c r="N130" i="3"/>
  <c r="BH129" i="3"/>
  <c r="AW129" i="3"/>
  <c r="AU129" i="3"/>
  <c r="L129" i="3"/>
  <c r="AT13" i="3"/>
  <c r="AT14" i="3"/>
  <c r="AT15" i="3"/>
  <c r="AT16" i="3"/>
  <c r="AT12" i="3"/>
  <c r="AU13" i="3"/>
  <c r="AU14" i="3"/>
  <c r="AU15" i="3"/>
  <c r="AU16" i="3"/>
  <c r="AU12" i="3"/>
  <c r="AW13" i="3"/>
  <c r="AW14" i="3"/>
  <c r="AW15" i="3"/>
  <c r="AW16" i="3"/>
  <c r="S16" i="3"/>
  <c r="S15" i="3"/>
  <c r="S14" i="3"/>
  <c r="S13" i="3"/>
  <c r="S12" i="3"/>
  <c r="S119" i="3"/>
  <c r="AP125" i="3"/>
  <c r="AV125" i="3" s="1"/>
  <c r="AW126" i="3"/>
  <c r="AW127" i="3"/>
  <c r="AW125" i="3"/>
  <c r="AM126" i="3"/>
  <c r="AP126" i="3" s="1"/>
  <c r="AV126" i="3" s="1"/>
  <c r="AM127" i="3"/>
  <c r="AU127" i="3" s="1"/>
  <c r="AM125" i="3"/>
  <c r="AU125" i="3" s="1"/>
  <c r="S127" i="3"/>
  <c r="S126" i="3"/>
  <c r="S125" i="3"/>
  <c r="S122" i="3"/>
  <c r="Q126" i="3"/>
  <c r="Q127" i="3"/>
  <c r="Q125" i="3"/>
  <c r="N127" i="3"/>
  <c r="N126" i="3"/>
  <c r="N125" i="3"/>
  <c r="R176" i="3"/>
  <c r="AW121" i="3"/>
  <c r="AW122" i="3"/>
  <c r="AW123" i="3"/>
  <c r="AW124" i="3"/>
  <c r="AW120" i="3"/>
  <c r="AW50" i="3"/>
  <c r="AW51" i="3"/>
  <c r="AW52" i="3"/>
  <c r="AW53" i="3"/>
  <c r="AK18" i="3"/>
  <c r="AK19" i="3"/>
  <c r="AK20" i="3"/>
  <c r="AK21" i="3"/>
  <c r="AW21" i="3"/>
  <c r="AK22" i="3"/>
  <c r="AK23" i="3"/>
  <c r="AK24" i="3"/>
  <c r="AK25" i="3"/>
  <c r="AW25" i="3" s="1"/>
  <c r="AK26" i="3"/>
  <c r="AW26" i="3"/>
  <c r="AK27" i="3"/>
  <c r="AK28" i="3"/>
  <c r="AK29" i="3"/>
  <c r="AK30" i="3"/>
  <c r="AK31" i="3"/>
  <c r="AW32" i="3"/>
  <c r="AK33" i="3"/>
  <c r="AK34" i="3"/>
  <c r="AK35" i="3"/>
  <c r="AW35" i="3" s="1"/>
  <c r="AK36" i="3"/>
  <c r="AW36" i="3" s="1"/>
  <c r="AK37" i="3"/>
  <c r="AW37" i="3"/>
  <c r="AK38" i="3"/>
  <c r="AK39" i="3"/>
  <c r="AK40" i="3"/>
  <c r="AW40" i="3" s="1"/>
  <c r="AK41" i="3"/>
  <c r="AW41" i="3"/>
  <c r="AK42" i="3"/>
  <c r="AK43" i="3"/>
  <c r="AK44" i="3"/>
  <c r="AW44" i="3"/>
  <c r="AK45" i="3"/>
  <c r="AW45" i="3" s="1"/>
  <c r="AK46" i="3"/>
  <c r="AW48" i="3"/>
  <c r="AW49" i="3"/>
  <c r="AW47" i="3"/>
  <c r="AW119" i="3"/>
  <c r="AK17" i="3"/>
  <c r="AW17" i="3"/>
  <c r="AU121" i="3"/>
  <c r="AU122" i="3"/>
  <c r="AU123" i="3"/>
  <c r="AU124" i="3"/>
  <c r="AU120" i="3"/>
  <c r="AT120" i="3"/>
  <c r="AT121" i="3"/>
  <c r="AT122" i="3"/>
  <c r="AT123" i="3"/>
  <c r="AT124" i="3"/>
  <c r="AV124" i="3"/>
  <c r="AV123" i="3"/>
  <c r="AV122" i="3"/>
  <c r="AV120" i="3"/>
  <c r="S121" i="3"/>
  <c r="S123" i="3"/>
  <c r="S124" i="3"/>
  <c r="S120" i="3"/>
  <c r="M123" i="3"/>
  <c r="M124" i="3"/>
  <c r="M122" i="3"/>
  <c r="M121" i="3"/>
  <c r="M120" i="3"/>
  <c r="I98" i="6"/>
  <c r="T98" i="6" s="1"/>
  <c r="I99" i="6"/>
  <c r="I100" i="6"/>
  <c r="I101" i="6"/>
  <c r="I102" i="6"/>
  <c r="I103" i="6"/>
  <c r="I105" i="6"/>
  <c r="I106" i="6"/>
  <c r="I107" i="6"/>
  <c r="I108" i="6"/>
  <c r="I109" i="6"/>
  <c r="I110" i="6"/>
  <c r="I111" i="6"/>
  <c r="I112" i="6"/>
  <c r="I113" i="6"/>
  <c r="S115" i="6"/>
  <c r="I115" i="6"/>
  <c r="T115" i="6" s="1"/>
  <c r="I116" i="6"/>
  <c r="I117" i="6"/>
  <c r="I118" i="6"/>
  <c r="I119" i="6"/>
  <c r="I120" i="6"/>
  <c r="I121" i="6"/>
  <c r="I122" i="6"/>
  <c r="I123" i="6"/>
  <c r="I124" i="6"/>
  <c r="I125" i="6"/>
  <c r="I126" i="6"/>
  <c r="I127" i="6"/>
  <c r="I128" i="6"/>
  <c r="I129" i="6"/>
  <c r="I130" i="6"/>
  <c r="S132" i="6"/>
  <c r="I132" i="6"/>
  <c r="T132" i="6" s="1"/>
  <c r="I133" i="6"/>
  <c r="I134" i="6"/>
  <c r="I135" i="6"/>
  <c r="I136" i="6"/>
  <c r="I137" i="6"/>
  <c r="I138" i="6"/>
  <c r="I139" i="6"/>
  <c r="I140" i="6"/>
  <c r="I141" i="6"/>
  <c r="I142" i="6"/>
  <c r="I143" i="6"/>
  <c r="S145" i="6"/>
  <c r="I145" i="6"/>
  <c r="T145" i="6" s="1"/>
  <c r="I146" i="6"/>
  <c r="I147" i="6"/>
  <c r="I148" i="6"/>
  <c r="I149" i="6"/>
  <c r="I150" i="6"/>
  <c r="I151" i="6"/>
  <c r="I152" i="6"/>
  <c r="I153" i="6"/>
  <c r="I154" i="6"/>
  <c r="I155" i="6"/>
  <c r="I156" i="6"/>
  <c r="I157" i="6"/>
  <c r="I158" i="6"/>
  <c r="I159" i="6"/>
  <c r="I160" i="6"/>
  <c r="S162" i="6"/>
  <c r="I162" i="6"/>
  <c r="T162" i="6" s="1"/>
  <c r="I163" i="6"/>
  <c r="I164" i="6"/>
  <c r="I165" i="6"/>
  <c r="I166" i="6"/>
  <c r="I167" i="6"/>
  <c r="I168" i="6"/>
  <c r="I169" i="6"/>
  <c r="I170" i="6"/>
  <c r="I171" i="6"/>
  <c r="I172" i="6"/>
  <c r="I173" i="6"/>
  <c r="I174" i="6"/>
  <c r="I175" i="6"/>
  <c r="I176" i="6"/>
  <c r="I177" i="6"/>
  <c r="S179" i="6"/>
  <c r="I179" i="6"/>
  <c r="T179" i="6" s="1"/>
  <c r="I180" i="6"/>
  <c r="I181" i="6"/>
  <c r="I182" i="6"/>
  <c r="I183" i="6"/>
  <c r="I184" i="6"/>
  <c r="I185" i="6"/>
  <c r="I186" i="6"/>
  <c r="I187" i="6"/>
  <c r="I188" i="6"/>
  <c r="I189" i="6"/>
  <c r="I190" i="6"/>
  <c r="S192" i="6"/>
  <c r="I192" i="6"/>
  <c r="T192" i="6" s="1"/>
  <c r="I193" i="6"/>
  <c r="I194" i="6"/>
  <c r="I195" i="6"/>
  <c r="I196" i="6"/>
  <c r="I197" i="6"/>
  <c r="I198" i="6"/>
  <c r="I199" i="6"/>
  <c r="I200" i="6"/>
  <c r="I201" i="6"/>
  <c r="I202" i="6"/>
  <c r="I203" i="6"/>
  <c r="I204" i="6"/>
  <c r="I205" i="6"/>
  <c r="I206" i="6"/>
  <c r="I207" i="6"/>
  <c r="S209" i="6"/>
  <c r="I209" i="6"/>
  <c r="T209" i="6" s="1"/>
  <c r="V209" i="6" s="1"/>
  <c r="K209" i="6" s="1"/>
  <c r="I210" i="6"/>
  <c r="I211" i="6"/>
  <c r="I212" i="6"/>
  <c r="I213" i="6"/>
  <c r="I214" i="6"/>
  <c r="I215" i="6"/>
  <c r="I216" i="6"/>
  <c r="I217" i="6"/>
  <c r="I218" i="6"/>
  <c r="I219" i="6"/>
  <c r="I220" i="6"/>
  <c r="I221" i="6"/>
  <c r="I222" i="6"/>
  <c r="I223" i="6"/>
  <c r="I224" i="6"/>
  <c r="S226" i="6"/>
  <c r="I226" i="6"/>
  <c r="T226" i="6" s="1"/>
  <c r="I227" i="6"/>
  <c r="I228" i="6"/>
  <c r="I229" i="6"/>
  <c r="I230" i="6"/>
  <c r="I231" i="6"/>
  <c r="I232" i="6"/>
  <c r="I233" i="6"/>
  <c r="I234" i="6"/>
  <c r="I235" i="6"/>
  <c r="I236" i="6"/>
  <c r="I237" i="6"/>
  <c r="S239" i="6"/>
  <c r="I239" i="6"/>
  <c r="T239" i="6" s="1"/>
  <c r="I240" i="6"/>
  <c r="I241" i="6"/>
  <c r="I242" i="6"/>
  <c r="I243" i="6"/>
  <c r="I244" i="6"/>
  <c r="I245" i="6"/>
  <c r="I246" i="6"/>
  <c r="I247" i="6"/>
  <c r="I248" i="6"/>
  <c r="I249" i="6"/>
  <c r="I250" i="6"/>
  <c r="I251" i="6"/>
  <c r="I252" i="6"/>
  <c r="I253" i="6"/>
  <c r="I254" i="6"/>
  <c r="S256" i="6"/>
  <c r="I256" i="6"/>
  <c r="T256" i="6" s="1"/>
  <c r="V256" i="6" s="1"/>
  <c r="S257" i="6" s="1"/>
  <c r="I257" i="6"/>
  <c r="I258" i="6"/>
  <c r="I259" i="6"/>
  <c r="I260" i="6"/>
  <c r="I261" i="6"/>
  <c r="I262" i="6"/>
  <c r="I263" i="6"/>
  <c r="I264" i="6"/>
  <c r="I265" i="6"/>
  <c r="I266" i="6"/>
  <c r="I267" i="6"/>
  <c r="I268" i="6"/>
  <c r="I269" i="6"/>
  <c r="I270" i="6"/>
  <c r="I271" i="6"/>
  <c r="S273" i="6"/>
  <c r="I273" i="6"/>
  <c r="T273" i="6" s="1"/>
  <c r="I274" i="6"/>
  <c r="I275" i="6"/>
  <c r="I276" i="6"/>
  <c r="I277" i="6"/>
  <c r="I278" i="6"/>
  <c r="I279" i="6"/>
  <c r="I280" i="6"/>
  <c r="I281" i="6"/>
  <c r="I282" i="6"/>
  <c r="I283" i="6"/>
  <c r="I284" i="6"/>
  <c r="S286" i="6"/>
  <c r="I286" i="6"/>
  <c r="T286" i="6" s="1"/>
  <c r="I287" i="6"/>
  <c r="I288" i="6"/>
  <c r="I289" i="6"/>
  <c r="I290" i="6"/>
  <c r="I291" i="6"/>
  <c r="I292" i="6"/>
  <c r="I293" i="6"/>
  <c r="I294" i="6"/>
  <c r="I295" i="6"/>
  <c r="I296" i="6"/>
  <c r="I297" i="6"/>
  <c r="I298" i="6"/>
  <c r="I299" i="6"/>
  <c r="I300" i="6"/>
  <c r="I301" i="6"/>
  <c r="S303" i="6"/>
  <c r="I303" i="6"/>
  <c r="T303" i="6" s="1"/>
  <c r="I304" i="6"/>
  <c r="I305" i="6"/>
  <c r="I306" i="6"/>
  <c r="I307" i="6"/>
  <c r="I308" i="6"/>
  <c r="I309" i="6"/>
  <c r="I310" i="6"/>
  <c r="I311" i="6"/>
  <c r="I312" i="6"/>
  <c r="I313" i="6"/>
  <c r="I314" i="6"/>
  <c r="I315" i="6"/>
  <c r="I316" i="6"/>
  <c r="I317" i="6"/>
  <c r="I318" i="6"/>
  <c r="S320" i="6"/>
  <c r="I320" i="6"/>
  <c r="T320" i="6" s="1"/>
  <c r="I321" i="6"/>
  <c r="I322" i="6"/>
  <c r="I323" i="6"/>
  <c r="I324" i="6"/>
  <c r="I325" i="6"/>
  <c r="I326" i="6"/>
  <c r="I327" i="6"/>
  <c r="I328" i="6"/>
  <c r="I329" i="6"/>
  <c r="I330" i="6"/>
  <c r="I331" i="6"/>
  <c r="S333" i="6"/>
  <c r="I333" i="6"/>
  <c r="T333" i="6" s="1"/>
  <c r="I334" i="6"/>
  <c r="I335" i="6"/>
  <c r="I336" i="6"/>
  <c r="I337" i="6"/>
  <c r="I338" i="6"/>
  <c r="I339" i="6"/>
  <c r="I340" i="6"/>
  <c r="I341" i="6"/>
  <c r="I342" i="6"/>
  <c r="I343" i="6"/>
  <c r="I344" i="6"/>
  <c r="I345" i="6"/>
  <c r="I346" i="6"/>
  <c r="I347" i="6"/>
  <c r="I348" i="6"/>
  <c r="S350" i="6"/>
  <c r="I350" i="6"/>
  <c r="T350" i="6" s="1"/>
  <c r="I351" i="6"/>
  <c r="I352" i="6"/>
  <c r="I353" i="6"/>
  <c r="I354" i="6"/>
  <c r="I355" i="6"/>
  <c r="I356" i="6"/>
  <c r="I357" i="6"/>
  <c r="I358" i="6"/>
  <c r="I359" i="6"/>
  <c r="I360" i="6"/>
  <c r="I361" i="6"/>
  <c r="I362" i="6"/>
  <c r="I363" i="6"/>
  <c r="I364" i="6"/>
  <c r="I365" i="6"/>
  <c r="S367" i="6"/>
  <c r="I367" i="6"/>
  <c r="T367" i="6" s="1"/>
  <c r="I368" i="6"/>
  <c r="I369" i="6"/>
  <c r="I370" i="6"/>
  <c r="I371" i="6"/>
  <c r="I372" i="6"/>
  <c r="I373" i="6"/>
  <c r="I374" i="6"/>
  <c r="I375" i="6"/>
  <c r="I376" i="6"/>
  <c r="I377" i="6"/>
  <c r="I378" i="6"/>
  <c r="S380" i="6"/>
  <c r="I380" i="6"/>
  <c r="T380" i="6" s="1"/>
  <c r="I381" i="6"/>
  <c r="I382" i="6"/>
  <c r="I383" i="6"/>
  <c r="I384" i="6"/>
  <c r="I385" i="6"/>
  <c r="I386" i="6"/>
  <c r="I387" i="6"/>
  <c r="I388" i="6"/>
  <c r="I389" i="6"/>
  <c r="I390" i="6"/>
  <c r="I391" i="6"/>
  <c r="I392" i="6"/>
  <c r="I393" i="6"/>
  <c r="I394" i="6"/>
  <c r="I395" i="6"/>
  <c r="S397" i="6"/>
  <c r="I397" i="6"/>
  <c r="T397" i="6" s="1"/>
  <c r="I398" i="6"/>
  <c r="I399" i="6"/>
  <c r="I400" i="6"/>
  <c r="I401" i="6"/>
  <c r="I402" i="6"/>
  <c r="I403" i="6"/>
  <c r="I404" i="6"/>
  <c r="I405" i="6"/>
  <c r="I406" i="6"/>
  <c r="I407" i="6"/>
  <c r="I408" i="6"/>
  <c r="I409" i="6"/>
  <c r="I410" i="6"/>
  <c r="I411" i="6"/>
  <c r="I412" i="6"/>
  <c r="S414" i="6"/>
  <c r="I414" i="6"/>
  <c r="T414" i="6" s="1"/>
  <c r="I415" i="6"/>
  <c r="I416" i="6"/>
  <c r="I417" i="6"/>
  <c r="I418" i="6"/>
  <c r="I419" i="6"/>
  <c r="I420" i="6"/>
  <c r="I421" i="6"/>
  <c r="I422" i="6"/>
  <c r="I423" i="6"/>
  <c r="I424" i="6"/>
  <c r="I425" i="6"/>
  <c r="S427" i="6"/>
  <c r="I427" i="6"/>
  <c r="T427" i="6" s="1"/>
  <c r="I428" i="6"/>
  <c r="I429" i="6"/>
  <c r="I430" i="6"/>
  <c r="I431" i="6"/>
  <c r="I432" i="6"/>
  <c r="I433" i="6"/>
  <c r="I434" i="6"/>
  <c r="I435" i="6"/>
  <c r="I436" i="6"/>
  <c r="I437" i="6"/>
  <c r="I438" i="6"/>
  <c r="I439" i="6"/>
  <c r="I440" i="6"/>
  <c r="I441" i="6"/>
  <c r="I442" i="6"/>
  <c r="S444" i="6"/>
  <c r="I444" i="6"/>
  <c r="T444" i="6" s="1"/>
  <c r="I445" i="6"/>
  <c r="I446" i="6"/>
  <c r="I447" i="6"/>
  <c r="I448" i="6"/>
  <c r="I449" i="6"/>
  <c r="I450" i="6"/>
  <c r="I451" i="6"/>
  <c r="I452" i="6"/>
  <c r="I453" i="6"/>
  <c r="I454" i="6"/>
  <c r="I455" i="6"/>
  <c r="I456" i="6"/>
  <c r="I457" i="6"/>
  <c r="I458" i="6"/>
  <c r="I459" i="6"/>
  <c r="S461" i="6"/>
  <c r="I461" i="6"/>
  <c r="T461" i="6" s="1"/>
  <c r="I462" i="6"/>
  <c r="I463" i="6"/>
  <c r="I464" i="6"/>
  <c r="I465" i="6"/>
  <c r="I466" i="6"/>
  <c r="I467" i="6"/>
  <c r="I468" i="6"/>
  <c r="I469" i="6"/>
  <c r="I470" i="6"/>
  <c r="I471" i="6"/>
  <c r="I472" i="6"/>
  <c r="S474" i="6"/>
  <c r="I474" i="6"/>
  <c r="T474" i="6" s="1"/>
  <c r="I475" i="6"/>
  <c r="I476" i="6"/>
  <c r="I477" i="6"/>
  <c r="I478" i="6"/>
  <c r="I479" i="6"/>
  <c r="I480" i="6"/>
  <c r="I481" i="6"/>
  <c r="I482" i="6"/>
  <c r="I483" i="6"/>
  <c r="I484" i="6"/>
  <c r="I485" i="6"/>
  <c r="I486" i="6"/>
  <c r="I487" i="6"/>
  <c r="I488" i="6"/>
  <c r="I489" i="6"/>
  <c r="S491" i="6"/>
  <c r="I491" i="6"/>
  <c r="T491" i="6" s="1"/>
  <c r="I492" i="6"/>
  <c r="I493" i="6"/>
  <c r="I494" i="6"/>
  <c r="I495" i="6"/>
  <c r="I496" i="6"/>
  <c r="I497" i="6"/>
  <c r="I498" i="6"/>
  <c r="I499" i="6"/>
  <c r="I500" i="6"/>
  <c r="I501" i="6"/>
  <c r="I502" i="6"/>
  <c r="I503" i="6"/>
  <c r="I504" i="6"/>
  <c r="I505" i="6"/>
  <c r="I506" i="6"/>
  <c r="S508" i="6"/>
  <c r="I508" i="6"/>
  <c r="T508" i="6" s="1"/>
  <c r="I509" i="6"/>
  <c r="I510" i="6"/>
  <c r="I511" i="6"/>
  <c r="I512" i="6"/>
  <c r="I513" i="6"/>
  <c r="I514" i="6"/>
  <c r="I515" i="6"/>
  <c r="I516" i="6"/>
  <c r="I517" i="6"/>
  <c r="I518" i="6"/>
  <c r="I519" i="6"/>
  <c r="S521" i="6"/>
  <c r="I521" i="6"/>
  <c r="T521" i="6" s="1"/>
  <c r="I522" i="6"/>
  <c r="I523" i="6"/>
  <c r="I524" i="6"/>
  <c r="I525" i="6"/>
  <c r="I526" i="6"/>
  <c r="I527" i="6"/>
  <c r="I528" i="6"/>
  <c r="I529" i="6"/>
  <c r="I530" i="6"/>
  <c r="I531" i="6"/>
  <c r="I532" i="6"/>
  <c r="I533" i="6"/>
  <c r="I534" i="6"/>
  <c r="I535" i="6"/>
  <c r="I536" i="6"/>
  <c r="S538" i="6"/>
  <c r="I87" i="6"/>
  <c r="I88" i="6"/>
  <c r="I89" i="6"/>
  <c r="I90" i="6"/>
  <c r="I91" i="6"/>
  <c r="I92" i="6"/>
  <c r="I93" i="6"/>
  <c r="I94" i="6"/>
  <c r="I95" i="6"/>
  <c r="I96" i="6"/>
  <c r="S98" i="6"/>
  <c r="S85" i="6"/>
  <c r="I97" i="6"/>
  <c r="I114" i="6"/>
  <c r="I131" i="6"/>
  <c r="I144" i="6"/>
  <c r="I161" i="6"/>
  <c r="I178" i="6"/>
  <c r="I191" i="6"/>
  <c r="I208" i="6"/>
  <c r="I225" i="6"/>
  <c r="I238" i="6"/>
  <c r="I255" i="6"/>
  <c r="I272" i="6"/>
  <c r="I285" i="6"/>
  <c r="I302" i="6"/>
  <c r="I319" i="6"/>
  <c r="I332" i="6"/>
  <c r="I349" i="6"/>
  <c r="I366" i="6"/>
  <c r="I379" i="6"/>
  <c r="I396" i="6"/>
  <c r="I413" i="6"/>
  <c r="I426" i="6"/>
  <c r="I443" i="6"/>
  <c r="I460" i="6"/>
  <c r="I473" i="6"/>
  <c r="I490" i="6"/>
  <c r="I507" i="6"/>
  <c r="I520" i="6"/>
  <c r="I537" i="6"/>
  <c r="I554" i="6"/>
  <c r="S18" i="3"/>
  <c r="S19" i="3"/>
  <c r="S20" i="3"/>
  <c r="S21" i="3"/>
  <c r="S22" i="3"/>
  <c r="S23" i="3"/>
  <c r="S24" i="3"/>
  <c r="S25" i="3"/>
  <c r="S26" i="3"/>
  <c r="S27" i="3"/>
  <c r="S28" i="3"/>
  <c r="S30" i="3"/>
  <c r="S31" i="3"/>
  <c r="S32" i="3"/>
  <c r="S33" i="3"/>
  <c r="S34" i="3"/>
  <c r="S36" i="3"/>
  <c r="S37" i="3"/>
  <c r="S38" i="3"/>
  <c r="S39" i="3"/>
  <c r="S40" i="3"/>
  <c r="S43" i="3"/>
  <c r="S44" i="3"/>
  <c r="S45" i="3"/>
  <c r="S46" i="3"/>
  <c r="S41" i="3"/>
  <c r="S42" i="3"/>
  <c r="S35" i="3"/>
  <c r="S29" i="3"/>
  <c r="S17" i="3"/>
  <c r="E10" i="6"/>
  <c r="E11" i="6" s="1"/>
  <c r="E12" i="6" s="1"/>
  <c r="E13" i="6" s="1"/>
  <c r="E14" i="6" s="1"/>
  <c r="E15" i="6" s="1"/>
  <c r="E16" i="6" s="1"/>
  <c r="E17" i="6" s="1"/>
  <c r="E18" i="6" s="1"/>
  <c r="E19" i="6" s="1"/>
  <c r="E20" i="6" s="1"/>
  <c r="E21" i="6" s="1"/>
  <c r="E22" i="6" s="1"/>
  <c r="E23" i="6" s="1"/>
  <c r="E24" i="6" s="1"/>
  <c r="E25" i="6" s="1"/>
  <c r="E26" i="6" s="1"/>
  <c r="E27" i="6" s="1"/>
  <c r="E28" i="6" s="1"/>
  <c r="AK11" i="3"/>
  <c r="V9" i="6"/>
  <c r="V17" i="6" s="1"/>
  <c r="R72" i="3"/>
  <c r="R71" i="3"/>
  <c r="R70" i="3"/>
  <c r="R69" i="3"/>
  <c r="R68" i="3"/>
  <c r="R67" i="3"/>
  <c r="R73" i="3"/>
  <c r="R66" i="3"/>
  <c r="R65" i="3"/>
  <c r="R64" i="3"/>
  <c r="R63" i="3"/>
  <c r="R62" i="3"/>
  <c r="R61" i="3"/>
  <c r="R60" i="3"/>
  <c r="R59" i="3"/>
  <c r="R58" i="3"/>
  <c r="R57" i="3"/>
  <c r="R56" i="3"/>
  <c r="R55" i="3"/>
  <c r="R54" i="3"/>
  <c r="AV13" i="3"/>
  <c r="AV14" i="3"/>
  <c r="AV15" i="3"/>
  <c r="AV16" i="3"/>
  <c r="AV12" i="3"/>
  <c r="AM19" i="3"/>
  <c r="AP19" i="3"/>
  <c r="AV19" i="3" s="1"/>
  <c r="AM20" i="3"/>
  <c r="AP20" i="3" s="1"/>
  <c r="AV20" i="3" s="1"/>
  <c r="AM25" i="3"/>
  <c r="AP25" i="3" s="1"/>
  <c r="AV25" i="3" s="1"/>
  <c r="AM27" i="3"/>
  <c r="AP27" i="3" s="1"/>
  <c r="AV27" i="3" s="1"/>
  <c r="AM30" i="3"/>
  <c r="AP30" i="3" s="1"/>
  <c r="AV30" i="3" s="1"/>
  <c r="AM32" i="3"/>
  <c r="AP32" i="3" s="1"/>
  <c r="AV32" i="3" s="1"/>
  <c r="AM36" i="3"/>
  <c r="AP36" i="3" s="1"/>
  <c r="AV36" i="3" s="1"/>
  <c r="AM37" i="3"/>
  <c r="AP37" i="3"/>
  <c r="AV37" i="3" s="1"/>
  <c r="AM40" i="3"/>
  <c r="AP40" i="3" s="1"/>
  <c r="AV40" i="3" s="1"/>
  <c r="AM41" i="3"/>
  <c r="AP41" i="3" s="1"/>
  <c r="AV41" i="3" s="1"/>
  <c r="AM46" i="3"/>
  <c r="AP46" i="3"/>
  <c r="AV46" i="3" s="1"/>
  <c r="R16" i="3"/>
  <c r="R15" i="3"/>
  <c r="R14" i="3"/>
  <c r="R13" i="3"/>
  <c r="R12" i="3"/>
  <c r="M13" i="3"/>
  <c r="M14" i="3"/>
  <c r="M15" i="3"/>
  <c r="M16" i="3"/>
  <c r="M12" i="3"/>
  <c r="AD119" i="3"/>
  <c r="AD47" i="3"/>
  <c r="AZ47" i="3"/>
  <c r="AZ119" i="3"/>
  <c r="AM119" i="3"/>
  <c r="AP119" i="3"/>
  <c r="AV119" i="3" s="1"/>
  <c r="AM47" i="3"/>
  <c r="AP47" i="3" s="1"/>
  <c r="AV47" i="3" s="1"/>
  <c r="AR119" i="3"/>
  <c r="AR47" i="3"/>
  <c r="S47" i="3"/>
  <c r="AD49" i="3"/>
  <c r="AD48" i="3"/>
  <c r="S48" i="3"/>
  <c r="N49" i="3"/>
  <c r="N48" i="3"/>
  <c r="M49" i="3"/>
  <c r="M48" i="3"/>
  <c r="AW101" i="3"/>
  <c r="AW102" i="3"/>
  <c r="AW103" i="3"/>
  <c r="AW104" i="3"/>
  <c r="AW105" i="3"/>
  <c r="AW106" i="3"/>
  <c r="AW107" i="3"/>
  <c r="AW108" i="3"/>
  <c r="AW109" i="3"/>
  <c r="AW110" i="3"/>
  <c r="AW111" i="3"/>
  <c r="AM102" i="3"/>
  <c r="AP102" i="3" s="1"/>
  <c r="AV102" i="3" s="1"/>
  <c r="AM103" i="3"/>
  <c r="AP103" i="3" s="1"/>
  <c r="AV103" i="3" s="1"/>
  <c r="AM104" i="3"/>
  <c r="AP104" i="3" s="1"/>
  <c r="AV104" i="3" s="1"/>
  <c r="AM105" i="3"/>
  <c r="AP105" i="3" s="1"/>
  <c r="AV105" i="3" s="1"/>
  <c r="AM106" i="3"/>
  <c r="AP106" i="3" s="1"/>
  <c r="AV106" i="3" s="1"/>
  <c r="AM107" i="3"/>
  <c r="AP107" i="3" s="1"/>
  <c r="AV107" i="3" s="1"/>
  <c r="AM108" i="3"/>
  <c r="AP108" i="3" s="1"/>
  <c r="AV108" i="3" s="1"/>
  <c r="AM109" i="3"/>
  <c r="AP109" i="3" s="1"/>
  <c r="AV109" i="3" s="1"/>
  <c r="AM110" i="3"/>
  <c r="AP110" i="3" s="1"/>
  <c r="AV110" i="3" s="1"/>
  <c r="AM111" i="3"/>
  <c r="AP111" i="3" s="1"/>
  <c r="AV111" i="3" s="1"/>
  <c r="AJ101" i="3"/>
  <c r="AM101" i="3"/>
  <c r="AP101" i="3" s="1"/>
  <c r="AV101" i="3" s="1"/>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69" i="3"/>
  <c r="AW170" i="3"/>
  <c r="AW171" i="3"/>
  <c r="AW172" i="3"/>
  <c r="AW173" i="3"/>
  <c r="AW174" i="3"/>
  <c r="AW175" i="3"/>
  <c r="AW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69" i="3"/>
  <c r="AU170" i="3"/>
  <c r="AU171" i="3"/>
  <c r="AU172" i="3"/>
  <c r="AU173" i="3"/>
  <c r="AU174" i="3"/>
  <c r="AU175" i="3"/>
  <c r="AU74" i="3"/>
  <c r="AT74" i="3"/>
  <c r="AV75" i="3"/>
  <c r="AV76" i="3"/>
  <c r="AP77" i="3"/>
  <c r="AV77" i="3" s="1"/>
  <c r="AP78" i="3"/>
  <c r="AV78" i="3"/>
  <c r="AP79" i="3"/>
  <c r="AV79" i="3" s="1"/>
  <c r="AP80" i="3"/>
  <c r="AV80" i="3" s="1"/>
  <c r="AP81" i="3"/>
  <c r="AV81" i="3"/>
  <c r="AP82" i="3"/>
  <c r="AV82" i="3" s="1"/>
  <c r="AP83" i="3"/>
  <c r="AV83" i="3" s="1"/>
  <c r="AP84" i="3"/>
  <c r="AV84" i="3" s="1"/>
  <c r="AP85" i="3"/>
  <c r="AV85" i="3" s="1"/>
  <c r="AP86" i="3"/>
  <c r="AV86" i="3"/>
  <c r="AP87" i="3"/>
  <c r="AV87" i="3" s="1"/>
  <c r="AP88" i="3"/>
  <c r="AV88" i="3" s="1"/>
  <c r="AP89" i="3"/>
  <c r="AV89" i="3"/>
  <c r="AP90" i="3"/>
  <c r="AV90" i="3" s="1"/>
  <c r="AP91" i="3"/>
  <c r="AV91" i="3" s="1"/>
  <c r="AP92" i="3"/>
  <c r="AV92" i="3" s="1"/>
  <c r="AP93" i="3"/>
  <c r="AV93" i="3" s="1"/>
  <c r="AP94" i="3"/>
  <c r="AV94" i="3"/>
  <c r="AP95" i="3"/>
  <c r="AV95" i="3" s="1"/>
  <c r="AP96" i="3"/>
  <c r="AV96" i="3" s="1"/>
  <c r="AP97" i="3"/>
  <c r="AV97" i="3"/>
  <c r="AP98" i="3"/>
  <c r="AV98" i="3" s="1"/>
  <c r="AP99" i="3"/>
  <c r="AV99" i="3" s="1"/>
  <c r="AP100" i="3"/>
  <c r="AV100" i="3" s="1"/>
  <c r="AP169" i="3"/>
  <c r="AP170" i="3"/>
  <c r="AV170" i="3"/>
  <c r="AP171" i="3"/>
  <c r="AV171" i="3" s="1"/>
  <c r="AP172" i="3"/>
  <c r="AV172" i="3" s="1"/>
  <c r="AP173" i="3"/>
  <c r="AV173" i="3"/>
  <c r="AP174" i="3"/>
  <c r="AV174" i="3" s="1"/>
  <c r="AP175" i="3"/>
  <c r="AV175" i="3" s="1"/>
  <c r="AV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69" i="3"/>
  <c r="AT170" i="3"/>
  <c r="AT171" i="3"/>
  <c r="AT172" i="3"/>
  <c r="AT173" i="3"/>
  <c r="AT174" i="3"/>
  <c r="AT175"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17" i="3"/>
  <c r="AR11" i="3"/>
  <c r="AQ11" i="3"/>
  <c r="AI101" i="3"/>
  <c r="AD102" i="3"/>
  <c r="AD103" i="3"/>
  <c r="AD104" i="3"/>
  <c r="AD105" i="3"/>
  <c r="AD106" i="3"/>
  <c r="AD107" i="3"/>
  <c r="AD108" i="3"/>
  <c r="AD109" i="3"/>
  <c r="AD110" i="3"/>
  <c r="AD111" i="3"/>
  <c r="AD101" i="3"/>
  <c r="S102" i="3"/>
  <c r="S103" i="3"/>
  <c r="S104" i="3"/>
  <c r="S105" i="3"/>
  <c r="S106" i="3"/>
  <c r="S107" i="3"/>
  <c r="S108" i="3"/>
  <c r="S109" i="3"/>
  <c r="S110" i="3"/>
  <c r="S111" i="3"/>
  <c r="S101" i="3"/>
  <c r="N102" i="3"/>
  <c r="N103" i="3"/>
  <c r="N104" i="3"/>
  <c r="N105" i="3"/>
  <c r="N106" i="3"/>
  <c r="N107" i="3"/>
  <c r="N108" i="3"/>
  <c r="N109" i="3"/>
  <c r="N110" i="3"/>
  <c r="N111" i="3"/>
  <c r="N101" i="3"/>
  <c r="BC75" i="3"/>
  <c r="BC76" i="3"/>
  <c r="BC77" i="3"/>
  <c r="BC78" i="3"/>
  <c r="BC79" i="3"/>
  <c r="BC80" i="3"/>
  <c r="BC81" i="3"/>
  <c r="BC82" i="3"/>
  <c r="BC83" i="3"/>
  <c r="BC84" i="3"/>
  <c r="BC85" i="3"/>
  <c r="BC86" i="3"/>
  <c r="BC87" i="3"/>
  <c r="BC88" i="3"/>
  <c r="BC89" i="3"/>
  <c r="BC90" i="3"/>
  <c r="BC91" i="3"/>
  <c r="BC92" i="3"/>
  <c r="BC93" i="3"/>
  <c r="BC94" i="3"/>
  <c r="BC95" i="3"/>
  <c r="BC96" i="3"/>
  <c r="BC97" i="3"/>
  <c r="BC98" i="3"/>
  <c r="BC99" i="3"/>
  <c r="BC100" i="3"/>
  <c r="BC169" i="3"/>
  <c r="BC170" i="3"/>
  <c r="BC171" i="3"/>
  <c r="BC172" i="3"/>
  <c r="BC173" i="3"/>
  <c r="BC174" i="3"/>
  <c r="BC175" i="3"/>
  <c r="BC74" i="3"/>
  <c r="M98" i="3"/>
  <c r="M99" i="3"/>
  <c r="M100" i="3"/>
  <c r="M97" i="3"/>
  <c r="M75" i="3"/>
  <c r="M76" i="3"/>
  <c r="M77" i="3"/>
  <c r="M78" i="3"/>
  <c r="M79" i="3"/>
  <c r="M80" i="3"/>
  <c r="M81" i="3"/>
  <c r="M82" i="3"/>
  <c r="M83" i="3"/>
  <c r="M84" i="3"/>
  <c r="M85" i="3"/>
  <c r="M86" i="3"/>
  <c r="M87" i="3"/>
  <c r="M88" i="3"/>
  <c r="M89" i="3"/>
  <c r="M90" i="3"/>
  <c r="M91" i="3"/>
  <c r="M92" i="3"/>
  <c r="M93" i="3"/>
  <c r="M94" i="3"/>
  <c r="M95" i="3"/>
  <c r="M96" i="3"/>
  <c r="M74" i="3"/>
  <c r="AZ11" i="3"/>
  <c r="AX11" i="3"/>
  <c r="AI11" i="3"/>
  <c r="AD11" i="3"/>
  <c r="R11" i="3"/>
  <c r="S2766" i="6" l="1"/>
  <c r="S39" i="6"/>
  <c r="R15" i="6"/>
  <c r="S59" i="6"/>
  <c r="S23" i="6"/>
  <c r="S50" i="6"/>
  <c r="S78" i="6"/>
  <c r="S33" i="6"/>
  <c r="S26" i="6"/>
  <c r="S70" i="6"/>
  <c r="R70" i="6"/>
  <c r="S66" i="6"/>
  <c r="U2767" i="6"/>
  <c r="W2766" i="6"/>
  <c r="S2424" i="6"/>
  <c r="S77" i="6"/>
  <c r="V2572" i="6"/>
  <c r="U2738" i="6"/>
  <c r="W2737" i="6"/>
  <c r="S2737" i="6"/>
  <c r="U2747" i="6"/>
  <c r="S2746" i="6"/>
  <c r="W2746" i="6"/>
  <c r="U2758" i="6"/>
  <c r="S2757" i="6"/>
  <c r="W2757" i="6"/>
  <c r="U2569" i="6"/>
  <c r="S1700" i="6"/>
  <c r="S1616" i="6"/>
  <c r="S1601" i="6"/>
  <c r="S1653" i="6"/>
  <c r="S1127" i="6"/>
  <c r="S1309" i="6"/>
  <c r="U2528" i="6"/>
  <c r="W2528" i="6" s="1"/>
  <c r="S10" i="6"/>
  <c r="R43" i="6"/>
  <c r="R34" i="6"/>
  <c r="S718" i="6"/>
  <c r="S670" i="6"/>
  <c r="R1234" i="6"/>
  <c r="S1226" i="6"/>
  <c r="S1001" i="6"/>
  <c r="S854" i="6"/>
  <c r="R792" i="6"/>
  <c r="S1315" i="6"/>
  <c r="U2492" i="6"/>
  <c r="W2492" i="6" s="1"/>
  <c r="R59" i="6"/>
  <c r="R50" i="6"/>
  <c r="R33" i="6"/>
  <c r="R24" i="6"/>
  <c r="R16" i="6"/>
  <c r="S579" i="6"/>
  <c r="V2563" i="6"/>
  <c r="S1885" i="6"/>
  <c r="S2428" i="6"/>
  <c r="S22" i="6"/>
  <c r="S1258" i="6"/>
  <c r="S1041" i="6"/>
  <c r="S1684" i="6"/>
  <c r="S738" i="6"/>
  <c r="S730" i="6"/>
  <c r="R1871" i="6"/>
  <c r="R1779" i="6"/>
  <c r="S1673" i="6"/>
  <c r="S2329" i="6"/>
  <c r="R2312" i="6"/>
  <c r="S2304" i="6"/>
  <c r="R2296" i="6"/>
  <c r="S83" i="6"/>
  <c r="S55" i="6"/>
  <c r="S46" i="6"/>
  <c r="R20" i="6"/>
  <c r="T2475" i="6"/>
  <c r="U2475" i="6" s="1"/>
  <c r="S2475" i="6" s="1"/>
  <c r="R80" i="6"/>
  <c r="S25" i="6"/>
  <c r="S755" i="6"/>
  <c r="S1093" i="6"/>
  <c r="S1351" i="6"/>
  <c r="S1751" i="6"/>
  <c r="S1728" i="6"/>
  <c r="S592" i="6"/>
  <c r="S2348" i="6"/>
  <c r="V2534" i="6"/>
  <c r="R665" i="6"/>
  <c r="R649" i="6"/>
  <c r="R1299" i="6"/>
  <c r="S950" i="6"/>
  <c r="S919" i="6"/>
  <c r="R1325" i="6"/>
  <c r="S1891" i="6"/>
  <c r="S1473" i="6"/>
  <c r="R1374" i="6"/>
  <c r="S2432" i="6"/>
  <c r="S2409" i="6"/>
  <c r="S56" i="6"/>
  <c r="S38" i="6"/>
  <c r="S13" i="6"/>
  <c r="J2732" i="6"/>
  <c r="R13" i="6"/>
  <c r="S575" i="6"/>
  <c r="R753" i="6"/>
  <c r="R745" i="6"/>
  <c r="S1222" i="6"/>
  <c r="S1207" i="6"/>
  <c r="R1129" i="6"/>
  <c r="R1098" i="6"/>
  <c r="S1067" i="6"/>
  <c r="S913" i="6"/>
  <c r="S897" i="6"/>
  <c r="S2368" i="6"/>
  <c r="S2360" i="6"/>
  <c r="R83" i="6"/>
  <c r="R55" i="6"/>
  <c r="R46" i="6"/>
  <c r="R37" i="6"/>
  <c r="S28" i="6"/>
  <c r="S20" i="6"/>
  <c r="R12" i="6"/>
  <c r="R14" i="6"/>
  <c r="R628" i="6"/>
  <c r="S2320" i="6"/>
  <c r="R19" i="6"/>
  <c r="S734" i="6"/>
  <c r="R719" i="6"/>
  <c r="S918" i="6"/>
  <c r="S886" i="6"/>
  <c r="S832" i="6"/>
  <c r="S824" i="6"/>
  <c r="R71" i="6"/>
  <c r="R60" i="6"/>
  <c r="S2387" i="6"/>
  <c r="S2340" i="6"/>
  <c r="R2284" i="6"/>
  <c r="R2276" i="6"/>
  <c r="R561" i="6"/>
  <c r="S770" i="6"/>
  <c r="S762" i="6"/>
  <c r="S739" i="6"/>
  <c r="S1294" i="6"/>
  <c r="R1170" i="6"/>
  <c r="S1154" i="6"/>
  <c r="S1077" i="6"/>
  <c r="S1069" i="6"/>
  <c r="S1015" i="6"/>
  <c r="S953" i="6"/>
  <c r="S945" i="6"/>
  <c r="S860" i="6"/>
  <c r="S1552" i="6"/>
  <c r="R1536" i="6"/>
  <c r="R1529" i="6"/>
  <c r="R77" i="6"/>
  <c r="R66" i="6"/>
  <c r="R39" i="6"/>
  <c r="R31" i="6"/>
  <c r="R22" i="6"/>
  <c r="S14" i="6"/>
  <c r="S75" i="6"/>
  <c r="R75" i="6"/>
  <c r="R64" i="6"/>
  <c r="S64" i="6"/>
  <c r="S12" i="6"/>
  <c r="T304" i="6"/>
  <c r="V304" i="6" s="1"/>
  <c r="K304" i="6" s="1"/>
  <c r="S675" i="6"/>
  <c r="S644" i="6"/>
  <c r="S1239" i="6"/>
  <c r="S1014" i="6"/>
  <c r="S998" i="6"/>
  <c r="S821" i="6"/>
  <c r="S806" i="6"/>
  <c r="S798" i="6"/>
  <c r="S1423" i="6"/>
  <c r="R2425" i="6"/>
  <c r="R2348" i="6"/>
  <c r="S2333" i="6"/>
  <c r="R82" i="6"/>
  <c r="R73" i="6"/>
  <c r="R62" i="6"/>
  <c r="R54" i="6"/>
  <c r="R45" i="6"/>
  <c r="R36" i="6"/>
  <c r="S73" i="6"/>
  <c r="R72" i="6"/>
  <c r="S45" i="6"/>
  <c r="R44" i="6"/>
  <c r="S804" i="6"/>
  <c r="S68" i="6"/>
  <c r="R68" i="6"/>
  <c r="R28" i="6"/>
  <c r="S37" i="6"/>
  <c r="S603" i="6"/>
  <c r="S1066" i="6"/>
  <c r="S981" i="6"/>
  <c r="S926" i="6"/>
  <c r="S841" i="6"/>
  <c r="R1672" i="6"/>
  <c r="S1664" i="6"/>
  <c r="S79" i="6"/>
  <c r="R79" i="6"/>
  <c r="R42" i="6"/>
  <c r="S42" i="6"/>
  <c r="R69" i="6"/>
  <c r="S81" i="6"/>
  <c r="R81" i="6"/>
  <c r="S62" i="6"/>
  <c r="R61" i="6"/>
  <c r="S35" i="6"/>
  <c r="R35" i="6"/>
  <c r="S51" i="6"/>
  <c r="R51" i="6"/>
  <c r="S27" i="6"/>
  <c r="S71" i="6"/>
  <c r="S34" i="6"/>
  <c r="R617" i="6"/>
  <c r="S694" i="6"/>
  <c r="R1305" i="6"/>
  <c r="R2337" i="6"/>
  <c r="S2292" i="6"/>
  <c r="R78" i="6"/>
  <c r="R67" i="6"/>
  <c r="R58" i="6"/>
  <c r="R49" i="6"/>
  <c r="R40" i="6"/>
  <c r="R32" i="6"/>
  <c r="R21" i="6"/>
  <c r="S925" i="6"/>
  <c r="S1549" i="6"/>
  <c r="V2499" i="6"/>
  <c r="S57" i="6"/>
  <c r="R57" i="6"/>
  <c r="S48" i="6"/>
  <c r="R48" i="6"/>
  <c r="S54" i="6"/>
  <c r="R53" i="6"/>
  <c r="S53" i="6"/>
  <c r="S21" i="6"/>
  <c r="R723" i="6"/>
  <c r="R637" i="6"/>
  <c r="S1241" i="6"/>
  <c r="S977" i="6"/>
  <c r="S822" i="6"/>
  <c r="R1516" i="6"/>
  <c r="S1463" i="6"/>
  <c r="S2396" i="6"/>
  <c r="R2356" i="6"/>
  <c r="S2312" i="6"/>
  <c r="R84" i="6"/>
  <c r="R76" i="6"/>
  <c r="R65" i="6"/>
  <c r="R56" i="6"/>
  <c r="R47" i="6"/>
  <c r="R38" i="6"/>
  <c r="T133" i="6"/>
  <c r="V133" i="6" s="1"/>
  <c r="U133" i="6" s="1"/>
  <c r="W133" i="6" s="1"/>
  <c r="J2667" i="6"/>
  <c r="S11" i="6"/>
  <c r="S19" i="6"/>
  <c r="S82" i="6"/>
  <c r="S758" i="6"/>
  <c r="R697" i="6"/>
  <c r="R673" i="6"/>
  <c r="S659" i="6"/>
  <c r="S650" i="6"/>
  <c r="S1262" i="6"/>
  <c r="R1254" i="6"/>
  <c r="R1246" i="6"/>
  <c r="R1217" i="6"/>
  <c r="R1202" i="6"/>
  <c r="S1194" i="6"/>
  <c r="S1109" i="6"/>
  <c r="S1070" i="6"/>
  <c r="S939" i="6"/>
  <c r="S1857" i="6"/>
  <c r="S1843" i="6"/>
  <c r="S1637" i="6"/>
  <c r="S1493" i="6"/>
  <c r="S1439" i="6"/>
  <c r="R2412" i="6"/>
  <c r="R2404" i="6"/>
  <c r="R2292" i="6"/>
  <c r="S2284" i="6"/>
  <c r="S1362" i="6"/>
  <c r="S1215" i="6"/>
  <c r="S1177" i="6"/>
  <c r="S1153" i="6"/>
  <c r="T227" i="6"/>
  <c r="V227" i="6" s="1"/>
  <c r="S228" i="6" s="1"/>
  <c r="R556" i="6"/>
  <c r="S563" i="6"/>
  <c r="S1085" i="6"/>
  <c r="S44" i="6"/>
  <c r="R11" i="6"/>
  <c r="S36" i="6"/>
  <c r="T368" i="6"/>
  <c r="T369" i="6" s="1"/>
  <c r="S631" i="6"/>
  <c r="S615" i="6"/>
  <c r="S607" i="6"/>
  <c r="S600" i="6"/>
  <c r="S568" i="6"/>
  <c r="R777" i="6"/>
  <c r="R769" i="6"/>
  <c r="S723" i="6"/>
  <c r="R701" i="6"/>
  <c r="R685" i="6"/>
  <c r="S662" i="6"/>
  <c r="S646" i="6"/>
  <c r="S639" i="6"/>
  <c r="S1199" i="6"/>
  <c r="S1167" i="6"/>
  <c r="S1082" i="6"/>
  <c r="S792" i="6"/>
  <c r="S1513" i="6"/>
  <c r="S1504" i="6"/>
  <c r="R1359" i="6"/>
  <c r="S2431" i="6"/>
  <c r="R2393" i="6"/>
  <c r="S67" i="6"/>
  <c r="S40" i="6"/>
  <c r="R23" i="6"/>
  <c r="J2657" i="6"/>
  <c r="S61" i="6"/>
  <c r="S18" i="6"/>
  <c r="R27" i="6"/>
  <c r="S1235" i="6"/>
  <c r="J2641" i="6"/>
  <c r="T163" i="6"/>
  <c r="T164" i="6" s="1"/>
  <c r="T165" i="6" s="1"/>
  <c r="T166" i="6" s="1"/>
  <c r="T167" i="6" s="1"/>
  <c r="T168" i="6" s="1"/>
  <c r="T169" i="6" s="1"/>
  <c r="T170" i="6" s="1"/>
  <c r="T171" i="6" s="1"/>
  <c r="T172" i="6" s="1"/>
  <c r="T173" i="6" s="1"/>
  <c r="T174" i="6" s="1"/>
  <c r="T175" i="6" s="1"/>
  <c r="T176" i="6" s="1"/>
  <c r="T177" i="6" s="1"/>
  <c r="T178" i="6" s="1"/>
  <c r="V178" i="6" s="1"/>
  <c r="R178" i="6" s="1"/>
  <c r="S571" i="6"/>
  <c r="T509" i="6"/>
  <c r="T510" i="6" s="1"/>
  <c r="R621" i="6"/>
  <c r="R605" i="6"/>
  <c r="S699" i="6"/>
  <c r="R1150" i="6"/>
  <c r="R1134" i="6"/>
  <c r="S1034" i="6"/>
  <c r="S987" i="6"/>
  <c r="S934" i="6"/>
  <c r="R913" i="6"/>
  <c r="R905" i="6"/>
  <c r="S1859" i="6"/>
  <c r="S1791" i="6"/>
  <c r="S1593" i="6"/>
  <c r="S1516" i="6"/>
  <c r="S2272" i="6"/>
  <c r="S84" i="6"/>
  <c r="S76" i="6"/>
  <c r="S65" i="6"/>
  <c r="S47" i="6"/>
  <c r="S2300" i="6"/>
  <c r="V2532" i="6"/>
  <c r="V2494" i="6"/>
  <c r="U2560" i="6"/>
  <c r="W2560" i="6" s="1"/>
  <c r="U2527" i="6"/>
  <c r="W2527" i="6" s="1"/>
  <c r="U2490" i="6"/>
  <c r="S60" i="6"/>
  <c r="V2556" i="6"/>
  <c r="V2518" i="6"/>
  <c r="V2491" i="6"/>
  <c r="U2553" i="6"/>
  <c r="W2553" i="6" s="1"/>
  <c r="J2637" i="6"/>
  <c r="S1303" i="6"/>
  <c r="S1689" i="6"/>
  <c r="S636" i="6"/>
  <c r="S1197" i="6"/>
  <c r="S1025" i="6"/>
  <c r="S16" i="6"/>
  <c r="S80" i="6"/>
  <c r="S679" i="6"/>
  <c r="S1286" i="6"/>
  <c r="S949" i="6"/>
  <c r="S830" i="6"/>
  <c r="S1725" i="6"/>
  <c r="S24" i="6"/>
  <c r="R17" i="6"/>
  <c r="S17" i="6"/>
  <c r="S43" i="6"/>
  <c r="S627" i="6"/>
  <c r="S611" i="6"/>
  <c r="R589" i="6"/>
  <c r="S1081" i="6"/>
  <c r="S954" i="6"/>
  <c r="S1640" i="6"/>
  <c r="S2401" i="6"/>
  <c r="V2484" i="6"/>
  <c r="V2555" i="6"/>
  <c r="V2516" i="6"/>
  <c r="V2486" i="6"/>
  <c r="U2511" i="6"/>
  <c r="W2511" i="6" s="1"/>
  <c r="J2684" i="6"/>
  <c r="S2336" i="6"/>
  <c r="V2558" i="6"/>
  <c r="U2522" i="6"/>
  <c r="W2522" i="6" s="1"/>
  <c r="R18" i="6"/>
  <c r="S1560" i="6"/>
  <c r="S2364" i="6"/>
  <c r="R25" i="6"/>
  <c r="R580" i="6"/>
  <c r="R573" i="6"/>
  <c r="R737" i="6"/>
  <c r="R669" i="6"/>
  <c r="S1298" i="6"/>
  <c r="S1253" i="6"/>
  <c r="R1094" i="6"/>
  <c r="S1035" i="6"/>
  <c r="R1021" i="6"/>
  <c r="R998" i="6"/>
  <c r="S938" i="6"/>
  <c r="R812" i="6"/>
  <c r="R1881" i="6"/>
  <c r="S2423" i="6"/>
  <c r="V2580" i="6"/>
  <c r="V2550" i="6"/>
  <c r="V2515" i="6"/>
  <c r="U2546" i="6"/>
  <c r="W2546" i="6" s="1"/>
  <c r="U2509" i="6"/>
  <c r="S584" i="6"/>
  <c r="S853" i="6"/>
  <c r="V2531" i="6"/>
  <c r="V2492" i="6"/>
  <c r="S560" i="6"/>
  <c r="R26" i="6"/>
  <c r="R601" i="6"/>
  <c r="S595" i="6"/>
  <c r="R572" i="6"/>
  <c r="R564" i="6"/>
  <c r="S766" i="6"/>
  <c r="S706" i="6"/>
  <c r="R699" i="6"/>
  <c r="S638" i="6"/>
  <c r="S1131" i="6"/>
  <c r="R1078" i="6"/>
  <c r="R878" i="6"/>
  <c r="S1467" i="6"/>
  <c r="R2429" i="6"/>
  <c r="V2579" i="6"/>
  <c r="V2540" i="6"/>
  <c r="V2510" i="6"/>
  <c r="U2576" i="6"/>
  <c r="U2540" i="6"/>
  <c r="W2540" i="6" s="1"/>
  <c r="U2508" i="6"/>
  <c r="W2508" i="6" s="1"/>
  <c r="U2558" i="6"/>
  <c r="W2558" i="6" s="1"/>
  <c r="S635" i="6"/>
  <c r="S1097" i="6"/>
  <c r="S72" i="6"/>
  <c r="S632" i="6"/>
  <c r="S750" i="6"/>
  <c r="R713" i="6"/>
  <c r="R705" i="6"/>
  <c r="S690" i="6"/>
  <c r="S682" i="6"/>
  <c r="R667" i="6"/>
  <c r="R644" i="6"/>
  <c r="S1297" i="6"/>
  <c r="S1290" i="6"/>
  <c r="S1259" i="6"/>
  <c r="R1199" i="6"/>
  <c r="R1161" i="6"/>
  <c r="S833" i="6"/>
  <c r="S1865" i="6"/>
  <c r="R1637" i="6"/>
  <c r="S1481" i="6"/>
  <c r="S1443" i="6"/>
  <c r="R2397" i="6"/>
  <c r="U2456" i="6"/>
  <c r="W2456" i="6" s="1"/>
  <c r="V2574" i="6"/>
  <c r="V2539" i="6"/>
  <c r="V2508" i="6"/>
  <c r="U2571" i="6"/>
  <c r="U2536" i="6"/>
  <c r="W2536" i="6" s="1"/>
  <c r="J2609" i="6"/>
  <c r="T462" i="6"/>
  <c r="V461" i="6"/>
  <c r="S462" i="6" s="1"/>
  <c r="S616" i="6"/>
  <c r="R596" i="6"/>
  <c r="S771" i="6"/>
  <c r="R735" i="6"/>
  <c r="S707" i="6"/>
  <c r="S1130" i="6"/>
  <c r="R1625" i="6"/>
  <c r="S1625" i="6"/>
  <c r="R2376" i="6"/>
  <c r="S2376" i="6"/>
  <c r="R2273" i="6"/>
  <c r="S2273" i="6"/>
  <c r="S15" i="6"/>
  <c r="T522" i="6"/>
  <c r="T523" i="6" s="1"/>
  <c r="T524" i="6" s="1"/>
  <c r="T525" i="6" s="1"/>
  <c r="T492" i="6"/>
  <c r="T351" i="6"/>
  <c r="T352" i="6" s="1"/>
  <c r="T353" i="6" s="1"/>
  <c r="T354" i="6" s="1"/>
  <c r="T355" i="6" s="1"/>
  <c r="T356" i="6" s="1"/>
  <c r="T357" i="6" s="1"/>
  <c r="T358" i="6" s="1"/>
  <c r="T539" i="6"/>
  <c r="T540" i="6" s="1"/>
  <c r="T541" i="6" s="1"/>
  <c r="V541" i="6" s="1"/>
  <c r="S623" i="6"/>
  <c r="R616" i="6"/>
  <c r="R609" i="6"/>
  <c r="R588" i="6"/>
  <c r="S567" i="6"/>
  <c r="S778" i="6"/>
  <c r="S742" i="6"/>
  <c r="R727" i="6"/>
  <c r="R721" i="6"/>
  <c r="S714" i="6"/>
  <c r="S678" i="6"/>
  <c r="S666" i="6"/>
  <c r="S651" i="6"/>
  <c r="S1299" i="6"/>
  <c r="R1293" i="6"/>
  <c r="R1349" i="6"/>
  <c r="S1349" i="6"/>
  <c r="R1676" i="6"/>
  <c r="S1676" i="6"/>
  <c r="S1632" i="6"/>
  <c r="S1589" i="6"/>
  <c r="S2391" i="6"/>
  <c r="U2484" i="6"/>
  <c r="W2484" i="6" s="1"/>
  <c r="U2486" i="6"/>
  <c r="W2486" i="6" s="1"/>
  <c r="U2495" i="6"/>
  <c r="U2504" i="6"/>
  <c r="W2504" i="6" s="1"/>
  <c r="U2512" i="6"/>
  <c r="U2519" i="6"/>
  <c r="W2519" i="6" s="1"/>
  <c r="U2524" i="6"/>
  <c r="W2524" i="6" s="1"/>
  <c r="U2530" i="6"/>
  <c r="U2542" i="6"/>
  <c r="W2542" i="6" s="1"/>
  <c r="U2549" i="6"/>
  <c r="W2549" i="6" s="1"/>
  <c r="U2554" i="6"/>
  <c r="U2566" i="6"/>
  <c r="W2566" i="6" s="1"/>
  <c r="U2572" i="6"/>
  <c r="W2572" i="6" s="1"/>
  <c r="U2579" i="6"/>
  <c r="W2579" i="6" s="1"/>
  <c r="V2487" i="6"/>
  <c r="V2495" i="6"/>
  <c r="V2503" i="6"/>
  <c r="V2511" i="6"/>
  <c r="V2519" i="6"/>
  <c r="V2527" i="6"/>
  <c r="V2535" i="6"/>
  <c r="V2543" i="6"/>
  <c r="V2551" i="6"/>
  <c r="V2559" i="6"/>
  <c r="V2567" i="6"/>
  <c r="V2575" i="6"/>
  <c r="U2487" i="6"/>
  <c r="W2487" i="6" s="1"/>
  <c r="U2496" i="6"/>
  <c r="U2505" i="6"/>
  <c r="W2505" i="6" s="1"/>
  <c r="U2513" i="6"/>
  <c r="W2513" i="6" s="1"/>
  <c r="U2525" i="6"/>
  <c r="R2525" i="6" s="1"/>
  <c r="U2531" i="6"/>
  <c r="U2537" i="6"/>
  <c r="W2537" i="6" s="1"/>
  <c r="U2543" i="6"/>
  <c r="W2543" i="6" s="1"/>
  <c r="U2550" i="6"/>
  <c r="U2555" i="6"/>
  <c r="U2561" i="6"/>
  <c r="W2561" i="6" s="1"/>
  <c r="U2573" i="6"/>
  <c r="W2573" i="6" s="1"/>
  <c r="U2580" i="6"/>
  <c r="W2580" i="6" s="1"/>
  <c r="V2488" i="6"/>
  <c r="V2496" i="6"/>
  <c r="V2504" i="6"/>
  <c r="V2512" i="6"/>
  <c r="V2520" i="6"/>
  <c r="V2528" i="6"/>
  <c r="V2536" i="6"/>
  <c r="V2544" i="6"/>
  <c r="V2552" i="6"/>
  <c r="V2560" i="6"/>
  <c r="V2568" i="6"/>
  <c r="V2576" i="6"/>
  <c r="U2498" i="6"/>
  <c r="W2498" i="6" s="1"/>
  <c r="U2506" i="6"/>
  <c r="R2506" i="6" s="1"/>
  <c r="U2514" i="6"/>
  <c r="U2520" i="6"/>
  <c r="U2532" i="6"/>
  <c r="W2532" i="6" s="1"/>
  <c r="U2538" i="6"/>
  <c r="W2538" i="6" s="1"/>
  <c r="U2544" i="6"/>
  <c r="R2544" i="6" s="1"/>
  <c r="U2556" i="6"/>
  <c r="W2556" i="6" s="1"/>
  <c r="U2562" i="6"/>
  <c r="W2562" i="6" s="1"/>
  <c r="U2567" i="6"/>
  <c r="W2567" i="6" s="1"/>
  <c r="U2574" i="6"/>
  <c r="W2574" i="6" s="1"/>
  <c r="U2581" i="6"/>
  <c r="R2581" i="6" s="1"/>
  <c r="V2489" i="6"/>
  <c r="V2497" i="6"/>
  <c r="V2505" i="6"/>
  <c r="V2513" i="6"/>
  <c r="V2521" i="6"/>
  <c r="V2529" i="6"/>
  <c r="V2537" i="6"/>
  <c r="V2545" i="6"/>
  <c r="V2553" i="6"/>
  <c r="V2561" i="6"/>
  <c r="V2569" i="6"/>
  <c r="V2577" i="6"/>
  <c r="U2488" i="6"/>
  <c r="W2488" i="6" s="1"/>
  <c r="U2499" i="6"/>
  <c r="U2507" i="6"/>
  <c r="W2507" i="6" s="1"/>
  <c r="U2521" i="6"/>
  <c r="U2526" i="6"/>
  <c r="U2533" i="6"/>
  <c r="U2539" i="6"/>
  <c r="W2539" i="6" s="1"/>
  <c r="U2545" i="6"/>
  <c r="W2545" i="6" s="1"/>
  <c r="U2551" i="6"/>
  <c r="W2551" i="6" s="1"/>
  <c r="U2557" i="6"/>
  <c r="U2568" i="6"/>
  <c r="R2569" i="6" s="1"/>
  <c r="U2575" i="6"/>
  <c r="W2575" i="6" s="1"/>
  <c r="V2490" i="6"/>
  <c r="V2498" i="6"/>
  <c r="V2506" i="6"/>
  <c r="V2514" i="6"/>
  <c r="V2522" i="6"/>
  <c r="V2530" i="6"/>
  <c r="V2538" i="6"/>
  <c r="V2546" i="6"/>
  <c r="V2554" i="6"/>
  <c r="V2562" i="6"/>
  <c r="V2570" i="6"/>
  <c r="V2578" i="6"/>
  <c r="U2493" i="6"/>
  <c r="W2493" i="6" s="1"/>
  <c r="U2502" i="6"/>
  <c r="W2502" i="6" s="1"/>
  <c r="U2510" i="6"/>
  <c r="W2510" i="6" s="1"/>
  <c r="U2517" i="6"/>
  <c r="W2517" i="6" s="1"/>
  <c r="U2523" i="6"/>
  <c r="U2535" i="6"/>
  <c r="W2535" i="6" s="1"/>
  <c r="U2541" i="6"/>
  <c r="W2541" i="6" s="1"/>
  <c r="U2548" i="6"/>
  <c r="U2559" i="6"/>
  <c r="U2565" i="6"/>
  <c r="U2570" i="6"/>
  <c r="R2570" i="6" s="1"/>
  <c r="U2577" i="6"/>
  <c r="W2577" i="6" s="1"/>
  <c r="V2485" i="6"/>
  <c r="V2493" i="6"/>
  <c r="V2501" i="6"/>
  <c r="V2509" i="6"/>
  <c r="V2517" i="6"/>
  <c r="V2525" i="6"/>
  <c r="V2533" i="6"/>
  <c r="V2541" i="6"/>
  <c r="V2549" i="6"/>
  <c r="V2557" i="6"/>
  <c r="V2565" i="6"/>
  <c r="V2573" i="6"/>
  <c r="V2581" i="6"/>
  <c r="J2717" i="6"/>
  <c r="J2693" i="6"/>
  <c r="J2677" i="6"/>
  <c r="J2661" i="6"/>
  <c r="J2645" i="6"/>
  <c r="J2629" i="6"/>
  <c r="J2621" i="6"/>
  <c r="J2613" i="6"/>
  <c r="J2605" i="6"/>
  <c r="J2597" i="6"/>
  <c r="T25" i="6"/>
  <c r="S49" i="6"/>
  <c r="R620" i="6"/>
  <c r="R593" i="6"/>
  <c r="R585" i="6"/>
  <c r="R775" i="6"/>
  <c r="R761" i="6"/>
  <c r="S754" i="6"/>
  <c r="S746" i="6"/>
  <c r="R711" i="6"/>
  <c r="S643" i="6"/>
  <c r="S1532" i="6"/>
  <c r="S2425" i="6"/>
  <c r="R2365" i="6"/>
  <c r="S2365" i="6"/>
  <c r="V2571" i="6"/>
  <c r="V2548" i="6"/>
  <c r="V2526" i="6"/>
  <c r="V2507" i="6"/>
  <c r="U2552" i="6"/>
  <c r="U2534" i="6"/>
  <c r="U2518" i="6"/>
  <c r="W2518" i="6" s="1"/>
  <c r="U2501" i="6"/>
  <c r="J2709" i="6"/>
  <c r="J2589" i="6"/>
  <c r="S587" i="6"/>
  <c r="S726" i="6"/>
  <c r="S658" i="6"/>
  <c r="R2420" i="6"/>
  <c r="S2420" i="6"/>
  <c r="S31" i="6"/>
  <c r="R612" i="6"/>
  <c r="R767" i="6"/>
  <c r="S691" i="6"/>
  <c r="S647" i="6"/>
  <c r="R1584" i="6"/>
  <c r="S1584" i="6"/>
  <c r="V2566" i="6"/>
  <c r="V2547" i="6"/>
  <c r="V2524" i="6"/>
  <c r="V2502" i="6"/>
  <c r="U2564" i="6"/>
  <c r="W2564" i="6" s="1"/>
  <c r="U2547" i="6"/>
  <c r="W2547" i="6" s="1"/>
  <c r="U2515" i="6"/>
  <c r="W2515" i="6" s="1"/>
  <c r="U2500" i="6"/>
  <c r="W2500" i="6" s="1"/>
  <c r="T445" i="6"/>
  <c r="T446" i="6" s="1"/>
  <c r="V446" i="6" s="1"/>
  <c r="R1697" i="6"/>
  <c r="S1697" i="6"/>
  <c r="S58" i="6"/>
  <c r="T146" i="6"/>
  <c r="T147" i="6" s="1"/>
  <c r="T148" i="6" s="1"/>
  <c r="T149" i="6" s="1"/>
  <c r="T150" i="6" s="1"/>
  <c r="V150" i="6" s="1"/>
  <c r="K150" i="6" s="1"/>
  <c r="S619" i="6"/>
  <c r="R604" i="6"/>
  <c r="S591" i="6"/>
  <c r="R584" i="6"/>
  <c r="R577" i="6"/>
  <c r="R569" i="6"/>
  <c r="S774" i="6"/>
  <c r="R759" i="6"/>
  <c r="S710" i="6"/>
  <c r="S702" i="6"/>
  <c r="S1230" i="6"/>
  <c r="S1118" i="6"/>
  <c r="R1029" i="6"/>
  <c r="S1029" i="6"/>
  <c r="S985" i="6"/>
  <c r="S970" i="6"/>
  <c r="S1568" i="6"/>
  <c r="R1449" i="6"/>
  <c r="S1449" i="6"/>
  <c r="R1358" i="6"/>
  <c r="S1358" i="6"/>
  <c r="S2328" i="6"/>
  <c r="V2564" i="6"/>
  <c r="V2542" i="6"/>
  <c r="V2523" i="6"/>
  <c r="V2500" i="6"/>
  <c r="U2578" i="6"/>
  <c r="W2578" i="6" s="1"/>
  <c r="U2563" i="6"/>
  <c r="W2563" i="6" s="1"/>
  <c r="U2529" i="6"/>
  <c r="W2529" i="6" s="1"/>
  <c r="U2516" i="6"/>
  <c r="U2494" i="6"/>
  <c r="W2494" i="6" s="1"/>
  <c r="R914" i="6"/>
  <c r="S914" i="6"/>
  <c r="R2301" i="6"/>
  <c r="S2301" i="6"/>
  <c r="J2733" i="6"/>
  <c r="J2725" i="6"/>
  <c r="J2701" i="6"/>
  <c r="J2685" i="6"/>
  <c r="J2669" i="6"/>
  <c r="J2653" i="6"/>
  <c r="T14" i="6"/>
  <c r="R1017" i="6"/>
  <c r="S1017" i="6"/>
  <c r="S32" i="6"/>
  <c r="R632" i="6"/>
  <c r="R625" i="6"/>
  <c r="S583" i="6"/>
  <c r="R751" i="6"/>
  <c r="S695" i="6"/>
  <c r="S667" i="6"/>
  <c r="R653" i="6"/>
  <c r="S1050" i="6"/>
  <c r="R1747" i="6"/>
  <c r="S1747" i="6"/>
  <c r="R1410" i="6"/>
  <c r="S1410" i="6"/>
  <c r="R1402" i="6"/>
  <c r="R2369" i="6"/>
  <c r="S2369" i="6"/>
  <c r="S1271" i="6"/>
  <c r="R1223" i="6"/>
  <c r="R1195" i="6"/>
  <c r="S1166" i="6"/>
  <c r="S1086" i="6"/>
  <c r="R994" i="6"/>
  <c r="S986" i="6"/>
  <c r="S929" i="6"/>
  <c r="S921" i="6"/>
  <c r="S909" i="6"/>
  <c r="R901" i="6"/>
  <c r="R850" i="6"/>
  <c r="S1853" i="6"/>
  <c r="R1696" i="6"/>
  <c r="S1604" i="6"/>
  <c r="S1548" i="6"/>
  <c r="S1540" i="6"/>
  <c r="S1505" i="6"/>
  <c r="S1485" i="6"/>
  <c r="S2399" i="6"/>
  <c r="R2384" i="6"/>
  <c r="R2329" i="6"/>
  <c r="S2308" i="6"/>
  <c r="J2591" i="6"/>
  <c r="S1185" i="6"/>
  <c r="S885" i="6"/>
  <c r="S1767" i="6"/>
  <c r="S1759" i="6"/>
  <c r="S1581" i="6"/>
  <c r="S1394" i="6"/>
  <c r="J2716" i="6"/>
  <c r="J2628" i="6"/>
  <c r="J2612" i="6"/>
  <c r="J2588" i="6"/>
  <c r="R743" i="6"/>
  <c r="R729" i="6"/>
  <c r="R681" i="6"/>
  <c r="R641" i="6"/>
  <c r="S1267" i="6"/>
  <c r="S1261" i="6"/>
  <c r="S1254" i="6"/>
  <c r="R1191" i="6"/>
  <c r="S1162" i="6"/>
  <c r="S1126" i="6"/>
  <c r="R1033" i="6"/>
  <c r="S1019" i="6"/>
  <c r="S982" i="6"/>
  <c r="S868" i="6"/>
  <c r="R846" i="6"/>
  <c r="S812" i="6"/>
  <c r="S1345" i="6"/>
  <c r="R1309" i="6"/>
  <c r="R1891" i="6"/>
  <c r="R1751" i="6"/>
  <c r="S1672" i="6"/>
  <c r="S1665" i="6"/>
  <c r="S1629" i="6"/>
  <c r="S1529" i="6"/>
  <c r="S1445" i="6"/>
  <c r="S1370" i="6"/>
  <c r="R1362" i="6"/>
  <c r="S2429" i="6"/>
  <c r="S2417" i="6"/>
  <c r="S2367" i="6"/>
  <c r="R2340" i="6"/>
  <c r="R2332" i="6"/>
  <c r="S2296" i="6"/>
  <c r="J2595" i="6"/>
  <c r="R1154" i="6"/>
  <c r="R1082" i="6"/>
  <c r="R1069" i="6"/>
  <c r="R1054" i="6"/>
  <c r="R1026" i="6"/>
  <c r="S1003" i="6"/>
  <c r="R917" i="6"/>
  <c r="S911" i="6"/>
  <c r="S882" i="6"/>
  <c r="S845" i="6"/>
  <c r="S1585" i="6"/>
  <c r="J2642" i="6"/>
  <c r="S1289" i="6"/>
  <c r="R1225" i="6"/>
  <c r="S1203" i="6"/>
  <c r="R1197" i="6"/>
  <c r="R1146" i="6"/>
  <c r="R1118" i="6"/>
  <c r="R1010" i="6"/>
  <c r="S1002" i="6"/>
  <c r="R973" i="6"/>
  <c r="S937" i="6"/>
  <c r="R896" i="6"/>
  <c r="R844" i="6"/>
  <c r="R818" i="6"/>
  <c r="S782" i="6"/>
  <c r="R1335" i="6"/>
  <c r="S1867" i="6"/>
  <c r="R1684" i="6"/>
  <c r="S1541" i="6"/>
  <c r="S2415" i="6"/>
  <c r="S2359" i="6"/>
  <c r="J2681" i="6"/>
  <c r="J2673" i="6"/>
  <c r="J2617" i="6"/>
  <c r="T381" i="6"/>
  <c r="V381" i="6" s="1"/>
  <c r="V380" i="6"/>
  <c r="R380" i="6" s="1"/>
  <c r="V286" i="6"/>
  <c r="S287" i="6" s="1"/>
  <c r="T287" i="6"/>
  <c r="T288" i="6" s="1"/>
  <c r="V288" i="6" s="1"/>
  <c r="T321" i="6"/>
  <c r="V321" i="6" s="1"/>
  <c r="S322" i="6" s="1"/>
  <c r="V320" i="6"/>
  <c r="S321" i="6" s="1"/>
  <c r="R961" i="6"/>
  <c r="S961" i="6"/>
  <c r="R808" i="6"/>
  <c r="S808" i="6"/>
  <c r="R2280" i="6"/>
  <c r="S2280" i="6"/>
  <c r="R655" i="6"/>
  <c r="S655" i="6"/>
  <c r="J2727" i="6"/>
  <c r="J2711" i="6"/>
  <c r="J2695" i="6"/>
  <c r="J2679" i="6"/>
  <c r="J2663" i="6"/>
  <c r="J2647" i="6"/>
  <c r="J2631" i="6"/>
  <c r="J2615" i="6"/>
  <c r="J2599" i="6"/>
  <c r="R739" i="6"/>
  <c r="S683" i="6"/>
  <c r="R1209" i="6"/>
  <c r="S1209" i="6"/>
  <c r="S1163" i="6"/>
  <c r="R1057" i="6"/>
  <c r="S1057" i="6"/>
  <c r="R1009" i="6"/>
  <c r="S1009" i="6"/>
  <c r="S967" i="6"/>
  <c r="R1281" i="6"/>
  <c r="S1281" i="6"/>
  <c r="R828" i="6"/>
  <c r="S828" i="6"/>
  <c r="R1553" i="6"/>
  <c r="S1553" i="6"/>
  <c r="S558" i="6"/>
  <c r="R1190" i="6"/>
  <c r="S1190" i="6"/>
  <c r="R1708" i="6"/>
  <c r="S1708" i="6"/>
  <c r="S1709" i="6"/>
  <c r="R2313" i="6"/>
  <c r="S2313" i="6"/>
  <c r="J2719" i="6"/>
  <c r="J2703" i="6"/>
  <c r="J2687" i="6"/>
  <c r="J2671" i="6"/>
  <c r="J2655" i="6"/>
  <c r="J2639" i="6"/>
  <c r="J2623" i="6"/>
  <c r="J2607" i="6"/>
  <c r="J2583" i="6"/>
  <c r="V25" i="6"/>
  <c r="T475" i="6"/>
  <c r="T476" i="6" s="1"/>
  <c r="T415" i="6"/>
  <c r="T416" i="6" s="1"/>
  <c r="T417" i="6" s="1"/>
  <c r="T418" i="6" s="1"/>
  <c r="T419" i="6" s="1"/>
  <c r="T420" i="6" s="1"/>
  <c r="T421" i="6" s="1"/>
  <c r="T422" i="6" s="1"/>
  <c r="T423" i="6" s="1"/>
  <c r="T240" i="6"/>
  <c r="T241" i="6" s="1"/>
  <c r="T242" i="6" s="1"/>
  <c r="T243" i="6" s="1"/>
  <c r="T244" i="6" s="1"/>
  <c r="T245" i="6" s="1"/>
  <c r="T246" i="6" s="1"/>
  <c r="T247" i="6" s="1"/>
  <c r="T248" i="6" s="1"/>
  <c r="T249" i="6" s="1"/>
  <c r="T250" i="6" s="1"/>
  <c r="T251" i="6" s="1"/>
  <c r="T252" i="6" s="1"/>
  <c r="T253" i="6" s="1"/>
  <c r="T254" i="6" s="1"/>
  <c r="T255" i="6" s="1"/>
  <c r="V255" i="6" s="1"/>
  <c r="T180" i="6"/>
  <c r="T181" i="6" s="1"/>
  <c r="T182" i="6" s="1"/>
  <c r="T183" i="6" s="1"/>
  <c r="T184" i="6" s="1"/>
  <c r="T185" i="6" s="1"/>
  <c r="T186" i="6" s="1"/>
  <c r="T187" i="6" s="1"/>
  <c r="V187" i="6" s="1"/>
  <c r="K187" i="6" s="1"/>
  <c r="R568" i="6"/>
  <c r="R771" i="6"/>
  <c r="R755" i="6"/>
  <c r="R695" i="6"/>
  <c r="S654" i="6"/>
  <c r="T15" i="6"/>
  <c r="S620" i="6"/>
  <c r="S604" i="6"/>
  <c r="S588" i="6"/>
  <c r="S572" i="6"/>
  <c r="S775" i="6"/>
  <c r="R765" i="6"/>
  <c r="S759" i="6"/>
  <c r="R749" i="6"/>
  <c r="S743" i="6"/>
  <c r="R733" i="6"/>
  <c r="S727" i="6"/>
  <c r="R717" i="6"/>
  <c r="S711" i="6"/>
  <c r="R689" i="6"/>
  <c r="R683" i="6"/>
  <c r="R671" i="6"/>
  <c r="S671" i="6"/>
  <c r="S642" i="6"/>
  <c r="R1286" i="6"/>
  <c r="R1227" i="6"/>
  <c r="S1227" i="6"/>
  <c r="S1195" i="6"/>
  <c r="R1182" i="6"/>
  <c r="S1175" i="6"/>
  <c r="R1163" i="6"/>
  <c r="S1150" i="6"/>
  <c r="S1135" i="6"/>
  <c r="S1129" i="6"/>
  <c r="R1123" i="6"/>
  <c r="R1117" i="6"/>
  <c r="S1117" i="6"/>
  <c r="S1102" i="6"/>
  <c r="R930" i="6"/>
  <c r="S930" i="6"/>
  <c r="R1656" i="6"/>
  <c r="S1656" i="6"/>
  <c r="S1657" i="6"/>
  <c r="R1565" i="6"/>
  <c r="S1565" i="6"/>
  <c r="R1062" i="6"/>
  <c r="R993" i="6"/>
  <c r="S993" i="6"/>
  <c r="S1889" i="6"/>
  <c r="S1831" i="6"/>
  <c r="R1713" i="6"/>
  <c r="S1713" i="6"/>
  <c r="R1620" i="6"/>
  <c r="S1620" i="6"/>
  <c r="S1621" i="6"/>
  <c r="R1501" i="6"/>
  <c r="S1501" i="6"/>
  <c r="R2388" i="6"/>
  <c r="S2388" i="6"/>
  <c r="R2380" i="6"/>
  <c r="S2380" i="6"/>
  <c r="S2381" i="6"/>
  <c r="R1273" i="6"/>
  <c r="S1273" i="6"/>
  <c r="R1229" i="6"/>
  <c r="S1229" i="6"/>
  <c r="R2349" i="6"/>
  <c r="S2349" i="6"/>
  <c r="T28" i="6"/>
  <c r="V28" i="6"/>
  <c r="R1277" i="6"/>
  <c r="S1277" i="6"/>
  <c r="R1101" i="6"/>
  <c r="S1101" i="6"/>
  <c r="T428" i="6"/>
  <c r="T429" i="6" s="1"/>
  <c r="T430" i="6" s="1"/>
  <c r="T431" i="6" s="1"/>
  <c r="T432" i="6" s="1"/>
  <c r="T433" i="6" s="1"/>
  <c r="T434" i="6" s="1"/>
  <c r="T435" i="6" s="1"/>
  <c r="T436" i="6" s="1"/>
  <c r="T437" i="6" s="1"/>
  <c r="T438" i="6" s="1"/>
  <c r="T439" i="6" s="1"/>
  <c r="T440" i="6" s="1"/>
  <c r="T441" i="6" s="1"/>
  <c r="T442" i="6" s="1"/>
  <c r="T443" i="6" s="1"/>
  <c r="V443" i="6" s="1"/>
  <c r="K443" i="6" s="1"/>
  <c r="T257" i="6"/>
  <c r="T258" i="6" s="1"/>
  <c r="T259" i="6" s="1"/>
  <c r="T260" i="6" s="1"/>
  <c r="T261" i="6" s="1"/>
  <c r="T262" i="6" s="1"/>
  <c r="T263" i="6" s="1"/>
  <c r="T264" i="6" s="1"/>
  <c r="T265" i="6" s="1"/>
  <c r="T266" i="6" s="1"/>
  <c r="T267" i="6" s="1"/>
  <c r="T268" i="6" s="1"/>
  <c r="T269" i="6" s="1"/>
  <c r="T270" i="6" s="1"/>
  <c r="T271" i="6" s="1"/>
  <c r="T272" i="6" s="1"/>
  <c r="V272" i="6" s="1"/>
  <c r="T193" i="6"/>
  <c r="T194" i="6" s="1"/>
  <c r="T195" i="6" s="1"/>
  <c r="T196" i="6" s="1"/>
  <c r="T197" i="6" s="1"/>
  <c r="T198" i="6" s="1"/>
  <c r="T199" i="6" s="1"/>
  <c r="T200" i="6" s="1"/>
  <c r="T201" i="6" s="1"/>
  <c r="V201" i="6" s="1"/>
  <c r="S624" i="6"/>
  <c r="S608" i="6"/>
  <c r="S576" i="6"/>
  <c r="S779" i="6"/>
  <c r="S763" i="6"/>
  <c r="S747" i="6"/>
  <c r="S731" i="6"/>
  <c r="S715" i="6"/>
  <c r="R687" i="6"/>
  <c r="S687" i="6"/>
  <c r="S663" i="6"/>
  <c r="R640" i="6"/>
  <c r="S640" i="6"/>
  <c r="S1231" i="6"/>
  <c r="S1218" i="6"/>
  <c r="R1186" i="6"/>
  <c r="S1186" i="6"/>
  <c r="R1149" i="6"/>
  <c r="S1149" i="6"/>
  <c r="R1141" i="6"/>
  <c r="S1141" i="6"/>
  <c r="R1061" i="6"/>
  <c r="S1061" i="6"/>
  <c r="R1046" i="6"/>
  <c r="S1046" i="6"/>
  <c r="R837" i="6"/>
  <c r="S837" i="6"/>
  <c r="R788" i="6"/>
  <c r="S788" i="6"/>
  <c r="R1158" i="6"/>
  <c r="S1158" i="6"/>
  <c r="R1145" i="6"/>
  <c r="S1145" i="6"/>
  <c r="R869" i="6"/>
  <c r="S869" i="6"/>
  <c r="R1181" i="6"/>
  <c r="S1181" i="6"/>
  <c r="T493" i="6"/>
  <c r="T494" i="6" s="1"/>
  <c r="T495" i="6" s="1"/>
  <c r="T496" i="6" s="1"/>
  <c r="T497" i="6" s="1"/>
  <c r="T498" i="6" s="1"/>
  <c r="T499" i="6" s="1"/>
  <c r="T500" i="6" s="1"/>
  <c r="T501" i="6" s="1"/>
  <c r="T502" i="6" s="1"/>
  <c r="T503" i="6" s="1"/>
  <c r="T504" i="6" s="1"/>
  <c r="T505" i="6" s="1"/>
  <c r="T506" i="6" s="1"/>
  <c r="T507" i="6" s="1"/>
  <c r="V507" i="6" s="1"/>
  <c r="R629" i="6"/>
  <c r="R624" i="6"/>
  <c r="R613" i="6"/>
  <c r="R608" i="6"/>
  <c r="R597" i="6"/>
  <c r="R592" i="6"/>
  <c r="R581" i="6"/>
  <c r="R576" i="6"/>
  <c r="R565" i="6"/>
  <c r="R560" i="6"/>
  <c r="R779" i="6"/>
  <c r="R763" i="6"/>
  <c r="R747" i="6"/>
  <c r="R731" i="6"/>
  <c r="R715" i="6"/>
  <c r="S698" i="6"/>
  <c r="S686" i="6"/>
  <c r="R1269" i="6"/>
  <c r="R1250" i="6"/>
  <c r="S1250" i="6"/>
  <c r="R1213" i="6"/>
  <c r="S1213" i="6"/>
  <c r="S1198" i="6"/>
  <c r="R1114" i="6"/>
  <c r="S1107" i="6"/>
  <c r="R1073" i="6"/>
  <c r="S1045" i="6"/>
  <c r="R941" i="6"/>
  <c r="R864" i="6"/>
  <c r="S864" i="6"/>
  <c r="R1661" i="6"/>
  <c r="S1661" i="6"/>
  <c r="R1612" i="6"/>
  <c r="S1612" i="6"/>
  <c r="R2408" i="6"/>
  <c r="S2408" i="6"/>
  <c r="R2288" i="6"/>
  <c r="S2288" i="6"/>
  <c r="S2289" i="6"/>
  <c r="S2281" i="6"/>
  <c r="R1165" i="6"/>
  <c r="S1165" i="6"/>
  <c r="K9" i="6"/>
  <c r="R1285" i="6"/>
  <c r="S1285" i="6"/>
  <c r="R1263" i="6"/>
  <c r="S1263" i="6"/>
  <c r="R1122" i="6"/>
  <c r="S1122" i="6"/>
  <c r="S628" i="6"/>
  <c r="S612" i="6"/>
  <c r="S596" i="6"/>
  <c r="S580" i="6"/>
  <c r="S564" i="6"/>
  <c r="R773" i="6"/>
  <c r="S767" i="6"/>
  <c r="R757" i="6"/>
  <c r="S751" i="6"/>
  <c r="R741" i="6"/>
  <c r="S735" i="6"/>
  <c r="R725" i="6"/>
  <c r="S719" i="6"/>
  <c r="R709" i="6"/>
  <c r="R703" i="6"/>
  <c r="S703" i="6"/>
  <c r="S674" i="6"/>
  <c r="R657" i="6"/>
  <c r="R651" i="6"/>
  <c r="R634" i="6"/>
  <c r="S634" i="6"/>
  <c r="R1295" i="6"/>
  <c r="S1295" i="6"/>
  <c r="R1282" i="6"/>
  <c r="R1275" i="6"/>
  <c r="R1249" i="6"/>
  <c r="S1249" i="6"/>
  <c r="S1217" i="6"/>
  <c r="S1171" i="6"/>
  <c r="R1159" i="6"/>
  <c r="S1139" i="6"/>
  <c r="R1127" i="6"/>
  <c r="R1113" i="6"/>
  <c r="S1113" i="6"/>
  <c r="S1098" i="6"/>
  <c r="S1030" i="6"/>
  <c r="S1018" i="6"/>
  <c r="R969" i="6"/>
  <c r="S969" i="6"/>
  <c r="R1783" i="6"/>
  <c r="S1783" i="6"/>
  <c r="R1617" i="6"/>
  <c r="S1617" i="6"/>
  <c r="R693" i="6"/>
  <c r="R677" i="6"/>
  <c r="R661" i="6"/>
  <c r="R645" i="6"/>
  <c r="R636" i="6"/>
  <c r="R1259" i="6"/>
  <c r="R1241" i="6"/>
  <c r="R1218" i="6"/>
  <c r="R1185" i="6"/>
  <c r="R1179" i="6"/>
  <c r="R1173" i="6"/>
  <c r="R1167" i="6"/>
  <c r="S1157" i="6"/>
  <c r="R1111" i="6"/>
  <c r="R1105" i="6"/>
  <c r="R1093" i="6"/>
  <c r="R1049" i="6"/>
  <c r="S1043" i="6"/>
  <c r="R1030" i="6"/>
  <c r="R1025" i="6"/>
  <c r="S1013" i="6"/>
  <c r="R1005" i="6"/>
  <c r="S999" i="6"/>
  <c r="R925" i="6"/>
  <c r="R876" i="6"/>
  <c r="S876" i="6"/>
  <c r="S877" i="6"/>
  <c r="R816" i="6"/>
  <c r="S816" i="6"/>
  <c r="R1787" i="6"/>
  <c r="S1787" i="6"/>
  <c r="S1488" i="6"/>
  <c r="S2435" i="6"/>
  <c r="S2436" i="6"/>
  <c r="R2416" i="6"/>
  <c r="S2416" i="6"/>
  <c r="R2321" i="6"/>
  <c r="S2321" i="6"/>
  <c r="J2582" i="6"/>
  <c r="J2726" i="6"/>
  <c r="J2718" i="6"/>
  <c r="J2710" i="6"/>
  <c r="J2702" i="6"/>
  <c r="J2694" i="6"/>
  <c r="J2686" i="6"/>
  <c r="J2678" i="6"/>
  <c r="J2670" i="6"/>
  <c r="J2662" i="6"/>
  <c r="J2654" i="6"/>
  <c r="J2646" i="6"/>
  <c r="J2638" i="6"/>
  <c r="J2630" i="6"/>
  <c r="J2622" i="6"/>
  <c r="J2614" i="6"/>
  <c r="J2606" i="6"/>
  <c r="J2598" i="6"/>
  <c r="J2590" i="6"/>
  <c r="T2439" i="6"/>
  <c r="T2440" i="6" s="1"/>
  <c r="U2438" i="6"/>
  <c r="W2438" i="6" s="1"/>
  <c r="R2285" i="6"/>
  <c r="S2285" i="6"/>
  <c r="R707" i="6"/>
  <c r="R691" i="6"/>
  <c r="R675" i="6"/>
  <c r="R659" i="6"/>
  <c r="R1302" i="6"/>
  <c r="R1297" i="6"/>
  <c r="R1291" i="6"/>
  <c r="R1279" i="6"/>
  <c r="R1257" i="6"/>
  <c r="R1222" i="6"/>
  <c r="R1211" i="6"/>
  <c r="R1205" i="6"/>
  <c r="S1189" i="6"/>
  <c r="R1177" i="6"/>
  <c r="R1143" i="6"/>
  <c r="R1137" i="6"/>
  <c r="R1131" i="6"/>
  <c r="R1109" i="6"/>
  <c r="R1085" i="6"/>
  <c r="S1071" i="6"/>
  <c r="R1066" i="6"/>
  <c r="R1041" i="6"/>
  <c r="R985" i="6"/>
  <c r="R929" i="6"/>
  <c r="R922" i="6"/>
  <c r="R1333" i="6"/>
  <c r="S1333" i="6"/>
  <c r="S1313" i="6"/>
  <c r="S1873" i="6"/>
  <c r="R1720" i="6"/>
  <c r="S1720" i="6"/>
  <c r="S1692" i="6"/>
  <c r="R1366" i="6"/>
  <c r="S1366" i="6"/>
  <c r="R2413" i="6"/>
  <c r="S2413" i="6"/>
  <c r="S2400" i="6"/>
  <c r="S2393" i="6"/>
  <c r="R2360" i="6"/>
  <c r="S2361" i="6"/>
  <c r="S2332" i="6"/>
  <c r="J2723" i="6"/>
  <c r="J2643" i="6"/>
  <c r="R1512" i="6"/>
  <c r="S1512" i="6"/>
  <c r="R2432" i="6"/>
  <c r="S2433" i="6"/>
  <c r="R2385" i="6"/>
  <c r="S2385" i="6"/>
  <c r="S2371" i="6"/>
  <c r="S2372" i="6"/>
  <c r="R2352" i="6"/>
  <c r="S2352" i="6"/>
  <c r="R2304" i="6"/>
  <c r="S2305" i="6"/>
  <c r="R679" i="6"/>
  <c r="R663" i="6"/>
  <c r="R647" i="6"/>
  <c r="S1301" i="6"/>
  <c r="R1290" i="6"/>
  <c r="R1266" i="6"/>
  <c r="R1261" i="6"/>
  <c r="R1255" i="6"/>
  <c r="R1243" i="6"/>
  <c r="R1237" i="6"/>
  <c r="R1231" i="6"/>
  <c r="S1221" i="6"/>
  <c r="R1215" i="6"/>
  <c r="R1193" i="6"/>
  <c r="R1153" i="6"/>
  <c r="R1125" i="6"/>
  <c r="R1089" i="6"/>
  <c r="R1077" i="6"/>
  <c r="S1065" i="6"/>
  <c r="S1051" i="6"/>
  <c r="R989" i="6"/>
  <c r="R977" i="6"/>
  <c r="S965" i="6"/>
  <c r="R957" i="6"/>
  <c r="R945" i="6"/>
  <c r="R933" i="6"/>
  <c r="S927" i="6"/>
  <c r="S878" i="6"/>
  <c r="S865" i="6"/>
  <c r="S844" i="6"/>
  <c r="R790" i="6"/>
  <c r="S790" i="6"/>
  <c r="S1317" i="6"/>
  <c r="S1537" i="6"/>
  <c r="R1524" i="6"/>
  <c r="S1524" i="6"/>
  <c r="S1469" i="6"/>
  <c r="R1461" i="6"/>
  <c r="S1461" i="6"/>
  <c r="S2404" i="6"/>
  <c r="S2392" i="6"/>
  <c r="R2377" i="6"/>
  <c r="S2377" i="6"/>
  <c r="R2344" i="6"/>
  <c r="S2344" i="6"/>
  <c r="S2345" i="6"/>
  <c r="S2337" i="6"/>
  <c r="R2324" i="6"/>
  <c r="S2324" i="6"/>
  <c r="S2276" i="6"/>
  <c r="R1045" i="6"/>
  <c r="R1038" i="6"/>
  <c r="R1014" i="6"/>
  <c r="R1001" i="6"/>
  <c r="R892" i="6"/>
  <c r="S892" i="6"/>
  <c r="S1849" i="6"/>
  <c r="R1811" i="6"/>
  <c r="R1496" i="6"/>
  <c r="S1496" i="6"/>
  <c r="S1497" i="6"/>
  <c r="R1378" i="6"/>
  <c r="S1378" i="6"/>
  <c r="R2316" i="6"/>
  <c r="S2316" i="6"/>
  <c r="S2317" i="6"/>
  <c r="U2458" i="6"/>
  <c r="W2458" i="6" s="1"/>
  <c r="T2459" i="6"/>
  <c r="R906" i="6"/>
  <c r="S900" i="6"/>
  <c r="R874" i="6"/>
  <c r="S856" i="6"/>
  <c r="R832" i="6"/>
  <c r="R814" i="6"/>
  <c r="R782" i="6"/>
  <c r="R1351" i="6"/>
  <c r="R1887" i="6"/>
  <c r="R1859" i="6"/>
  <c r="R1767" i="6"/>
  <c r="S1668" i="6"/>
  <c r="R1616" i="6"/>
  <c r="R1596" i="6"/>
  <c r="S1500" i="6"/>
  <c r="R2409" i="6"/>
  <c r="S2403" i="6"/>
  <c r="S2397" i="6"/>
  <c r="R2381" i="6"/>
  <c r="R2320" i="6"/>
  <c r="S2297" i="6"/>
  <c r="R2281" i="6"/>
  <c r="S30" i="6"/>
  <c r="R1589" i="6"/>
  <c r="R1537" i="6"/>
  <c r="R1488" i="6"/>
  <c r="S1441" i="6"/>
  <c r="R1434" i="6"/>
  <c r="R1418" i="6"/>
  <c r="R1370" i="6"/>
  <c r="S1357" i="6"/>
  <c r="R2436" i="6"/>
  <c r="S2419" i="6"/>
  <c r="R2392" i="6"/>
  <c r="S2375" i="6"/>
  <c r="R2364" i="6"/>
  <c r="R2336" i="6"/>
  <c r="R2308" i="6"/>
  <c r="R2297" i="6"/>
  <c r="U2485" i="6"/>
  <c r="J2692" i="6"/>
  <c r="J2676" i="6"/>
  <c r="J2668" i="6"/>
  <c r="J2652" i="6"/>
  <c r="J2620" i="6"/>
  <c r="S910" i="6"/>
  <c r="S836" i="6"/>
  <c r="S1799" i="6"/>
  <c r="S1704" i="6"/>
  <c r="R1601" i="6"/>
  <c r="S1374" i="6"/>
  <c r="R2424" i="6"/>
  <c r="S2412" i="6"/>
  <c r="S2407" i="6"/>
  <c r="R2401" i="6"/>
  <c r="R2396" i="6"/>
  <c r="S2384" i="6"/>
  <c r="R2368" i="6"/>
  <c r="S2356" i="6"/>
  <c r="U2491" i="6"/>
  <c r="W2491" i="6" s="1"/>
  <c r="U2483" i="6"/>
  <c r="W2483" i="6" s="1"/>
  <c r="R860" i="6"/>
  <c r="R806" i="6"/>
  <c r="S786" i="6"/>
  <c r="R1315" i="6"/>
  <c r="R1843" i="6"/>
  <c r="R1581" i="6"/>
  <c r="R1367" i="6"/>
  <c r="R2417" i="6"/>
  <c r="R2345" i="6"/>
  <c r="R2317" i="6"/>
  <c r="R2289" i="6"/>
  <c r="J2689" i="6"/>
  <c r="J2649" i="6"/>
  <c r="J2633" i="6"/>
  <c r="J2625" i="6"/>
  <c r="R909" i="6"/>
  <c r="R882" i="6"/>
  <c r="S1347" i="6"/>
  <c r="R1341" i="6"/>
  <c r="S1327" i="6"/>
  <c r="S1883" i="6"/>
  <c r="S1827" i="6"/>
  <c r="R1819" i="6"/>
  <c r="S1701" i="6"/>
  <c r="R1560" i="6"/>
  <c r="R1548" i="6"/>
  <c r="S1451" i="6"/>
  <c r="R1445" i="6"/>
  <c r="R1394" i="6"/>
  <c r="R1386" i="6"/>
  <c r="R2433" i="6"/>
  <c r="R2428" i="6"/>
  <c r="R2400" i="6"/>
  <c r="S2383" i="6"/>
  <c r="R2372" i="6"/>
  <c r="R2361" i="6"/>
  <c r="S2355" i="6"/>
  <c r="R2333" i="6"/>
  <c r="R2328" i="6"/>
  <c r="R2305" i="6"/>
  <c r="R2300" i="6"/>
  <c r="R2272" i="6"/>
  <c r="T151" i="6"/>
  <c r="V397" i="6"/>
  <c r="S398" i="6" s="1"/>
  <c r="T398" i="6"/>
  <c r="T116" i="6"/>
  <c r="V115" i="6"/>
  <c r="R115" i="6" s="1"/>
  <c r="T274" i="6"/>
  <c r="V462" i="6"/>
  <c r="S463" i="6" s="1"/>
  <c r="T463" i="6"/>
  <c r="T334" i="6"/>
  <c r="T335" i="6" s="1"/>
  <c r="T336" i="6" s="1"/>
  <c r="T337" i="6" s="1"/>
  <c r="T338" i="6" s="1"/>
  <c r="T339" i="6" s="1"/>
  <c r="T340" i="6" s="1"/>
  <c r="T341" i="6" s="1"/>
  <c r="T342" i="6" s="1"/>
  <c r="T210" i="6"/>
  <c r="R1264" i="6"/>
  <c r="S1264" i="6"/>
  <c r="R978" i="6"/>
  <c r="S979" i="6"/>
  <c r="R801" i="6"/>
  <c r="S801" i="6"/>
  <c r="R1830" i="6"/>
  <c r="S1830" i="6"/>
  <c r="R1721" i="6"/>
  <c r="S1721" i="6"/>
  <c r="V491" i="6"/>
  <c r="R491" i="6" s="1"/>
  <c r="R1268" i="6"/>
  <c r="S1268" i="6"/>
  <c r="R1088" i="6"/>
  <c r="S1088" i="6"/>
  <c r="R1072" i="6"/>
  <c r="S1072" i="6"/>
  <c r="R940" i="6"/>
  <c r="S940" i="6"/>
  <c r="R1543" i="6"/>
  <c r="S1543" i="6"/>
  <c r="S1544" i="6"/>
  <c r="R1494" i="6"/>
  <c r="S1494" i="6"/>
  <c r="R1176" i="6"/>
  <c r="S1176" i="6"/>
  <c r="R1087" i="6"/>
  <c r="S1087" i="6"/>
  <c r="R1040" i="6"/>
  <c r="S1040" i="6"/>
  <c r="R982" i="6"/>
  <c r="S983" i="6"/>
  <c r="R924" i="6"/>
  <c r="S924" i="6"/>
  <c r="R908" i="6"/>
  <c r="S908" i="6"/>
  <c r="R881" i="6"/>
  <c r="S881" i="6"/>
  <c r="R865" i="6"/>
  <c r="S866" i="6"/>
  <c r="R827" i="6"/>
  <c r="S827" i="6"/>
  <c r="R799" i="6"/>
  <c r="S799" i="6"/>
  <c r="S800" i="6"/>
  <c r="R787" i="6"/>
  <c r="S787" i="6"/>
  <c r="R781" i="6"/>
  <c r="S781" i="6"/>
  <c r="R1339" i="6"/>
  <c r="S1339" i="6"/>
  <c r="R1320" i="6"/>
  <c r="S1320" i="6"/>
  <c r="R1879" i="6"/>
  <c r="S1879" i="6"/>
  <c r="R1828" i="6"/>
  <c r="S1828" i="6"/>
  <c r="S1829" i="6"/>
  <c r="R1800" i="6"/>
  <c r="S1800" i="6"/>
  <c r="S1801" i="6"/>
  <c r="R1794" i="6"/>
  <c r="S1794" i="6"/>
  <c r="R1760" i="6"/>
  <c r="S1760" i="6"/>
  <c r="S1761" i="6"/>
  <c r="R1754" i="6"/>
  <c r="S1754" i="6"/>
  <c r="R1740" i="6"/>
  <c r="S1740" i="6"/>
  <c r="S1741" i="6"/>
  <c r="R1663" i="6"/>
  <c r="S1663" i="6"/>
  <c r="R1643" i="6"/>
  <c r="S1643" i="6"/>
  <c r="R1631" i="6"/>
  <c r="S1631" i="6"/>
  <c r="R1587" i="6"/>
  <c r="S1587" i="6"/>
  <c r="R1530" i="6"/>
  <c r="S1530" i="6"/>
  <c r="R1498" i="6"/>
  <c r="S1498" i="6"/>
  <c r="R1474" i="6"/>
  <c r="S1474" i="6"/>
  <c r="R1468" i="6"/>
  <c r="S1468" i="6"/>
  <c r="R2341" i="6"/>
  <c r="S2341" i="6"/>
  <c r="R2330" i="6"/>
  <c r="S2330" i="6"/>
  <c r="S2331" i="6"/>
  <c r="R1099" i="6"/>
  <c r="S1099" i="6"/>
  <c r="R1036" i="6"/>
  <c r="S1036" i="6"/>
  <c r="R962" i="6"/>
  <c r="S963" i="6"/>
  <c r="R946" i="6"/>
  <c r="S947" i="6"/>
  <c r="R1346" i="6"/>
  <c r="S1346" i="6"/>
  <c r="R1836" i="6"/>
  <c r="S1836" i="6"/>
  <c r="S1837" i="6"/>
  <c r="R1762" i="6"/>
  <c r="S1762" i="6"/>
  <c r="S1763" i="6"/>
  <c r="R1638" i="6"/>
  <c r="S1638" i="6"/>
  <c r="R1608" i="6"/>
  <c r="S1608" i="6"/>
  <c r="S1609" i="6"/>
  <c r="R1569" i="6"/>
  <c r="S1569" i="6"/>
  <c r="R1550" i="6"/>
  <c r="S1550" i="6"/>
  <c r="R1376" i="6"/>
  <c r="S1376" i="6"/>
  <c r="R793" i="6"/>
  <c r="S793" i="6"/>
  <c r="R1240" i="6"/>
  <c r="S1240" i="6"/>
  <c r="R1108" i="6"/>
  <c r="S1108" i="6"/>
  <c r="R1103" i="6"/>
  <c r="S1103" i="6"/>
  <c r="R950" i="6"/>
  <c r="S951" i="6"/>
  <c r="R870" i="6"/>
  <c r="S870" i="6"/>
  <c r="V147" i="6"/>
  <c r="K147" i="6" s="1"/>
  <c r="R600" i="6"/>
  <c r="R559" i="6"/>
  <c r="S559" i="6"/>
  <c r="R778" i="6"/>
  <c r="R774" i="6"/>
  <c r="R770" i="6"/>
  <c r="R766" i="6"/>
  <c r="R762" i="6"/>
  <c r="R758" i="6"/>
  <c r="R754" i="6"/>
  <c r="R750" i="6"/>
  <c r="R746" i="6"/>
  <c r="R742" i="6"/>
  <c r="R738" i="6"/>
  <c r="R734" i="6"/>
  <c r="R730" i="6"/>
  <c r="R726" i="6"/>
  <c r="R718" i="6"/>
  <c r="R714" i="6"/>
  <c r="R710" i="6"/>
  <c r="R706" i="6"/>
  <c r="R702" i="6"/>
  <c r="R698" i="6"/>
  <c r="R694" i="6"/>
  <c r="R690" i="6"/>
  <c r="R686" i="6"/>
  <c r="R682" i="6"/>
  <c r="R678" i="6"/>
  <c r="R674" i="6"/>
  <c r="R670" i="6"/>
  <c r="R666" i="6"/>
  <c r="R662" i="6"/>
  <c r="R658" i="6"/>
  <c r="R654" i="6"/>
  <c r="R650" i="6"/>
  <c r="R646" i="6"/>
  <c r="R642" i="6"/>
  <c r="R638" i="6"/>
  <c r="R1303" i="6"/>
  <c r="R1294" i="6"/>
  <c r="R1280" i="6"/>
  <c r="S1280" i="6"/>
  <c r="R1267" i="6"/>
  <c r="R1258" i="6"/>
  <c r="R1244" i="6"/>
  <c r="S1244" i="6"/>
  <c r="R1235" i="6"/>
  <c r="R1226" i="6"/>
  <c r="R1212" i="6"/>
  <c r="S1212" i="6"/>
  <c r="R1203" i="6"/>
  <c r="R1194" i="6"/>
  <c r="R1180" i="6"/>
  <c r="S1180" i="6"/>
  <c r="R1171" i="6"/>
  <c r="R1162" i="6"/>
  <c r="R1144" i="6"/>
  <c r="S1144" i="6"/>
  <c r="R1135" i="6"/>
  <c r="R1126" i="6"/>
  <c r="R1112" i="6"/>
  <c r="S1112" i="6"/>
  <c r="R1092" i="6"/>
  <c r="S1092" i="6"/>
  <c r="R1076" i="6"/>
  <c r="S1076" i="6"/>
  <c r="R1060" i="6"/>
  <c r="S1060" i="6"/>
  <c r="S1055" i="6"/>
  <c r="R1050" i="6"/>
  <c r="S1039" i="6"/>
  <c r="R1034" i="6"/>
  <c r="R1024" i="6"/>
  <c r="S1024" i="6"/>
  <c r="R1008" i="6"/>
  <c r="S1008" i="6"/>
  <c r="R992" i="6"/>
  <c r="S992" i="6"/>
  <c r="R976" i="6"/>
  <c r="S976" i="6"/>
  <c r="R960" i="6"/>
  <c r="S960" i="6"/>
  <c r="R944" i="6"/>
  <c r="S944" i="6"/>
  <c r="R934" i="6"/>
  <c r="S923" i="6"/>
  <c r="R918" i="6"/>
  <c r="S907" i="6"/>
  <c r="R902" i="6"/>
  <c r="S902" i="6"/>
  <c r="R897" i="6"/>
  <c r="S898" i="6"/>
  <c r="R859" i="6"/>
  <c r="S859" i="6"/>
  <c r="R847" i="6"/>
  <c r="S847" i="6"/>
  <c r="S848" i="6"/>
  <c r="R826" i="6"/>
  <c r="S826" i="6"/>
  <c r="R810" i="6"/>
  <c r="S810" i="6"/>
  <c r="R1344" i="6"/>
  <c r="S1344" i="6"/>
  <c r="R1326" i="6"/>
  <c r="S1326" i="6"/>
  <c r="R1314" i="6"/>
  <c r="S1314" i="6"/>
  <c r="R1308" i="6"/>
  <c r="S1308" i="6"/>
  <c r="R1866" i="6"/>
  <c r="S1866" i="6"/>
  <c r="R1854" i="6"/>
  <c r="S1854" i="6"/>
  <c r="R1848" i="6"/>
  <c r="S1848" i="6"/>
  <c r="R1807" i="6"/>
  <c r="S1807" i="6"/>
  <c r="R1780" i="6"/>
  <c r="S1780" i="6"/>
  <c r="S1781" i="6"/>
  <c r="R1774" i="6"/>
  <c r="S1774" i="6"/>
  <c r="R1739" i="6"/>
  <c r="S1739" i="6"/>
  <c r="R1732" i="6"/>
  <c r="S1732" i="6"/>
  <c r="S1733" i="6"/>
  <c r="R1669" i="6"/>
  <c r="S1669" i="6"/>
  <c r="R1642" i="6"/>
  <c r="S1642" i="6"/>
  <c r="R1636" i="6"/>
  <c r="S1636" i="6"/>
  <c r="R1623" i="6"/>
  <c r="S1623" i="6"/>
  <c r="R1605" i="6"/>
  <c r="S1605" i="6"/>
  <c r="R1574" i="6"/>
  <c r="S1574" i="6"/>
  <c r="R1453" i="6"/>
  <c r="S1453" i="6"/>
  <c r="R1446" i="6"/>
  <c r="S1446" i="6"/>
  <c r="R1432" i="6"/>
  <c r="S1432" i="6"/>
  <c r="R2357" i="6"/>
  <c r="S2357" i="6"/>
  <c r="R2346" i="6"/>
  <c r="S2346" i="6"/>
  <c r="S2347" i="6"/>
  <c r="R1232" i="6"/>
  <c r="S1232" i="6"/>
  <c r="R1200" i="6"/>
  <c r="S1200" i="6"/>
  <c r="R1168" i="6"/>
  <c r="S1168" i="6"/>
  <c r="R1132" i="6"/>
  <c r="S1132" i="6"/>
  <c r="R1083" i="6"/>
  <c r="S1083" i="6"/>
  <c r="R1204" i="6"/>
  <c r="S1204" i="6"/>
  <c r="R1136" i="6"/>
  <c r="S1136" i="6"/>
  <c r="R849" i="6"/>
  <c r="S849" i="6"/>
  <c r="R838" i="6"/>
  <c r="S838" i="6"/>
  <c r="R1328" i="6"/>
  <c r="S1328" i="6"/>
  <c r="R1321" i="6"/>
  <c r="S1321" i="6"/>
  <c r="R1886" i="6"/>
  <c r="S1886" i="6"/>
  <c r="R1768" i="6"/>
  <c r="S1768" i="6"/>
  <c r="S1769" i="6"/>
  <c r="R1748" i="6"/>
  <c r="S1748" i="6"/>
  <c r="S1749" i="6"/>
  <c r="R1652" i="6"/>
  <c r="S1652" i="6"/>
  <c r="R1607" i="6"/>
  <c r="S1607" i="6"/>
  <c r="R1499" i="6"/>
  <c r="S1499" i="6"/>
  <c r="R1404" i="6"/>
  <c r="S1404" i="6"/>
  <c r="R1272" i="6"/>
  <c r="S1272" i="6"/>
  <c r="R1208" i="6"/>
  <c r="S1208" i="6"/>
  <c r="R1140" i="6"/>
  <c r="S1140" i="6"/>
  <c r="R1056" i="6"/>
  <c r="S1056" i="6"/>
  <c r="R1860" i="6"/>
  <c r="S1860" i="6"/>
  <c r="S1861" i="6"/>
  <c r="R631" i="6"/>
  <c r="R627" i="6"/>
  <c r="R623" i="6"/>
  <c r="R619" i="6"/>
  <c r="R615" i="6"/>
  <c r="R611" i="6"/>
  <c r="R607" i="6"/>
  <c r="R603" i="6"/>
  <c r="R595" i="6"/>
  <c r="R591" i="6"/>
  <c r="R587" i="6"/>
  <c r="R583" i="6"/>
  <c r="R579" i="6"/>
  <c r="R575" i="6"/>
  <c r="R571" i="6"/>
  <c r="R567" i="6"/>
  <c r="R563" i="6"/>
  <c r="S777" i="6"/>
  <c r="S773" i="6"/>
  <c r="S769" i="6"/>
  <c r="S765" i="6"/>
  <c r="S761" i="6"/>
  <c r="S757" i="6"/>
  <c r="S753" i="6"/>
  <c r="S749" i="6"/>
  <c r="S745" i="6"/>
  <c r="S741" i="6"/>
  <c r="S737" i="6"/>
  <c r="S733" i="6"/>
  <c r="S729" i="6"/>
  <c r="S725" i="6"/>
  <c r="S721" i="6"/>
  <c r="S717" i="6"/>
  <c r="S713" i="6"/>
  <c r="S709" i="6"/>
  <c r="S705" i="6"/>
  <c r="S701" i="6"/>
  <c r="S697" i="6"/>
  <c r="S693" i="6"/>
  <c r="S689" i="6"/>
  <c r="S685" i="6"/>
  <c r="S681" i="6"/>
  <c r="S677" i="6"/>
  <c r="S673" i="6"/>
  <c r="S669" i="6"/>
  <c r="S665" i="6"/>
  <c r="S661" i="6"/>
  <c r="S657" i="6"/>
  <c r="S653" i="6"/>
  <c r="S649" i="6"/>
  <c r="S645" i="6"/>
  <c r="S641" i="6"/>
  <c r="S637" i="6"/>
  <c r="S1302" i="6"/>
  <c r="R1298" i="6"/>
  <c r="S1293" i="6"/>
  <c r="R1289" i="6"/>
  <c r="R1284" i="6"/>
  <c r="S1284" i="6"/>
  <c r="S1279" i="6"/>
  <c r="S1275" i="6"/>
  <c r="R1271" i="6"/>
  <c r="S1266" i="6"/>
  <c r="R1262" i="6"/>
  <c r="S1257" i="6"/>
  <c r="R1253" i="6"/>
  <c r="R1248" i="6"/>
  <c r="S1248" i="6"/>
  <c r="S1243" i="6"/>
  <c r="R1239" i="6"/>
  <c r="S1234" i="6"/>
  <c r="R1230" i="6"/>
  <c r="S1225" i="6"/>
  <c r="R1221" i="6"/>
  <c r="R1216" i="6"/>
  <c r="S1216" i="6"/>
  <c r="S1211" i="6"/>
  <c r="R1207" i="6"/>
  <c r="S1202" i="6"/>
  <c r="R1198" i="6"/>
  <c r="S1193" i="6"/>
  <c r="R1189" i="6"/>
  <c r="R1184" i="6"/>
  <c r="S1184" i="6"/>
  <c r="S1179" i="6"/>
  <c r="R1175" i="6"/>
  <c r="S1170" i="6"/>
  <c r="R1166" i="6"/>
  <c r="S1161" i="6"/>
  <c r="R1157" i="6"/>
  <c r="R1148" i="6"/>
  <c r="S1148" i="6"/>
  <c r="S1143" i="6"/>
  <c r="R1139" i="6"/>
  <c r="S1134" i="6"/>
  <c r="R1130" i="6"/>
  <c r="S1125" i="6"/>
  <c r="R1116" i="6"/>
  <c r="S1116" i="6"/>
  <c r="S1111" i="6"/>
  <c r="R1107" i="6"/>
  <c r="R1102" i="6"/>
  <c r="R1097" i="6"/>
  <c r="R1091" i="6"/>
  <c r="S1091" i="6"/>
  <c r="R1086" i="6"/>
  <c r="R1081" i="6"/>
  <c r="S1075" i="6"/>
  <c r="R1070" i="6"/>
  <c r="R1065" i="6"/>
  <c r="S1054" i="6"/>
  <c r="S1049" i="6"/>
  <c r="R1044" i="6"/>
  <c r="S1044" i="6"/>
  <c r="S1038" i="6"/>
  <c r="S1033" i="6"/>
  <c r="S1023" i="6"/>
  <c r="R1018" i="6"/>
  <c r="R1013" i="6"/>
  <c r="S1007" i="6"/>
  <c r="R1002" i="6"/>
  <c r="S991" i="6"/>
  <c r="R986" i="6"/>
  <c r="R981" i="6"/>
  <c r="R970" i="6"/>
  <c r="S971" i="6"/>
  <c r="R965" i="6"/>
  <c r="R954" i="6"/>
  <c r="S955" i="6"/>
  <c r="R949" i="6"/>
  <c r="S943" i="6"/>
  <c r="R938" i="6"/>
  <c r="S933" i="6"/>
  <c r="R928" i="6"/>
  <c r="S928" i="6"/>
  <c r="S922" i="6"/>
  <c r="S917" i="6"/>
  <c r="R912" i="6"/>
  <c r="S912" i="6"/>
  <c r="S906" i="6"/>
  <c r="S901" i="6"/>
  <c r="S896" i="6"/>
  <c r="R891" i="6"/>
  <c r="S891" i="6"/>
  <c r="R879" i="6"/>
  <c r="S879" i="6"/>
  <c r="S880" i="6"/>
  <c r="S874" i="6"/>
  <c r="R858" i="6"/>
  <c r="S858" i="6"/>
  <c r="S846" i="6"/>
  <c r="R820" i="6"/>
  <c r="S820" i="6"/>
  <c r="S814" i="6"/>
  <c r="R809" i="6"/>
  <c r="S809" i="6"/>
  <c r="R804" i="6"/>
  <c r="R798" i="6"/>
  <c r="R1337" i="6"/>
  <c r="S1337" i="6"/>
  <c r="S1325" i="6"/>
  <c r="R1884" i="6"/>
  <c r="S1884" i="6"/>
  <c r="S1871" i="6"/>
  <c r="R1847" i="6"/>
  <c r="S1847" i="6"/>
  <c r="R1826" i="6"/>
  <c r="S1826" i="6"/>
  <c r="S1819" i="6"/>
  <c r="R1806" i="6"/>
  <c r="S1806" i="6"/>
  <c r="R1799" i="6"/>
  <c r="R1792" i="6"/>
  <c r="S1792" i="6"/>
  <c r="S1793" i="6"/>
  <c r="R1786" i="6"/>
  <c r="S1786" i="6"/>
  <c r="S1779" i="6"/>
  <c r="R1766" i="6"/>
  <c r="S1766" i="6"/>
  <c r="R1699" i="6"/>
  <c r="S1699" i="6"/>
  <c r="R1693" i="6"/>
  <c r="S1693" i="6"/>
  <c r="R1680" i="6"/>
  <c r="S1680" i="6"/>
  <c r="S1681" i="6"/>
  <c r="R1674" i="6"/>
  <c r="S1674" i="6"/>
  <c r="R1649" i="6"/>
  <c r="S1649" i="6"/>
  <c r="R1566" i="6"/>
  <c r="S1566" i="6"/>
  <c r="R1522" i="6"/>
  <c r="S1522" i="6"/>
  <c r="R1503" i="6"/>
  <c r="S1503" i="6"/>
  <c r="R1492" i="6"/>
  <c r="S1492" i="6"/>
  <c r="R2373" i="6"/>
  <c r="S2373" i="6"/>
  <c r="R2362" i="6"/>
  <c r="S2362" i="6"/>
  <c r="R1052" i="6"/>
  <c r="S1052" i="6"/>
  <c r="R920" i="6"/>
  <c r="S920" i="6"/>
  <c r="R872" i="6"/>
  <c r="S872" i="6"/>
  <c r="R861" i="6"/>
  <c r="S861" i="6"/>
  <c r="R1310" i="6"/>
  <c r="S1310" i="6"/>
  <c r="R1850" i="6"/>
  <c r="S1850" i="6"/>
  <c r="R1482" i="6"/>
  <c r="S1482" i="6"/>
  <c r="R1304" i="6"/>
  <c r="S1304" i="6"/>
  <c r="R1172" i="6"/>
  <c r="S1172" i="6"/>
  <c r="R1104" i="6"/>
  <c r="S1104" i="6"/>
  <c r="R1020" i="6"/>
  <c r="S1020" i="6"/>
  <c r="R893" i="6"/>
  <c r="S893" i="6"/>
  <c r="R887" i="6"/>
  <c r="S887" i="6"/>
  <c r="R833" i="6"/>
  <c r="S834" i="6"/>
  <c r="R1340" i="6"/>
  <c r="S1340" i="6"/>
  <c r="R1880" i="6"/>
  <c r="S1880" i="6"/>
  <c r="R1822" i="6"/>
  <c r="S1822" i="6"/>
  <c r="R1734" i="6"/>
  <c r="S1734" i="6"/>
  <c r="R1426" i="6"/>
  <c r="S1426" i="6"/>
  <c r="R1390" i="6"/>
  <c r="S1390" i="6"/>
  <c r="S556" i="6"/>
  <c r="S630" i="6"/>
  <c r="S626" i="6"/>
  <c r="S622" i="6"/>
  <c r="S618" i="6"/>
  <c r="S614" i="6"/>
  <c r="S610" i="6"/>
  <c r="S606" i="6"/>
  <c r="S602" i="6"/>
  <c r="S598" i="6"/>
  <c r="S594" i="6"/>
  <c r="S590" i="6"/>
  <c r="S586" i="6"/>
  <c r="S582" i="6"/>
  <c r="S578" i="6"/>
  <c r="S574" i="6"/>
  <c r="S570" i="6"/>
  <c r="S566" i="6"/>
  <c r="S562" i="6"/>
  <c r="R557" i="6"/>
  <c r="S1306" i="6"/>
  <c r="R1288" i="6"/>
  <c r="S1288" i="6"/>
  <c r="S1283" i="6"/>
  <c r="S1270" i="6"/>
  <c r="R1252" i="6"/>
  <c r="S1252" i="6"/>
  <c r="S1247" i="6"/>
  <c r="S1238" i="6"/>
  <c r="R1220" i="6"/>
  <c r="S1220" i="6"/>
  <c r="S1206" i="6"/>
  <c r="R1188" i="6"/>
  <c r="S1188" i="6"/>
  <c r="S1174" i="6"/>
  <c r="R1156" i="6"/>
  <c r="S1156" i="6"/>
  <c r="S1147" i="6"/>
  <c r="S1138" i="6"/>
  <c r="R1120" i="6"/>
  <c r="S1120" i="6"/>
  <c r="S1115" i="6"/>
  <c r="S1106" i="6"/>
  <c r="R1096" i="6"/>
  <c r="S1096" i="6"/>
  <c r="R1080" i="6"/>
  <c r="S1080" i="6"/>
  <c r="S1074" i="6"/>
  <c r="R1064" i="6"/>
  <c r="S1064" i="6"/>
  <c r="S1022" i="6"/>
  <c r="R1012" i="6"/>
  <c r="S1012" i="6"/>
  <c r="S1006" i="6"/>
  <c r="R996" i="6"/>
  <c r="S996" i="6"/>
  <c r="S990" i="6"/>
  <c r="R980" i="6"/>
  <c r="S980" i="6"/>
  <c r="S974" i="6"/>
  <c r="R964" i="6"/>
  <c r="S964" i="6"/>
  <c r="S958" i="6"/>
  <c r="R948" i="6"/>
  <c r="S948" i="6"/>
  <c r="S942" i="6"/>
  <c r="R890" i="6"/>
  <c r="S890" i="6"/>
  <c r="R852" i="6"/>
  <c r="S852" i="6"/>
  <c r="R819" i="6"/>
  <c r="S819" i="6"/>
  <c r="R803" i="6"/>
  <c r="S803" i="6"/>
  <c r="R797" i="6"/>
  <c r="S797" i="6"/>
  <c r="R785" i="6"/>
  <c r="S785" i="6"/>
  <c r="R1336" i="6"/>
  <c r="S1336" i="6"/>
  <c r="R1876" i="6"/>
  <c r="S1876" i="6"/>
  <c r="S1877" i="6"/>
  <c r="R1839" i="6"/>
  <c r="S1839" i="6"/>
  <c r="R1832" i="6"/>
  <c r="S1832" i="6"/>
  <c r="S1833" i="6"/>
  <c r="R1812" i="6"/>
  <c r="S1812" i="6"/>
  <c r="S1813" i="6"/>
  <c r="R1798" i="6"/>
  <c r="S1798" i="6"/>
  <c r="R1772" i="6"/>
  <c r="S1772" i="6"/>
  <c r="S1773" i="6"/>
  <c r="R1758" i="6"/>
  <c r="S1758" i="6"/>
  <c r="R1705" i="6"/>
  <c r="S1705" i="6"/>
  <c r="R1679" i="6"/>
  <c r="S1679" i="6"/>
  <c r="R1648" i="6"/>
  <c r="S1648" i="6"/>
  <c r="R1591" i="6"/>
  <c r="S1591" i="6"/>
  <c r="S1592" i="6"/>
  <c r="R1579" i="6"/>
  <c r="S1579" i="6"/>
  <c r="S1580" i="6"/>
  <c r="R1572" i="6"/>
  <c r="S1572" i="6"/>
  <c r="S1573" i="6"/>
  <c r="R1509" i="6"/>
  <c r="S1509" i="6"/>
  <c r="R1430" i="6"/>
  <c r="S1430" i="6"/>
  <c r="S1431" i="6"/>
  <c r="R1360" i="6"/>
  <c r="S1360" i="6"/>
  <c r="R2389" i="6"/>
  <c r="S2389" i="6"/>
  <c r="R2378" i="6"/>
  <c r="S2378" i="6"/>
  <c r="U538" i="6"/>
  <c r="W538" i="6" s="1"/>
  <c r="S539" i="6"/>
  <c r="R630" i="6"/>
  <c r="R626" i="6"/>
  <c r="R622" i="6"/>
  <c r="R618" i="6"/>
  <c r="R614" i="6"/>
  <c r="R610" i="6"/>
  <c r="R606" i="6"/>
  <c r="R602" i="6"/>
  <c r="R598" i="6"/>
  <c r="R594" i="6"/>
  <c r="R590" i="6"/>
  <c r="R586" i="6"/>
  <c r="R582" i="6"/>
  <c r="R578" i="6"/>
  <c r="R574" i="6"/>
  <c r="R570" i="6"/>
  <c r="R566" i="6"/>
  <c r="R562" i="6"/>
  <c r="R558" i="6"/>
  <c r="S776" i="6"/>
  <c r="S772" i="6"/>
  <c r="S768" i="6"/>
  <c r="S764" i="6"/>
  <c r="S760" i="6"/>
  <c r="S756" i="6"/>
  <c r="S752" i="6"/>
  <c r="S748" i="6"/>
  <c r="S744" i="6"/>
  <c r="S740" i="6"/>
  <c r="S736" i="6"/>
  <c r="S732" i="6"/>
  <c r="S728" i="6"/>
  <c r="S724" i="6"/>
  <c r="S720" i="6"/>
  <c r="S716" i="6"/>
  <c r="S712" i="6"/>
  <c r="S708" i="6"/>
  <c r="S704" i="6"/>
  <c r="S700" i="6"/>
  <c r="S696" i="6"/>
  <c r="S692" i="6"/>
  <c r="S688" i="6"/>
  <c r="S684" i="6"/>
  <c r="S680" i="6"/>
  <c r="S676" i="6"/>
  <c r="S672" i="6"/>
  <c r="S668" i="6"/>
  <c r="S664" i="6"/>
  <c r="S660" i="6"/>
  <c r="S656" i="6"/>
  <c r="S652" i="6"/>
  <c r="S648" i="6"/>
  <c r="R1306" i="6"/>
  <c r="R1292" i="6"/>
  <c r="S1292" i="6"/>
  <c r="S1287" i="6"/>
  <c r="R1283" i="6"/>
  <c r="S1278" i="6"/>
  <c r="S1274" i="6"/>
  <c r="R1270" i="6"/>
  <c r="S1265" i="6"/>
  <c r="R1256" i="6"/>
  <c r="S1256" i="6"/>
  <c r="S1251" i="6"/>
  <c r="R1247" i="6"/>
  <c r="S1242" i="6"/>
  <c r="R1238" i="6"/>
  <c r="S1233" i="6"/>
  <c r="R1224" i="6"/>
  <c r="S1224" i="6"/>
  <c r="S1219" i="6"/>
  <c r="S1210" i="6"/>
  <c r="R1206" i="6"/>
  <c r="S1201" i="6"/>
  <c r="R1192" i="6"/>
  <c r="S1192" i="6"/>
  <c r="S1187" i="6"/>
  <c r="S1178" i="6"/>
  <c r="R1174" i="6"/>
  <c r="S1169" i="6"/>
  <c r="R1160" i="6"/>
  <c r="S1160" i="6"/>
  <c r="S1155" i="6"/>
  <c r="S1151" i="6"/>
  <c r="R1147" i="6"/>
  <c r="S1142" i="6"/>
  <c r="R1138" i="6"/>
  <c r="S1133" i="6"/>
  <c r="R1124" i="6"/>
  <c r="S1124" i="6"/>
  <c r="S1119" i="6"/>
  <c r="R1115" i="6"/>
  <c r="S1110" i="6"/>
  <c r="R1106" i="6"/>
  <c r="R1095" i="6"/>
  <c r="S1095" i="6"/>
  <c r="R1079" i="6"/>
  <c r="S1079" i="6"/>
  <c r="R1074" i="6"/>
  <c r="S1063" i="6"/>
  <c r="S1058" i="6"/>
  <c r="S1053" i="6"/>
  <c r="R1048" i="6"/>
  <c r="S1048" i="6"/>
  <c r="S1042" i="6"/>
  <c r="S1037" i="6"/>
  <c r="R1032" i="6"/>
  <c r="S1032" i="6"/>
  <c r="S1027" i="6"/>
  <c r="R1022" i="6"/>
  <c r="S1011" i="6"/>
  <c r="R1006" i="6"/>
  <c r="S995" i="6"/>
  <c r="R990" i="6"/>
  <c r="R974" i="6"/>
  <c r="S975" i="6"/>
  <c r="R958" i="6"/>
  <c r="S959" i="6"/>
  <c r="R953" i="6"/>
  <c r="R942" i="6"/>
  <c r="R937" i="6"/>
  <c r="R932" i="6"/>
  <c r="S932" i="6"/>
  <c r="R916" i="6"/>
  <c r="S916" i="6"/>
  <c r="S905" i="6"/>
  <c r="R884" i="6"/>
  <c r="S884" i="6"/>
  <c r="S862" i="6"/>
  <c r="R851" i="6"/>
  <c r="S851" i="6"/>
  <c r="R841" i="6"/>
  <c r="R835" i="6"/>
  <c r="S835" i="6"/>
  <c r="R824" i="6"/>
  <c r="S825" i="6"/>
  <c r="S818" i="6"/>
  <c r="R813" i="6"/>
  <c r="S813" i="6"/>
  <c r="S802" i="6"/>
  <c r="R796" i="6"/>
  <c r="S796" i="6"/>
  <c r="R1353" i="6"/>
  <c r="S1353" i="6"/>
  <c r="R1342" i="6"/>
  <c r="S1342" i="6"/>
  <c r="S1335" i="6"/>
  <c r="R1330" i="6"/>
  <c r="S1330" i="6"/>
  <c r="R1324" i="6"/>
  <c r="S1324" i="6"/>
  <c r="R1312" i="6"/>
  <c r="S1312" i="6"/>
  <c r="R1882" i="6"/>
  <c r="S1882" i="6"/>
  <c r="R1870" i="6"/>
  <c r="S1870" i="6"/>
  <c r="R1864" i="6"/>
  <c r="S1864" i="6"/>
  <c r="R1852" i="6"/>
  <c r="S1852" i="6"/>
  <c r="R1838" i="6"/>
  <c r="S1838" i="6"/>
  <c r="R1824" i="6"/>
  <c r="S1824" i="6"/>
  <c r="S1825" i="6"/>
  <c r="R1818" i="6"/>
  <c r="S1818" i="6"/>
  <c r="S1811" i="6"/>
  <c r="R1804" i="6"/>
  <c r="S1804" i="6"/>
  <c r="S1805" i="6"/>
  <c r="R1771" i="6"/>
  <c r="S1771" i="6"/>
  <c r="R1764" i="6"/>
  <c r="S1764" i="6"/>
  <c r="S1765" i="6"/>
  <c r="R1736" i="6"/>
  <c r="S1736" i="6"/>
  <c r="S1737" i="6"/>
  <c r="R1729" i="6"/>
  <c r="S1729" i="6"/>
  <c r="R1716" i="6"/>
  <c r="S1716" i="6"/>
  <c r="S1717" i="6"/>
  <c r="R1710" i="6"/>
  <c r="S1710" i="6"/>
  <c r="R1685" i="6"/>
  <c r="S1685" i="6"/>
  <c r="R1678" i="6"/>
  <c r="S1678" i="6"/>
  <c r="R1667" i="6"/>
  <c r="S1667" i="6"/>
  <c r="R1627" i="6"/>
  <c r="S1627" i="6"/>
  <c r="S1628" i="6"/>
  <c r="R1610" i="6"/>
  <c r="S1610" i="6"/>
  <c r="S1596" i="6"/>
  <c r="R1571" i="6"/>
  <c r="S1571" i="6"/>
  <c r="R1558" i="6"/>
  <c r="S1558" i="6"/>
  <c r="R1539" i="6"/>
  <c r="S1539" i="6"/>
  <c r="R1533" i="6"/>
  <c r="S1533" i="6"/>
  <c r="R1520" i="6"/>
  <c r="S1520" i="6"/>
  <c r="S1521" i="6"/>
  <c r="R1514" i="6"/>
  <c r="S1514" i="6"/>
  <c r="R1457" i="6"/>
  <c r="S1457" i="6"/>
  <c r="R1436" i="6"/>
  <c r="S1436" i="6"/>
  <c r="S1399" i="6"/>
  <c r="R1372" i="6"/>
  <c r="S1372" i="6"/>
  <c r="R2531" i="6"/>
  <c r="W2531" i="6"/>
  <c r="S2532" i="6" s="1"/>
  <c r="W2526" i="6"/>
  <c r="R1300" i="6"/>
  <c r="S1300" i="6"/>
  <c r="R899" i="6"/>
  <c r="S899" i="6"/>
  <c r="R888" i="6"/>
  <c r="S889" i="6"/>
  <c r="R855" i="6"/>
  <c r="S855" i="6"/>
  <c r="R794" i="6"/>
  <c r="S794" i="6"/>
  <c r="R1892" i="6"/>
  <c r="S1892" i="6"/>
  <c r="R1742" i="6"/>
  <c r="S1742" i="6"/>
  <c r="R1703" i="6"/>
  <c r="S1703" i="6"/>
  <c r="R1576" i="6"/>
  <c r="S1576" i="6"/>
  <c r="R1556" i="6"/>
  <c r="S1556" i="6"/>
  <c r="S1557" i="6"/>
  <c r="R1383" i="6"/>
  <c r="S1383" i="6"/>
  <c r="R1236" i="6"/>
  <c r="S1236" i="6"/>
  <c r="R1004" i="6"/>
  <c r="S1004" i="6"/>
  <c r="R988" i="6"/>
  <c r="S988" i="6"/>
  <c r="R972" i="6"/>
  <c r="S972" i="6"/>
  <c r="R956" i="6"/>
  <c r="S956" i="6"/>
  <c r="R1868" i="6"/>
  <c r="S1868" i="6"/>
  <c r="R1644" i="6"/>
  <c r="S1644" i="6"/>
  <c r="S1645" i="6"/>
  <c r="R1517" i="6"/>
  <c r="S1517" i="6"/>
  <c r="R1411" i="6"/>
  <c r="S1411" i="6"/>
  <c r="T99" i="6"/>
  <c r="V99" i="6" s="1"/>
  <c r="S557" i="6"/>
  <c r="S629" i="6"/>
  <c r="S625" i="6"/>
  <c r="S621" i="6"/>
  <c r="S617" i="6"/>
  <c r="S613" i="6"/>
  <c r="S609" i="6"/>
  <c r="S605" i="6"/>
  <c r="S601" i="6"/>
  <c r="S597" i="6"/>
  <c r="S593" i="6"/>
  <c r="S589" i="6"/>
  <c r="S585" i="6"/>
  <c r="S581" i="6"/>
  <c r="S577" i="6"/>
  <c r="S573" i="6"/>
  <c r="S569" i="6"/>
  <c r="S565" i="6"/>
  <c r="S561" i="6"/>
  <c r="R776" i="6"/>
  <c r="R772" i="6"/>
  <c r="R768" i="6"/>
  <c r="R764" i="6"/>
  <c r="R760" i="6"/>
  <c r="R756" i="6"/>
  <c r="R752" i="6"/>
  <c r="R748" i="6"/>
  <c r="R744" i="6"/>
  <c r="R740" i="6"/>
  <c r="R736" i="6"/>
  <c r="R732" i="6"/>
  <c r="R728" i="6"/>
  <c r="R724" i="6"/>
  <c r="R720" i="6"/>
  <c r="R716" i="6"/>
  <c r="R712" i="6"/>
  <c r="R708" i="6"/>
  <c r="R704" i="6"/>
  <c r="R700" i="6"/>
  <c r="R696" i="6"/>
  <c r="R692" i="6"/>
  <c r="R688" i="6"/>
  <c r="R684" i="6"/>
  <c r="R680" i="6"/>
  <c r="R676" i="6"/>
  <c r="R672" i="6"/>
  <c r="R668" i="6"/>
  <c r="R664" i="6"/>
  <c r="R660" i="6"/>
  <c r="R656" i="6"/>
  <c r="R652" i="6"/>
  <c r="R648" i="6"/>
  <c r="S1305" i="6"/>
  <c r="R1301" i="6"/>
  <c r="R1296" i="6"/>
  <c r="S1296" i="6"/>
  <c r="S1291" i="6"/>
  <c r="R1287" i="6"/>
  <c r="S1282" i="6"/>
  <c r="R1278" i="6"/>
  <c r="R1274" i="6"/>
  <c r="S1269" i="6"/>
  <c r="R1265" i="6"/>
  <c r="R1260" i="6"/>
  <c r="S1260" i="6"/>
  <c r="S1255" i="6"/>
  <c r="R1251" i="6"/>
  <c r="S1246" i="6"/>
  <c r="R1242" i="6"/>
  <c r="S1237" i="6"/>
  <c r="R1233" i="6"/>
  <c r="R1228" i="6"/>
  <c r="S1228" i="6"/>
  <c r="S1223" i="6"/>
  <c r="R1219" i="6"/>
  <c r="R1210" i="6"/>
  <c r="S1205" i="6"/>
  <c r="R1201" i="6"/>
  <c r="R1196" i="6"/>
  <c r="S1196" i="6"/>
  <c r="S1191" i="6"/>
  <c r="R1187" i="6"/>
  <c r="S1182" i="6"/>
  <c r="R1178" i="6"/>
  <c r="S1173" i="6"/>
  <c r="R1169" i="6"/>
  <c r="R1164" i="6"/>
  <c r="S1164" i="6"/>
  <c r="S1159" i="6"/>
  <c r="R1155" i="6"/>
  <c r="R1151" i="6"/>
  <c r="S1146" i="6"/>
  <c r="R1142" i="6"/>
  <c r="S1137" i="6"/>
  <c r="R1133" i="6"/>
  <c r="R1128" i="6"/>
  <c r="S1128" i="6"/>
  <c r="S1123" i="6"/>
  <c r="R1119" i="6"/>
  <c r="S1114" i="6"/>
  <c r="R1110" i="6"/>
  <c r="S1105" i="6"/>
  <c r="R1100" i="6"/>
  <c r="S1100" i="6"/>
  <c r="S1094" i="6"/>
  <c r="S1089" i="6"/>
  <c r="R1084" i="6"/>
  <c r="S1084" i="6"/>
  <c r="S1078" i="6"/>
  <c r="S1073" i="6"/>
  <c r="R1068" i="6"/>
  <c r="S1068" i="6"/>
  <c r="S1062" i="6"/>
  <c r="R1058" i="6"/>
  <c r="R1053" i="6"/>
  <c r="S1047" i="6"/>
  <c r="R1042" i="6"/>
  <c r="R1037" i="6"/>
  <c r="S1031" i="6"/>
  <c r="S1026" i="6"/>
  <c r="S1021" i="6"/>
  <c r="R1016" i="6"/>
  <c r="S1016" i="6"/>
  <c r="S1010" i="6"/>
  <c r="S1005" i="6"/>
  <c r="R1000" i="6"/>
  <c r="S1000" i="6"/>
  <c r="S994" i="6"/>
  <c r="S989" i="6"/>
  <c r="R984" i="6"/>
  <c r="S984" i="6"/>
  <c r="S978" i="6"/>
  <c r="S973" i="6"/>
  <c r="R968" i="6"/>
  <c r="S968" i="6"/>
  <c r="S962" i="6"/>
  <c r="S957" i="6"/>
  <c r="R952" i="6"/>
  <c r="S952" i="6"/>
  <c r="S946" i="6"/>
  <c r="S941" i="6"/>
  <c r="R936" i="6"/>
  <c r="S936" i="6"/>
  <c r="S931" i="6"/>
  <c r="R926" i="6"/>
  <c r="R921" i="6"/>
  <c r="S915" i="6"/>
  <c r="R910" i="6"/>
  <c r="S894" i="6"/>
  <c r="S888" i="6"/>
  <c r="R883" i="6"/>
  <c r="S883" i="6"/>
  <c r="R867" i="6"/>
  <c r="S867" i="6"/>
  <c r="R856" i="6"/>
  <c r="S857" i="6"/>
  <c r="S850" i="6"/>
  <c r="R840" i="6"/>
  <c r="S840" i="6"/>
  <c r="R829" i="6"/>
  <c r="S829" i="6"/>
  <c r="R823" i="6"/>
  <c r="S823" i="6"/>
  <c r="R783" i="6"/>
  <c r="S783" i="6"/>
  <c r="S784" i="6"/>
  <c r="R1352" i="6"/>
  <c r="S1352" i="6"/>
  <c r="R1347" i="6"/>
  <c r="S1341" i="6"/>
  <c r="S1329" i="6"/>
  <c r="R1323" i="6"/>
  <c r="S1323" i="6"/>
  <c r="S1311" i="6"/>
  <c r="R1893" i="6"/>
  <c r="S1893" i="6"/>
  <c r="S1887" i="6"/>
  <c r="S1881" i="6"/>
  <c r="S1869" i="6"/>
  <c r="R1863" i="6"/>
  <c r="S1863" i="6"/>
  <c r="S1851" i="6"/>
  <c r="R1844" i="6"/>
  <c r="S1844" i="6"/>
  <c r="S1845" i="6"/>
  <c r="R1831" i="6"/>
  <c r="S1823" i="6"/>
  <c r="R1803" i="6"/>
  <c r="S1803" i="6"/>
  <c r="R1796" i="6"/>
  <c r="S1796" i="6"/>
  <c r="S1797" i="6"/>
  <c r="R1790" i="6"/>
  <c r="S1790" i="6"/>
  <c r="R1743" i="6"/>
  <c r="S1743" i="6"/>
  <c r="R1677" i="6"/>
  <c r="S1677" i="6"/>
  <c r="R1659" i="6"/>
  <c r="S1659" i="6"/>
  <c r="R1654" i="6"/>
  <c r="S1654" i="6"/>
  <c r="R1633" i="6"/>
  <c r="S1633" i="6"/>
  <c r="R1602" i="6"/>
  <c r="S1602" i="6"/>
  <c r="S1577" i="6"/>
  <c r="R1545" i="6"/>
  <c r="S1545" i="6"/>
  <c r="R1507" i="6"/>
  <c r="S1507" i="6"/>
  <c r="S1508" i="6"/>
  <c r="R1489" i="6"/>
  <c r="S1489" i="6"/>
  <c r="R1483" i="6"/>
  <c r="S1483" i="6"/>
  <c r="R1476" i="6"/>
  <c r="S1476" i="6"/>
  <c r="R1470" i="6"/>
  <c r="S1470" i="6"/>
  <c r="R1398" i="6"/>
  <c r="S1398" i="6"/>
  <c r="R1392" i="6"/>
  <c r="S1392" i="6"/>
  <c r="R1384" i="6"/>
  <c r="S1384" i="6"/>
  <c r="W2509" i="6"/>
  <c r="R643" i="6"/>
  <c r="R639" i="6"/>
  <c r="R635" i="6"/>
  <c r="R900" i="6"/>
  <c r="R895" i="6"/>
  <c r="S895" i="6"/>
  <c r="R886" i="6"/>
  <c r="R877" i="6"/>
  <c r="R868" i="6"/>
  <c r="R863" i="6"/>
  <c r="S863" i="6"/>
  <c r="R854" i="6"/>
  <c r="R845" i="6"/>
  <c r="R836" i="6"/>
  <c r="R831" i="6"/>
  <c r="S831" i="6"/>
  <c r="R822" i="6"/>
  <c r="R817" i="6"/>
  <c r="S817" i="6"/>
  <c r="R807" i="6"/>
  <c r="S807" i="6"/>
  <c r="R802" i="6"/>
  <c r="R791" i="6"/>
  <c r="S791" i="6"/>
  <c r="R786" i="6"/>
  <c r="R1350" i="6"/>
  <c r="S1350" i="6"/>
  <c r="R1345" i="6"/>
  <c r="R1334" i="6"/>
  <c r="S1334" i="6"/>
  <c r="R1329" i="6"/>
  <c r="R1318" i="6"/>
  <c r="S1318" i="6"/>
  <c r="R1313" i="6"/>
  <c r="R1890" i="6"/>
  <c r="S1890" i="6"/>
  <c r="R1885" i="6"/>
  <c r="R1874" i="6"/>
  <c r="S1874" i="6"/>
  <c r="R1858" i="6"/>
  <c r="S1858" i="6"/>
  <c r="R1842" i="6"/>
  <c r="S1842" i="6"/>
  <c r="R1823" i="6"/>
  <c r="R1816" i="6"/>
  <c r="S1816" i="6"/>
  <c r="S1817" i="6"/>
  <c r="R1810" i="6"/>
  <c r="S1810" i="6"/>
  <c r="R1791" i="6"/>
  <c r="R1784" i="6"/>
  <c r="S1784" i="6"/>
  <c r="S1785" i="6"/>
  <c r="R1778" i="6"/>
  <c r="S1778" i="6"/>
  <c r="R1759" i="6"/>
  <c r="R1752" i="6"/>
  <c r="S1752" i="6"/>
  <c r="S1753" i="6"/>
  <c r="R1746" i="6"/>
  <c r="S1746" i="6"/>
  <c r="R1726" i="6"/>
  <c r="S1726" i="6"/>
  <c r="R1690" i="6"/>
  <c r="S1690" i="6"/>
  <c r="S1660" i="6"/>
  <c r="R1641" i="6"/>
  <c r="S1641" i="6"/>
  <c r="S1624" i="6"/>
  <c r="R1613" i="6"/>
  <c r="S1613" i="6"/>
  <c r="R1606" i="6"/>
  <c r="S1606" i="6"/>
  <c r="R1600" i="6"/>
  <c r="S1600" i="6"/>
  <c r="S1588" i="6"/>
  <c r="R1570" i="6"/>
  <c r="S1570" i="6"/>
  <c r="R1564" i="6"/>
  <c r="S1564" i="6"/>
  <c r="R1551" i="6"/>
  <c r="S1551" i="6"/>
  <c r="R1540" i="6"/>
  <c r="R1534" i="6"/>
  <c r="S1534" i="6"/>
  <c r="R1528" i="6"/>
  <c r="S1528" i="6"/>
  <c r="R1504" i="6"/>
  <c r="R1493" i="6"/>
  <c r="R1486" i="6"/>
  <c r="S1486" i="6"/>
  <c r="R1480" i="6"/>
  <c r="S1480" i="6"/>
  <c r="R1440" i="6"/>
  <c r="S1440" i="6"/>
  <c r="R1419" i="6"/>
  <c r="S1419" i="6"/>
  <c r="S1405" i="6"/>
  <c r="S1391" i="6"/>
  <c r="R1371" i="6"/>
  <c r="S1371" i="6"/>
  <c r="R2405" i="6"/>
  <c r="S2405" i="6"/>
  <c r="R2394" i="6"/>
  <c r="S2394" i="6"/>
  <c r="R2277" i="6"/>
  <c r="S2277" i="6"/>
  <c r="R2421" i="6"/>
  <c r="S2421" i="6"/>
  <c r="R2410" i="6"/>
  <c r="S2410" i="6"/>
  <c r="R2293" i="6"/>
  <c r="S2293" i="6"/>
  <c r="R2282" i="6"/>
  <c r="S2282" i="6"/>
  <c r="S2283" i="6"/>
  <c r="V85" i="6"/>
  <c r="R85" i="6" s="1"/>
  <c r="T86" i="6"/>
  <c r="T2601" i="6"/>
  <c r="K2601" i="6" s="1"/>
  <c r="J2601" i="6"/>
  <c r="J2729" i="6"/>
  <c r="J2705" i="6"/>
  <c r="J2713" i="6"/>
  <c r="J2697" i="6"/>
  <c r="J2585" i="6"/>
  <c r="R903" i="6"/>
  <c r="S903" i="6"/>
  <c r="R894" i="6"/>
  <c r="R885" i="6"/>
  <c r="R871" i="6"/>
  <c r="S871" i="6"/>
  <c r="R862" i="6"/>
  <c r="R853" i="6"/>
  <c r="R839" i="6"/>
  <c r="S839" i="6"/>
  <c r="R830" i="6"/>
  <c r="R821" i="6"/>
  <c r="R795" i="6"/>
  <c r="S795" i="6"/>
  <c r="R1354" i="6"/>
  <c r="S1354" i="6"/>
  <c r="R1338" i="6"/>
  <c r="S1338" i="6"/>
  <c r="R1322" i="6"/>
  <c r="S1322" i="6"/>
  <c r="R1317" i="6"/>
  <c r="R1894" i="6"/>
  <c r="S1894" i="6"/>
  <c r="R1889" i="6"/>
  <c r="R1878" i="6"/>
  <c r="S1878" i="6"/>
  <c r="R1862" i="6"/>
  <c r="S1862" i="6"/>
  <c r="R1846" i="6"/>
  <c r="S1846" i="6"/>
  <c r="R1840" i="6"/>
  <c r="S1840" i="6"/>
  <c r="S1841" i="6"/>
  <c r="R1834" i="6"/>
  <c r="S1834" i="6"/>
  <c r="R1808" i="6"/>
  <c r="S1808" i="6"/>
  <c r="S1809" i="6"/>
  <c r="R1802" i="6"/>
  <c r="S1802" i="6"/>
  <c r="R1776" i="6"/>
  <c r="S1776" i="6"/>
  <c r="S1777" i="6"/>
  <c r="R1770" i="6"/>
  <c r="S1770" i="6"/>
  <c r="R1744" i="6"/>
  <c r="S1744" i="6"/>
  <c r="S1745" i="6"/>
  <c r="R1738" i="6"/>
  <c r="S1738" i="6"/>
  <c r="R1731" i="6"/>
  <c r="S1731" i="6"/>
  <c r="R1725" i="6"/>
  <c r="R1718" i="6"/>
  <c r="S1718" i="6"/>
  <c r="S1712" i="6"/>
  <c r="R1689" i="6"/>
  <c r="R1682" i="6"/>
  <c r="S1682" i="6"/>
  <c r="R1658" i="6"/>
  <c r="S1658" i="6"/>
  <c r="R1622" i="6"/>
  <c r="S1622" i="6"/>
  <c r="R1586" i="6"/>
  <c r="S1586" i="6"/>
  <c r="R1519" i="6"/>
  <c r="S1519" i="6"/>
  <c r="R1465" i="6"/>
  <c r="S1465" i="6"/>
  <c r="R1458" i="6"/>
  <c r="S1458" i="6"/>
  <c r="R1452" i="6"/>
  <c r="S1452" i="6"/>
  <c r="R1438" i="6"/>
  <c r="S1438" i="6"/>
  <c r="R1403" i="6"/>
  <c r="S1403" i="6"/>
  <c r="R1363" i="6"/>
  <c r="S1363" i="6"/>
  <c r="R2437" i="6"/>
  <c r="S2437" i="6"/>
  <c r="R2426" i="6"/>
  <c r="S2426" i="6"/>
  <c r="R2309" i="6"/>
  <c r="S2309" i="6"/>
  <c r="R2298" i="6"/>
  <c r="S2298" i="6"/>
  <c r="S2299" i="6"/>
  <c r="R1075" i="6"/>
  <c r="R1071" i="6"/>
  <c r="R1067" i="6"/>
  <c r="R1063" i="6"/>
  <c r="R1055" i="6"/>
  <c r="R1051" i="6"/>
  <c r="R1047" i="6"/>
  <c r="R1043" i="6"/>
  <c r="R1039" i="6"/>
  <c r="R1035" i="6"/>
  <c r="R1031" i="6"/>
  <c r="R1027" i="6"/>
  <c r="R1023" i="6"/>
  <c r="R1019" i="6"/>
  <c r="R1015" i="6"/>
  <c r="R1011" i="6"/>
  <c r="R1007" i="6"/>
  <c r="R1003" i="6"/>
  <c r="R999" i="6"/>
  <c r="R995" i="6"/>
  <c r="R991" i="6"/>
  <c r="R987" i="6"/>
  <c r="R983" i="6"/>
  <c r="R979" i="6"/>
  <c r="R975" i="6"/>
  <c r="R971" i="6"/>
  <c r="R967" i="6"/>
  <c r="R963" i="6"/>
  <c r="R959" i="6"/>
  <c r="R955" i="6"/>
  <c r="R951" i="6"/>
  <c r="R947" i="6"/>
  <c r="R943" i="6"/>
  <c r="R939" i="6"/>
  <c r="R931" i="6"/>
  <c r="R927" i="6"/>
  <c r="R923" i="6"/>
  <c r="R919" i="6"/>
  <c r="R915" i="6"/>
  <c r="R911" i="6"/>
  <c r="R907" i="6"/>
  <c r="R898" i="6"/>
  <c r="R889" i="6"/>
  <c r="R880" i="6"/>
  <c r="R875" i="6"/>
  <c r="S875" i="6"/>
  <c r="R866" i="6"/>
  <c r="R857" i="6"/>
  <c r="R848" i="6"/>
  <c r="R843" i="6"/>
  <c r="S843" i="6"/>
  <c r="R834" i="6"/>
  <c r="R825" i="6"/>
  <c r="R815" i="6"/>
  <c r="S815" i="6"/>
  <c r="R805" i="6"/>
  <c r="S805" i="6"/>
  <c r="R800" i="6"/>
  <c r="R789" i="6"/>
  <c r="S789" i="6"/>
  <c r="R784" i="6"/>
  <c r="R1348" i="6"/>
  <c r="S1348" i="6"/>
  <c r="R1332" i="6"/>
  <c r="S1332" i="6"/>
  <c r="R1327" i="6"/>
  <c r="R1316" i="6"/>
  <c r="S1316" i="6"/>
  <c r="R1311" i="6"/>
  <c r="R1888" i="6"/>
  <c r="S1888" i="6"/>
  <c r="R1883" i="6"/>
  <c r="R1872" i="6"/>
  <c r="S1872" i="6"/>
  <c r="R1867" i="6"/>
  <c r="R1856" i="6"/>
  <c r="S1856" i="6"/>
  <c r="R1851" i="6"/>
  <c r="R1827" i="6"/>
  <c r="R1820" i="6"/>
  <c r="S1820" i="6"/>
  <c r="S1821" i="6"/>
  <c r="R1814" i="6"/>
  <c r="S1814" i="6"/>
  <c r="R1788" i="6"/>
  <c r="S1788" i="6"/>
  <c r="S1789" i="6"/>
  <c r="R1782" i="6"/>
  <c r="S1782" i="6"/>
  <c r="R1763" i="6"/>
  <c r="R1756" i="6"/>
  <c r="S1756" i="6"/>
  <c r="S1757" i="6"/>
  <c r="R1750" i="6"/>
  <c r="S1750" i="6"/>
  <c r="R1730" i="6"/>
  <c r="S1730" i="6"/>
  <c r="R1724" i="6"/>
  <c r="S1724" i="6"/>
  <c r="R1711" i="6"/>
  <c r="S1711" i="6"/>
  <c r="R1700" i="6"/>
  <c r="R1694" i="6"/>
  <c r="S1694" i="6"/>
  <c r="R1688" i="6"/>
  <c r="S1688" i="6"/>
  <c r="R1664" i="6"/>
  <c r="R1653" i="6"/>
  <c r="R1646" i="6"/>
  <c r="S1646" i="6"/>
  <c r="R1628" i="6"/>
  <c r="R1597" i="6"/>
  <c r="S1597" i="6"/>
  <c r="R1592" i="6"/>
  <c r="R1561" i="6"/>
  <c r="S1561" i="6"/>
  <c r="R1525" i="6"/>
  <c r="S1525" i="6"/>
  <c r="R1518" i="6"/>
  <c r="S1518" i="6"/>
  <c r="R1477" i="6"/>
  <c r="S1477" i="6"/>
  <c r="S1471" i="6"/>
  <c r="R1464" i="6"/>
  <c r="S1464" i="6"/>
  <c r="R1388" i="6"/>
  <c r="S1388" i="6"/>
  <c r="R2325" i="6"/>
  <c r="S2325" i="6"/>
  <c r="R2314" i="6"/>
  <c r="S2314" i="6"/>
  <c r="S2315" i="6"/>
  <c r="R1719" i="6"/>
  <c r="S1719" i="6"/>
  <c r="R1714" i="6"/>
  <c r="S1714" i="6"/>
  <c r="R1709" i="6"/>
  <c r="R1704" i="6"/>
  <c r="R1698" i="6"/>
  <c r="S1698" i="6"/>
  <c r="R1683" i="6"/>
  <c r="S1683" i="6"/>
  <c r="R1673" i="6"/>
  <c r="R1668" i="6"/>
  <c r="R1662" i="6"/>
  <c r="S1662" i="6"/>
  <c r="R1657" i="6"/>
  <c r="R1647" i="6"/>
  <c r="S1647" i="6"/>
  <c r="R1632" i="6"/>
  <c r="R1626" i="6"/>
  <c r="S1626" i="6"/>
  <c r="R1621" i="6"/>
  <c r="R1611" i="6"/>
  <c r="S1611" i="6"/>
  <c r="R1590" i="6"/>
  <c r="S1590" i="6"/>
  <c r="R1585" i="6"/>
  <c r="R1580" i="6"/>
  <c r="R1559" i="6"/>
  <c r="S1559" i="6"/>
  <c r="R1554" i="6"/>
  <c r="S1554" i="6"/>
  <c r="R1549" i="6"/>
  <c r="R1544" i="6"/>
  <c r="R1538" i="6"/>
  <c r="S1538" i="6"/>
  <c r="R1523" i="6"/>
  <c r="S1523" i="6"/>
  <c r="R1513" i="6"/>
  <c r="R1508" i="6"/>
  <c r="R1502" i="6"/>
  <c r="S1502" i="6"/>
  <c r="R1497" i="6"/>
  <c r="R1487" i="6"/>
  <c r="S1487" i="6"/>
  <c r="R1481" i="6"/>
  <c r="R1469" i="6"/>
  <c r="R1462" i="6"/>
  <c r="S1462" i="6"/>
  <c r="R1456" i="6"/>
  <c r="S1456" i="6"/>
  <c r="R1450" i="6"/>
  <c r="S1450" i="6"/>
  <c r="R1444" i="6"/>
  <c r="S1444" i="6"/>
  <c r="R1437" i="6"/>
  <c r="S1437" i="6"/>
  <c r="R1431" i="6"/>
  <c r="R1424" i="6"/>
  <c r="S1424" i="6"/>
  <c r="R1416" i="6"/>
  <c r="S1416" i="6"/>
  <c r="S1389" i="6"/>
  <c r="R1382" i="6"/>
  <c r="S1382" i="6"/>
  <c r="S2427" i="6"/>
  <c r="S2411" i="6"/>
  <c r="S2395" i="6"/>
  <c r="S2379" i="6"/>
  <c r="S2363" i="6"/>
  <c r="U2448" i="6"/>
  <c r="T2449" i="6"/>
  <c r="R1723" i="6"/>
  <c r="S1723" i="6"/>
  <c r="R1702" i="6"/>
  <c r="S1702" i="6"/>
  <c r="R1687" i="6"/>
  <c r="S1687" i="6"/>
  <c r="R1666" i="6"/>
  <c r="S1666" i="6"/>
  <c r="R1651" i="6"/>
  <c r="S1651" i="6"/>
  <c r="R1630" i="6"/>
  <c r="S1630" i="6"/>
  <c r="R1599" i="6"/>
  <c r="S1599" i="6"/>
  <c r="R1594" i="6"/>
  <c r="S1594" i="6"/>
  <c r="R1578" i="6"/>
  <c r="S1578" i="6"/>
  <c r="R1563" i="6"/>
  <c r="S1563" i="6"/>
  <c r="R1542" i="6"/>
  <c r="S1542" i="6"/>
  <c r="R1527" i="6"/>
  <c r="S1527" i="6"/>
  <c r="R1506" i="6"/>
  <c r="S1506" i="6"/>
  <c r="R1491" i="6"/>
  <c r="S1491" i="6"/>
  <c r="R1479" i="6"/>
  <c r="S1479" i="6"/>
  <c r="R1442" i="6"/>
  <c r="S1442" i="6"/>
  <c r="R1422" i="6"/>
  <c r="S1422" i="6"/>
  <c r="R1408" i="6"/>
  <c r="S1408" i="6"/>
  <c r="R1400" i="6"/>
  <c r="S1400" i="6"/>
  <c r="R1387" i="6"/>
  <c r="S1387" i="6"/>
  <c r="R1368" i="6"/>
  <c r="S1368" i="6"/>
  <c r="R1356" i="6"/>
  <c r="S1356" i="6"/>
  <c r="W2569" i="6"/>
  <c r="R1877" i="6"/>
  <c r="R1873" i="6"/>
  <c r="R1869" i="6"/>
  <c r="R1865" i="6"/>
  <c r="R1861" i="6"/>
  <c r="R1857" i="6"/>
  <c r="R1853" i="6"/>
  <c r="R1849" i="6"/>
  <c r="R1845" i="6"/>
  <c r="R1841" i="6"/>
  <c r="R1837" i="6"/>
  <c r="R1833" i="6"/>
  <c r="R1829" i="6"/>
  <c r="R1825" i="6"/>
  <c r="R1821" i="6"/>
  <c r="R1817" i="6"/>
  <c r="R1813" i="6"/>
  <c r="R1809" i="6"/>
  <c r="R1805" i="6"/>
  <c r="R1801" i="6"/>
  <c r="R1797" i="6"/>
  <c r="R1793" i="6"/>
  <c r="R1789" i="6"/>
  <c r="R1785" i="6"/>
  <c r="R1781" i="6"/>
  <c r="R1777" i="6"/>
  <c r="R1773" i="6"/>
  <c r="R1769" i="6"/>
  <c r="R1765" i="6"/>
  <c r="R1761" i="6"/>
  <c r="R1757" i="6"/>
  <c r="R1753" i="6"/>
  <c r="R1749" i="6"/>
  <c r="R1745" i="6"/>
  <c r="R1741" i="6"/>
  <c r="R1737" i="6"/>
  <c r="R1733" i="6"/>
  <c r="R1728" i="6"/>
  <c r="R1722" i="6"/>
  <c r="S1722" i="6"/>
  <c r="R1717" i="6"/>
  <c r="R1707" i="6"/>
  <c r="S1707" i="6"/>
  <c r="S1696" i="6"/>
  <c r="R1692" i="6"/>
  <c r="R1686" i="6"/>
  <c r="S1686" i="6"/>
  <c r="R1681" i="6"/>
  <c r="R1671" i="6"/>
  <c r="S1671" i="6"/>
  <c r="R1650" i="6"/>
  <c r="S1650" i="6"/>
  <c r="R1645" i="6"/>
  <c r="R1640" i="6"/>
  <c r="R1619" i="6"/>
  <c r="S1619" i="6"/>
  <c r="R1614" i="6"/>
  <c r="S1614" i="6"/>
  <c r="R1609" i="6"/>
  <c r="R1604" i="6"/>
  <c r="R1598" i="6"/>
  <c r="S1598" i="6"/>
  <c r="R1583" i="6"/>
  <c r="S1583" i="6"/>
  <c r="R1573" i="6"/>
  <c r="R1568" i="6"/>
  <c r="R1562" i="6"/>
  <c r="S1562" i="6"/>
  <c r="R1557" i="6"/>
  <c r="R1547" i="6"/>
  <c r="S1547" i="6"/>
  <c r="S1536" i="6"/>
  <c r="R1532" i="6"/>
  <c r="R1526" i="6"/>
  <c r="S1526" i="6"/>
  <c r="R1521" i="6"/>
  <c r="R1511" i="6"/>
  <c r="S1511" i="6"/>
  <c r="R1490" i="6"/>
  <c r="S1490" i="6"/>
  <c r="R1485" i="6"/>
  <c r="R1478" i="6"/>
  <c r="S1478" i="6"/>
  <c r="R1473" i="6"/>
  <c r="R1466" i="6"/>
  <c r="S1466" i="6"/>
  <c r="R1460" i="6"/>
  <c r="S1460" i="6"/>
  <c r="R1454" i="6"/>
  <c r="S1454" i="6"/>
  <c r="R1448" i="6"/>
  <c r="S1448" i="6"/>
  <c r="R1421" i="6"/>
  <c r="S1421" i="6"/>
  <c r="R1414" i="6"/>
  <c r="S1414" i="6"/>
  <c r="S1407" i="6"/>
  <c r="R1379" i="6"/>
  <c r="S1379" i="6"/>
  <c r="S1367" i="6"/>
  <c r="U2465" i="6"/>
  <c r="W2465" i="6" s="1"/>
  <c r="T2466" i="6"/>
  <c r="T2715" i="6"/>
  <c r="J2731" i="6"/>
  <c r="J2715" i="6"/>
  <c r="J2707" i="6"/>
  <c r="J2699" i="6"/>
  <c r="J2691" i="6"/>
  <c r="J2683" i="6"/>
  <c r="J2675" i="6"/>
  <c r="J2659" i="6"/>
  <c r="J2651" i="6"/>
  <c r="J2635" i="6"/>
  <c r="J2627" i="6"/>
  <c r="J2619" i="6"/>
  <c r="J2611" i="6"/>
  <c r="J2603" i="6"/>
  <c r="J2587" i="6"/>
  <c r="R1727" i="6"/>
  <c r="S1727" i="6"/>
  <c r="R1712" i="6"/>
  <c r="R1706" i="6"/>
  <c r="S1706" i="6"/>
  <c r="R1701" i="6"/>
  <c r="R1691" i="6"/>
  <c r="S1691" i="6"/>
  <c r="R1670" i="6"/>
  <c r="S1670" i="6"/>
  <c r="R1665" i="6"/>
  <c r="R1660" i="6"/>
  <c r="R1639" i="6"/>
  <c r="S1639" i="6"/>
  <c r="R1634" i="6"/>
  <c r="S1634" i="6"/>
  <c r="R1629" i="6"/>
  <c r="R1624" i="6"/>
  <c r="R1618" i="6"/>
  <c r="S1618" i="6"/>
  <c r="R1603" i="6"/>
  <c r="S1603" i="6"/>
  <c r="R1593" i="6"/>
  <c r="R1588" i="6"/>
  <c r="R1582" i="6"/>
  <c r="S1582" i="6"/>
  <c r="R1577" i="6"/>
  <c r="R1567" i="6"/>
  <c r="S1567" i="6"/>
  <c r="R1552" i="6"/>
  <c r="R1546" i="6"/>
  <c r="S1546" i="6"/>
  <c r="R1541" i="6"/>
  <c r="R1531" i="6"/>
  <c r="S1531" i="6"/>
  <c r="R1510" i="6"/>
  <c r="S1510" i="6"/>
  <c r="R1505" i="6"/>
  <c r="R1500" i="6"/>
  <c r="R1484" i="6"/>
  <c r="S1484" i="6"/>
  <c r="R1472" i="6"/>
  <c r="S1472" i="6"/>
  <c r="S1459" i="6"/>
  <c r="S1447" i="6"/>
  <c r="R1441" i="6"/>
  <c r="R1427" i="6"/>
  <c r="S1427" i="6"/>
  <c r="R1420" i="6"/>
  <c r="S1420" i="6"/>
  <c r="R1406" i="6"/>
  <c r="S1406" i="6"/>
  <c r="R1399" i="6"/>
  <c r="S1373" i="6"/>
  <c r="R2270" i="6"/>
  <c r="S2270" i="6"/>
  <c r="S2271" i="6"/>
  <c r="T2658" i="6"/>
  <c r="K2658" i="6" s="1"/>
  <c r="J2730" i="6"/>
  <c r="J2722" i="6"/>
  <c r="J2714" i="6"/>
  <c r="J2706" i="6"/>
  <c r="J2698" i="6"/>
  <c r="J2690" i="6"/>
  <c r="J2682" i="6"/>
  <c r="J2674" i="6"/>
  <c r="J2658" i="6"/>
  <c r="J2650" i="6"/>
  <c r="J2634" i="6"/>
  <c r="J2626" i="6"/>
  <c r="J2618" i="6"/>
  <c r="J2610" i="6"/>
  <c r="J2602" i="6"/>
  <c r="J2594" i="6"/>
  <c r="J2586" i="6"/>
  <c r="R1425" i="6"/>
  <c r="S1425" i="6"/>
  <c r="S1409" i="6"/>
  <c r="S1393" i="6"/>
  <c r="S1377" i="6"/>
  <c r="S1361" i="6"/>
  <c r="R2430" i="6"/>
  <c r="S2430" i="6"/>
  <c r="R2414" i="6"/>
  <c r="S2414" i="6"/>
  <c r="R2398" i="6"/>
  <c r="S2398" i="6"/>
  <c r="R2382" i="6"/>
  <c r="S2382" i="6"/>
  <c r="R2366" i="6"/>
  <c r="S2366" i="6"/>
  <c r="R2350" i="6"/>
  <c r="S2350" i="6"/>
  <c r="S2351" i="6"/>
  <c r="R2334" i="6"/>
  <c r="S2334" i="6"/>
  <c r="S2335" i="6"/>
  <c r="R2318" i="6"/>
  <c r="S2318" i="6"/>
  <c r="S2319" i="6"/>
  <c r="R2302" i="6"/>
  <c r="S2302" i="6"/>
  <c r="S2303" i="6"/>
  <c r="R2286" i="6"/>
  <c r="S2286" i="6"/>
  <c r="S2287" i="6"/>
  <c r="R2269" i="6"/>
  <c r="S2269" i="6"/>
  <c r="W2530" i="6"/>
  <c r="S2531" i="6" s="1"/>
  <c r="S1434" i="6"/>
  <c r="R1429" i="6"/>
  <c r="S1429" i="6"/>
  <c r="S1418" i="6"/>
  <c r="S1413" i="6"/>
  <c r="S1402" i="6"/>
  <c r="S1397" i="6"/>
  <c r="S1386" i="6"/>
  <c r="S1381" i="6"/>
  <c r="S1365" i="6"/>
  <c r="S1359" i="6"/>
  <c r="R2434" i="6"/>
  <c r="S2434" i="6"/>
  <c r="R2418" i="6"/>
  <c r="S2418" i="6"/>
  <c r="R2402" i="6"/>
  <c r="S2402" i="6"/>
  <c r="R2386" i="6"/>
  <c r="S2386" i="6"/>
  <c r="R2370" i="6"/>
  <c r="S2370" i="6"/>
  <c r="R2338" i="6"/>
  <c r="S2338" i="6"/>
  <c r="S2339" i="6"/>
  <c r="R2322" i="6"/>
  <c r="S2322" i="6"/>
  <c r="S2323" i="6"/>
  <c r="R2306" i="6"/>
  <c r="S2306" i="6"/>
  <c r="S2307" i="6"/>
  <c r="R2290" i="6"/>
  <c r="S2290" i="6"/>
  <c r="S2291" i="6"/>
  <c r="R2274" i="6"/>
  <c r="S2274" i="6"/>
  <c r="S2275" i="6"/>
  <c r="U2457" i="6"/>
  <c r="R1471" i="6"/>
  <c r="R1467" i="6"/>
  <c r="R1463" i="6"/>
  <c r="R1459" i="6"/>
  <c r="R1451" i="6"/>
  <c r="R1447" i="6"/>
  <c r="R1443" i="6"/>
  <c r="R1439" i="6"/>
  <c r="R1428" i="6"/>
  <c r="S1428" i="6"/>
  <c r="R1423" i="6"/>
  <c r="R1412" i="6"/>
  <c r="S1412" i="6"/>
  <c r="R1407" i="6"/>
  <c r="R1396" i="6"/>
  <c r="S1396" i="6"/>
  <c r="R1391" i="6"/>
  <c r="R1380" i="6"/>
  <c r="S1380" i="6"/>
  <c r="R1364" i="6"/>
  <c r="S1364" i="6"/>
  <c r="R2354" i="6"/>
  <c r="S2354" i="6"/>
  <c r="W2503" i="6"/>
  <c r="R1433" i="6"/>
  <c r="S1433" i="6"/>
  <c r="R1417" i="6"/>
  <c r="S1417" i="6"/>
  <c r="S1401" i="6"/>
  <c r="S1385" i="6"/>
  <c r="S1369" i="6"/>
  <c r="R2422" i="6"/>
  <c r="S2422" i="6"/>
  <c r="R2406" i="6"/>
  <c r="S2406" i="6"/>
  <c r="R2390" i="6"/>
  <c r="S2390" i="6"/>
  <c r="R2374" i="6"/>
  <c r="S2374" i="6"/>
  <c r="R2358" i="6"/>
  <c r="S2358" i="6"/>
  <c r="R2342" i="6"/>
  <c r="S2342" i="6"/>
  <c r="S2343" i="6"/>
  <c r="R2326" i="6"/>
  <c r="S2326" i="6"/>
  <c r="S2327" i="6"/>
  <c r="R2310" i="6"/>
  <c r="S2310" i="6"/>
  <c r="S2311" i="6"/>
  <c r="R2294" i="6"/>
  <c r="S2294" i="6"/>
  <c r="S2295" i="6"/>
  <c r="R2278" i="6"/>
  <c r="S2278" i="6"/>
  <c r="S2279" i="6"/>
  <c r="W2523" i="6"/>
  <c r="U2447" i="6"/>
  <c r="W2447" i="6" s="1"/>
  <c r="S69" i="6"/>
  <c r="T2678" i="6"/>
  <c r="V2678" i="6" s="1"/>
  <c r="U2677" i="6"/>
  <c r="W2677" i="6" s="1"/>
  <c r="K2677" i="6"/>
  <c r="R1413" i="6"/>
  <c r="R1409" i="6"/>
  <c r="R1405" i="6"/>
  <c r="R1401" i="6"/>
  <c r="R1397" i="6"/>
  <c r="R1393" i="6"/>
  <c r="R1389" i="6"/>
  <c r="R1385" i="6"/>
  <c r="R1381" i="6"/>
  <c r="R1377" i="6"/>
  <c r="R1373" i="6"/>
  <c r="R1369" i="6"/>
  <c r="R1365" i="6"/>
  <c r="R1361" i="6"/>
  <c r="R1357" i="6"/>
  <c r="R2435" i="6"/>
  <c r="R2431" i="6"/>
  <c r="R2427" i="6"/>
  <c r="R2423" i="6"/>
  <c r="R2419" i="6"/>
  <c r="R2415" i="6"/>
  <c r="R2411" i="6"/>
  <c r="R2407" i="6"/>
  <c r="R2403" i="6"/>
  <c r="R2399" i="6"/>
  <c r="R2395" i="6"/>
  <c r="R2391" i="6"/>
  <c r="R2387" i="6"/>
  <c r="R2383" i="6"/>
  <c r="R2379" i="6"/>
  <c r="R2375" i="6"/>
  <c r="R2371" i="6"/>
  <c r="R2367" i="6"/>
  <c r="R2363" i="6"/>
  <c r="R2359" i="6"/>
  <c r="R2355" i="6"/>
  <c r="R2351" i="6"/>
  <c r="R2347" i="6"/>
  <c r="R2343" i="6"/>
  <c r="R2339" i="6"/>
  <c r="R2335" i="6"/>
  <c r="R2331" i="6"/>
  <c r="R2327" i="6"/>
  <c r="R2323" i="6"/>
  <c r="R2319" i="6"/>
  <c r="R2315" i="6"/>
  <c r="R2311" i="6"/>
  <c r="R2307" i="6"/>
  <c r="R2303" i="6"/>
  <c r="R2299" i="6"/>
  <c r="R2295" i="6"/>
  <c r="R2291" i="6"/>
  <c r="R2287" i="6"/>
  <c r="R2283" i="6"/>
  <c r="R2279" i="6"/>
  <c r="R2275" i="6"/>
  <c r="R2271" i="6"/>
  <c r="T2620" i="6"/>
  <c r="K2620" i="6" s="1"/>
  <c r="J2724" i="6"/>
  <c r="J2708" i="6"/>
  <c r="J2700" i="6"/>
  <c r="J2660" i="6"/>
  <c r="J2644" i="6"/>
  <c r="J2636" i="6"/>
  <c r="J2596" i="6"/>
  <c r="T2696" i="6"/>
  <c r="J2728" i="6"/>
  <c r="J2720" i="6"/>
  <c r="J2712" i="6"/>
  <c r="J2704" i="6"/>
  <c r="J2696" i="6"/>
  <c r="J2688" i="6"/>
  <c r="J2680" i="6"/>
  <c r="J2672" i="6"/>
  <c r="J2664" i="6"/>
  <c r="J2656" i="6"/>
  <c r="J2648" i="6"/>
  <c r="J2640" i="6"/>
  <c r="J2632" i="6"/>
  <c r="J2624" i="6"/>
  <c r="J2616" i="6"/>
  <c r="J2608" i="6"/>
  <c r="J2600" i="6"/>
  <c r="J2592" i="6"/>
  <c r="J2584" i="6"/>
  <c r="R2532" i="6"/>
  <c r="U2497" i="6"/>
  <c r="U2489" i="6"/>
  <c r="R10" i="6"/>
  <c r="T2639" i="6"/>
  <c r="K2639" i="6" s="1"/>
  <c r="T2582" i="6"/>
  <c r="V24" i="6"/>
  <c r="V16" i="6"/>
  <c r="T20" i="6"/>
  <c r="V15" i="6"/>
  <c r="T27" i="6"/>
  <c r="AM26" i="3"/>
  <c r="AP26" i="3" s="1"/>
  <c r="AV26" i="3" s="1"/>
  <c r="V22" i="6"/>
  <c r="V14" i="6"/>
  <c r="T12" i="6"/>
  <c r="T18" i="6"/>
  <c r="V149" i="6"/>
  <c r="K149" i="6" s="1"/>
  <c r="V146" i="6"/>
  <c r="U146" i="6" s="1"/>
  <c r="W146" i="6" s="1"/>
  <c r="AW30" i="3"/>
  <c r="AM135" i="3"/>
  <c r="AP135" i="3" s="1"/>
  <c r="AV135" i="3" s="1"/>
  <c r="AM17" i="3"/>
  <c r="AP17" i="3" s="1"/>
  <c r="AV17" i="3" s="1"/>
  <c r="V10" i="6"/>
  <c r="V21" i="6"/>
  <c r="V13" i="6"/>
  <c r="T24" i="6"/>
  <c r="AM39" i="3"/>
  <c r="AP39" i="3" s="1"/>
  <c r="AV39" i="3" s="1"/>
  <c r="T26" i="6"/>
  <c r="T11" i="6"/>
  <c r="V23" i="6"/>
  <c r="T21" i="6"/>
  <c r="T10" i="6"/>
  <c r="T19" i="6"/>
  <c r="V20" i="6"/>
  <c r="V12" i="6"/>
  <c r="T9" i="6"/>
  <c r="AW29" i="3"/>
  <c r="AW18" i="3"/>
  <c r="AM31" i="3"/>
  <c r="AP31" i="3" s="1"/>
  <c r="AV31" i="3" s="1"/>
  <c r="AM21" i="3"/>
  <c r="AP21" i="3" s="1"/>
  <c r="AV21" i="3" s="1"/>
  <c r="V27" i="6"/>
  <c r="V19" i="6"/>
  <c r="V11" i="6"/>
  <c r="T22" i="6"/>
  <c r="T16" i="6"/>
  <c r="V148" i="6"/>
  <c r="K148" i="6" s="1"/>
  <c r="AM136" i="3"/>
  <c r="AP136" i="3" s="1"/>
  <c r="AV136" i="3" s="1"/>
  <c r="T17" i="6"/>
  <c r="T13" i="6"/>
  <c r="T23" i="6"/>
  <c r="V26" i="6"/>
  <c r="V18" i="6"/>
  <c r="AW39" i="3"/>
  <c r="AW33" i="3"/>
  <c r="AW22" i="3"/>
  <c r="AM29" i="3"/>
  <c r="AP29" i="3" s="1"/>
  <c r="AV29" i="3" s="1"/>
  <c r="V444" i="6"/>
  <c r="K444" i="6" s="1"/>
  <c r="AM24" i="3"/>
  <c r="AP24" i="3" s="1"/>
  <c r="AV24" i="3" s="1"/>
  <c r="AM23" i="3"/>
  <c r="AP23" i="3" s="1"/>
  <c r="AV23" i="3" s="1"/>
  <c r="AM45" i="3"/>
  <c r="AP45" i="3" s="1"/>
  <c r="AV45" i="3" s="1"/>
  <c r="V333" i="6"/>
  <c r="K333" i="6" s="1"/>
  <c r="AM22" i="3"/>
  <c r="AP22" i="3" s="1"/>
  <c r="AV22" i="3" s="1"/>
  <c r="V427" i="6"/>
  <c r="S428" i="6" s="1"/>
  <c r="V179" i="6"/>
  <c r="AM132" i="3"/>
  <c r="AP132" i="3" s="1"/>
  <c r="AV132" i="3" s="1"/>
  <c r="V521" i="6"/>
  <c r="K521" i="6" s="1"/>
  <c r="AM33" i="3"/>
  <c r="AP33" i="3" s="1"/>
  <c r="AV33" i="3" s="1"/>
  <c r="V508" i="6"/>
  <c r="S509" i="6" s="1"/>
  <c r="V492" i="6"/>
  <c r="R492" i="6" s="1"/>
  <c r="AW133" i="3"/>
  <c r="V350" i="6"/>
  <c r="AM18" i="3"/>
  <c r="AP18" i="3" s="1"/>
  <c r="AV18" i="3" s="1"/>
  <c r="V273" i="6"/>
  <c r="K273" i="6" s="1"/>
  <c r="V192" i="6"/>
  <c r="R192" i="6" s="1"/>
  <c r="AM44" i="3"/>
  <c r="AP44" i="3" s="1"/>
  <c r="AV44" i="3" s="1"/>
  <c r="AM35" i="3"/>
  <c r="AP35" i="3" s="1"/>
  <c r="AV35" i="3" s="1"/>
  <c r="V98" i="6"/>
  <c r="S99" i="6" s="1"/>
  <c r="AW28" i="3"/>
  <c r="AM42" i="3"/>
  <c r="AP42" i="3" s="1"/>
  <c r="AV42" i="3" s="1"/>
  <c r="V474" i="6"/>
  <c r="S475" i="6" s="1"/>
  <c r="AW42" i="3"/>
  <c r="AW27" i="3"/>
  <c r="V239" i="6"/>
  <c r="AW46" i="3"/>
  <c r="AW38" i="3"/>
  <c r="AM38" i="3"/>
  <c r="AP38" i="3" s="1"/>
  <c r="AV38" i="3" s="1"/>
  <c r="AW31" i="3"/>
  <c r="V303" i="6"/>
  <c r="S304" i="6" s="1"/>
  <c r="AM130" i="3"/>
  <c r="AP130" i="3" s="1"/>
  <c r="AV130" i="3" s="1"/>
  <c r="AW130" i="3"/>
  <c r="K256" i="6"/>
  <c r="AW20" i="3"/>
  <c r="V132" i="6"/>
  <c r="AW19" i="3"/>
  <c r="AP127" i="3"/>
  <c r="AV127" i="3" s="1"/>
  <c r="AM28" i="3"/>
  <c r="AP28" i="3" s="1"/>
  <c r="AV28" i="3" s="1"/>
  <c r="AM43" i="3"/>
  <c r="AP43" i="3" s="1"/>
  <c r="AV43" i="3" s="1"/>
  <c r="V367" i="6"/>
  <c r="R367" i="6" s="1"/>
  <c r="AW24" i="3"/>
  <c r="AW131" i="3"/>
  <c r="V414" i="6"/>
  <c r="S415" i="6" s="1"/>
  <c r="AW43" i="3"/>
  <c r="AM34" i="3"/>
  <c r="AP34" i="3" s="1"/>
  <c r="AV34" i="3" s="1"/>
  <c r="AW34" i="3"/>
  <c r="AW23" i="3"/>
  <c r="AU126" i="3"/>
  <c r="AM134" i="3"/>
  <c r="AP134" i="3" s="1"/>
  <c r="AV134" i="3" s="1"/>
  <c r="V226" i="6"/>
  <c r="V162" i="6"/>
  <c r="S163" i="6" s="1"/>
  <c r="V145" i="6"/>
  <c r="U145" i="6" s="1"/>
  <c r="W145" i="6" s="1"/>
  <c r="K538" i="6"/>
  <c r="U256" i="6"/>
  <c r="W256" i="6" s="1"/>
  <c r="R256" i="6"/>
  <c r="R538" i="6"/>
  <c r="S210" i="6"/>
  <c r="R209" i="6"/>
  <c r="U209" i="6"/>
  <c r="W209" i="6" s="1"/>
  <c r="S2514" i="6" l="1"/>
  <c r="V418" i="6"/>
  <c r="U418" i="6" s="1"/>
  <c r="W418" i="6" s="1"/>
  <c r="W2475" i="6"/>
  <c r="V260" i="6"/>
  <c r="R260" i="6" s="1"/>
  <c r="R2475" i="6"/>
  <c r="V246" i="6"/>
  <c r="S247" i="6" s="1"/>
  <c r="S2503" i="6"/>
  <c r="V340" i="6"/>
  <c r="K340" i="6" s="1"/>
  <c r="V266" i="6"/>
  <c r="R266" i="6" s="1"/>
  <c r="V263" i="6"/>
  <c r="R263" i="6" s="1"/>
  <c r="V270" i="6"/>
  <c r="R270" i="6" s="1"/>
  <c r="V262" i="6"/>
  <c r="R262" i="6" s="1"/>
  <c r="V258" i="6"/>
  <c r="S259" i="6" s="1"/>
  <c r="V265" i="6"/>
  <c r="U265" i="6" s="1"/>
  <c r="W265" i="6" s="1"/>
  <c r="V268" i="6"/>
  <c r="U268" i="6" s="1"/>
  <c r="W268" i="6" s="1"/>
  <c r="V269" i="6"/>
  <c r="U269" i="6" s="1"/>
  <c r="W269" i="6" s="1"/>
  <c r="R2538" i="6"/>
  <c r="S2523" i="6"/>
  <c r="R2523" i="6"/>
  <c r="T305" i="6"/>
  <c r="V305" i="6" s="1"/>
  <c r="U305" i="6" s="1"/>
  <c r="W305" i="6" s="1"/>
  <c r="V442" i="6"/>
  <c r="K442" i="6" s="1"/>
  <c r="V441" i="6"/>
  <c r="S442" i="6" s="1"/>
  <c r="V433" i="6"/>
  <c r="S434" i="6" s="1"/>
  <c r="S2509" i="6"/>
  <c r="T2476" i="6"/>
  <c r="U2476" i="6" s="1"/>
  <c r="W2476" i="6" s="1"/>
  <c r="S2574" i="6"/>
  <c r="V439" i="6"/>
  <c r="U439" i="6" s="1"/>
  <c r="W439" i="6" s="1"/>
  <c r="V431" i="6"/>
  <c r="U431" i="6" s="1"/>
  <c r="W431" i="6" s="1"/>
  <c r="V499" i="6"/>
  <c r="S500" i="6" s="1"/>
  <c r="V428" i="6"/>
  <c r="U428" i="6" s="1"/>
  <c r="W428" i="6" s="1"/>
  <c r="W2514" i="6"/>
  <c r="T306" i="6"/>
  <c r="T307" i="6" s="1"/>
  <c r="T308" i="6" s="1"/>
  <c r="V308" i="6" s="1"/>
  <c r="V440" i="6"/>
  <c r="S441" i="6" s="1"/>
  <c r="V506" i="6"/>
  <c r="K506" i="6" s="1"/>
  <c r="V438" i="6"/>
  <c r="K438" i="6" s="1"/>
  <c r="S2510" i="6"/>
  <c r="R2514" i="6"/>
  <c r="V432" i="6"/>
  <c r="R432" i="6" s="1"/>
  <c r="V430" i="6"/>
  <c r="S431" i="6" s="1"/>
  <c r="S2570" i="6"/>
  <c r="V496" i="6"/>
  <c r="S497" i="6" s="1"/>
  <c r="V436" i="6"/>
  <c r="U436" i="6" s="1"/>
  <c r="W436" i="6" s="1"/>
  <c r="W2568" i="6"/>
  <c r="S2569" i="6" s="1"/>
  <c r="W2570" i="6"/>
  <c r="S2571" i="6" s="1"/>
  <c r="V475" i="6"/>
  <c r="U475" i="6" s="1"/>
  <c r="W475" i="6" s="1"/>
  <c r="V197" i="6"/>
  <c r="U197" i="6" s="1"/>
  <c r="W197" i="6" s="1"/>
  <c r="V495" i="6"/>
  <c r="S496" i="6" s="1"/>
  <c r="V434" i="6"/>
  <c r="K434" i="6" s="1"/>
  <c r="V435" i="6"/>
  <c r="U435" i="6" s="1"/>
  <c r="W435" i="6" s="1"/>
  <c r="R2574" i="6"/>
  <c r="V437" i="6"/>
  <c r="S438" i="6" s="1"/>
  <c r="V429" i="6"/>
  <c r="U429" i="6" s="1"/>
  <c r="W429" i="6" s="1"/>
  <c r="R2508" i="6"/>
  <c r="S2508" i="6"/>
  <c r="U2768" i="6"/>
  <c r="W2767" i="6"/>
  <c r="S2767" i="6"/>
  <c r="V417" i="6"/>
  <c r="R417" i="6" s="1"/>
  <c r="V334" i="6"/>
  <c r="S335" i="6" s="1"/>
  <c r="R2510" i="6"/>
  <c r="R2509" i="6"/>
  <c r="S2520" i="6"/>
  <c r="U2748" i="6"/>
  <c r="W2747" i="6"/>
  <c r="S2747" i="6"/>
  <c r="R2526" i="6"/>
  <c r="S2524" i="6"/>
  <c r="V163" i="6"/>
  <c r="S164" i="6" s="1"/>
  <c r="V336" i="6"/>
  <c r="K336" i="6" s="1"/>
  <c r="S2564" i="6"/>
  <c r="R2560" i="6"/>
  <c r="U2739" i="6"/>
  <c r="W2738" i="6"/>
  <c r="S2738" i="6"/>
  <c r="T228" i="6"/>
  <c r="T229" i="6" s="1"/>
  <c r="T230" i="6" s="1"/>
  <c r="V338" i="6"/>
  <c r="U338" i="6" s="1"/>
  <c r="W338" i="6" s="1"/>
  <c r="R2575" i="6"/>
  <c r="R2580" i="6"/>
  <c r="S2492" i="6"/>
  <c r="R2553" i="6"/>
  <c r="U2759" i="6"/>
  <c r="W2758" i="6"/>
  <c r="S2758" i="6"/>
  <c r="S2533" i="6"/>
  <c r="S2530" i="6"/>
  <c r="V164" i="6"/>
  <c r="U164" i="6" s="1"/>
  <c r="W164" i="6" s="1"/>
  <c r="S2539" i="6"/>
  <c r="V166" i="6"/>
  <c r="R166" i="6" s="1"/>
  <c r="V172" i="6"/>
  <c r="K172" i="6" s="1"/>
  <c r="V170" i="6"/>
  <c r="K170" i="6" s="1"/>
  <c r="S2579" i="6"/>
  <c r="V173" i="6"/>
  <c r="R173" i="6" s="1"/>
  <c r="S2541" i="6"/>
  <c r="V176" i="6"/>
  <c r="S177" i="6" s="1"/>
  <c r="V165" i="6"/>
  <c r="S166" i="6" s="1"/>
  <c r="W2552" i="6"/>
  <c r="S2553" i="6" s="1"/>
  <c r="V169" i="6"/>
  <c r="U169" i="6" s="1"/>
  <c r="W169" i="6" s="1"/>
  <c r="V177" i="6"/>
  <c r="R177" i="6" s="1"/>
  <c r="V167" i="6"/>
  <c r="S168" i="6" s="1"/>
  <c r="R2558" i="6"/>
  <c r="V175" i="6"/>
  <c r="S176" i="6" s="1"/>
  <c r="V171" i="6"/>
  <c r="R171" i="6" s="1"/>
  <c r="V174" i="6"/>
  <c r="U174" i="6" s="1"/>
  <c r="W174" i="6" s="1"/>
  <c r="V168" i="6"/>
  <c r="S169" i="6" s="1"/>
  <c r="U380" i="6"/>
  <c r="W380" i="6" s="1"/>
  <c r="I13" i="6"/>
  <c r="P13" i="6" s="1"/>
  <c r="S381" i="6"/>
  <c r="U462" i="6"/>
  <c r="W462" i="6" s="1"/>
  <c r="K286" i="6"/>
  <c r="U427" i="6"/>
  <c r="W427" i="6" s="1"/>
  <c r="U150" i="6"/>
  <c r="W150" i="6" s="1"/>
  <c r="R150" i="6"/>
  <c r="S151" i="6"/>
  <c r="U320" i="6"/>
  <c r="W320" i="6" s="1"/>
  <c r="K320" i="6"/>
  <c r="R320" i="6"/>
  <c r="R149" i="6"/>
  <c r="R444" i="6"/>
  <c r="R2535" i="6"/>
  <c r="R2548" i="6"/>
  <c r="V415" i="6"/>
  <c r="K415" i="6" s="1"/>
  <c r="R2527" i="6"/>
  <c r="W2534" i="6"/>
  <c r="S2535" i="6" s="1"/>
  <c r="V356" i="6"/>
  <c r="R356" i="6" s="1"/>
  <c r="R2487" i="6"/>
  <c r="T322" i="6"/>
  <c r="V322" i="6" s="1"/>
  <c r="K321" i="6"/>
  <c r="S2527" i="6"/>
  <c r="R2520" i="6"/>
  <c r="R2533" i="6"/>
  <c r="V416" i="6"/>
  <c r="K416" i="6" s="1"/>
  <c r="V357" i="6"/>
  <c r="U357" i="6" s="1"/>
  <c r="W357" i="6" s="1"/>
  <c r="R2577" i="6"/>
  <c r="V419" i="6"/>
  <c r="U419" i="6" s="1"/>
  <c r="W419" i="6" s="1"/>
  <c r="R321" i="6"/>
  <c r="V421" i="6"/>
  <c r="S422" i="6" s="1"/>
  <c r="I16" i="6"/>
  <c r="P16" i="6" s="1"/>
  <c r="S2528" i="6"/>
  <c r="R2571" i="6"/>
  <c r="U321" i="6"/>
  <c r="W321" i="6" s="1"/>
  <c r="U461" i="6"/>
  <c r="W461" i="6" s="1"/>
  <c r="V354" i="6"/>
  <c r="S355" i="6" s="1"/>
  <c r="V509" i="6"/>
  <c r="U509" i="6" s="1"/>
  <c r="W509" i="6" s="1"/>
  <c r="V420" i="6"/>
  <c r="K420" i="6" s="1"/>
  <c r="R2528" i="6"/>
  <c r="S2493" i="6"/>
  <c r="S2567" i="6"/>
  <c r="S2505" i="6"/>
  <c r="V422" i="6"/>
  <c r="R422" i="6" s="1"/>
  <c r="R2529" i="6"/>
  <c r="W2576" i="6"/>
  <c r="S2577" i="6" s="1"/>
  <c r="S2518" i="6"/>
  <c r="R2576" i="6"/>
  <c r="S2578" i="6"/>
  <c r="S2546" i="6"/>
  <c r="R2551" i="6"/>
  <c r="S2488" i="6"/>
  <c r="R2554" i="6"/>
  <c r="S2495" i="6"/>
  <c r="R2504" i="6"/>
  <c r="S2540" i="6"/>
  <c r="T134" i="6"/>
  <c r="T135" i="6" s="1"/>
  <c r="R2530" i="6"/>
  <c r="R2490" i="6"/>
  <c r="U521" i="6"/>
  <c r="W521" i="6" s="1"/>
  <c r="R2498" i="6"/>
  <c r="W2571" i="6"/>
  <c r="S2572" i="6" s="1"/>
  <c r="R2518" i="6"/>
  <c r="R2484" i="6"/>
  <c r="S2561" i="6"/>
  <c r="V368" i="6"/>
  <c r="K368" i="6" s="1"/>
  <c r="R2567" i="6"/>
  <c r="S2529" i="6"/>
  <c r="T359" i="6"/>
  <c r="V358" i="6"/>
  <c r="S359" i="6" s="1"/>
  <c r="K145" i="6"/>
  <c r="R461" i="6"/>
  <c r="R2458" i="6"/>
  <c r="R2542" i="6"/>
  <c r="W2490" i="6"/>
  <c r="S2491" i="6" s="1"/>
  <c r="S2538" i="6"/>
  <c r="S2484" i="6"/>
  <c r="R2511" i="6"/>
  <c r="U149" i="6"/>
  <c r="W149" i="6" s="1"/>
  <c r="V249" i="6"/>
  <c r="S250" i="6" s="1"/>
  <c r="I22" i="6"/>
  <c r="P22" i="6" s="1"/>
  <c r="V351" i="6"/>
  <c r="K351" i="6" s="1"/>
  <c r="S150" i="6"/>
  <c r="K461" i="6"/>
  <c r="V352" i="6"/>
  <c r="K352" i="6" s="1"/>
  <c r="R2485" i="6"/>
  <c r="U492" i="6"/>
  <c r="W492" i="6" s="1"/>
  <c r="V353" i="6"/>
  <c r="K353" i="6" s="1"/>
  <c r="R2537" i="6"/>
  <c r="S2537" i="6"/>
  <c r="S2542" i="6"/>
  <c r="V355" i="6"/>
  <c r="R2536" i="6"/>
  <c r="W2533" i="6"/>
  <c r="S2534" i="6" s="1"/>
  <c r="T382" i="6"/>
  <c r="V382" i="6" s="1"/>
  <c r="S2563" i="6"/>
  <c r="S2499" i="6"/>
  <c r="R2566" i="6"/>
  <c r="S542" i="6"/>
  <c r="K541" i="6"/>
  <c r="R2534" i="6"/>
  <c r="U98" i="6"/>
  <c r="W98" i="6" s="1"/>
  <c r="R2543" i="6"/>
  <c r="R2541" i="6"/>
  <c r="W2550" i="6"/>
  <c r="S2551" i="6" s="1"/>
  <c r="W2548" i="6"/>
  <c r="S2549" i="6" s="1"/>
  <c r="S2544" i="6"/>
  <c r="S2543" i="6"/>
  <c r="I15" i="6"/>
  <c r="S2511" i="6"/>
  <c r="R541" i="6"/>
  <c r="V254" i="6"/>
  <c r="K254" i="6" s="1"/>
  <c r="V186" i="6"/>
  <c r="U186" i="6" s="1"/>
  <c r="W186" i="6" s="1"/>
  <c r="W2554" i="6"/>
  <c r="S2555" i="6" s="1"/>
  <c r="S2550" i="6"/>
  <c r="W2495" i="6"/>
  <c r="S2496" i="6" s="1"/>
  <c r="S2548" i="6"/>
  <c r="W2544" i="6"/>
  <c r="S2545" i="6" s="1"/>
  <c r="R2546" i="6"/>
  <c r="V248" i="6"/>
  <c r="U248" i="6" s="1"/>
  <c r="W248" i="6" s="1"/>
  <c r="R2545" i="6"/>
  <c r="R2540" i="6"/>
  <c r="S2554" i="6"/>
  <c r="R2550" i="6"/>
  <c r="R2495" i="6"/>
  <c r="S2557" i="6"/>
  <c r="R2516" i="6"/>
  <c r="R2517" i="6"/>
  <c r="R508" i="6"/>
  <c r="R397" i="6"/>
  <c r="V250" i="6"/>
  <c r="K250" i="6" s="1"/>
  <c r="V245" i="6"/>
  <c r="R245" i="6" s="1"/>
  <c r="R2556" i="6"/>
  <c r="R2539" i="6"/>
  <c r="T542" i="6"/>
  <c r="T543" i="6" s="1"/>
  <c r="K397" i="6"/>
  <c r="V540" i="6"/>
  <c r="S541" i="6" s="1"/>
  <c r="V247" i="6"/>
  <c r="U247" i="6" s="1"/>
  <c r="W247" i="6" s="1"/>
  <c r="S2487" i="6"/>
  <c r="R2563" i="6"/>
  <c r="S2536" i="6"/>
  <c r="S2501" i="6"/>
  <c r="R2557" i="6"/>
  <c r="R2499" i="6"/>
  <c r="S2568" i="6"/>
  <c r="R2513" i="6"/>
  <c r="U397" i="6"/>
  <c r="W397" i="6" s="1"/>
  <c r="R145" i="6"/>
  <c r="V539" i="6"/>
  <c r="U539" i="6" s="1"/>
  <c r="W539" i="6" s="1"/>
  <c r="V243" i="6"/>
  <c r="U243" i="6" s="1"/>
  <c r="W243" i="6" s="1"/>
  <c r="R2549" i="6"/>
  <c r="R2512" i="6"/>
  <c r="S2494" i="6"/>
  <c r="R2555" i="6"/>
  <c r="R2496" i="6"/>
  <c r="R381" i="6"/>
  <c r="S382" i="6"/>
  <c r="S2562" i="6"/>
  <c r="W2521" i="6"/>
  <c r="S2522" i="6" s="1"/>
  <c r="S2581" i="6"/>
  <c r="S2525" i="6"/>
  <c r="R474" i="6"/>
  <c r="V445" i="6"/>
  <c r="U445" i="6" s="1"/>
  <c r="W445" i="6" s="1"/>
  <c r="U85" i="6"/>
  <c r="W85" i="6" s="1"/>
  <c r="R2559" i="6"/>
  <c r="R2507" i="6"/>
  <c r="R2493" i="6"/>
  <c r="R2561" i="6"/>
  <c r="R2568" i="6"/>
  <c r="W2512" i="6"/>
  <c r="S2513" i="6" s="1"/>
  <c r="S2504" i="6"/>
  <c r="R2488" i="6"/>
  <c r="W2557" i="6"/>
  <c r="S2558" i="6" s="1"/>
  <c r="R2578" i="6"/>
  <c r="T447" i="6"/>
  <c r="R2562" i="6"/>
  <c r="S2575" i="6"/>
  <c r="R2505" i="6"/>
  <c r="W2565" i="6"/>
  <c r="S2566" i="6" s="1"/>
  <c r="S2565" i="6"/>
  <c r="R2503" i="6"/>
  <c r="V523" i="6"/>
  <c r="S524" i="6" s="1"/>
  <c r="V339" i="6"/>
  <c r="R339" i="6" s="1"/>
  <c r="I26" i="6"/>
  <c r="P26" i="6" s="1"/>
  <c r="R2494" i="6"/>
  <c r="R2564" i="6"/>
  <c r="R2500" i="6"/>
  <c r="W2485" i="6"/>
  <c r="S2486" i="6" s="1"/>
  <c r="W2525" i="6"/>
  <c r="S2526" i="6" s="1"/>
  <c r="W2520" i="6"/>
  <c r="S2521" i="6" s="1"/>
  <c r="W2581" i="6"/>
  <c r="S2506" i="6"/>
  <c r="W2499" i="6"/>
  <c r="S2500" i="6" s="1"/>
  <c r="S2512" i="6"/>
  <c r="R201" i="6"/>
  <c r="W2516" i="6"/>
  <c r="S2517" i="6" s="1"/>
  <c r="R2486" i="6"/>
  <c r="R2522" i="6"/>
  <c r="S2559" i="6"/>
  <c r="W2559" i="6"/>
  <c r="S2560" i="6" s="1"/>
  <c r="V522" i="6"/>
  <c r="K522" i="6" s="1"/>
  <c r="R2502" i="6"/>
  <c r="R2572" i="6"/>
  <c r="R2524" i="6"/>
  <c r="W2501" i="6"/>
  <c r="S2502" i="6" s="1"/>
  <c r="S2580" i="6"/>
  <c r="W2506" i="6"/>
  <c r="S2507" i="6" s="1"/>
  <c r="S2573" i="6"/>
  <c r="V524" i="6"/>
  <c r="R2565" i="6"/>
  <c r="S2516" i="6"/>
  <c r="S2552" i="6"/>
  <c r="K380" i="6"/>
  <c r="R446" i="6"/>
  <c r="K85" i="6"/>
  <c r="R521" i="6"/>
  <c r="S86" i="6"/>
  <c r="R2519" i="6"/>
  <c r="W2496" i="6"/>
  <c r="S2497" i="6" s="1"/>
  <c r="W2555" i="6"/>
  <c r="S2556" i="6" s="1"/>
  <c r="R2501" i="6"/>
  <c r="R2579" i="6"/>
  <c r="R2573" i="6"/>
  <c r="S2519" i="6"/>
  <c r="K146" i="6"/>
  <c r="V335" i="6"/>
  <c r="R335" i="6" s="1"/>
  <c r="R2521" i="6"/>
  <c r="R2552" i="6"/>
  <c r="S2485" i="6"/>
  <c r="S2576" i="6"/>
  <c r="R507" i="6"/>
  <c r="K507" i="6"/>
  <c r="R272" i="6"/>
  <c r="K272" i="6"/>
  <c r="R255" i="6"/>
  <c r="K255" i="6"/>
  <c r="U507" i="6"/>
  <c r="W507" i="6" s="1"/>
  <c r="V184" i="6"/>
  <c r="S185" i="6" s="1"/>
  <c r="T511" i="6"/>
  <c r="T512" i="6" s="1"/>
  <c r="T202" i="6"/>
  <c r="S493" i="6"/>
  <c r="K462" i="6"/>
  <c r="U147" i="6"/>
  <c r="W147" i="6" s="1"/>
  <c r="V287" i="6"/>
  <c r="K287" i="6" s="1"/>
  <c r="V181" i="6"/>
  <c r="R181" i="6" s="1"/>
  <c r="V493" i="6"/>
  <c r="S494" i="6" s="1"/>
  <c r="V200" i="6"/>
  <c r="K200" i="6" s="1"/>
  <c r="V271" i="6"/>
  <c r="U271" i="6" s="1"/>
  <c r="W271" i="6" s="1"/>
  <c r="V240" i="6"/>
  <c r="S241" i="6" s="1"/>
  <c r="V267" i="6"/>
  <c r="K267" i="6" s="1"/>
  <c r="V341" i="6"/>
  <c r="S342" i="6" s="1"/>
  <c r="V182" i="6"/>
  <c r="K182" i="6" s="1"/>
  <c r="R2492" i="6"/>
  <c r="R2491" i="6"/>
  <c r="V510" i="6"/>
  <c r="R288" i="6"/>
  <c r="V502" i="6"/>
  <c r="S503" i="6" s="1"/>
  <c r="V196" i="6"/>
  <c r="S197" i="6" s="1"/>
  <c r="V501" i="6"/>
  <c r="R501" i="6" s="1"/>
  <c r="V180" i="6"/>
  <c r="R180" i="6" s="1"/>
  <c r="S148" i="6"/>
  <c r="R462" i="6"/>
  <c r="S492" i="6"/>
  <c r="V183" i="6"/>
  <c r="U183" i="6" s="1"/>
  <c r="W183" i="6" s="1"/>
  <c r="V241" i="6"/>
  <c r="U241" i="6" s="1"/>
  <c r="W241" i="6" s="1"/>
  <c r="V198" i="6"/>
  <c r="K198" i="6" s="1"/>
  <c r="V244" i="6"/>
  <c r="K244" i="6" s="1"/>
  <c r="K192" i="6"/>
  <c r="V257" i="6"/>
  <c r="V497" i="6"/>
  <c r="K497" i="6" s="1"/>
  <c r="V503" i="6"/>
  <c r="S504" i="6" s="1"/>
  <c r="V264" i="6"/>
  <c r="S265" i="6" s="1"/>
  <c r="V498" i="6"/>
  <c r="R498" i="6" s="1"/>
  <c r="V194" i="6"/>
  <c r="R194" i="6" s="1"/>
  <c r="V253" i="6"/>
  <c r="K253" i="6" s="1"/>
  <c r="V259" i="6"/>
  <c r="U259" i="6" s="1"/>
  <c r="W259" i="6" s="1"/>
  <c r="V199" i="6"/>
  <c r="K199" i="6" s="1"/>
  <c r="I28" i="6"/>
  <c r="P28" i="6" s="1"/>
  <c r="U2439" i="6"/>
  <c r="R2439" i="6" s="1"/>
  <c r="T477" i="6"/>
  <c r="V476" i="6"/>
  <c r="U178" i="6"/>
  <c r="W178" i="6" s="1"/>
  <c r="R147" i="6"/>
  <c r="T188" i="6"/>
  <c r="T189" i="6" s="1"/>
  <c r="T2460" i="6"/>
  <c r="U2459" i="6"/>
  <c r="S2459" i="6" s="1"/>
  <c r="S147" i="6"/>
  <c r="U201" i="6"/>
  <c r="W201" i="6" s="1"/>
  <c r="R146" i="6"/>
  <c r="U541" i="6"/>
  <c r="W541" i="6" s="1"/>
  <c r="U286" i="6"/>
  <c r="W286" i="6" s="1"/>
  <c r="V242" i="6"/>
  <c r="U242" i="6" s="1"/>
  <c r="W242" i="6" s="1"/>
  <c r="V494" i="6"/>
  <c r="S495" i="6" s="1"/>
  <c r="V261" i="6"/>
  <c r="K261" i="6" s="1"/>
  <c r="V337" i="6"/>
  <c r="T289" i="6"/>
  <c r="T290" i="6" s="1"/>
  <c r="K178" i="6"/>
  <c r="V195" i="6"/>
  <c r="R195" i="6" s="1"/>
  <c r="V185" i="6"/>
  <c r="U185" i="6" s="1"/>
  <c r="W185" i="6" s="1"/>
  <c r="U444" i="6"/>
  <c r="W444" i="6" s="1"/>
  <c r="K491" i="6"/>
  <c r="S445" i="6"/>
  <c r="R286" i="6"/>
  <c r="U273" i="6"/>
  <c r="W273" i="6" s="1"/>
  <c r="U491" i="6"/>
  <c r="W491" i="6" s="1"/>
  <c r="V505" i="6"/>
  <c r="R505" i="6" s="1"/>
  <c r="V251" i="6"/>
  <c r="S252" i="6" s="1"/>
  <c r="V504" i="6"/>
  <c r="K504" i="6" s="1"/>
  <c r="V500" i="6"/>
  <c r="R500" i="6" s="1"/>
  <c r="V252" i="6"/>
  <c r="K252" i="6" s="1"/>
  <c r="V193" i="6"/>
  <c r="U193" i="6" s="1"/>
  <c r="W193" i="6" s="1"/>
  <c r="T87" i="6"/>
  <c r="S116" i="6"/>
  <c r="K115" i="6"/>
  <c r="U115" i="6"/>
  <c r="W115" i="6" s="1"/>
  <c r="T370" i="6"/>
  <c r="V369" i="6"/>
  <c r="U369" i="6" s="1"/>
  <c r="W369" i="6" s="1"/>
  <c r="T117" i="6"/>
  <c r="V116" i="6"/>
  <c r="S351" i="6"/>
  <c r="K350" i="6"/>
  <c r="K227" i="6"/>
  <c r="U2466" i="6"/>
  <c r="T2467" i="6"/>
  <c r="T424" i="6"/>
  <c r="V423" i="6"/>
  <c r="S289" i="6"/>
  <c r="K288" i="6"/>
  <c r="U288" i="6"/>
  <c r="W288" i="6" s="1"/>
  <c r="S180" i="6"/>
  <c r="U179" i="6"/>
  <c r="W179" i="6" s="1"/>
  <c r="U2582" i="6"/>
  <c r="W2582" i="6" s="1"/>
  <c r="T2583" i="6"/>
  <c r="K2582" i="6"/>
  <c r="T2716" i="6"/>
  <c r="U2715" i="6"/>
  <c r="W2715" i="6" s="1"/>
  <c r="T100" i="6"/>
  <c r="R99" i="6"/>
  <c r="T464" i="6"/>
  <c r="V463" i="6"/>
  <c r="U463" i="6" s="1"/>
  <c r="W463" i="6" s="1"/>
  <c r="S202" i="6"/>
  <c r="K201" i="6"/>
  <c r="S146" i="6"/>
  <c r="I10" i="6"/>
  <c r="P10" i="6" s="1"/>
  <c r="U2620" i="6"/>
  <c r="W2620" i="6" s="1"/>
  <c r="T2621" i="6"/>
  <c r="K2715" i="6"/>
  <c r="R2448" i="6"/>
  <c r="W2448" i="6"/>
  <c r="S2448" i="6"/>
  <c r="U2601" i="6"/>
  <c r="W2601" i="6" s="1"/>
  <c r="T2602" i="6"/>
  <c r="S133" i="6"/>
  <c r="R132" i="6"/>
  <c r="K132" i="6"/>
  <c r="U132" i="6"/>
  <c r="W132" i="6" s="1"/>
  <c r="U227" i="6"/>
  <c r="W227" i="6" s="1"/>
  <c r="S188" i="6"/>
  <c r="R187" i="6"/>
  <c r="U187" i="6"/>
  <c r="W187" i="6" s="1"/>
  <c r="R227" i="6"/>
  <c r="U99" i="6"/>
  <c r="W99" i="6" s="1"/>
  <c r="S100" i="6"/>
  <c r="K99" i="6"/>
  <c r="K2678" i="6"/>
  <c r="U2696" i="6"/>
  <c r="W2696" i="6" s="1"/>
  <c r="T2697" i="6"/>
  <c r="K2696" i="6"/>
  <c r="R179" i="6"/>
  <c r="K179" i="6"/>
  <c r="K446" i="6"/>
  <c r="S447" i="6"/>
  <c r="S149" i="6"/>
  <c r="R148" i="6"/>
  <c r="U148" i="6"/>
  <c r="W148" i="6" s="1"/>
  <c r="V86" i="6"/>
  <c r="T526" i="6"/>
  <c r="V525" i="6"/>
  <c r="R525" i="6" s="1"/>
  <c r="T152" i="6"/>
  <c r="V151" i="6"/>
  <c r="R151" i="6" s="1"/>
  <c r="I11" i="6"/>
  <c r="K11" i="6" s="1"/>
  <c r="I18" i="6"/>
  <c r="P18" i="6" s="1"/>
  <c r="I20" i="6"/>
  <c r="P20" i="6" s="1"/>
  <c r="T2640" i="6"/>
  <c r="U2639" i="6"/>
  <c r="W2639" i="6" s="1"/>
  <c r="T2659" i="6"/>
  <c r="U2658" i="6"/>
  <c r="W2658" i="6" s="1"/>
  <c r="T2441" i="6"/>
  <c r="U2440" i="6"/>
  <c r="T2450" i="6"/>
  <c r="U2449" i="6"/>
  <c r="U381" i="6"/>
  <c r="W381" i="6" s="1"/>
  <c r="K381" i="6"/>
  <c r="R2489" i="6"/>
  <c r="S2489" i="6"/>
  <c r="W2489" i="6"/>
  <c r="S2490" i="6" s="1"/>
  <c r="V210" i="6"/>
  <c r="T211" i="6"/>
  <c r="T399" i="6"/>
  <c r="V398" i="6"/>
  <c r="R398" i="6" s="1"/>
  <c r="R2497" i="6"/>
  <c r="W2497" i="6"/>
  <c r="S2498" i="6" s="1"/>
  <c r="T2679" i="6"/>
  <c r="V2679" i="6" s="1"/>
  <c r="U2678" i="6"/>
  <c r="R2457" i="6"/>
  <c r="S2457" i="6"/>
  <c r="W2457" i="6"/>
  <c r="S2458" i="6" s="1"/>
  <c r="V342" i="6"/>
  <c r="T343" i="6"/>
  <c r="V274" i="6"/>
  <c r="T275" i="6"/>
  <c r="U474" i="6"/>
  <c r="W474" i="6" s="1"/>
  <c r="R304" i="6"/>
  <c r="I23" i="6"/>
  <c r="I19" i="6"/>
  <c r="I12" i="6"/>
  <c r="U272" i="6"/>
  <c r="W272" i="6" s="1"/>
  <c r="K427" i="6"/>
  <c r="I17" i="6"/>
  <c r="I21" i="6"/>
  <c r="R427" i="6"/>
  <c r="U192" i="6"/>
  <c r="W192" i="6" s="1"/>
  <c r="K474" i="6"/>
  <c r="I25" i="6"/>
  <c r="I24" i="6"/>
  <c r="I27" i="6"/>
  <c r="S193" i="6"/>
  <c r="U255" i="6"/>
  <c r="W255" i="6" s="1"/>
  <c r="I14" i="6"/>
  <c r="S274" i="6"/>
  <c r="S334" i="6"/>
  <c r="U162" i="6"/>
  <c r="W162" i="6" s="1"/>
  <c r="U350" i="6"/>
  <c r="W350" i="6" s="1"/>
  <c r="K492" i="6"/>
  <c r="R273" i="6"/>
  <c r="R333" i="6"/>
  <c r="R162" i="6"/>
  <c r="U508" i="6"/>
  <c r="W508" i="6" s="1"/>
  <c r="R98" i="6"/>
  <c r="K98" i="6"/>
  <c r="U333" i="6"/>
  <c r="W333" i="6" s="1"/>
  <c r="R303" i="6"/>
  <c r="U303" i="6"/>
  <c r="W303" i="6" s="1"/>
  <c r="R350" i="6"/>
  <c r="K508" i="6"/>
  <c r="K162" i="6"/>
  <c r="S522" i="6"/>
  <c r="K303" i="6"/>
  <c r="U446" i="6"/>
  <c r="W446" i="6" s="1"/>
  <c r="S227" i="6"/>
  <c r="U226" i="6"/>
  <c r="W226" i="6" s="1"/>
  <c r="R443" i="6"/>
  <c r="R414" i="6"/>
  <c r="S305" i="6"/>
  <c r="U304" i="6"/>
  <c r="W304" i="6" s="1"/>
  <c r="S134" i="6"/>
  <c r="K133" i="6"/>
  <c r="R133" i="6"/>
  <c r="U414" i="6"/>
  <c r="W414" i="6" s="1"/>
  <c r="K414" i="6"/>
  <c r="U443" i="6"/>
  <c r="W443" i="6" s="1"/>
  <c r="S368" i="6"/>
  <c r="K367" i="6"/>
  <c r="U367" i="6"/>
  <c r="W367" i="6" s="1"/>
  <c r="R226" i="6"/>
  <c r="K226" i="6"/>
  <c r="S240" i="6"/>
  <c r="U239" i="6"/>
  <c r="W239" i="6" s="1"/>
  <c r="K239" i="6"/>
  <c r="R239" i="6"/>
  <c r="K260" i="6" l="1"/>
  <c r="U260" i="6"/>
  <c r="W260" i="6" s="1"/>
  <c r="S261" i="6"/>
  <c r="S419" i="6"/>
  <c r="U263" i="6"/>
  <c r="W263" i="6" s="1"/>
  <c r="S263" i="6"/>
  <c r="S306" i="6"/>
  <c r="K305" i="6"/>
  <c r="U262" i="6"/>
  <c r="W262" i="6" s="1"/>
  <c r="R305" i="6"/>
  <c r="K246" i="6"/>
  <c r="K268" i="6"/>
  <c r="K263" i="6"/>
  <c r="S264" i="6"/>
  <c r="S507" i="6"/>
  <c r="K418" i="6"/>
  <c r="R418" i="6"/>
  <c r="R431" i="6"/>
  <c r="K262" i="6"/>
  <c r="U430" i="6"/>
  <c r="W430" i="6" s="1"/>
  <c r="R340" i="6"/>
  <c r="S341" i="6"/>
  <c r="R246" i="6"/>
  <c r="K269" i="6"/>
  <c r="U246" i="6"/>
  <c r="W246" i="6" s="1"/>
  <c r="K266" i="6"/>
  <c r="U496" i="6"/>
  <c r="W496" i="6" s="1"/>
  <c r="U340" i="6"/>
  <c r="W340" i="6" s="1"/>
  <c r="K430" i="6"/>
  <c r="U495" i="6"/>
  <c r="W495" i="6" s="1"/>
  <c r="S2476" i="6"/>
  <c r="R440" i="6"/>
  <c r="U433" i="6"/>
  <c r="W433" i="6" s="1"/>
  <c r="R430" i="6"/>
  <c r="R2476" i="6"/>
  <c r="S267" i="6"/>
  <c r="U440" i="6"/>
  <c r="W440" i="6" s="1"/>
  <c r="R496" i="6"/>
  <c r="K440" i="6"/>
  <c r="R435" i="6"/>
  <c r="U266" i="6"/>
  <c r="W266" i="6" s="1"/>
  <c r="K496" i="6"/>
  <c r="K270" i="6"/>
  <c r="K258" i="6"/>
  <c r="V229" i="6"/>
  <c r="R229" i="6" s="1"/>
  <c r="R439" i="6"/>
  <c r="U270" i="6"/>
  <c r="W270" i="6" s="1"/>
  <c r="S271" i="6"/>
  <c r="K433" i="6"/>
  <c r="R495" i="6"/>
  <c r="S269" i="6"/>
  <c r="R433" i="6"/>
  <c r="R268" i="6"/>
  <c r="K495" i="6"/>
  <c r="R269" i="6"/>
  <c r="K265" i="6"/>
  <c r="S270" i="6"/>
  <c r="S266" i="6"/>
  <c r="T309" i="6"/>
  <c r="T310" i="6" s="1"/>
  <c r="U258" i="6"/>
  <c r="W258" i="6" s="1"/>
  <c r="R265" i="6"/>
  <c r="R258" i="6"/>
  <c r="S433" i="6"/>
  <c r="R441" i="6"/>
  <c r="R442" i="6"/>
  <c r="R428" i="6"/>
  <c r="S443" i="6"/>
  <c r="R197" i="6"/>
  <c r="U336" i="6"/>
  <c r="W336" i="6" s="1"/>
  <c r="S476" i="6"/>
  <c r="K441" i="6"/>
  <c r="U442" i="6"/>
  <c r="W442" i="6" s="1"/>
  <c r="R336" i="6"/>
  <c r="S337" i="6"/>
  <c r="K432" i="6"/>
  <c r="S198" i="6"/>
  <c r="U441" i="6"/>
  <c r="W441" i="6" s="1"/>
  <c r="V306" i="6"/>
  <c r="S307" i="6" s="1"/>
  <c r="U434" i="6"/>
  <c r="W434" i="6" s="1"/>
  <c r="R434" i="6"/>
  <c r="U432" i="6"/>
  <c r="W432" i="6" s="1"/>
  <c r="K428" i="6"/>
  <c r="S435" i="6"/>
  <c r="K197" i="6"/>
  <c r="S429" i="6"/>
  <c r="V307" i="6"/>
  <c r="K307" i="6" s="1"/>
  <c r="R506" i="6"/>
  <c r="K431" i="6"/>
  <c r="S430" i="6"/>
  <c r="K436" i="6"/>
  <c r="K338" i="6"/>
  <c r="K429" i="6"/>
  <c r="R429" i="6"/>
  <c r="R475" i="6"/>
  <c r="R163" i="6"/>
  <c r="S436" i="6"/>
  <c r="T2477" i="6"/>
  <c r="T2478" i="6" s="1"/>
  <c r="U2478" i="6" s="1"/>
  <c r="K499" i="6"/>
  <c r="S339" i="6"/>
  <c r="R499" i="6"/>
  <c r="S432" i="6"/>
  <c r="K475" i="6"/>
  <c r="K163" i="6"/>
  <c r="U163" i="6"/>
  <c r="W163" i="6" s="1"/>
  <c r="K435" i="6"/>
  <c r="U499" i="6"/>
  <c r="W499" i="6" s="1"/>
  <c r="R338" i="6"/>
  <c r="S440" i="6"/>
  <c r="K439" i="6"/>
  <c r="V228" i="6"/>
  <c r="U228" i="6" s="1"/>
  <c r="W228" i="6" s="1"/>
  <c r="T323" i="6"/>
  <c r="U506" i="6"/>
  <c r="W506" i="6" s="1"/>
  <c r="K437" i="6"/>
  <c r="S437" i="6"/>
  <c r="U417" i="6"/>
  <c r="W417" i="6" s="1"/>
  <c r="K334" i="6"/>
  <c r="R438" i="6"/>
  <c r="R436" i="6"/>
  <c r="S2768" i="6"/>
  <c r="K13" i="6"/>
  <c r="U334" i="6"/>
  <c r="W334" i="6" s="1"/>
  <c r="S439" i="6"/>
  <c r="U2769" i="6"/>
  <c r="W2768" i="6"/>
  <c r="R334" i="6"/>
  <c r="K417" i="6"/>
  <c r="U437" i="6"/>
  <c r="W437" i="6" s="1"/>
  <c r="U438" i="6"/>
  <c r="W438" i="6" s="1"/>
  <c r="S418" i="6"/>
  <c r="R437" i="6"/>
  <c r="U2749" i="6"/>
  <c r="S2748" i="6"/>
  <c r="W2748" i="6"/>
  <c r="U2740" i="6"/>
  <c r="W2739" i="6"/>
  <c r="S2739" i="6"/>
  <c r="U2760" i="6"/>
  <c r="W2759" i="6"/>
  <c r="S2759" i="6"/>
  <c r="K173" i="6"/>
  <c r="S174" i="6"/>
  <c r="U173" i="6"/>
  <c r="W173" i="6" s="1"/>
  <c r="S175" i="6"/>
  <c r="K166" i="6"/>
  <c r="S173" i="6"/>
  <c r="S167" i="6"/>
  <c r="R176" i="6"/>
  <c r="U176" i="6"/>
  <c r="W176" i="6" s="1"/>
  <c r="U171" i="6"/>
  <c r="W171" i="6" s="1"/>
  <c r="U165" i="6"/>
  <c r="W165" i="6" s="1"/>
  <c r="K174" i="6"/>
  <c r="K171" i="6"/>
  <c r="K177" i="6"/>
  <c r="U177" i="6"/>
  <c r="W177" i="6" s="1"/>
  <c r="K168" i="6"/>
  <c r="U170" i="6"/>
  <c r="W170" i="6" s="1"/>
  <c r="R165" i="6"/>
  <c r="S178" i="6"/>
  <c r="U172" i="6"/>
  <c r="W172" i="6" s="1"/>
  <c r="U168" i="6"/>
  <c r="W168" i="6" s="1"/>
  <c r="K165" i="6"/>
  <c r="U166" i="6"/>
  <c r="W166" i="6" s="1"/>
  <c r="K169" i="6"/>
  <c r="R172" i="6"/>
  <c r="S171" i="6"/>
  <c r="R174" i="6"/>
  <c r="S165" i="6"/>
  <c r="R170" i="6"/>
  <c r="R168" i="6"/>
  <c r="V134" i="6"/>
  <c r="R134" i="6" s="1"/>
  <c r="S170" i="6"/>
  <c r="K164" i="6"/>
  <c r="S172" i="6"/>
  <c r="K176" i="6"/>
  <c r="K16" i="6"/>
  <c r="R169" i="6"/>
  <c r="R164" i="6"/>
  <c r="K175" i="6"/>
  <c r="R175" i="6"/>
  <c r="U175" i="6"/>
  <c r="W175" i="6" s="1"/>
  <c r="U167" i="6"/>
  <c r="W167" i="6" s="1"/>
  <c r="K167" i="6"/>
  <c r="R167" i="6"/>
  <c r="K18" i="6"/>
  <c r="S251" i="6"/>
  <c r="R509" i="6"/>
  <c r="K264" i="6"/>
  <c r="R264" i="6"/>
  <c r="U250" i="6"/>
  <c r="W250" i="6" s="1"/>
  <c r="S182" i="6"/>
  <c r="U356" i="6"/>
  <c r="W356" i="6" s="1"/>
  <c r="K356" i="6"/>
  <c r="S357" i="6"/>
  <c r="K195" i="6"/>
  <c r="K241" i="6"/>
  <c r="S423" i="6"/>
  <c r="R242" i="6"/>
  <c r="U195" i="6"/>
  <c r="W195" i="6" s="1"/>
  <c r="R248" i="6"/>
  <c r="S196" i="6"/>
  <c r="R419" i="6"/>
  <c r="R354" i="6"/>
  <c r="S420" i="6"/>
  <c r="K354" i="6"/>
  <c r="K186" i="6"/>
  <c r="R186" i="6"/>
  <c r="U354" i="6"/>
  <c r="W354" i="6" s="1"/>
  <c r="K422" i="6"/>
  <c r="S187" i="6"/>
  <c r="R254" i="6"/>
  <c r="K419" i="6"/>
  <c r="U422" i="6"/>
  <c r="W422" i="6" s="1"/>
  <c r="K183" i="6"/>
  <c r="R523" i="6"/>
  <c r="U251" i="6"/>
  <c r="W251" i="6" s="1"/>
  <c r="S369" i="6"/>
  <c r="K421" i="6"/>
  <c r="R420" i="6"/>
  <c r="R200" i="6"/>
  <c r="K540" i="6"/>
  <c r="S201" i="6"/>
  <c r="S249" i="6"/>
  <c r="U540" i="6"/>
  <c r="W540" i="6" s="1"/>
  <c r="R241" i="6"/>
  <c r="K341" i="6"/>
  <c r="R357" i="6"/>
  <c r="S242" i="6"/>
  <c r="K242" i="6"/>
  <c r="S499" i="6"/>
  <c r="U420" i="6"/>
  <c r="W420" i="6" s="1"/>
  <c r="K445" i="6"/>
  <c r="S446" i="6"/>
  <c r="R243" i="6"/>
  <c r="U494" i="6"/>
  <c r="W494" i="6" s="1"/>
  <c r="R368" i="6"/>
  <c r="S421" i="6"/>
  <c r="R415" i="6"/>
  <c r="S243" i="6"/>
  <c r="U415" i="6"/>
  <c r="W415" i="6" s="1"/>
  <c r="R421" i="6"/>
  <c r="U421" i="6"/>
  <c r="W421" i="6" s="1"/>
  <c r="R352" i="6"/>
  <c r="S416" i="6"/>
  <c r="S353" i="6"/>
  <c r="R267" i="6"/>
  <c r="U368" i="6"/>
  <c r="W368" i="6" s="1"/>
  <c r="U252" i="6"/>
  <c r="W252" i="6" s="1"/>
  <c r="U352" i="6"/>
  <c r="W352" i="6" s="1"/>
  <c r="S248" i="6"/>
  <c r="R183" i="6"/>
  <c r="U351" i="6"/>
  <c r="W351" i="6" s="1"/>
  <c r="U505" i="6"/>
  <c r="W505" i="6" s="1"/>
  <c r="S358" i="6"/>
  <c r="K357" i="6"/>
  <c r="S184" i="6"/>
  <c r="U416" i="6"/>
  <c r="W416" i="6" s="1"/>
  <c r="R416" i="6"/>
  <c r="S510" i="6"/>
  <c r="K509" i="6"/>
  <c r="S417" i="6"/>
  <c r="R351" i="6"/>
  <c r="T136" i="6"/>
  <c r="V135" i="6"/>
  <c r="S352" i="6"/>
  <c r="U353" i="6"/>
  <c r="W353" i="6" s="1"/>
  <c r="R540" i="6"/>
  <c r="T383" i="6"/>
  <c r="V383" i="6" s="1"/>
  <c r="U383" i="6" s="1"/>
  <c r="W383" i="6" s="1"/>
  <c r="R250" i="6"/>
  <c r="R247" i="6"/>
  <c r="R353" i="6"/>
  <c r="U264" i="6"/>
  <c r="W264" i="6" s="1"/>
  <c r="U267" i="6"/>
  <c r="W267" i="6" s="1"/>
  <c r="K259" i="6"/>
  <c r="R445" i="6"/>
  <c r="K358" i="6"/>
  <c r="S246" i="6"/>
  <c r="K505" i="6"/>
  <c r="K247" i="6"/>
  <c r="S354" i="6"/>
  <c r="S506" i="6"/>
  <c r="U525" i="6"/>
  <c r="W525" i="6" s="1"/>
  <c r="S268" i="6"/>
  <c r="K335" i="6"/>
  <c r="R358" i="6"/>
  <c r="U358" i="6"/>
  <c r="W358" i="6" s="1"/>
  <c r="R261" i="6"/>
  <c r="U261" i="6"/>
  <c r="W261" i="6" s="1"/>
  <c r="R494" i="6"/>
  <c r="K22" i="6"/>
  <c r="W2439" i="6"/>
  <c r="S2440" i="6" s="1"/>
  <c r="R503" i="6"/>
  <c r="S2439" i="6"/>
  <c r="U184" i="6"/>
  <c r="W184" i="6" s="1"/>
  <c r="U497" i="6"/>
  <c r="W497" i="6" s="1"/>
  <c r="K184" i="6"/>
  <c r="R249" i="6"/>
  <c r="K503" i="6"/>
  <c r="S356" i="6"/>
  <c r="K355" i="6"/>
  <c r="R355" i="6"/>
  <c r="S262" i="6"/>
  <c r="S498" i="6"/>
  <c r="U181" i="6"/>
  <c r="W181" i="6" s="1"/>
  <c r="S244" i="6"/>
  <c r="U249" i="6"/>
  <c r="W249" i="6" s="1"/>
  <c r="V542" i="6"/>
  <c r="R542" i="6" s="1"/>
  <c r="K249" i="6"/>
  <c r="S340" i="6"/>
  <c r="R497" i="6"/>
  <c r="R184" i="6"/>
  <c r="K181" i="6"/>
  <c r="K28" i="6"/>
  <c r="K26" i="6"/>
  <c r="K339" i="6"/>
  <c r="U339" i="6"/>
  <c r="W339" i="6" s="1"/>
  <c r="K243" i="6"/>
  <c r="U355" i="6"/>
  <c r="W355" i="6" s="1"/>
  <c r="U503" i="6"/>
  <c r="W503" i="6" s="1"/>
  <c r="T360" i="6"/>
  <c r="V359" i="6"/>
  <c r="S260" i="6"/>
  <c r="K523" i="6"/>
  <c r="K494" i="6"/>
  <c r="U198" i="6"/>
  <c r="W198" i="6" s="1"/>
  <c r="S199" i="6"/>
  <c r="U522" i="6"/>
  <c r="W522" i="6" s="1"/>
  <c r="K194" i="6"/>
  <c r="K248" i="6"/>
  <c r="U254" i="6"/>
  <c r="W254" i="6" s="1"/>
  <c r="P15" i="6"/>
  <c r="K15" i="6"/>
  <c r="U194" i="6"/>
  <c r="W194" i="6" s="1"/>
  <c r="U341" i="6"/>
  <c r="W341" i="6" s="1"/>
  <c r="U523" i="6"/>
  <c r="W523" i="6" s="1"/>
  <c r="S255" i="6"/>
  <c r="K245" i="6"/>
  <c r="U245" i="6"/>
  <c r="W245" i="6" s="1"/>
  <c r="S195" i="6"/>
  <c r="R341" i="6"/>
  <c r="R539" i="6"/>
  <c r="K539" i="6"/>
  <c r="S540" i="6"/>
  <c r="S525" i="6"/>
  <c r="R524" i="6"/>
  <c r="K524" i="6"/>
  <c r="S336" i="6"/>
  <c r="U493" i="6"/>
  <c r="W493" i="6" s="1"/>
  <c r="U335" i="6"/>
  <c r="W335" i="6" s="1"/>
  <c r="R287" i="6"/>
  <c r="V511" i="6"/>
  <c r="R511" i="6" s="1"/>
  <c r="V188" i="6"/>
  <c r="S189" i="6" s="1"/>
  <c r="S523" i="6"/>
  <c r="R493" i="6"/>
  <c r="S288" i="6"/>
  <c r="R182" i="6"/>
  <c r="U287" i="6"/>
  <c r="W287" i="6" s="1"/>
  <c r="U524" i="6"/>
  <c r="W524" i="6" s="1"/>
  <c r="R193" i="6"/>
  <c r="R522" i="6"/>
  <c r="K493" i="6"/>
  <c r="T448" i="6"/>
  <c r="V447" i="6"/>
  <c r="K510" i="6"/>
  <c r="S511" i="6"/>
  <c r="U510" i="6"/>
  <c r="W510" i="6" s="1"/>
  <c r="U253" i="6"/>
  <c r="W253" i="6" s="1"/>
  <c r="R253" i="6"/>
  <c r="R502" i="6"/>
  <c r="K502" i="6"/>
  <c r="S254" i="6"/>
  <c r="R251" i="6"/>
  <c r="S272" i="6"/>
  <c r="R196" i="6"/>
  <c r="U199" i="6"/>
  <c r="W199" i="6" s="1"/>
  <c r="R504" i="6"/>
  <c r="K251" i="6"/>
  <c r="S245" i="6"/>
  <c r="U500" i="6"/>
  <c r="W500" i="6" s="1"/>
  <c r="S200" i="6"/>
  <c r="S338" i="6"/>
  <c r="K337" i="6"/>
  <c r="R337" i="6"/>
  <c r="U257" i="6"/>
  <c r="W257" i="6" s="1"/>
  <c r="K257" i="6"/>
  <c r="R240" i="6"/>
  <c r="K500" i="6"/>
  <c r="T291" i="6"/>
  <c r="V290" i="6"/>
  <c r="U290" i="6" s="1"/>
  <c r="W290" i="6" s="1"/>
  <c r="R199" i="6"/>
  <c r="K501" i="6"/>
  <c r="R257" i="6"/>
  <c r="U196" i="6"/>
  <c r="W196" i="6" s="1"/>
  <c r="S505" i="6"/>
  <c r="K10" i="6"/>
  <c r="V289" i="6"/>
  <c r="U289" i="6" s="1"/>
  <c r="W289" i="6" s="1"/>
  <c r="S477" i="6"/>
  <c r="R476" i="6"/>
  <c r="K476" i="6"/>
  <c r="U476" i="6"/>
  <c r="W476" i="6" s="1"/>
  <c r="K498" i="6"/>
  <c r="U498" i="6"/>
  <c r="W498" i="6" s="1"/>
  <c r="U337" i="6"/>
  <c r="W337" i="6" s="1"/>
  <c r="K240" i="6"/>
  <c r="U240" i="6"/>
  <c r="W240" i="6" s="1"/>
  <c r="T203" i="6"/>
  <c r="V202" i="6"/>
  <c r="R271" i="6"/>
  <c r="S258" i="6"/>
  <c r="S501" i="6"/>
  <c r="U501" i="6"/>
  <c r="W501" i="6" s="1"/>
  <c r="R259" i="6"/>
  <c r="R185" i="6"/>
  <c r="S186" i="6"/>
  <c r="K185" i="6"/>
  <c r="W2459" i="6"/>
  <c r="R2459" i="6"/>
  <c r="T478" i="6"/>
  <c r="V477" i="6"/>
  <c r="U182" i="6"/>
  <c r="W182" i="6" s="1"/>
  <c r="S183" i="6"/>
  <c r="R510" i="6"/>
  <c r="K271" i="6"/>
  <c r="U504" i="6"/>
  <c r="W504" i="6" s="1"/>
  <c r="U244" i="6"/>
  <c r="W244" i="6" s="1"/>
  <c r="K20" i="6"/>
  <c r="S502" i="6"/>
  <c r="S194" i="6"/>
  <c r="K193" i="6"/>
  <c r="U2460" i="6"/>
  <c r="T2461" i="6"/>
  <c r="R198" i="6"/>
  <c r="R244" i="6"/>
  <c r="K180" i="6"/>
  <c r="S181" i="6"/>
  <c r="U180" i="6"/>
  <c r="W180" i="6" s="1"/>
  <c r="K196" i="6"/>
  <c r="U200" i="6"/>
  <c r="W200" i="6" s="1"/>
  <c r="U502" i="6"/>
  <c r="W502" i="6" s="1"/>
  <c r="S253" i="6"/>
  <c r="R252" i="6"/>
  <c r="S309" i="6"/>
  <c r="R308" i="6"/>
  <c r="K308" i="6"/>
  <c r="U308" i="6"/>
  <c r="W308" i="6" s="1"/>
  <c r="T276" i="6"/>
  <c r="V275" i="6"/>
  <c r="U275" i="6" s="1"/>
  <c r="W275" i="6" s="1"/>
  <c r="R2678" i="6"/>
  <c r="S2678" i="6"/>
  <c r="W2678" i="6"/>
  <c r="S399" i="6"/>
  <c r="K398" i="6"/>
  <c r="S323" i="6"/>
  <c r="K322" i="6"/>
  <c r="T118" i="6"/>
  <c r="V117" i="6"/>
  <c r="U117" i="6" s="1"/>
  <c r="W117" i="6" s="1"/>
  <c r="T231" i="6"/>
  <c r="V230" i="6"/>
  <c r="U2441" i="6"/>
  <c r="T2442" i="6"/>
  <c r="T513" i="6"/>
  <c r="V512" i="6"/>
  <c r="T101" i="6"/>
  <c r="V100" i="6"/>
  <c r="R100" i="6" s="1"/>
  <c r="V323" i="6"/>
  <c r="T324" i="6"/>
  <c r="S275" i="6"/>
  <c r="U274" i="6"/>
  <c r="W274" i="6" s="1"/>
  <c r="K274" i="6"/>
  <c r="R274" i="6"/>
  <c r="S152" i="6"/>
  <c r="K151" i="6"/>
  <c r="U151" i="6"/>
  <c r="W151" i="6" s="1"/>
  <c r="T190" i="6"/>
  <c r="V189" i="6"/>
  <c r="U189" i="6" s="1"/>
  <c r="W189" i="6" s="1"/>
  <c r="T344" i="6"/>
  <c r="V343" i="6"/>
  <c r="U343" i="6" s="1"/>
  <c r="W343" i="6" s="1"/>
  <c r="P11" i="6"/>
  <c r="U342" i="6"/>
  <c r="W342" i="6" s="1"/>
  <c r="R342" i="6"/>
  <c r="K342" i="6"/>
  <c r="S343" i="6"/>
  <c r="V211" i="6"/>
  <c r="U211" i="6" s="1"/>
  <c r="W211" i="6" s="1"/>
  <c r="T212" i="6"/>
  <c r="S526" i="6"/>
  <c r="K525" i="6"/>
  <c r="U322" i="6"/>
  <c r="W322" i="6" s="1"/>
  <c r="T2468" i="6"/>
  <c r="U2467" i="6"/>
  <c r="T88" i="6"/>
  <c r="V87" i="6"/>
  <c r="S87" i="6"/>
  <c r="K86" i="6"/>
  <c r="T371" i="6"/>
  <c r="V370" i="6"/>
  <c r="R370" i="6" s="1"/>
  <c r="T400" i="6"/>
  <c r="V399" i="6"/>
  <c r="U399" i="6" s="1"/>
  <c r="W399" i="6" s="1"/>
  <c r="U2659" i="6"/>
  <c r="T2660" i="6"/>
  <c r="V2659" i="6"/>
  <c r="U2602" i="6"/>
  <c r="T2603" i="6"/>
  <c r="V2602" i="6"/>
  <c r="K2602" i="6" s="1"/>
  <c r="U2716" i="6"/>
  <c r="T2717" i="6"/>
  <c r="V2716" i="6"/>
  <c r="U210" i="6"/>
  <c r="W210" i="6" s="1"/>
  <c r="K210" i="6"/>
  <c r="S211" i="6"/>
  <c r="R210" i="6"/>
  <c r="R2449" i="6"/>
  <c r="S2449" i="6"/>
  <c r="W2449" i="6"/>
  <c r="K382" i="6"/>
  <c r="R382" i="6"/>
  <c r="U382" i="6"/>
  <c r="W382" i="6" s="1"/>
  <c r="S383" i="6"/>
  <c r="U2640" i="6"/>
  <c r="T2641" i="6"/>
  <c r="V2640" i="6"/>
  <c r="K2640" i="6" s="1"/>
  <c r="T527" i="6"/>
  <c r="V526" i="6"/>
  <c r="T2584" i="6"/>
  <c r="U2583" i="6"/>
  <c r="V2583" i="6"/>
  <c r="S424" i="6"/>
  <c r="U423" i="6"/>
  <c r="W423" i="6" s="1"/>
  <c r="K423" i="6"/>
  <c r="R2466" i="6"/>
  <c r="S2466" i="6"/>
  <c r="W2466" i="6"/>
  <c r="R86" i="6"/>
  <c r="K116" i="6"/>
  <c r="S117" i="6"/>
  <c r="S464" i="6"/>
  <c r="K463" i="6"/>
  <c r="R463" i="6"/>
  <c r="V152" i="6"/>
  <c r="R152" i="6" s="1"/>
  <c r="T153" i="6"/>
  <c r="U86" i="6"/>
  <c r="W86" i="6" s="1"/>
  <c r="U2450" i="6"/>
  <c r="T2451" i="6"/>
  <c r="U2621" i="6"/>
  <c r="T2622" i="6"/>
  <c r="V2621" i="6"/>
  <c r="K2621" i="6" s="1"/>
  <c r="T544" i="6"/>
  <c r="V543" i="6"/>
  <c r="R543" i="6" s="1"/>
  <c r="R423" i="6"/>
  <c r="R116" i="6"/>
  <c r="T2698" i="6"/>
  <c r="U2697" i="6"/>
  <c r="V2697" i="6"/>
  <c r="U2679" i="6"/>
  <c r="T2680" i="6"/>
  <c r="V2680" i="6" s="1"/>
  <c r="K2679" i="6"/>
  <c r="U398" i="6"/>
  <c r="W398" i="6" s="1"/>
  <c r="T465" i="6"/>
  <c r="V464" i="6"/>
  <c r="U464" i="6" s="1"/>
  <c r="W464" i="6" s="1"/>
  <c r="R2440" i="6"/>
  <c r="W2440" i="6"/>
  <c r="R322" i="6"/>
  <c r="T425" i="6"/>
  <c r="V424" i="6"/>
  <c r="R424" i="6" s="1"/>
  <c r="U116" i="6"/>
  <c r="W116" i="6" s="1"/>
  <c r="K369" i="6"/>
  <c r="R369" i="6"/>
  <c r="S370" i="6"/>
  <c r="K19" i="6"/>
  <c r="P19" i="6"/>
  <c r="K23" i="6"/>
  <c r="P23" i="6"/>
  <c r="P21" i="6"/>
  <c r="K21" i="6"/>
  <c r="P12" i="6"/>
  <c r="K12" i="6"/>
  <c r="P24" i="6"/>
  <c r="K24" i="6"/>
  <c r="K17" i="6"/>
  <c r="P17" i="6"/>
  <c r="K27" i="6"/>
  <c r="P27" i="6"/>
  <c r="K14" i="6"/>
  <c r="P14" i="6"/>
  <c r="P25" i="6"/>
  <c r="K25" i="6"/>
  <c r="V309" i="6" l="1"/>
  <c r="K309" i="6" s="1"/>
  <c r="U229" i="6"/>
  <c r="W229" i="6" s="1"/>
  <c r="K229" i="6"/>
  <c r="S230" i="6"/>
  <c r="T2479" i="6"/>
  <c r="T2480" i="6" s="1"/>
  <c r="K306" i="6"/>
  <c r="S308" i="6"/>
  <c r="U307" i="6"/>
  <c r="W307" i="6" s="1"/>
  <c r="R306" i="6"/>
  <c r="U306" i="6"/>
  <c r="W306" i="6" s="1"/>
  <c r="U2477" i="6"/>
  <c r="R2478" i="6" s="1"/>
  <c r="R307" i="6"/>
  <c r="S2769" i="6"/>
  <c r="K228" i="6"/>
  <c r="S229" i="6"/>
  <c r="R228" i="6"/>
  <c r="U2770" i="6"/>
  <c r="W2769" i="6"/>
  <c r="U2761" i="6"/>
  <c r="S2760" i="6"/>
  <c r="W2760" i="6"/>
  <c r="T384" i="6"/>
  <c r="V384" i="6" s="1"/>
  <c r="R384" i="6" s="1"/>
  <c r="S2740" i="6"/>
  <c r="W2740" i="6"/>
  <c r="U2741" i="6"/>
  <c r="U2750" i="6"/>
  <c r="W2749" i="6"/>
  <c r="S2749" i="6"/>
  <c r="S135" i="6"/>
  <c r="U134" i="6"/>
  <c r="W134" i="6" s="1"/>
  <c r="K134" i="6"/>
  <c r="K542" i="6"/>
  <c r="K511" i="6"/>
  <c r="K135" i="6"/>
  <c r="S136" i="6"/>
  <c r="R135" i="6"/>
  <c r="U135" i="6"/>
  <c r="W135" i="6" s="1"/>
  <c r="T137" i="6"/>
  <c r="V136" i="6"/>
  <c r="U188" i="6"/>
  <c r="W188" i="6" s="1"/>
  <c r="U359" i="6"/>
  <c r="W359" i="6" s="1"/>
  <c r="S360" i="6"/>
  <c r="K359" i="6"/>
  <c r="R359" i="6"/>
  <c r="K188" i="6"/>
  <c r="U542" i="6"/>
  <c r="W542" i="6" s="1"/>
  <c r="T361" i="6"/>
  <c r="V360" i="6"/>
  <c r="S543" i="6"/>
  <c r="R188" i="6"/>
  <c r="R275" i="6"/>
  <c r="R399" i="6"/>
  <c r="R343" i="6"/>
  <c r="U511" i="6"/>
  <c r="W511" i="6" s="1"/>
  <c r="S512" i="6"/>
  <c r="R289" i="6"/>
  <c r="R290" i="6"/>
  <c r="K289" i="6"/>
  <c r="S448" i="6"/>
  <c r="R447" i="6"/>
  <c r="K447" i="6"/>
  <c r="U447" i="6"/>
  <c r="W447" i="6" s="1"/>
  <c r="S290" i="6"/>
  <c r="T449" i="6"/>
  <c r="V448" i="6"/>
  <c r="U543" i="6"/>
  <c r="W543" i="6" s="1"/>
  <c r="V2584" i="6"/>
  <c r="K2584" i="6" s="1"/>
  <c r="V2660" i="6"/>
  <c r="K2660" i="6" s="1"/>
  <c r="U370" i="6"/>
  <c r="W370" i="6" s="1"/>
  <c r="R211" i="6"/>
  <c r="T2462" i="6"/>
  <c r="U2461" i="6"/>
  <c r="W2460" i="6"/>
  <c r="R2460" i="6"/>
  <c r="S2460" i="6"/>
  <c r="T204" i="6"/>
  <c r="V203" i="6"/>
  <c r="U203" i="6" s="1"/>
  <c r="W203" i="6" s="1"/>
  <c r="S291" i="6"/>
  <c r="K290" i="6"/>
  <c r="S203" i="6"/>
  <c r="R202" i="6"/>
  <c r="U202" i="6"/>
  <c r="W202" i="6" s="1"/>
  <c r="K202" i="6"/>
  <c r="V2698" i="6"/>
  <c r="K2698" i="6" s="1"/>
  <c r="K2697" i="6"/>
  <c r="S478" i="6"/>
  <c r="R477" i="6"/>
  <c r="K477" i="6"/>
  <c r="U477" i="6"/>
  <c r="W477" i="6" s="1"/>
  <c r="T292" i="6"/>
  <c r="V291" i="6"/>
  <c r="R291" i="6" s="1"/>
  <c r="T479" i="6"/>
  <c r="V478" i="6"/>
  <c r="R478" i="6" s="1"/>
  <c r="V465" i="6"/>
  <c r="R465" i="6" s="1"/>
  <c r="T466" i="6"/>
  <c r="R2679" i="6"/>
  <c r="S2679" i="6"/>
  <c r="W2679" i="6"/>
  <c r="U2622" i="6"/>
  <c r="T2623" i="6"/>
  <c r="T528" i="6"/>
  <c r="V527" i="6"/>
  <c r="U527" i="6" s="1"/>
  <c r="W527" i="6" s="1"/>
  <c r="R2716" i="6"/>
  <c r="S2716" i="6"/>
  <c r="W2716" i="6"/>
  <c r="U2468" i="6"/>
  <c r="T2469" i="6"/>
  <c r="T325" i="6"/>
  <c r="V324" i="6"/>
  <c r="U324" i="6" s="1"/>
  <c r="W324" i="6" s="1"/>
  <c r="U2442" i="6"/>
  <c r="T2443" i="6"/>
  <c r="R2621" i="6"/>
  <c r="W2621" i="6"/>
  <c r="S2621" i="6"/>
  <c r="K2583" i="6"/>
  <c r="V2641" i="6"/>
  <c r="K2641" i="6" s="1"/>
  <c r="V2603" i="6"/>
  <c r="K2603" i="6" s="1"/>
  <c r="T2661" i="6"/>
  <c r="U2660" i="6"/>
  <c r="T372" i="6"/>
  <c r="V371" i="6"/>
  <c r="R371" i="6" s="1"/>
  <c r="S344" i="6"/>
  <c r="K343" i="6"/>
  <c r="R323" i="6"/>
  <c r="S324" i="6"/>
  <c r="K323" i="6"/>
  <c r="R2441" i="6"/>
  <c r="S2441" i="6"/>
  <c r="W2441" i="6"/>
  <c r="T2452" i="6"/>
  <c r="U2451" i="6"/>
  <c r="R2583" i="6"/>
  <c r="S2583" i="6"/>
  <c r="W2583" i="6"/>
  <c r="R2659" i="6"/>
  <c r="W2659" i="6"/>
  <c r="S2659" i="6"/>
  <c r="S231" i="6"/>
  <c r="K230" i="6"/>
  <c r="T154" i="6"/>
  <c r="V153" i="6"/>
  <c r="R153" i="6" s="1"/>
  <c r="U2641" i="6"/>
  <c r="T2642" i="6"/>
  <c r="U100" i="6"/>
  <c r="W100" i="6" s="1"/>
  <c r="S101" i="6"/>
  <c r="K100" i="6"/>
  <c r="S544" i="6"/>
  <c r="K543" i="6"/>
  <c r="U152" i="6"/>
  <c r="W152" i="6" s="1"/>
  <c r="K152" i="6"/>
  <c r="S153" i="6"/>
  <c r="R2640" i="6"/>
  <c r="S2640" i="6"/>
  <c r="W2640" i="6"/>
  <c r="R2602" i="6"/>
  <c r="W2602" i="6"/>
  <c r="S2602" i="6"/>
  <c r="K87" i="6"/>
  <c r="U87" i="6"/>
  <c r="W87" i="6" s="1"/>
  <c r="S88" i="6"/>
  <c r="R87" i="6"/>
  <c r="R383" i="6"/>
  <c r="T102" i="6"/>
  <c r="V101" i="6"/>
  <c r="R101" i="6" s="1"/>
  <c r="K117" i="6"/>
  <c r="S118" i="6"/>
  <c r="R117" i="6"/>
  <c r="S276" i="6"/>
  <c r="K275" i="6"/>
  <c r="R2697" i="6"/>
  <c r="W2697" i="6"/>
  <c r="S2697" i="6"/>
  <c r="U2584" i="6"/>
  <c r="T2585" i="6"/>
  <c r="U2603" i="6"/>
  <c r="T2604" i="6"/>
  <c r="U309" i="6"/>
  <c r="W309" i="6" s="1"/>
  <c r="V544" i="6"/>
  <c r="U544" i="6" s="1"/>
  <c r="W544" i="6" s="1"/>
  <c r="T545" i="6"/>
  <c r="V2717" i="6"/>
  <c r="K2717" i="6" s="1"/>
  <c r="K399" i="6"/>
  <c r="S400" i="6"/>
  <c r="T89" i="6"/>
  <c r="V88" i="6"/>
  <c r="U88" i="6" s="1"/>
  <c r="W88" i="6" s="1"/>
  <c r="U230" i="6"/>
  <c r="W230" i="6" s="1"/>
  <c r="S190" i="6"/>
  <c r="K189" i="6"/>
  <c r="U512" i="6"/>
  <c r="W512" i="6" s="1"/>
  <c r="K512" i="6"/>
  <c r="S513" i="6"/>
  <c r="T119" i="6"/>
  <c r="V118" i="6"/>
  <c r="R118" i="6" s="1"/>
  <c r="T277" i="6"/>
  <c r="V276" i="6"/>
  <c r="U276" i="6" s="1"/>
  <c r="W276" i="6" s="1"/>
  <c r="W2478" i="6"/>
  <c r="S425" i="6"/>
  <c r="K424" i="6"/>
  <c r="U424" i="6"/>
  <c r="W424" i="6" s="1"/>
  <c r="R2450" i="6"/>
  <c r="W2450" i="6"/>
  <c r="S2450" i="6"/>
  <c r="T345" i="6"/>
  <c r="V344" i="6"/>
  <c r="R344" i="6" s="1"/>
  <c r="T232" i="6"/>
  <c r="V231" i="6"/>
  <c r="U231" i="6" s="1"/>
  <c r="W231" i="6" s="1"/>
  <c r="U2698" i="6"/>
  <c r="T2699" i="6"/>
  <c r="T426" i="6"/>
  <c r="V425" i="6"/>
  <c r="U425" i="6" s="1"/>
  <c r="W425" i="6" s="1"/>
  <c r="R464" i="6"/>
  <c r="T311" i="6"/>
  <c r="V310" i="6"/>
  <c r="K2716" i="6"/>
  <c r="V400" i="6"/>
  <c r="U400" i="6" s="1"/>
  <c r="W400" i="6" s="1"/>
  <c r="T401" i="6"/>
  <c r="T213" i="6"/>
  <c r="V212" i="6"/>
  <c r="R189" i="6"/>
  <c r="R512" i="6"/>
  <c r="S465" i="6"/>
  <c r="K464" i="6"/>
  <c r="U2680" i="6"/>
  <c r="T2681" i="6"/>
  <c r="K2680" i="6"/>
  <c r="V2622" i="6"/>
  <c r="U526" i="6"/>
  <c r="W526" i="6" s="1"/>
  <c r="S527" i="6"/>
  <c r="R526" i="6"/>
  <c r="K526" i="6"/>
  <c r="T2718" i="6"/>
  <c r="U2717" i="6"/>
  <c r="K2659" i="6"/>
  <c r="K370" i="6"/>
  <c r="S371" i="6"/>
  <c r="R2467" i="6"/>
  <c r="W2467" i="6"/>
  <c r="S2467" i="6"/>
  <c r="S384" i="6"/>
  <c r="K383" i="6"/>
  <c r="S212" i="6"/>
  <c r="K211" i="6"/>
  <c r="V190" i="6"/>
  <c r="R190" i="6" s="1"/>
  <c r="T191" i="6"/>
  <c r="U323" i="6"/>
  <c r="W323" i="6" s="1"/>
  <c r="T514" i="6"/>
  <c r="V513" i="6"/>
  <c r="R513" i="6" s="1"/>
  <c r="R230" i="6"/>
  <c r="S310" i="6" l="1"/>
  <c r="R309" i="6"/>
  <c r="U2479" i="6"/>
  <c r="T385" i="6"/>
  <c r="S2477" i="6"/>
  <c r="W2477" i="6"/>
  <c r="S2478" i="6" s="1"/>
  <c r="R2477" i="6"/>
  <c r="S2770" i="6"/>
  <c r="U2771" i="6"/>
  <c r="W2770" i="6"/>
  <c r="S2741" i="6"/>
  <c r="W2741" i="6"/>
  <c r="U2742" i="6"/>
  <c r="U2751" i="6"/>
  <c r="S2750" i="6"/>
  <c r="W2750" i="6"/>
  <c r="U2762" i="6"/>
  <c r="W2761" i="6"/>
  <c r="S2761" i="6"/>
  <c r="R324" i="6"/>
  <c r="U136" i="6"/>
  <c r="W136" i="6" s="1"/>
  <c r="R136" i="6"/>
  <c r="S137" i="6"/>
  <c r="K136" i="6"/>
  <c r="V137" i="6"/>
  <c r="T138" i="6"/>
  <c r="V361" i="6"/>
  <c r="U361" i="6" s="1"/>
  <c r="W361" i="6" s="1"/>
  <c r="T362" i="6"/>
  <c r="V2623" i="6"/>
  <c r="K2623" i="6" s="1"/>
  <c r="K360" i="6"/>
  <c r="R360" i="6"/>
  <c r="U360" i="6"/>
  <c r="W360" i="6" s="1"/>
  <c r="S361" i="6"/>
  <c r="S449" i="6"/>
  <c r="K448" i="6"/>
  <c r="R448" i="6"/>
  <c r="V2585" i="6"/>
  <c r="K2585" i="6" s="1"/>
  <c r="U478" i="6"/>
  <c r="W478" i="6" s="1"/>
  <c r="U448" i="6"/>
  <c r="W448" i="6" s="1"/>
  <c r="T450" i="6"/>
  <c r="V449" i="6"/>
  <c r="R88" i="6"/>
  <c r="R544" i="6"/>
  <c r="V2661" i="6"/>
  <c r="K2661" i="6" s="1"/>
  <c r="T293" i="6"/>
  <c r="V292" i="6"/>
  <c r="R292" i="6" s="1"/>
  <c r="T205" i="6"/>
  <c r="V204" i="6"/>
  <c r="U204" i="6" s="1"/>
  <c r="W204" i="6" s="1"/>
  <c r="U371" i="6"/>
  <c r="W371" i="6" s="1"/>
  <c r="R203" i="6"/>
  <c r="U2462" i="6"/>
  <c r="T2463" i="6"/>
  <c r="K478" i="6"/>
  <c r="S479" i="6"/>
  <c r="T480" i="6"/>
  <c r="V479" i="6"/>
  <c r="R479" i="6" s="1"/>
  <c r="R2461" i="6"/>
  <c r="S2461" i="6"/>
  <c r="W2461" i="6"/>
  <c r="U465" i="6"/>
  <c r="W465" i="6" s="1"/>
  <c r="U291" i="6"/>
  <c r="W291" i="6" s="1"/>
  <c r="K291" i="6"/>
  <c r="S292" i="6"/>
  <c r="S204" i="6"/>
  <c r="K203" i="6"/>
  <c r="T515" i="6"/>
  <c r="V514" i="6"/>
  <c r="U514" i="6" s="1"/>
  <c r="W514" i="6" s="1"/>
  <c r="R2717" i="6"/>
  <c r="W2717" i="6"/>
  <c r="S2717" i="6"/>
  <c r="U2681" i="6"/>
  <c r="T2682" i="6"/>
  <c r="S213" i="6"/>
  <c r="K212" i="6"/>
  <c r="R425" i="6"/>
  <c r="T120" i="6"/>
  <c r="V119" i="6"/>
  <c r="R2603" i="6"/>
  <c r="W2603" i="6"/>
  <c r="U153" i="6"/>
  <c r="W153" i="6" s="1"/>
  <c r="R2479" i="6"/>
  <c r="W2479" i="6"/>
  <c r="S2479" i="6"/>
  <c r="R2468" i="6"/>
  <c r="S2468" i="6"/>
  <c r="W2468" i="6"/>
  <c r="T529" i="6"/>
  <c r="V528" i="6"/>
  <c r="U528" i="6" s="1"/>
  <c r="W528" i="6" s="1"/>
  <c r="T2719" i="6"/>
  <c r="U2718" i="6"/>
  <c r="R2680" i="6"/>
  <c r="S2680" i="6"/>
  <c r="W2680" i="6"/>
  <c r="V213" i="6"/>
  <c r="U213" i="6" s="1"/>
  <c r="W213" i="6" s="1"/>
  <c r="T214" i="6"/>
  <c r="R231" i="6"/>
  <c r="K231" i="6"/>
  <c r="S232" i="6"/>
  <c r="R276" i="6"/>
  <c r="S89" i="6"/>
  <c r="K88" i="6"/>
  <c r="T373" i="6"/>
  <c r="V372" i="6"/>
  <c r="R372" i="6" s="1"/>
  <c r="U2443" i="6"/>
  <c r="T2444" i="6"/>
  <c r="R2442" i="6"/>
  <c r="W2442" i="6"/>
  <c r="S2442" i="6"/>
  <c r="T386" i="6"/>
  <c r="V385" i="6"/>
  <c r="S102" i="6"/>
  <c r="K101" i="6"/>
  <c r="U190" i="6"/>
  <c r="W190" i="6" s="1"/>
  <c r="K190" i="6"/>
  <c r="S191" i="6"/>
  <c r="R310" i="6"/>
  <c r="K310" i="6"/>
  <c r="S311" i="6"/>
  <c r="V277" i="6"/>
  <c r="T278" i="6"/>
  <c r="U101" i="6"/>
  <c r="W101" i="6" s="1"/>
  <c r="R2451" i="6"/>
  <c r="S2451" i="6"/>
  <c r="W2451" i="6"/>
  <c r="T2662" i="6"/>
  <c r="U2661" i="6"/>
  <c r="S426" i="6"/>
  <c r="K425" i="6"/>
  <c r="T155" i="6"/>
  <c r="V154" i="6"/>
  <c r="R154" i="6" s="1"/>
  <c r="R2660" i="6"/>
  <c r="W2660" i="6"/>
  <c r="S2660" i="6"/>
  <c r="U384" i="6"/>
  <c r="W384" i="6" s="1"/>
  <c r="S385" i="6"/>
  <c r="K384" i="6"/>
  <c r="U344" i="6"/>
  <c r="W344" i="6" s="1"/>
  <c r="S345" i="6"/>
  <c r="K344" i="6"/>
  <c r="U513" i="6"/>
  <c r="W513" i="6" s="1"/>
  <c r="U310" i="6"/>
  <c r="W310" i="6" s="1"/>
  <c r="T2700" i="6"/>
  <c r="U2699" i="6"/>
  <c r="V345" i="6"/>
  <c r="T346" i="6"/>
  <c r="U118" i="6"/>
  <c r="W118" i="6" s="1"/>
  <c r="T546" i="6"/>
  <c r="V545" i="6"/>
  <c r="U545" i="6" s="1"/>
  <c r="W545" i="6" s="1"/>
  <c r="T103" i="6"/>
  <c r="V102" i="6"/>
  <c r="U102" i="6" s="1"/>
  <c r="W102" i="6" s="1"/>
  <c r="U2452" i="6"/>
  <c r="T2453" i="6"/>
  <c r="V2604" i="6"/>
  <c r="K2604" i="6" s="1"/>
  <c r="S325" i="6"/>
  <c r="K324" i="6"/>
  <c r="R527" i="6"/>
  <c r="K2622" i="6"/>
  <c r="V466" i="6"/>
  <c r="U466" i="6" s="1"/>
  <c r="W466" i="6" s="1"/>
  <c r="T467" i="6"/>
  <c r="V232" i="6"/>
  <c r="R232" i="6" s="1"/>
  <c r="T233" i="6"/>
  <c r="T90" i="6"/>
  <c r="V89" i="6"/>
  <c r="R89" i="6" s="1"/>
  <c r="K153" i="6"/>
  <c r="S154" i="6"/>
  <c r="U212" i="6"/>
  <c r="W212" i="6" s="1"/>
  <c r="T402" i="6"/>
  <c r="V401" i="6"/>
  <c r="R401" i="6" s="1"/>
  <c r="T312" i="6"/>
  <c r="V311" i="6"/>
  <c r="R311" i="6" s="1"/>
  <c r="R2698" i="6"/>
  <c r="W2698" i="6"/>
  <c r="S2698" i="6"/>
  <c r="S545" i="6"/>
  <c r="K544" i="6"/>
  <c r="U2642" i="6"/>
  <c r="T2643" i="6"/>
  <c r="V2642" i="6"/>
  <c r="V2699" i="6"/>
  <c r="V325" i="6"/>
  <c r="U325" i="6" s="1"/>
  <c r="W325" i="6" s="1"/>
  <c r="T326" i="6"/>
  <c r="U2623" i="6"/>
  <c r="T2624" i="6"/>
  <c r="K465" i="6"/>
  <c r="S466" i="6"/>
  <c r="S277" i="6"/>
  <c r="K276" i="6"/>
  <c r="T2586" i="6"/>
  <c r="U2585" i="6"/>
  <c r="V191" i="6"/>
  <c r="U191" i="6" s="1"/>
  <c r="W191" i="6" s="1"/>
  <c r="V426" i="6"/>
  <c r="U426" i="6" s="1"/>
  <c r="W426" i="6" s="1"/>
  <c r="R2584" i="6"/>
  <c r="S2584" i="6"/>
  <c r="W2584" i="6"/>
  <c r="K513" i="6"/>
  <c r="S514" i="6"/>
  <c r="R212" i="6"/>
  <c r="R400" i="6"/>
  <c r="K400" i="6"/>
  <c r="S401" i="6"/>
  <c r="S119" i="6"/>
  <c r="K118" i="6"/>
  <c r="V2718" i="6"/>
  <c r="K2718" i="6" s="1"/>
  <c r="U2604" i="6"/>
  <c r="T2605" i="6"/>
  <c r="R2641" i="6"/>
  <c r="W2641" i="6"/>
  <c r="S2641" i="6"/>
  <c r="S372" i="6"/>
  <c r="K371" i="6"/>
  <c r="U2480" i="6"/>
  <c r="T2481" i="6"/>
  <c r="T2470" i="6"/>
  <c r="U2469" i="6"/>
  <c r="S528" i="6"/>
  <c r="K527" i="6"/>
  <c r="R2622" i="6"/>
  <c r="S2622" i="6"/>
  <c r="W2622" i="6"/>
  <c r="V2681" i="6"/>
  <c r="S2771" i="6" l="1"/>
  <c r="U2772" i="6"/>
  <c r="W2771" i="6"/>
  <c r="U2763" i="6"/>
  <c r="W2762" i="6"/>
  <c r="S2762" i="6"/>
  <c r="U2752" i="6"/>
  <c r="W2751" i="6"/>
  <c r="S2751" i="6"/>
  <c r="U2743" i="6"/>
  <c r="S2742" i="6"/>
  <c r="W2742" i="6"/>
  <c r="V2662" i="6"/>
  <c r="K2662" i="6" s="1"/>
  <c r="U232" i="6"/>
  <c r="W232" i="6" s="1"/>
  <c r="U137" i="6"/>
  <c r="W137" i="6" s="1"/>
  <c r="S138" i="6"/>
  <c r="K137" i="6"/>
  <c r="R137" i="6"/>
  <c r="V138" i="6"/>
  <c r="T139" i="6"/>
  <c r="T363" i="6"/>
  <c r="V362" i="6"/>
  <c r="R325" i="6"/>
  <c r="R102" i="6"/>
  <c r="R528" i="6"/>
  <c r="S362" i="6"/>
  <c r="K361" i="6"/>
  <c r="R361" i="6"/>
  <c r="U479" i="6"/>
  <c r="W479" i="6" s="1"/>
  <c r="V2682" i="6"/>
  <c r="K2682" i="6" s="1"/>
  <c r="R449" i="6"/>
  <c r="K449" i="6"/>
  <c r="S450" i="6"/>
  <c r="T451" i="6"/>
  <c r="V450" i="6"/>
  <c r="U450" i="6" s="1"/>
  <c r="W450" i="6" s="1"/>
  <c r="V2700" i="6"/>
  <c r="K2700" i="6" s="1"/>
  <c r="V2643" i="6"/>
  <c r="K2643" i="6" s="1"/>
  <c r="U311" i="6"/>
  <c r="W311" i="6" s="1"/>
  <c r="U449" i="6"/>
  <c r="W449" i="6" s="1"/>
  <c r="R204" i="6"/>
  <c r="T2464" i="6"/>
  <c r="U2464" i="6" s="1"/>
  <c r="U2463" i="6"/>
  <c r="T206" i="6"/>
  <c r="V205" i="6"/>
  <c r="R205" i="6" s="1"/>
  <c r="T481" i="6"/>
  <c r="V480" i="6"/>
  <c r="U480" i="6" s="1"/>
  <c r="W480" i="6" s="1"/>
  <c r="W2462" i="6"/>
  <c r="S2462" i="6"/>
  <c r="R2462" i="6"/>
  <c r="U89" i="6"/>
  <c r="W89" i="6" s="1"/>
  <c r="R466" i="6"/>
  <c r="V2605" i="6"/>
  <c r="K292" i="6"/>
  <c r="S293" i="6"/>
  <c r="S205" i="6"/>
  <c r="K204" i="6"/>
  <c r="S480" i="6"/>
  <c r="K479" i="6"/>
  <c r="U292" i="6"/>
  <c r="W292" i="6" s="1"/>
  <c r="T294" i="6"/>
  <c r="V293" i="6"/>
  <c r="U2470" i="6"/>
  <c r="T2471" i="6"/>
  <c r="U2586" i="6"/>
  <c r="T2587" i="6"/>
  <c r="T2606" i="6"/>
  <c r="U2605" i="6"/>
  <c r="K2605" i="6"/>
  <c r="S386" i="6"/>
  <c r="K385" i="6"/>
  <c r="S546" i="6"/>
  <c r="K545" i="6"/>
  <c r="R2604" i="6"/>
  <c r="S2604" i="6"/>
  <c r="W2604" i="6"/>
  <c r="U2624" i="6"/>
  <c r="T2625" i="6"/>
  <c r="U2643" i="6"/>
  <c r="T2644" i="6"/>
  <c r="T91" i="6"/>
  <c r="V90" i="6"/>
  <c r="R90" i="6" s="1"/>
  <c r="R2699" i="6"/>
  <c r="W2699" i="6"/>
  <c r="S2699" i="6"/>
  <c r="R2642" i="6"/>
  <c r="W2642" i="6"/>
  <c r="S2642" i="6"/>
  <c r="U2700" i="6"/>
  <c r="T2701" i="6"/>
  <c r="T530" i="6"/>
  <c r="V529" i="6"/>
  <c r="R529" i="6" s="1"/>
  <c r="R514" i="6"/>
  <c r="S515" i="6"/>
  <c r="K514" i="6"/>
  <c r="T2720" i="6"/>
  <c r="U2719" i="6"/>
  <c r="S278" i="6"/>
  <c r="K277" i="6"/>
  <c r="V386" i="6"/>
  <c r="R386" i="6" s="1"/>
  <c r="T387" i="6"/>
  <c r="V214" i="6"/>
  <c r="R214" i="6" s="1"/>
  <c r="T215" i="6"/>
  <c r="K2642" i="6"/>
  <c r="V467" i="6"/>
  <c r="U467" i="6" s="1"/>
  <c r="W467" i="6" s="1"/>
  <c r="T468" i="6"/>
  <c r="K213" i="6"/>
  <c r="S214" i="6"/>
  <c r="K466" i="6"/>
  <c r="S467" i="6"/>
  <c r="V2624" i="6"/>
  <c r="K102" i="6"/>
  <c r="S103" i="6"/>
  <c r="R2661" i="6"/>
  <c r="W2661" i="6"/>
  <c r="S2661" i="6"/>
  <c r="T2445" i="6"/>
  <c r="U2444" i="6"/>
  <c r="K2681" i="6"/>
  <c r="T516" i="6"/>
  <c r="V515" i="6"/>
  <c r="U515" i="6" s="1"/>
  <c r="W515" i="6" s="1"/>
  <c r="S155" i="6"/>
  <c r="K154" i="6"/>
  <c r="R119" i="6"/>
  <c r="K119" i="6"/>
  <c r="S120" i="6"/>
  <c r="T2482" i="6"/>
  <c r="U2482" i="6" s="1"/>
  <c r="U2481" i="6"/>
  <c r="T2454" i="6"/>
  <c r="U2453" i="6"/>
  <c r="S373" i="6"/>
  <c r="K372" i="6"/>
  <c r="T121" i="6"/>
  <c r="V120" i="6"/>
  <c r="R120" i="6" s="1"/>
  <c r="R2480" i="6"/>
  <c r="S2480" i="6"/>
  <c r="W2480" i="6"/>
  <c r="S90" i="6"/>
  <c r="K89" i="6"/>
  <c r="R2452" i="6"/>
  <c r="W2452" i="6"/>
  <c r="S2452" i="6"/>
  <c r="K2699" i="6"/>
  <c r="K528" i="6"/>
  <c r="S529" i="6"/>
  <c r="T234" i="6"/>
  <c r="V233" i="6"/>
  <c r="R233" i="6" s="1"/>
  <c r="U277" i="6"/>
  <c r="W277" i="6" s="1"/>
  <c r="R385" i="6"/>
  <c r="R2443" i="6"/>
  <c r="S2443" i="6"/>
  <c r="W2443" i="6"/>
  <c r="U2682" i="6"/>
  <c r="T2683" i="6"/>
  <c r="T313" i="6"/>
  <c r="V312" i="6"/>
  <c r="T347" i="6"/>
  <c r="V346" i="6"/>
  <c r="R346" i="6" s="1"/>
  <c r="T279" i="6"/>
  <c r="V278" i="6"/>
  <c r="R278" i="6" s="1"/>
  <c r="U345" i="6"/>
  <c r="W345" i="6" s="1"/>
  <c r="K345" i="6"/>
  <c r="S346" i="6"/>
  <c r="U154" i="6"/>
  <c r="W154" i="6" s="1"/>
  <c r="U401" i="6"/>
  <c r="W401" i="6" s="1"/>
  <c r="K401" i="6"/>
  <c r="S402" i="6"/>
  <c r="V546" i="6"/>
  <c r="U546" i="6" s="1"/>
  <c r="W546" i="6" s="1"/>
  <c r="T547" i="6"/>
  <c r="T374" i="6"/>
  <c r="V373" i="6"/>
  <c r="R373" i="6" s="1"/>
  <c r="R426" i="6"/>
  <c r="K426" i="6"/>
  <c r="R2623" i="6"/>
  <c r="S2623" i="6"/>
  <c r="W2623" i="6"/>
  <c r="T403" i="6"/>
  <c r="V402" i="6"/>
  <c r="U402" i="6" s="1"/>
  <c r="W402" i="6" s="1"/>
  <c r="T156" i="6"/>
  <c r="V155" i="6"/>
  <c r="R155" i="6" s="1"/>
  <c r="R191" i="6"/>
  <c r="K191" i="6"/>
  <c r="V2719" i="6"/>
  <c r="K2719" i="6" s="1"/>
  <c r="T327" i="6"/>
  <c r="V326" i="6"/>
  <c r="U326" i="6" s="1"/>
  <c r="W326" i="6" s="1"/>
  <c r="T104" i="6"/>
  <c r="V103" i="6"/>
  <c r="R2469" i="6"/>
  <c r="W2469" i="6"/>
  <c r="S2469" i="6"/>
  <c r="R2585" i="6"/>
  <c r="W2585" i="6"/>
  <c r="S2585" i="6"/>
  <c r="S326" i="6"/>
  <c r="K325" i="6"/>
  <c r="S312" i="6"/>
  <c r="K311" i="6"/>
  <c r="S233" i="6"/>
  <c r="K232" i="6"/>
  <c r="R545" i="6"/>
  <c r="R345" i="6"/>
  <c r="T2663" i="6"/>
  <c r="U2662" i="6"/>
  <c r="R277" i="6"/>
  <c r="U385" i="6"/>
  <c r="W385" i="6" s="1"/>
  <c r="U372" i="6"/>
  <c r="W372" i="6" s="1"/>
  <c r="R213" i="6"/>
  <c r="R2718" i="6"/>
  <c r="S2718" i="6"/>
  <c r="W2718" i="6"/>
  <c r="U119" i="6"/>
  <c r="W119" i="6" s="1"/>
  <c r="R2681" i="6"/>
  <c r="W2681" i="6"/>
  <c r="S2681" i="6"/>
  <c r="V2586" i="6"/>
  <c r="U2773" i="6" l="1"/>
  <c r="S2772" i="6"/>
  <c r="W2772" i="6"/>
  <c r="W2743" i="6"/>
  <c r="S2743" i="6"/>
  <c r="U2753" i="6"/>
  <c r="W2752" i="6"/>
  <c r="S2752" i="6"/>
  <c r="W2763" i="6"/>
  <c r="S2763" i="6"/>
  <c r="R450" i="6"/>
  <c r="T140" i="6"/>
  <c r="V139" i="6"/>
  <c r="R139" i="6" s="1"/>
  <c r="U138" i="6"/>
  <c r="W138" i="6" s="1"/>
  <c r="K138" i="6"/>
  <c r="S139" i="6"/>
  <c r="R138" i="6"/>
  <c r="T364" i="6"/>
  <c r="V363" i="6"/>
  <c r="R363" i="6" s="1"/>
  <c r="R515" i="6"/>
  <c r="V2625" i="6"/>
  <c r="K2625" i="6" s="1"/>
  <c r="U362" i="6"/>
  <c r="W362" i="6" s="1"/>
  <c r="S363" i="6"/>
  <c r="R362" i="6"/>
  <c r="K362" i="6"/>
  <c r="R326" i="6"/>
  <c r="R402" i="6"/>
  <c r="V2701" i="6"/>
  <c r="K2701" i="6" s="1"/>
  <c r="V451" i="6"/>
  <c r="U451" i="6" s="1"/>
  <c r="W451" i="6" s="1"/>
  <c r="T452" i="6"/>
  <c r="K450" i="6"/>
  <c r="S451" i="6"/>
  <c r="U205" i="6"/>
  <c r="W205" i="6" s="1"/>
  <c r="T482" i="6"/>
  <c r="V481" i="6"/>
  <c r="U481" i="6" s="1"/>
  <c r="W481" i="6" s="1"/>
  <c r="U214" i="6"/>
  <c r="W214" i="6" s="1"/>
  <c r="U293" i="6"/>
  <c r="W293" i="6" s="1"/>
  <c r="K293" i="6"/>
  <c r="S294" i="6"/>
  <c r="T207" i="6"/>
  <c r="V206" i="6"/>
  <c r="R206" i="6" s="1"/>
  <c r="U278" i="6"/>
  <c r="W278" i="6" s="1"/>
  <c r="V2587" i="6"/>
  <c r="K2587" i="6" s="1"/>
  <c r="U233" i="6"/>
  <c r="W233" i="6" s="1"/>
  <c r="R467" i="6"/>
  <c r="R293" i="6"/>
  <c r="R480" i="6"/>
  <c r="W2463" i="6"/>
  <c r="S2464" i="6" s="1"/>
  <c r="S2463" i="6"/>
  <c r="R2463" i="6"/>
  <c r="K205" i="6"/>
  <c r="S206" i="6"/>
  <c r="T295" i="6"/>
  <c r="V294" i="6"/>
  <c r="U294" i="6" s="1"/>
  <c r="W294" i="6" s="1"/>
  <c r="W2464" i="6"/>
  <c r="R2464" i="6"/>
  <c r="K2586" i="6"/>
  <c r="K480" i="6"/>
  <c r="S481" i="6"/>
  <c r="U2644" i="6"/>
  <c r="T2645" i="6"/>
  <c r="R2662" i="6"/>
  <c r="S2662" i="6"/>
  <c r="W2662" i="6"/>
  <c r="S313" i="6"/>
  <c r="K312" i="6"/>
  <c r="R2605" i="6"/>
  <c r="S2605" i="6"/>
  <c r="W2605" i="6"/>
  <c r="T280" i="6"/>
  <c r="V279" i="6"/>
  <c r="U279" i="6" s="1"/>
  <c r="W279" i="6" s="1"/>
  <c r="T2721" i="6"/>
  <c r="U2720" i="6"/>
  <c r="U2454" i="6"/>
  <c r="T2455" i="6"/>
  <c r="U2455" i="6" s="1"/>
  <c r="U386" i="6"/>
  <c r="W386" i="6" s="1"/>
  <c r="S387" i="6"/>
  <c r="K386" i="6"/>
  <c r="U2587" i="6"/>
  <c r="T2588" i="6"/>
  <c r="T2664" i="6"/>
  <c r="U2663" i="6"/>
  <c r="T157" i="6"/>
  <c r="V156" i="6"/>
  <c r="U156" i="6" s="1"/>
  <c r="W156" i="6" s="1"/>
  <c r="U346" i="6"/>
  <c r="W346" i="6" s="1"/>
  <c r="S347" i="6"/>
  <c r="K346" i="6"/>
  <c r="T2684" i="6"/>
  <c r="U2683" i="6"/>
  <c r="U120" i="6"/>
  <c r="W120" i="6" s="1"/>
  <c r="R2481" i="6"/>
  <c r="W2481" i="6"/>
  <c r="S2482" i="6" s="1"/>
  <c r="S2481" i="6"/>
  <c r="R2444" i="6"/>
  <c r="W2444" i="6"/>
  <c r="S2444" i="6"/>
  <c r="R2586" i="6"/>
  <c r="W2586" i="6"/>
  <c r="S2586" i="6"/>
  <c r="V403" i="6"/>
  <c r="U403" i="6" s="1"/>
  <c r="W403" i="6" s="1"/>
  <c r="T404" i="6"/>
  <c r="T235" i="6"/>
  <c r="V234" i="6"/>
  <c r="R234" i="6" s="1"/>
  <c r="T314" i="6"/>
  <c r="V313" i="6"/>
  <c r="R313" i="6" s="1"/>
  <c r="T2607" i="6"/>
  <c r="U2606" i="6"/>
  <c r="T531" i="6"/>
  <c r="V530" i="6"/>
  <c r="S468" i="6"/>
  <c r="K467" i="6"/>
  <c r="V2606" i="6"/>
  <c r="K326" i="6"/>
  <c r="S327" i="6"/>
  <c r="T348" i="6"/>
  <c r="V347" i="6"/>
  <c r="U347" i="6" s="1"/>
  <c r="W347" i="6" s="1"/>
  <c r="R2682" i="6"/>
  <c r="W2682" i="6"/>
  <c r="S2682" i="6"/>
  <c r="R2482" i="6"/>
  <c r="W2482" i="6"/>
  <c r="S516" i="6"/>
  <c r="K515" i="6"/>
  <c r="U2445" i="6"/>
  <c r="T2446" i="6"/>
  <c r="U2446" i="6" s="1"/>
  <c r="K2624" i="6"/>
  <c r="T2472" i="6"/>
  <c r="U2471" i="6"/>
  <c r="S104" i="6"/>
  <c r="K103" i="6"/>
  <c r="R103" i="6"/>
  <c r="R2719" i="6"/>
  <c r="S2719" i="6"/>
  <c r="W2719" i="6"/>
  <c r="R2453" i="6"/>
  <c r="S2453" i="6"/>
  <c r="W2453" i="6"/>
  <c r="V387" i="6"/>
  <c r="U387" i="6" s="1"/>
  <c r="W387" i="6" s="1"/>
  <c r="T388" i="6"/>
  <c r="U155" i="6"/>
  <c r="W155" i="6" s="1"/>
  <c r="K155" i="6"/>
  <c r="S156" i="6"/>
  <c r="T328" i="6"/>
  <c r="V327" i="6"/>
  <c r="U327" i="6" s="1"/>
  <c r="W327" i="6" s="1"/>
  <c r="T548" i="6"/>
  <c r="V547" i="6"/>
  <c r="R547" i="6" s="1"/>
  <c r="U312" i="6"/>
  <c r="W312" i="6" s="1"/>
  <c r="S121" i="6"/>
  <c r="K120" i="6"/>
  <c r="T517" i="6"/>
  <c r="V516" i="6"/>
  <c r="V215" i="6"/>
  <c r="U215" i="6" s="1"/>
  <c r="W215" i="6" s="1"/>
  <c r="T216" i="6"/>
  <c r="V2644" i="6"/>
  <c r="U90" i="6"/>
  <c r="W90" i="6" s="1"/>
  <c r="K90" i="6"/>
  <c r="S91" i="6"/>
  <c r="T2626" i="6"/>
  <c r="U2625" i="6"/>
  <c r="R2470" i="6"/>
  <c r="S2470" i="6"/>
  <c r="W2470" i="6"/>
  <c r="T375" i="6"/>
  <c r="V374" i="6"/>
  <c r="R374" i="6" s="1"/>
  <c r="R2700" i="6"/>
  <c r="S2700" i="6"/>
  <c r="W2700" i="6"/>
  <c r="S530" i="6"/>
  <c r="K529" i="6"/>
  <c r="T105" i="6"/>
  <c r="V104" i="6"/>
  <c r="R104" i="6" s="1"/>
  <c r="T469" i="6"/>
  <c r="V468" i="6"/>
  <c r="R468" i="6" s="1"/>
  <c r="R2643" i="6"/>
  <c r="W2643" i="6"/>
  <c r="S2643" i="6"/>
  <c r="U103" i="6"/>
  <c r="W103" i="6" s="1"/>
  <c r="V2720" i="6"/>
  <c r="K2720" i="6" s="1"/>
  <c r="S403" i="6"/>
  <c r="K402" i="6"/>
  <c r="U373" i="6"/>
  <c r="W373" i="6" s="1"/>
  <c r="K373" i="6"/>
  <c r="S374" i="6"/>
  <c r="R546" i="6"/>
  <c r="S547" i="6"/>
  <c r="K546" i="6"/>
  <c r="S279" i="6"/>
  <c r="K278" i="6"/>
  <c r="R312" i="6"/>
  <c r="K233" i="6"/>
  <c r="S234" i="6"/>
  <c r="V121" i="6"/>
  <c r="T122" i="6"/>
  <c r="S215" i="6"/>
  <c r="K214" i="6"/>
  <c r="V2683" i="6"/>
  <c r="U529" i="6"/>
  <c r="W529" i="6" s="1"/>
  <c r="U2701" i="6"/>
  <c r="T2702" i="6"/>
  <c r="T92" i="6"/>
  <c r="V91" i="6"/>
  <c r="U91" i="6" s="1"/>
  <c r="W91" i="6" s="1"/>
  <c r="R2624" i="6"/>
  <c r="S2624" i="6"/>
  <c r="W2624" i="6"/>
  <c r="V2663" i="6"/>
  <c r="K2663" i="6" s="1"/>
  <c r="V2626" i="6" l="1"/>
  <c r="K2626" i="6" s="1"/>
  <c r="W2773" i="6"/>
  <c r="S2773" i="6"/>
  <c r="W2753" i="6"/>
  <c r="S2753" i="6"/>
  <c r="V2684" i="6"/>
  <c r="K2684" i="6" s="1"/>
  <c r="R294" i="6"/>
  <c r="V2645" i="6"/>
  <c r="K2645" i="6" s="1"/>
  <c r="U139" i="6"/>
  <c r="W139" i="6" s="1"/>
  <c r="S140" i="6"/>
  <c r="K139" i="6"/>
  <c r="T141" i="6"/>
  <c r="V140" i="6"/>
  <c r="U363" i="6"/>
  <c r="W363" i="6" s="1"/>
  <c r="V2702" i="6"/>
  <c r="K2702" i="6" s="1"/>
  <c r="S364" i="6"/>
  <c r="K363" i="6"/>
  <c r="R451" i="6"/>
  <c r="T365" i="6"/>
  <c r="V364" i="6"/>
  <c r="U234" i="6"/>
  <c r="W234" i="6" s="1"/>
  <c r="U374" i="6"/>
  <c r="W374" i="6" s="1"/>
  <c r="K2683" i="6"/>
  <c r="V2607" i="6"/>
  <c r="K2607" i="6" s="1"/>
  <c r="U206" i="6"/>
  <c r="W206" i="6" s="1"/>
  <c r="T453" i="6"/>
  <c r="V452" i="6"/>
  <c r="U452" i="6" s="1"/>
  <c r="W452" i="6" s="1"/>
  <c r="S452" i="6"/>
  <c r="K451" i="6"/>
  <c r="T208" i="6"/>
  <c r="V207" i="6"/>
  <c r="R207" i="6" s="1"/>
  <c r="U468" i="6"/>
  <c r="W468" i="6" s="1"/>
  <c r="K2606" i="6"/>
  <c r="R215" i="6"/>
  <c r="U104" i="6"/>
  <c r="W104" i="6" s="1"/>
  <c r="R387" i="6"/>
  <c r="R156" i="6"/>
  <c r="S295" i="6"/>
  <c r="K294" i="6"/>
  <c r="R481" i="6"/>
  <c r="K481" i="6"/>
  <c r="S482" i="6"/>
  <c r="T296" i="6"/>
  <c r="V295" i="6"/>
  <c r="U295" i="6" s="1"/>
  <c r="W295" i="6" s="1"/>
  <c r="S207" i="6"/>
  <c r="K206" i="6"/>
  <c r="T483" i="6"/>
  <c r="V482" i="6"/>
  <c r="K516" i="6"/>
  <c r="S517" i="6"/>
  <c r="K91" i="6"/>
  <c r="S92" i="6"/>
  <c r="T549" i="6"/>
  <c r="V548" i="6"/>
  <c r="R548" i="6" s="1"/>
  <c r="U2472" i="6"/>
  <c r="T2473" i="6"/>
  <c r="U2473" i="6" s="1"/>
  <c r="T315" i="6"/>
  <c r="V314" i="6"/>
  <c r="R314" i="6" s="1"/>
  <c r="R2454" i="6"/>
  <c r="W2454" i="6"/>
  <c r="S2455" i="6" s="1"/>
  <c r="S2454" i="6"/>
  <c r="V2664" i="6"/>
  <c r="K327" i="6"/>
  <c r="S328" i="6"/>
  <c r="R2683" i="6"/>
  <c r="W2683" i="6"/>
  <c r="S2683" i="6"/>
  <c r="R327" i="6"/>
  <c r="K234" i="6"/>
  <c r="S235" i="6"/>
  <c r="T2685" i="6"/>
  <c r="U2684" i="6"/>
  <c r="R2720" i="6"/>
  <c r="S2720" i="6"/>
  <c r="W2720" i="6"/>
  <c r="R2625" i="6"/>
  <c r="W2625" i="6"/>
  <c r="S2625" i="6"/>
  <c r="T217" i="6"/>
  <c r="V216" i="6"/>
  <c r="R216" i="6" s="1"/>
  <c r="V328" i="6"/>
  <c r="T329" i="6"/>
  <c r="U2607" i="6"/>
  <c r="T2608" i="6"/>
  <c r="R2587" i="6"/>
  <c r="W2587" i="6"/>
  <c r="S2587" i="6"/>
  <c r="S105" i="6"/>
  <c r="K104" i="6"/>
  <c r="U2626" i="6"/>
  <c r="T2627" i="6"/>
  <c r="U547" i="6"/>
  <c r="W547" i="6" s="1"/>
  <c r="R279" i="6"/>
  <c r="T2646" i="6"/>
  <c r="U2645" i="6"/>
  <c r="R121" i="6"/>
  <c r="S122" i="6"/>
  <c r="K121" i="6"/>
  <c r="U530" i="6"/>
  <c r="W530" i="6" s="1"/>
  <c r="S531" i="6"/>
  <c r="K530" i="6"/>
  <c r="R2701" i="6"/>
  <c r="W2701" i="6"/>
  <c r="S2701" i="6"/>
  <c r="T349" i="6"/>
  <c r="V348" i="6"/>
  <c r="U348" i="6" s="1"/>
  <c r="W348" i="6" s="1"/>
  <c r="T93" i="6"/>
  <c r="V92" i="6"/>
  <c r="U92" i="6" s="1"/>
  <c r="W92" i="6" s="1"/>
  <c r="S469" i="6"/>
  <c r="K468" i="6"/>
  <c r="T518" i="6"/>
  <c r="V517" i="6"/>
  <c r="R517" i="6" s="1"/>
  <c r="U2664" i="6"/>
  <c r="T2665" i="6"/>
  <c r="T470" i="6"/>
  <c r="V469" i="6"/>
  <c r="U469" i="6" s="1"/>
  <c r="W469" i="6" s="1"/>
  <c r="T389" i="6"/>
  <c r="V388" i="6"/>
  <c r="U388" i="6" s="1"/>
  <c r="W388" i="6" s="1"/>
  <c r="R2446" i="6"/>
  <c r="W2446" i="6"/>
  <c r="R2606" i="6"/>
  <c r="S2606" i="6"/>
  <c r="W2606" i="6"/>
  <c r="U2588" i="6"/>
  <c r="T2589" i="6"/>
  <c r="S388" i="6"/>
  <c r="K387" i="6"/>
  <c r="R2445" i="6"/>
  <c r="S2445" i="6"/>
  <c r="W2445" i="6"/>
  <c r="S2446" i="6" s="1"/>
  <c r="T236" i="6"/>
  <c r="V235" i="6"/>
  <c r="U235" i="6" s="1"/>
  <c r="W235" i="6" s="1"/>
  <c r="U2721" i="6"/>
  <c r="T2722" i="6"/>
  <c r="K2644" i="6"/>
  <c r="U121" i="6"/>
  <c r="W121" i="6" s="1"/>
  <c r="V2721" i="6"/>
  <c r="S216" i="6"/>
  <c r="K215" i="6"/>
  <c r="V2588" i="6"/>
  <c r="R347" i="6"/>
  <c r="U313" i="6"/>
  <c r="W313" i="6" s="1"/>
  <c r="R403" i="6"/>
  <c r="S157" i="6"/>
  <c r="K156" i="6"/>
  <c r="R91" i="6"/>
  <c r="V122" i="6"/>
  <c r="U122" i="6" s="1"/>
  <c r="W122" i="6" s="1"/>
  <c r="T123" i="6"/>
  <c r="T106" i="6"/>
  <c r="V105" i="6"/>
  <c r="U105" i="6" s="1"/>
  <c r="W105" i="6" s="1"/>
  <c r="S375" i="6"/>
  <c r="K374" i="6"/>
  <c r="R516" i="6"/>
  <c r="R530" i="6"/>
  <c r="T158" i="6"/>
  <c r="V157" i="6"/>
  <c r="R157" i="6" s="1"/>
  <c r="R2644" i="6"/>
  <c r="W2644" i="6"/>
  <c r="S2644" i="6"/>
  <c r="S548" i="6"/>
  <c r="K547" i="6"/>
  <c r="S348" i="6"/>
  <c r="K347" i="6"/>
  <c r="S314" i="6"/>
  <c r="K313" i="6"/>
  <c r="V404" i="6"/>
  <c r="R404" i="6" s="1"/>
  <c r="T405" i="6"/>
  <c r="S280" i="6"/>
  <c r="K279" i="6"/>
  <c r="U2702" i="6"/>
  <c r="T2703" i="6"/>
  <c r="T376" i="6"/>
  <c r="V375" i="6"/>
  <c r="U375" i="6" s="1"/>
  <c r="W375" i="6" s="1"/>
  <c r="R2471" i="6"/>
  <c r="W2471" i="6"/>
  <c r="S2471" i="6"/>
  <c r="U516" i="6"/>
  <c r="W516" i="6" s="1"/>
  <c r="T532" i="6"/>
  <c r="V531" i="6"/>
  <c r="R531" i="6" s="1"/>
  <c r="S404" i="6"/>
  <c r="K403" i="6"/>
  <c r="R2663" i="6"/>
  <c r="S2663" i="6"/>
  <c r="W2663" i="6"/>
  <c r="R2455" i="6"/>
  <c r="W2455" i="6"/>
  <c r="T281" i="6"/>
  <c r="V280" i="6"/>
  <c r="U280" i="6" s="1"/>
  <c r="W280" i="6" s="1"/>
  <c r="V2627" i="6" l="1"/>
  <c r="K2627" i="6" s="1"/>
  <c r="V2685" i="6"/>
  <c r="K2685" i="6" s="1"/>
  <c r="U140" i="6"/>
  <c r="W140" i="6" s="1"/>
  <c r="K140" i="6"/>
  <c r="S141" i="6"/>
  <c r="T142" i="6"/>
  <c r="V141" i="6"/>
  <c r="R122" i="6"/>
  <c r="R140" i="6"/>
  <c r="V365" i="6"/>
  <c r="T366" i="6"/>
  <c r="V366" i="6" s="1"/>
  <c r="U366" i="6" s="1"/>
  <c r="W366" i="6" s="1"/>
  <c r="U364" i="6"/>
  <c r="W364" i="6" s="1"/>
  <c r="K364" i="6"/>
  <c r="R364" i="6"/>
  <c r="S365" i="6"/>
  <c r="V2608" i="6"/>
  <c r="K2608" i="6" s="1"/>
  <c r="R452" i="6"/>
  <c r="S453" i="6"/>
  <c r="K452" i="6"/>
  <c r="U531" i="6"/>
  <c r="W531" i="6" s="1"/>
  <c r="V453" i="6"/>
  <c r="U453" i="6" s="1"/>
  <c r="W453" i="6" s="1"/>
  <c r="T454" i="6"/>
  <c r="U314" i="6"/>
  <c r="W314" i="6" s="1"/>
  <c r="R388" i="6"/>
  <c r="R295" i="6"/>
  <c r="R280" i="6"/>
  <c r="T484" i="6"/>
  <c r="V483" i="6"/>
  <c r="U483" i="6" s="1"/>
  <c r="W483" i="6" s="1"/>
  <c r="V2665" i="6"/>
  <c r="V2589" i="6"/>
  <c r="K2589" i="6" s="1"/>
  <c r="S483" i="6"/>
  <c r="K482" i="6"/>
  <c r="R482" i="6"/>
  <c r="R348" i="6"/>
  <c r="U207" i="6"/>
  <c r="W207" i="6" s="1"/>
  <c r="K207" i="6"/>
  <c r="S208" i="6"/>
  <c r="T297" i="6"/>
  <c r="V296" i="6"/>
  <c r="V2722" i="6"/>
  <c r="K2722" i="6" s="1"/>
  <c r="U482" i="6"/>
  <c r="W482" i="6" s="1"/>
  <c r="K295" i="6"/>
  <c r="S296" i="6"/>
  <c r="V208" i="6"/>
  <c r="U208" i="6" s="1"/>
  <c r="W208" i="6" s="1"/>
  <c r="T94" i="6"/>
  <c r="V93" i="6"/>
  <c r="V329" i="6"/>
  <c r="R329" i="6" s="1"/>
  <c r="T330" i="6"/>
  <c r="K328" i="6"/>
  <c r="S329" i="6"/>
  <c r="T519" i="6"/>
  <c r="V518" i="6"/>
  <c r="U518" i="6" s="1"/>
  <c r="W518" i="6" s="1"/>
  <c r="V389" i="6"/>
  <c r="R389" i="6" s="1"/>
  <c r="T390" i="6"/>
  <c r="U2665" i="6"/>
  <c r="T2666" i="6"/>
  <c r="S349" i="6"/>
  <c r="K348" i="6"/>
  <c r="U216" i="6"/>
  <c r="W216" i="6" s="1"/>
  <c r="K216" i="6"/>
  <c r="S217" i="6"/>
  <c r="S315" i="6"/>
  <c r="K314" i="6"/>
  <c r="S549" i="6"/>
  <c r="K548" i="6"/>
  <c r="K2664" i="6"/>
  <c r="T533" i="6"/>
  <c r="V532" i="6"/>
  <c r="R532" i="6" s="1"/>
  <c r="T377" i="6"/>
  <c r="V376" i="6"/>
  <c r="R376" i="6" s="1"/>
  <c r="R2664" i="6"/>
  <c r="S2664" i="6"/>
  <c r="W2664" i="6"/>
  <c r="V349" i="6"/>
  <c r="U349" i="6" s="1"/>
  <c r="W349" i="6" s="1"/>
  <c r="U2627" i="6"/>
  <c r="T2628" i="6"/>
  <c r="U2608" i="6"/>
  <c r="T2609" i="6"/>
  <c r="T218" i="6"/>
  <c r="V217" i="6"/>
  <c r="T316" i="6"/>
  <c r="V315" i="6"/>
  <c r="U315" i="6" s="1"/>
  <c r="W315" i="6" s="1"/>
  <c r="V470" i="6"/>
  <c r="R470" i="6" s="1"/>
  <c r="T471" i="6"/>
  <c r="T2647" i="6"/>
  <c r="U2646" i="6"/>
  <c r="R105" i="6"/>
  <c r="S106" i="6"/>
  <c r="K105" i="6"/>
  <c r="T107" i="6"/>
  <c r="V106" i="6"/>
  <c r="R106" i="6" s="1"/>
  <c r="V123" i="6"/>
  <c r="T124" i="6"/>
  <c r="K2721" i="6"/>
  <c r="S236" i="6"/>
  <c r="K235" i="6"/>
  <c r="K2588" i="6"/>
  <c r="R92" i="6"/>
  <c r="R2626" i="6"/>
  <c r="W2626" i="6"/>
  <c r="S2626" i="6"/>
  <c r="R2607" i="6"/>
  <c r="S2607" i="6"/>
  <c r="W2607" i="6"/>
  <c r="R2473" i="6"/>
  <c r="W2473" i="6"/>
  <c r="S518" i="6"/>
  <c r="K517" i="6"/>
  <c r="K375" i="6"/>
  <c r="S376" i="6"/>
  <c r="S532" i="6"/>
  <c r="K531" i="6"/>
  <c r="V158" i="6"/>
  <c r="R158" i="6" s="1"/>
  <c r="T159" i="6"/>
  <c r="S281" i="6"/>
  <c r="K280" i="6"/>
  <c r="U2703" i="6"/>
  <c r="T2704" i="6"/>
  <c r="V405" i="6"/>
  <c r="R405" i="6" s="1"/>
  <c r="T406" i="6"/>
  <c r="S123" i="6"/>
  <c r="K122" i="6"/>
  <c r="U2722" i="6"/>
  <c r="T2723" i="6"/>
  <c r="R235" i="6"/>
  <c r="T2590" i="6"/>
  <c r="U2589" i="6"/>
  <c r="U328" i="6"/>
  <c r="W328" i="6" s="1"/>
  <c r="R2684" i="6"/>
  <c r="S2684" i="6"/>
  <c r="W2684" i="6"/>
  <c r="R2472" i="6"/>
  <c r="S2472" i="6"/>
  <c r="W2472" i="6"/>
  <c r="S2473" i="6" s="1"/>
  <c r="T282" i="6"/>
  <c r="V281" i="6"/>
  <c r="R281" i="6" s="1"/>
  <c r="U157" i="6"/>
  <c r="W157" i="6" s="1"/>
  <c r="K157" i="6"/>
  <c r="S158" i="6"/>
  <c r="S389" i="6"/>
  <c r="K388" i="6"/>
  <c r="T550" i="6"/>
  <c r="V549" i="6"/>
  <c r="U549" i="6" s="1"/>
  <c r="W549" i="6" s="1"/>
  <c r="R375" i="6"/>
  <c r="R2702" i="6"/>
  <c r="S2702" i="6"/>
  <c r="W2702" i="6"/>
  <c r="U404" i="6"/>
  <c r="W404" i="6" s="1"/>
  <c r="S405" i="6"/>
  <c r="K404" i="6"/>
  <c r="R2721" i="6"/>
  <c r="W2721" i="6"/>
  <c r="S2721" i="6"/>
  <c r="T237" i="6"/>
  <c r="V236" i="6"/>
  <c r="U236" i="6" s="1"/>
  <c r="W236" i="6" s="1"/>
  <c r="R2588" i="6"/>
  <c r="W2588" i="6"/>
  <c r="S2588" i="6"/>
  <c r="R469" i="6"/>
  <c r="K469" i="6"/>
  <c r="S470" i="6"/>
  <c r="U517" i="6"/>
  <c r="W517" i="6" s="1"/>
  <c r="K92" i="6"/>
  <c r="S93" i="6"/>
  <c r="R2645" i="6"/>
  <c r="S2645" i="6"/>
  <c r="W2645" i="6"/>
  <c r="R328" i="6"/>
  <c r="T2686" i="6"/>
  <c r="V2686" i="6" s="1"/>
  <c r="U2685" i="6"/>
  <c r="V2646" i="6"/>
  <c r="U548" i="6"/>
  <c r="W548" i="6" s="1"/>
  <c r="V2703" i="6"/>
  <c r="K2703" i="6" s="1"/>
  <c r="V2628" i="6" l="1"/>
  <c r="K2628" i="6" s="1"/>
  <c r="V2609" i="6"/>
  <c r="R141" i="6"/>
  <c r="K141" i="6"/>
  <c r="S142" i="6"/>
  <c r="T143" i="6"/>
  <c r="V142" i="6"/>
  <c r="U142" i="6" s="1"/>
  <c r="W142" i="6" s="1"/>
  <c r="V2647" i="6"/>
  <c r="K2647" i="6" s="1"/>
  <c r="U141" i="6"/>
  <c r="W141" i="6" s="1"/>
  <c r="U365" i="6"/>
  <c r="W365" i="6" s="1"/>
  <c r="S366" i="6"/>
  <c r="R365" i="6"/>
  <c r="K365" i="6"/>
  <c r="K366" i="6"/>
  <c r="V2723" i="6"/>
  <c r="K2723" i="6" s="1"/>
  <c r="R366" i="6"/>
  <c r="V2666" i="6"/>
  <c r="K2666" i="6" s="1"/>
  <c r="U158" i="6"/>
  <c r="W158" i="6" s="1"/>
  <c r="U405" i="6"/>
  <c r="W405" i="6" s="1"/>
  <c r="V454" i="6"/>
  <c r="R454" i="6" s="1"/>
  <c r="T455" i="6"/>
  <c r="U329" i="6"/>
  <c r="W329" i="6" s="1"/>
  <c r="R453" i="6"/>
  <c r="K453" i="6"/>
  <c r="S454" i="6"/>
  <c r="U532" i="6"/>
  <c r="W532" i="6" s="1"/>
  <c r="S297" i="6"/>
  <c r="K296" i="6"/>
  <c r="K2665" i="6"/>
  <c r="R208" i="6"/>
  <c r="K208" i="6"/>
  <c r="V297" i="6"/>
  <c r="T298" i="6"/>
  <c r="R315" i="6"/>
  <c r="U389" i="6"/>
  <c r="W389" i="6" s="1"/>
  <c r="R483" i="6"/>
  <c r="S484" i="6"/>
  <c r="K483" i="6"/>
  <c r="R236" i="6"/>
  <c r="R518" i="6"/>
  <c r="R296" i="6"/>
  <c r="T485" i="6"/>
  <c r="V484" i="6"/>
  <c r="U484" i="6" s="1"/>
  <c r="W484" i="6" s="1"/>
  <c r="U296" i="6"/>
  <c r="W296" i="6" s="1"/>
  <c r="R549" i="6"/>
  <c r="S550" i="6"/>
  <c r="K549" i="6"/>
  <c r="V377" i="6"/>
  <c r="T378" i="6"/>
  <c r="U281" i="6"/>
  <c r="W281" i="6" s="1"/>
  <c r="S282" i="6"/>
  <c r="K281" i="6"/>
  <c r="S406" i="6"/>
  <c r="K405" i="6"/>
  <c r="T160" i="6"/>
  <c r="V159" i="6"/>
  <c r="U106" i="6"/>
  <c r="W106" i="6" s="1"/>
  <c r="K2646" i="6"/>
  <c r="K315" i="6"/>
  <c r="S316" i="6"/>
  <c r="U2609" i="6"/>
  <c r="T2610" i="6"/>
  <c r="V2610" i="6" s="1"/>
  <c r="K2609" i="6"/>
  <c r="V390" i="6"/>
  <c r="R390" i="6" s="1"/>
  <c r="T391" i="6"/>
  <c r="V330" i="6"/>
  <c r="U330" i="6" s="1"/>
  <c r="W330" i="6" s="1"/>
  <c r="T331" i="6"/>
  <c r="T2591" i="6"/>
  <c r="U2590" i="6"/>
  <c r="K236" i="6"/>
  <c r="S237" i="6"/>
  <c r="S159" i="6"/>
  <c r="K158" i="6"/>
  <c r="R2646" i="6"/>
  <c r="S2646" i="6"/>
  <c r="W2646" i="6"/>
  <c r="R2608" i="6"/>
  <c r="S2608" i="6"/>
  <c r="W2608" i="6"/>
  <c r="S533" i="6"/>
  <c r="K532" i="6"/>
  <c r="S390" i="6"/>
  <c r="K389" i="6"/>
  <c r="S519" i="6"/>
  <c r="K518" i="6"/>
  <c r="S330" i="6"/>
  <c r="K329" i="6"/>
  <c r="R123" i="6"/>
  <c r="K123" i="6"/>
  <c r="S124" i="6"/>
  <c r="T472" i="6"/>
  <c r="V471" i="6"/>
  <c r="R471" i="6" s="1"/>
  <c r="R349" i="6"/>
  <c r="K349" i="6"/>
  <c r="V282" i="6"/>
  <c r="U282" i="6" s="1"/>
  <c r="W282" i="6" s="1"/>
  <c r="T283" i="6"/>
  <c r="T238" i="6"/>
  <c r="V237" i="6"/>
  <c r="R237" i="6" s="1"/>
  <c r="U2704" i="6"/>
  <c r="T2705" i="6"/>
  <c r="K106" i="6"/>
  <c r="S107" i="6"/>
  <c r="T317" i="6"/>
  <c r="V316" i="6"/>
  <c r="R316" i="6" s="1"/>
  <c r="T534" i="6"/>
  <c r="V533" i="6"/>
  <c r="U533" i="6" s="1"/>
  <c r="W533" i="6" s="1"/>
  <c r="R93" i="6"/>
  <c r="S94" i="6"/>
  <c r="K93" i="6"/>
  <c r="S218" i="6"/>
  <c r="K217" i="6"/>
  <c r="V218" i="6"/>
  <c r="U218" i="6" s="1"/>
  <c r="W218" i="6" s="1"/>
  <c r="T219" i="6"/>
  <c r="V550" i="6"/>
  <c r="U550" i="6" s="1"/>
  <c r="W550" i="6" s="1"/>
  <c r="T551" i="6"/>
  <c r="R2685" i="6"/>
  <c r="S2685" i="6"/>
  <c r="W2685" i="6"/>
  <c r="R2722" i="6"/>
  <c r="W2722" i="6"/>
  <c r="S2722" i="6"/>
  <c r="T2648" i="6"/>
  <c r="U2647" i="6"/>
  <c r="R2703" i="6"/>
  <c r="S2703" i="6"/>
  <c r="W2703" i="6"/>
  <c r="U123" i="6"/>
  <c r="W123" i="6" s="1"/>
  <c r="V107" i="6"/>
  <c r="U107" i="6" s="1"/>
  <c r="W107" i="6" s="1"/>
  <c r="T108" i="6"/>
  <c r="R217" i="6"/>
  <c r="T2629" i="6"/>
  <c r="U2628" i="6"/>
  <c r="T520" i="6"/>
  <c r="V519" i="6"/>
  <c r="R519" i="6" s="1"/>
  <c r="U93" i="6"/>
  <c r="W93" i="6" s="1"/>
  <c r="R2589" i="6"/>
  <c r="S2589" i="6"/>
  <c r="W2589" i="6"/>
  <c r="K376" i="6"/>
  <c r="S377" i="6"/>
  <c r="R2665" i="6"/>
  <c r="W2665" i="6"/>
  <c r="S2665" i="6"/>
  <c r="S471" i="6"/>
  <c r="K470" i="6"/>
  <c r="T407" i="6"/>
  <c r="V406" i="6"/>
  <c r="T2687" i="6"/>
  <c r="U2686" i="6"/>
  <c r="K2686" i="6"/>
  <c r="U2723" i="6"/>
  <c r="T2724" i="6"/>
  <c r="V2590" i="6"/>
  <c r="K2590" i="6" s="1"/>
  <c r="V2704" i="6"/>
  <c r="V124" i="6"/>
  <c r="R124" i="6" s="1"/>
  <c r="T125" i="6"/>
  <c r="U470" i="6"/>
  <c r="W470" i="6" s="1"/>
  <c r="U217" i="6"/>
  <c r="W217" i="6" s="1"/>
  <c r="R2627" i="6"/>
  <c r="W2627" i="6"/>
  <c r="S2627" i="6"/>
  <c r="U376" i="6"/>
  <c r="W376" i="6" s="1"/>
  <c r="U2666" i="6"/>
  <c r="T2667" i="6"/>
  <c r="T95" i="6"/>
  <c r="V94" i="6"/>
  <c r="U94" i="6" s="1"/>
  <c r="W94" i="6" s="1"/>
  <c r="V2629" i="6" l="1"/>
  <c r="K2629" i="6" s="1"/>
  <c r="V2648" i="6"/>
  <c r="K2648" i="6" s="1"/>
  <c r="R142" i="6"/>
  <c r="K142" i="6"/>
  <c r="S143" i="6"/>
  <c r="V143" i="6"/>
  <c r="T144" i="6"/>
  <c r="V144" i="6" s="1"/>
  <c r="U144" i="6" s="1"/>
  <c r="W144" i="6" s="1"/>
  <c r="V2705" i="6"/>
  <c r="K2705" i="6" s="1"/>
  <c r="V2724" i="6"/>
  <c r="K2724" i="6" s="1"/>
  <c r="U471" i="6"/>
  <c r="W471" i="6" s="1"/>
  <c r="R282" i="6"/>
  <c r="U124" i="6"/>
  <c r="W124" i="6" s="1"/>
  <c r="R533" i="6"/>
  <c r="V455" i="6"/>
  <c r="R455" i="6" s="1"/>
  <c r="T456" i="6"/>
  <c r="U237" i="6"/>
  <c r="W237" i="6" s="1"/>
  <c r="U454" i="6"/>
  <c r="W454" i="6" s="1"/>
  <c r="K454" i="6"/>
  <c r="S455" i="6"/>
  <c r="U390" i="6"/>
  <c r="W390" i="6" s="1"/>
  <c r="T486" i="6"/>
  <c r="V485" i="6"/>
  <c r="R485" i="6" s="1"/>
  <c r="R94" i="6"/>
  <c r="U316" i="6"/>
  <c r="W316" i="6" s="1"/>
  <c r="T299" i="6"/>
  <c r="V298" i="6"/>
  <c r="R298" i="6" s="1"/>
  <c r="U297" i="6"/>
  <c r="W297" i="6" s="1"/>
  <c r="R297" i="6"/>
  <c r="K297" i="6"/>
  <c r="S298" i="6"/>
  <c r="R330" i="6"/>
  <c r="V2591" i="6"/>
  <c r="K2591" i="6" s="1"/>
  <c r="U519" i="6"/>
  <c r="W519" i="6" s="1"/>
  <c r="R550" i="6"/>
  <c r="R484" i="6"/>
  <c r="K484" i="6"/>
  <c r="S485" i="6"/>
  <c r="R2723" i="6"/>
  <c r="W2723" i="6"/>
  <c r="S2723" i="6"/>
  <c r="R2647" i="6"/>
  <c r="S2647" i="6"/>
  <c r="W2647" i="6"/>
  <c r="S160" i="6"/>
  <c r="K159" i="6"/>
  <c r="K377" i="6"/>
  <c r="S378" i="6"/>
  <c r="T126" i="6"/>
  <c r="V125" i="6"/>
  <c r="U125" i="6" s="1"/>
  <c r="W125" i="6" s="1"/>
  <c r="S472" i="6"/>
  <c r="K471" i="6"/>
  <c r="R2590" i="6"/>
  <c r="S2590" i="6"/>
  <c r="W2590" i="6"/>
  <c r="T96" i="6"/>
  <c r="V95" i="6"/>
  <c r="U95" i="6" s="1"/>
  <c r="W95" i="6" s="1"/>
  <c r="S125" i="6"/>
  <c r="K124" i="6"/>
  <c r="U2687" i="6"/>
  <c r="T2688" i="6"/>
  <c r="K550" i="6"/>
  <c r="S551" i="6"/>
  <c r="T535" i="6"/>
  <c r="V534" i="6"/>
  <c r="R534" i="6" s="1"/>
  <c r="K2704" i="6"/>
  <c r="V472" i="6"/>
  <c r="U472" i="6" s="1"/>
  <c r="W472" i="6" s="1"/>
  <c r="T473" i="6"/>
  <c r="T2592" i="6"/>
  <c r="U2591" i="6"/>
  <c r="K330" i="6"/>
  <c r="S331" i="6"/>
  <c r="T161" i="6"/>
  <c r="V160" i="6"/>
  <c r="R2666" i="6"/>
  <c r="W2666" i="6"/>
  <c r="S2666" i="6"/>
  <c r="T318" i="6"/>
  <c r="V317" i="6"/>
  <c r="U317" i="6" s="1"/>
  <c r="W317" i="6" s="1"/>
  <c r="S95" i="6"/>
  <c r="K94" i="6"/>
  <c r="K107" i="6"/>
  <c r="S108" i="6"/>
  <c r="T552" i="6"/>
  <c r="V551" i="6"/>
  <c r="U551" i="6" s="1"/>
  <c r="W551" i="6" s="1"/>
  <c r="R2609" i="6"/>
  <c r="W2609" i="6"/>
  <c r="S2609" i="6"/>
  <c r="R406" i="6"/>
  <c r="S407" i="6"/>
  <c r="K406" i="6"/>
  <c r="R2628" i="6"/>
  <c r="W2628" i="6"/>
  <c r="S2628" i="6"/>
  <c r="R218" i="6"/>
  <c r="T2706" i="6"/>
  <c r="U2705" i="6"/>
  <c r="T284" i="6"/>
  <c r="V283" i="6"/>
  <c r="V520" i="6"/>
  <c r="U520" i="6" s="1"/>
  <c r="W520" i="6" s="1"/>
  <c r="R2686" i="6"/>
  <c r="S2686" i="6"/>
  <c r="W2686" i="6"/>
  <c r="T408" i="6"/>
  <c r="V407" i="6"/>
  <c r="R407" i="6" s="1"/>
  <c r="U2629" i="6"/>
  <c r="T2630" i="6"/>
  <c r="R2704" i="6"/>
  <c r="S2704" i="6"/>
  <c r="W2704" i="6"/>
  <c r="S283" i="6"/>
  <c r="K282" i="6"/>
  <c r="T379" i="6"/>
  <c r="V378" i="6"/>
  <c r="U2648" i="6"/>
  <c r="T2649" i="6"/>
  <c r="T2611" i="6"/>
  <c r="U2610" i="6"/>
  <c r="K2610" i="6"/>
  <c r="V331" i="6"/>
  <c r="U331" i="6" s="1"/>
  <c r="W331" i="6" s="1"/>
  <c r="T332" i="6"/>
  <c r="R159" i="6"/>
  <c r="U406" i="6"/>
  <c r="W406" i="6" s="1"/>
  <c r="S520" i="6"/>
  <c r="K519" i="6"/>
  <c r="T220" i="6"/>
  <c r="V219" i="6"/>
  <c r="U219" i="6" s="1"/>
  <c r="W219" i="6" s="1"/>
  <c r="S317" i="6"/>
  <c r="K316" i="6"/>
  <c r="V391" i="6"/>
  <c r="U391" i="6" s="1"/>
  <c r="W391" i="6" s="1"/>
  <c r="T392" i="6"/>
  <c r="R377" i="6"/>
  <c r="T109" i="6"/>
  <c r="V108" i="6"/>
  <c r="V238" i="6"/>
  <c r="U159" i="6"/>
  <c r="W159" i="6" s="1"/>
  <c r="S534" i="6"/>
  <c r="K533" i="6"/>
  <c r="U2667" i="6"/>
  <c r="T2668" i="6"/>
  <c r="U2724" i="6"/>
  <c r="T2725" i="6"/>
  <c r="R107" i="6"/>
  <c r="K218" i="6"/>
  <c r="S219" i="6"/>
  <c r="K237" i="6"/>
  <c r="S238" i="6"/>
  <c r="S391" i="6"/>
  <c r="K390" i="6"/>
  <c r="V2667" i="6"/>
  <c r="U377" i="6"/>
  <c r="W377" i="6" s="1"/>
  <c r="V2687" i="6"/>
  <c r="K2687" i="6" s="1"/>
  <c r="V2630" i="6" l="1"/>
  <c r="V2649" i="6"/>
  <c r="K2649" i="6" s="1"/>
  <c r="K144" i="6"/>
  <c r="R144" i="6"/>
  <c r="U407" i="6"/>
  <c r="W407" i="6" s="1"/>
  <c r="V2706" i="6"/>
  <c r="K2706" i="6" s="1"/>
  <c r="R143" i="6"/>
  <c r="U143" i="6"/>
  <c r="W143" i="6" s="1"/>
  <c r="K143" i="6"/>
  <c r="S144" i="6"/>
  <c r="R219" i="6"/>
  <c r="R331" i="6"/>
  <c r="V2668" i="6"/>
  <c r="K2668" i="6" s="1"/>
  <c r="V2592" i="6"/>
  <c r="K2592" i="6" s="1"/>
  <c r="V456" i="6"/>
  <c r="T457" i="6"/>
  <c r="U455" i="6"/>
  <c r="W455" i="6" s="1"/>
  <c r="S456" i="6"/>
  <c r="K455" i="6"/>
  <c r="U485" i="6"/>
  <c r="W485" i="6" s="1"/>
  <c r="R391" i="6"/>
  <c r="K485" i="6"/>
  <c r="S486" i="6"/>
  <c r="U298" i="6"/>
  <c r="W298" i="6" s="1"/>
  <c r="S299" i="6"/>
  <c r="K298" i="6"/>
  <c r="T487" i="6"/>
  <c r="V486" i="6"/>
  <c r="R486" i="6" s="1"/>
  <c r="T300" i="6"/>
  <c r="V299" i="6"/>
  <c r="S161" i="6"/>
  <c r="K160" i="6"/>
  <c r="T110" i="6"/>
  <c r="V109" i="6"/>
  <c r="U109" i="6" s="1"/>
  <c r="W109" i="6" s="1"/>
  <c r="R2610" i="6"/>
  <c r="W2610" i="6"/>
  <c r="S2610" i="6"/>
  <c r="T285" i="6"/>
  <c r="V284" i="6"/>
  <c r="R284" i="6" s="1"/>
  <c r="S379" i="6"/>
  <c r="K378" i="6"/>
  <c r="S220" i="6"/>
  <c r="K219" i="6"/>
  <c r="R378" i="6"/>
  <c r="R2705" i="6"/>
  <c r="W2705" i="6"/>
  <c r="S2705" i="6"/>
  <c r="R2687" i="6"/>
  <c r="S2687" i="6"/>
  <c r="W2687" i="6"/>
  <c r="R283" i="6"/>
  <c r="S284" i="6"/>
  <c r="K283" i="6"/>
  <c r="R2629" i="6"/>
  <c r="W2629" i="6"/>
  <c r="S2629" i="6"/>
  <c r="T97" i="6"/>
  <c r="V96" i="6"/>
  <c r="U96" i="6" s="1"/>
  <c r="W96" i="6" s="1"/>
  <c r="T319" i="6"/>
  <c r="V318" i="6"/>
  <c r="R318" i="6" s="1"/>
  <c r="T2726" i="6"/>
  <c r="U2725" i="6"/>
  <c r="T221" i="6"/>
  <c r="V220" i="6"/>
  <c r="R220" i="6" s="1"/>
  <c r="U378" i="6"/>
  <c r="W378" i="6" s="1"/>
  <c r="K407" i="6"/>
  <c r="S408" i="6"/>
  <c r="R520" i="6"/>
  <c r="K520" i="6"/>
  <c r="T2707" i="6"/>
  <c r="U2706" i="6"/>
  <c r="R2667" i="6"/>
  <c r="W2667" i="6"/>
  <c r="S2667" i="6"/>
  <c r="U2630" i="6"/>
  <c r="T2631" i="6"/>
  <c r="K2630" i="6"/>
  <c r="K317" i="6"/>
  <c r="S318" i="6"/>
  <c r="U2688" i="6"/>
  <c r="T2689" i="6"/>
  <c r="U238" i="6"/>
  <c r="W238" i="6" s="1"/>
  <c r="K238" i="6"/>
  <c r="S332" i="6"/>
  <c r="K331" i="6"/>
  <c r="R2648" i="6"/>
  <c r="S2648" i="6"/>
  <c r="W2648" i="6"/>
  <c r="V379" i="6"/>
  <c r="U379" i="6" s="1"/>
  <c r="W379" i="6" s="1"/>
  <c r="V408" i="6"/>
  <c r="U408" i="6" s="1"/>
  <c r="W408" i="6" s="1"/>
  <c r="T409" i="6"/>
  <c r="R2591" i="6"/>
  <c r="S2591" i="6"/>
  <c r="W2591" i="6"/>
  <c r="U534" i="6"/>
  <c r="W534" i="6" s="1"/>
  <c r="S535" i="6"/>
  <c r="K534" i="6"/>
  <c r="K108" i="6"/>
  <c r="S109" i="6"/>
  <c r="S552" i="6"/>
  <c r="K551" i="6"/>
  <c r="V473" i="6"/>
  <c r="U473" i="6" s="1"/>
  <c r="W473" i="6" s="1"/>
  <c r="U2611" i="6"/>
  <c r="T2612" i="6"/>
  <c r="V552" i="6"/>
  <c r="T553" i="6"/>
  <c r="T127" i="6"/>
  <c r="V126" i="6"/>
  <c r="R126" i="6" s="1"/>
  <c r="V332" i="6"/>
  <c r="R332" i="6" s="1"/>
  <c r="V392" i="6"/>
  <c r="U392" i="6" s="1"/>
  <c r="W392" i="6" s="1"/>
  <c r="T393" i="6"/>
  <c r="K2667" i="6"/>
  <c r="S392" i="6"/>
  <c r="K391" i="6"/>
  <c r="U160" i="6"/>
  <c r="W160" i="6" s="1"/>
  <c r="U2592" i="6"/>
  <c r="T2593" i="6"/>
  <c r="T536" i="6"/>
  <c r="V535" i="6"/>
  <c r="R535" i="6" s="1"/>
  <c r="S96" i="6"/>
  <c r="K95" i="6"/>
  <c r="V2611" i="6"/>
  <c r="K2611" i="6" s="1"/>
  <c r="K125" i="6"/>
  <c r="S126" i="6"/>
  <c r="V161" i="6"/>
  <c r="U161" i="6" s="1"/>
  <c r="W161" i="6" s="1"/>
  <c r="S473" i="6"/>
  <c r="K472" i="6"/>
  <c r="R238" i="6"/>
  <c r="T2650" i="6"/>
  <c r="U2649" i="6"/>
  <c r="R2724" i="6"/>
  <c r="S2724" i="6"/>
  <c r="W2724" i="6"/>
  <c r="V2688" i="6"/>
  <c r="U108" i="6"/>
  <c r="W108" i="6" s="1"/>
  <c r="T2669" i="6"/>
  <c r="U2668" i="6"/>
  <c r="R108" i="6"/>
  <c r="U283" i="6"/>
  <c r="W283" i="6" s="1"/>
  <c r="R551" i="6"/>
  <c r="R317" i="6"/>
  <c r="R160" i="6"/>
  <c r="R472" i="6"/>
  <c r="R95" i="6"/>
  <c r="R125" i="6"/>
  <c r="V2725" i="6"/>
  <c r="V2593" i="6" l="1"/>
  <c r="K2593" i="6" s="1"/>
  <c r="V2669" i="6"/>
  <c r="K2669" i="6" s="1"/>
  <c r="V2612" i="6"/>
  <c r="K2612" i="6" s="1"/>
  <c r="R96" i="6"/>
  <c r="U535" i="6"/>
  <c r="W535" i="6" s="1"/>
  <c r="V457" i="6"/>
  <c r="R457" i="6" s="1"/>
  <c r="T458" i="6"/>
  <c r="S457" i="6"/>
  <c r="K456" i="6"/>
  <c r="R456" i="6"/>
  <c r="U220" i="6"/>
  <c r="W220" i="6" s="1"/>
  <c r="U456" i="6"/>
  <c r="W456" i="6" s="1"/>
  <c r="U299" i="6"/>
  <c r="W299" i="6" s="1"/>
  <c r="K299" i="6"/>
  <c r="S300" i="6"/>
  <c r="U284" i="6"/>
  <c r="W284" i="6" s="1"/>
  <c r="T301" i="6"/>
  <c r="V300" i="6"/>
  <c r="R299" i="6"/>
  <c r="R408" i="6"/>
  <c r="U486" i="6"/>
  <c r="W486" i="6" s="1"/>
  <c r="K486" i="6"/>
  <c r="S487" i="6"/>
  <c r="T488" i="6"/>
  <c r="V487" i="6"/>
  <c r="U487" i="6" s="1"/>
  <c r="W487" i="6" s="1"/>
  <c r="R2725" i="6"/>
  <c r="S2725" i="6"/>
  <c r="W2725" i="6"/>
  <c r="U318" i="6"/>
  <c r="W318" i="6" s="1"/>
  <c r="K318" i="6"/>
  <c r="S319" i="6"/>
  <c r="T111" i="6"/>
  <c r="V110" i="6"/>
  <c r="R110" i="6" s="1"/>
  <c r="R2668" i="6"/>
  <c r="W2668" i="6"/>
  <c r="S2668" i="6"/>
  <c r="S536" i="6"/>
  <c r="K535" i="6"/>
  <c r="T2613" i="6"/>
  <c r="U2612" i="6"/>
  <c r="T410" i="6"/>
  <c r="V409" i="6"/>
  <c r="U409" i="6" s="1"/>
  <c r="W409" i="6" s="1"/>
  <c r="R2706" i="6"/>
  <c r="W2706" i="6"/>
  <c r="S2706" i="6"/>
  <c r="V319" i="6"/>
  <c r="R319" i="6" s="1"/>
  <c r="R2592" i="6"/>
  <c r="S2592" i="6"/>
  <c r="W2592" i="6"/>
  <c r="U2689" i="6"/>
  <c r="T2690" i="6"/>
  <c r="V97" i="6"/>
  <c r="U97" i="6" s="1"/>
  <c r="W97" i="6" s="1"/>
  <c r="T2727" i="6"/>
  <c r="U2726" i="6"/>
  <c r="U126" i="6"/>
  <c r="W126" i="6" s="1"/>
  <c r="K126" i="6"/>
  <c r="S127" i="6"/>
  <c r="S409" i="6"/>
  <c r="K408" i="6"/>
  <c r="U2631" i="6"/>
  <c r="T2632" i="6"/>
  <c r="U2707" i="6"/>
  <c r="T2708" i="6"/>
  <c r="K220" i="6"/>
  <c r="S221" i="6"/>
  <c r="T554" i="6"/>
  <c r="V553" i="6"/>
  <c r="U553" i="6" s="1"/>
  <c r="W553" i="6" s="1"/>
  <c r="S553" i="6"/>
  <c r="K552" i="6"/>
  <c r="K109" i="6"/>
  <c r="S110" i="6"/>
  <c r="U332" i="6"/>
  <c r="W332" i="6" s="1"/>
  <c r="K332" i="6"/>
  <c r="R2649" i="6"/>
  <c r="W2649" i="6"/>
  <c r="S2649" i="6"/>
  <c r="T2670" i="6"/>
  <c r="U2669" i="6"/>
  <c r="U2650" i="6"/>
  <c r="T2651" i="6"/>
  <c r="T537" i="6"/>
  <c r="V536" i="6"/>
  <c r="R2611" i="6"/>
  <c r="W2611" i="6"/>
  <c r="S2611" i="6"/>
  <c r="T128" i="6"/>
  <c r="V127" i="6"/>
  <c r="R2630" i="6"/>
  <c r="S2630" i="6"/>
  <c r="W2630" i="6"/>
  <c r="V221" i="6"/>
  <c r="R221" i="6" s="1"/>
  <c r="T222" i="6"/>
  <c r="S285" i="6"/>
  <c r="K284" i="6"/>
  <c r="V2650" i="6"/>
  <c r="K2650" i="6" s="1"/>
  <c r="S393" i="6"/>
  <c r="K392" i="6"/>
  <c r="R392" i="6"/>
  <c r="R2688" i="6"/>
  <c r="S2688" i="6"/>
  <c r="W2688" i="6"/>
  <c r="R161" i="6"/>
  <c r="K161" i="6"/>
  <c r="R552" i="6"/>
  <c r="V2726" i="6"/>
  <c r="V2689" i="6"/>
  <c r="T2594" i="6"/>
  <c r="U2593" i="6"/>
  <c r="T394" i="6"/>
  <c r="V393" i="6"/>
  <c r="R393" i="6" s="1"/>
  <c r="U552" i="6"/>
  <c r="W552" i="6" s="1"/>
  <c r="R473" i="6"/>
  <c r="K473" i="6"/>
  <c r="R379" i="6"/>
  <c r="K379" i="6"/>
  <c r="K2688" i="6"/>
  <c r="V2707" i="6"/>
  <c r="K2707" i="6" s="1"/>
  <c r="K2725" i="6"/>
  <c r="S97" i="6"/>
  <c r="K96" i="6"/>
  <c r="V285" i="6"/>
  <c r="U285" i="6" s="1"/>
  <c r="W285" i="6" s="1"/>
  <c r="R109" i="6"/>
  <c r="V2631" i="6"/>
  <c r="V2594" i="6" l="1"/>
  <c r="V2632" i="6"/>
  <c r="K2632" i="6" s="1"/>
  <c r="V2727" i="6"/>
  <c r="K2727" i="6" s="1"/>
  <c r="U457" i="6"/>
  <c r="W457" i="6" s="1"/>
  <c r="R409" i="6"/>
  <c r="V2613" i="6"/>
  <c r="K2613" i="6" s="1"/>
  <c r="R487" i="6"/>
  <c r="R553" i="6"/>
  <c r="T459" i="6"/>
  <c r="V458" i="6"/>
  <c r="R458" i="6" s="1"/>
  <c r="K457" i="6"/>
  <c r="S458" i="6"/>
  <c r="T489" i="6"/>
  <c r="V488" i="6"/>
  <c r="U488" i="6" s="1"/>
  <c r="W488" i="6" s="1"/>
  <c r="U300" i="6"/>
  <c r="W300" i="6" s="1"/>
  <c r="S301" i="6"/>
  <c r="K300" i="6"/>
  <c r="R300" i="6"/>
  <c r="T302" i="6"/>
  <c r="V302" i="6" s="1"/>
  <c r="K302" i="6" s="1"/>
  <c r="V301" i="6"/>
  <c r="V2690" i="6"/>
  <c r="K2690" i="6" s="1"/>
  <c r="U110" i="6"/>
  <c r="W110" i="6" s="1"/>
  <c r="S488" i="6"/>
  <c r="K487" i="6"/>
  <c r="U393" i="6"/>
  <c r="W393" i="6" s="1"/>
  <c r="K127" i="6"/>
  <c r="S128" i="6"/>
  <c r="U319" i="6"/>
  <c r="W319" i="6" s="1"/>
  <c r="K319" i="6"/>
  <c r="R2707" i="6"/>
  <c r="W2707" i="6"/>
  <c r="S2707" i="6"/>
  <c r="S394" i="6"/>
  <c r="K393" i="6"/>
  <c r="R2650" i="6"/>
  <c r="W2650" i="6"/>
  <c r="S2650" i="6"/>
  <c r="V554" i="6"/>
  <c r="U554" i="6" s="1"/>
  <c r="W554" i="6" s="1"/>
  <c r="K2631" i="6"/>
  <c r="U2690" i="6"/>
  <c r="T2691" i="6"/>
  <c r="T2614" i="6"/>
  <c r="U2613" i="6"/>
  <c r="K110" i="6"/>
  <c r="S111" i="6"/>
  <c r="T129" i="6"/>
  <c r="V128" i="6"/>
  <c r="R128" i="6" s="1"/>
  <c r="T2709" i="6"/>
  <c r="U2708" i="6"/>
  <c r="S554" i="6"/>
  <c r="K553" i="6"/>
  <c r="K2689" i="6"/>
  <c r="V394" i="6"/>
  <c r="U394" i="6" s="1"/>
  <c r="W394" i="6" s="1"/>
  <c r="T395" i="6"/>
  <c r="V2651" i="6"/>
  <c r="R2689" i="6"/>
  <c r="W2689" i="6"/>
  <c r="S2689" i="6"/>
  <c r="K536" i="6"/>
  <c r="S537" i="6"/>
  <c r="R2631" i="6"/>
  <c r="S2631" i="6"/>
  <c r="W2631" i="6"/>
  <c r="K2726" i="6"/>
  <c r="V222" i="6"/>
  <c r="R222" i="6" s="1"/>
  <c r="T223" i="6"/>
  <c r="K221" i="6"/>
  <c r="S222" i="6"/>
  <c r="U2651" i="6"/>
  <c r="T2652" i="6"/>
  <c r="R2612" i="6"/>
  <c r="W2612" i="6"/>
  <c r="S2612" i="6"/>
  <c r="T2633" i="6"/>
  <c r="U2632" i="6"/>
  <c r="T112" i="6"/>
  <c r="V111" i="6"/>
  <c r="U111" i="6" s="1"/>
  <c r="W111" i="6" s="1"/>
  <c r="R2593" i="6"/>
  <c r="W2593" i="6"/>
  <c r="S2593" i="6"/>
  <c r="U127" i="6"/>
  <c r="W127" i="6" s="1"/>
  <c r="R536" i="6"/>
  <c r="T2671" i="6"/>
  <c r="U2670" i="6"/>
  <c r="R2726" i="6"/>
  <c r="S2726" i="6"/>
  <c r="W2726" i="6"/>
  <c r="V537" i="6"/>
  <c r="U537" i="6" s="1"/>
  <c r="W537" i="6" s="1"/>
  <c r="T411" i="6"/>
  <c r="V410" i="6"/>
  <c r="U410" i="6" s="1"/>
  <c r="W410" i="6" s="1"/>
  <c r="R97" i="6"/>
  <c r="K97" i="6"/>
  <c r="V2708" i="6"/>
  <c r="R2669" i="6"/>
  <c r="S2669" i="6"/>
  <c r="W2669" i="6"/>
  <c r="R285" i="6"/>
  <c r="K285" i="6"/>
  <c r="U2594" i="6"/>
  <c r="T2595" i="6"/>
  <c r="V2595" i="6" s="1"/>
  <c r="K2594" i="6"/>
  <c r="U221" i="6"/>
  <c r="W221" i="6" s="1"/>
  <c r="R127" i="6"/>
  <c r="U536" i="6"/>
  <c r="W536" i="6" s="1"/>
  <c r="T2728" i="6"/>
  <c r="U2727" i="6"/>
  <c r="K409" i="6"/>
  <c r="S410" i="6"/>
  <c r="V2670" i="6"/>
  <c r="K2670" i="6" s="1"/>
  <c r="R302" i="6" l="1"/>
  <c r="U302" i="6"/>
  <c r="W302" i="6" s="1"/>
  <c r="V2691" i="6"/>
  <c r="K2691" i="6" s="1"/>
  <c r="R410" i="6"/>
  <c r="U458" i="6"/>
  <c r="W458" i="6" s="1"/>
  <c r="K458" i="6"/>
  <c r="S459" i="6"/>
  <c r="V459" i="6"/>
  <c r="U459" i="6" s="1"/>
  <c r="W459" i="6" s="1"/>
  <c r="T460" i="6"/>
  <c r="V2652" i="6"/>
  <c r="K2652" i="6" s="1"/>
  <c r="U128" i="6"/>
  <c r="W128" i="6" s="1"/>
  <c r="S302" i="6"/>
  <c r="K301" i="6"/>
  <c r="R488" i="6"/>
  <c r="U222" i="6"/>
  <c r="W222" i="6" s="1"/>
  <c r="R301" i="6"/>
  <c r="S489" i="6"/>
  <c r="K488" i="6"/>
  <c r="U301" i="6"/>
  <c r="W301" i="6" s="1"/>
  <c r="T490" i="6"/>
  <c r="V489" i="6"/>
  <c r="U489" i="6" s="1"/>
  <c r="W489" i="6" s="1"/>
  <c r="R2708" i="6"/>
  <c r="S2708" i="6"/>
  <c r="W2708" i="6"/>
  <c r="R2594" i="6"/>
  <c r="W2594" i="6"/>
  <c r="S2594" i="6"/>
  <c r="R2632" i="6"/>
  <c r="S2632" i="6"/>
  <c r="W2632" i="6"/>
  <c r="U2709" i="6"/>
  <c r="T2710" i="6"/>
  <c r="U2728" i="6"/>
  <c r="T2729" i="6"/>
  <c r="R394" i="6"/>
  <c r="K394" i="6"/>
  <c r="S395" i="6"/>
  <c r="V2728" i="6"/>
  <c r="K2728" i="6" s="1"/>
  <c r="S411" i="6"/>
  <c r="K410" i="6"/>
  <c r="R111" i="6"/>
  <c r="K128" i="6"/>
  <c r="S129" i="6"/>
  <c r="V2671" i="6"/>
  <c r="V411" i="6"/>
  <c r="R411" i="6" s="1"/>
  <c r="T412" i="6"/>
  <c r="R2670" i="6"/>
  <c r="S2670" i="6"/>
  <c r="W2670" i="6"/>
  <c r="V223" i="6"/>
  <c r="R223" i="6" s="1"/>
  <c r="T224" i="6"/>
  <c r="T130" i="6"/>
  <c r="V129" i="6"/>
  <c r="U129" i="6" s="1"/>
  <c r="W129" i="6" s="1"/>
  <c r="U2691" i="6"/>
  <c r="T2692" i="6"/>
  <c r="U2595" i="6"/>
  <c r="T2596" i="6"/>
  <c r="V2596" i="6" s="1"/>
  <c r="K2595" i="6"/>
  <c r="R2651" i="6"/>
  <c r="W2651" i="6"/>
  <c r="S2651" i="6"/>
  <c r="R554" i="6"/>
  <c r="K554" i="6"/>
  <c r="R2727" i="6"/>
  <c r="S2727" i="6"/>
  <c r="W2727" i="6"/>
  <c r="T396" i="6"/>
  <c r="V395" i="6"/>
  <c r="U395" i="6" s="1"/>
  <c r="W395" i="6" s="1"/>
  <c r="T2615" i="6"/>
  <c r="U2614" i="6"/>
  <c r="R2613" i="6"/>
  <c r="S2613" i="6"/>
  <c r="W2613" i="6"/>
  <c r="T2634" i="6"/>
  <c r="U2633" i="6"/>
  <c r="T2672" i="6"/>
  <c r="U2671" i="6"/>
  <c r="K111" i="6"/>
  <c r="S112" i="6"/>
  <c r="K2651" i="6"/>
  <c r="K222" i="6"/>
  <c r="S223" i="6"/>
  <c r="V2614" i="6"/>
  <c r="R2690" i="6"/>
  <c r="W2690" i="6"/>
  <c r="S2690" i="6"/>
  <c r="V2709" i="6"/>
  <c r="R537" i="6"/>
  <c r="K537" i="6"/>
  <c r="T113" i="6"/>
  <c r="V112" i="6"/>
  <c r="U112" i="6" s="1"/>
  <c r="W112" i="6" s="1"/>
  <c r="U2652" i="6"/>
  <c r="T2653" i="6"/>
  <c r="K2708" i="6"/>
  <c r="V2633" i="6"/>
  <c r="R395" i="6" l="1"/>
  <c r="V2692" i="6"/>
  <c r="K2692" i="6" s="1"/>
  <c r="V460" i="6"/>
  <c r="R460" i="6" s="1"/>
  <c r="R459" i="6"/>
  <c r="S460" i="6"/>
  <c r="K459" i="6"/>
  <c r="V2710" i="6"/>
  <c r="V2672" i="6"/>
  <c r="K2672" i="6" s="1"/>
  <c r="R489" i="6"/>
  <c r="R112" i="6"/>
  <c r="S490" i="6"/>
  <c r="K489" i="6"/>
  <c r="V2615" i="6"/>
  <c r="K2615" i="6" s="1"/>
  <c r="U411" i="6"/>
  <c r="W411" i="6" s="1"/>
  <c r="V490" i="6"/>
  <c r="T2654" i="6"/>
  <c r="U2653" i="6"/>
  <c r="S396" i="6"/>
  <c r="K395" i="6"/>
  <c r="R129" i="6"/>
  <c r="S113" i="6"/>
  <c r="K112" i="6"/>
  <c r="K2671" i="6"/>
  <c r="V396" i="6"/>
  <c r="R396" i="6" s="1"/>
  <c r="U2729" i="6"/>
  <c r="T2730" i="6"/>
  <c r="T2635" i="6"/>
  <c r="U2634" i="6"/>
  <c r="T2693" i="6"/>
  <c r="U2692" i="6"/>
  <c r="R2691" i="6"/>
  <c r="W2691" i="6"/>
  <c r="S2691" i="6"/>
  <c r="R2671" i="6"/>
  <c r="S2671" i="6"/>
  <c r="W2671" i="6"/>
  <c r="V2653" i="6"/>
  <c r="R2728" i="6"/>
  <c r="S2728" i="6"/>
  <c r="W2728" i="6"/>
  <c r="V2634" i="6"/>
  <c r="T114" i="6"/>
  <c r="V113" i="6"/>
  <c r="R113" i="6" s="1"/>
  <c r="K2633" i="6"/>
  <c r="R2614" i="6"/>
  <c r="S2614" i="6"/>
  <c r="W2614" i="6"/>
  <c r="R2595" i="6"/>
  <c r="W2595" i="6"/>
  <c r="S2595" i="6"/>
  <c r="V412" i="6"/>
  <c r="T413" i="6"/>
  <c r="V2729" i="6"/>
  <c r="U2710" i="6"/>
  <c r="T2711" i="6"/>
  <c r="U223" i="6"/>
  <c r="W223" i="6" s="1"/>
  <c r="K223" i="6"/>
  <c r="S224" i="6"/>
  <c r="R2652" i="6"/>
  <c r="S2652" i="6"/>
  <c r="W2652" i="6"/>
  <c r="S130" i="6"/>
  <c r="K129" i="6"/>
  <c r="U2672" i="6"/>
  <c r="T2673" i="6"/>
  <c r="K2614" i="6"/>
  <c r="U2596" i="6"/>
  <c r="T2597" i="6"/>
  <c r="V2597" i="6" s="1"/>
  <c r="K2596" i="6"/>
  <c r="V130" i="6"/>
  <c r="R130" i="6" s="1"/>
  <c r="T131" i="6"/>
  <c r="K2709" i="6"/>
  <c r="R2633" i="6"/>
  <c r="W2633" i="6"/>
  <c r="S2633" i="6"/>
  <c r="U2615" i="6"/>
  <c r="T2616" i="6"/>
  <c r="T225" i="6"/>
  <c r="V224" i="6"/>
  <c r="R224" i="6" s="1"/>
  <c r="S412" i="6"/>
  <c r="K411" i="6"/>
  <c r="R2709" i="6"/>
  <c r="W2709" i="6"/>
  <c r="S2709" i="6"/>
  <c r="V2711" i="6" l="1"/>
  <c r="K2711" i="6" s="1"/>
  <c r="K2710" i="6"/>
  <c r="V2654" i="6"/>
  <c r="K2654" i="6" s="1"/>
  <c r="U460" i="6"/>
  <c r="W460" i="6" s="1"/>
  <c r="K460" i="6"/>
  <c r="U113" i="6"/>
  <c r="W113" i="6" s="1"/>
  <c r="R490" i="6"/>
  <c r="K490" i="6"/>
  <c r="V2635" i="6"/>
  <c r="K2635" i="6" s="1"/>
  <c r="U490" i="6"/>
  <c r="W490" i="6" s="1"/>
  <c r="V131" i="6"/>
  <c r="U2673" i="6"/>
  <c r="T2674" i="6"/>
  <c r="V413" i="6"/>
  <c r="U413" i="6" s="1"/>
  <c r="W413" i="6" s="1"/>
  <c r="U2730" i="6"/>
  <c r="T2731" i="6"/>
  <c r="U2616" i="6"/>
  <c r="T2617" i="6"/>
  <c r="S131" i="6"/>
  <c r="K130" i="6"/>
  <c r="R2672" i="6"/>
  <c r="S2672" i="6"/>
  <c r="W2672" i="6"/>
  <c r="U412" i="6"/>
  <c r="W412" i="6" s="1"/>
  <c r="S413" i="6"/>
  <c r="K412" i="6"/>
  <c r="V2616" i="6"/>
  <c r="R2729" i="6"/>
  <c r="W2729" i="6"/>
  <c r="S2729" i="6"/>
  <c r="R2615" i="6"/>
  <c r="S2615" i="6"/>
  <c r="W2615" i="6"/>
  <c r="U224" i="6"/>
  <c r="W224" i="6" s="1"/>
  <c r="T2598" i="6"/>
  <c r="V2598" i="6" s="1"/>
  <c r="K2597" i="6"/>
  <c r="U2597" i="6"/>
  <c r="U2711" i="6"/>
  <c r="T2712" i="6"/>
  <c r="K113" i="6"/>
  <c r="S114" i="6"/>
  <c r="K2634" i="6"/>
  <c r="K2653" i="6"/>
  <c r="V2673" i="6"/>
  <c r="R2596" i="6"/>
  <c r="S2596" i="6"/>
  <c r="W2596" i="6"/>
  <c r="R2710" i="6"/>
  <c r="S2710" i="6"/>
  <c r="W2710" i="6"/>
  <c r="V114" i="6"/>
  <c r="U114" i="6" s="1"/>
  <c r="W114" i="6" s="1"/>
  <c r="R2634" i="6"/>
  <c r="W2634" i="6"/>
  <c r="S2634" i="6"/>
  <c r="R2653" i="6"/>
  <c r="S2653" i="6"/>
  <c r="W2653" i="6"/>
  <c r="U396" i="6"/>
  <c r="W396" i="6" s="1"/>
  <c r="K396" i="6"/>
  <c r="S225" i="6"/>
  <c r="K224" i="6"/>
  <c r="V2730" i="6"/>
  <c r="U2635" i="6"/>
  <c r="T2636" i="6"/>
  <c r="T2655" i="6"/>
  <c r="U2654" i="6"/>
  <c r="R2692" i="6"/>
  <c r="W2692" i="6"/>
  <c r="S2692" i="6"/>
  <c r="T2694" i="6"/>
  <c r="U2693" i="6"/>
  <c r="V225" i="6"/>
  <c r="K225" i="6" s="1"/>
  <c r="U130" i="6"/>
  <c r="W130" i="6" s="1"/>
  <c r="R412" i="6"/>
  <c r="K2729" i="6"/>
  <c r="V2693" i="6"/>
  <c r="V2674" i="6" l="1"/>
  <c r="K2674" i="6" s="1"/>
  <c r="V2712" i="6"/>
  <c r="K2712" i="6" s="1"/>
  <c r="V2655" i="6"/>
  <c r="V2617" i="6"/>
  <c r="K2617" i="6" s="1"/>
  <c r="V2694" i="6"/>
  <c r="K2694" i="6" s="1"/>
  <c r="U225" i="6"/>
  <c r="W225" i="6" s="1"/>
  <c r="R225" i="6"/>
  <c r="R131" i="6"/>
  <c r="K131" i="6"/>
  <c r="T2695" i="6"/>
  <c r="U2694" i="6"/>
  <c r="T2637" i="6"/>
  <c r="U2636" i="6"/>
  <c r="R2635" i="6"/>
  <c r="W2635" i="6"/>
  <c r="S2635" i="6"/>
  <c r="R413" i="6"/>
  <c r="K413" i="6"/>
  <c r="R2654" i="6"/>
  <c r="S2654" i="6"/>
  <c r="W2654" i="6"/>
  <c r="R2616" i="6"/>
  <c r="S2616" i="6"/>
  <c r="W2616" i="6"/>
  <c r="R2673" i="6"/>
  <c r="W2673" i="6"/>
  <c r="S2673" i="6"/>
  <c r="K2693" i="6"/>
  <c r="R2711" i="6"/>
  <c r="S2711" i="6"/>
  <c r="W2711" i="6"/>
  <c r="U2731" i="6"/>
  <c r="T2732" i="6"/>
  <c r="R114" i="6"/>
  <c r="K114" i="6"/>
  <c r="R2597" i="6"/>
  <c r="S2597" i="6"/>
  <c r="W2597" i="6"/>
  <c r="R2730" i="6"/>
  <c r="W2730" i="6"/>
  <c r="S2730" i="6"/>
  <c r="V2636" i="6"/>
  <c r="K2636" i="6" s="1"/>
  <c r="T2599" i="6"/>
  <c r="U2598" i="6"/>
  <c r="K2598" i="6"/>
  <c r="V2731" i="6"/>
  <c r="K2731" i="6" s="1"/>
  <c r="K2616" i="6"/>
  <c r="K2673" i="6"/>
  <c r="U2617" i="6"/>
  <c r="T2618" i="6"/>
  <c r="U2674" i="6"/>
  <c r="T2675" i="6"/>
  <c r="R2693" i="6"/>
  <c r="W2693" i="6"/>
  <c r="S2693" i="6"/>
  <c r="T2656" i="6"/>
  <c r="U2655" i="6"/>
  <c r="K2655" i="6"/>
  <c r="U2712" i="6"/>
  <c r="T2713" i="6"/>
  <c r="K2730" i="6"/>
  <c r="U131" i="6"/>
  <c r="W131" i="6" s="1"/>
  <c r="V2618" i="6" l="1"/>
  <c r="K2618" i="6" s="1"/>
  <c r="V2656" i="6"/>
  <c r="S2731" i="6"/>
  <c r="V2695" i="6"/>
  <c r="K2695" i="6" s="1"/>
  <c r="U2732" i="6"/>
  <c r="T2733" i="6"/>
  <c r="T2714" i="6"/>
  <c r="U2713" i="6"/>
  <c r="V2732" i="6"/>
  <c r="R2636" i="6"/>
  <c r="S2636" i="6"/>
  <c r="W2636" i="6"/>
  <c r="U2675" i="6"/>
  <c r="T2676" i="6"/>
  <c r="U2637" i="6"/>
  <c r="T2638" i="6"/>
  <c r="R2674" i="6"/>
  <c r="W2674" i="6"/>
  <c r="S2674" i="6"/>
  <c r="R2598" i="6"/>
  <c r="S2598" i="6"/>
  <c r="W2598" i="6"/>
  <c r="R2694" i="6"/>
  <c r="S2694" i="6"/>
  <c r="W2694" i="6"/>
  <c r="T2657" i="6"/>
  <c r="V2657" i="6" s="1"/>
  <c r="U2656" i="6"/>
  <c r="K2656" i="6"/>
  <c r="U2618" i="6"/>
  <c r="T2619" i="6"/>
  <c r="T2600" i="6"/>
  <c r="U2599" i="6"/>
  <c r="V2675" i="6"/>
  <c r="K2675" i="6" s="1"/>
  <c r="V2713" i="6"/>
  <c r="K2713" i="6" s="1"/>
  <c r="U2695" i="6"/>
  <c r="R2731" i="6"/>
  <c r="W2731" i="6"/>
  <c r="R2712" i="6"/>
  <c r="S2712" i="6"/>
  <c r="W2712" i="6"/>
  <c r="R2655" i="6"/>
  <c r="S2655" i="6"/>
  <c r="W2655" i="6"/>
  <c r="R2617" i="6"/>
  <c r="W2617" i="6"/>
  <c r="S2617" i="6"/>
  <c r="V2637" i="6"/>
  <c r="K2637" i="6" s="1"/>
  <c r="V2599" i="6"/>
  <c r="V2733" i="6" l="1"/>
  <c r="V2714" i="6"/>
  <c r="K2714" i="6" s="1"/>
  <c r="R2599" i="6"/>
  <c r="S2599" i="6"/>
  <c r="W2599" i="6"/>
  <c r="U2600" i="6"/>
  <c r="U2638" i="6"/>
  <c r="U2619" i="6"/>
  <c r="R2637" i="6"/>
  <c r="W2637" i="6"/>
  <c r="S2637" i="6"/>
  <c r="V2600" i="6"/>
  <c r="K2600" i="6" s="1"/>
  <c r="R2695" i="6"/>
  <c r="S2695" i="6"/>
  <c r="W2695" i="6"/>
  <c r="R2618" i="6"/>
  <c r="W2618" i="6"/>
  <c r="S2618" i="6"/>
  <c r="V2638" i="6"/>
  <c r="K2638" i="6" s="1"/>
  <c r="U2676" i="6"/>
  <c r="U2714" i="6"/>
  <c r="V2676" i="6"/>
  <c r="K2676" i="6" s="1"/>
  <c r="R2656" i="6"/>
  <c r="S2656" i="6"/>
  <c r="W2656" i="6"/>
  <c r="R2675" i="6"/>
  <c r="W2675" i="6"/>
  <c r="S2675" i="6"/>
  <c r="K2732" i="6"/>
  <c r="R2732" i="6"/>
  <c r="S2732" i="6"/>
  <c r="W2732" i="6"/>
  <c r="V2619" i="6"/>
  <c r="K2619" i="6" s="1"/>
  <c r="R2713" i="6"/>
  <c r="W2713" i="6"/>
  <c r="S2713" i="6"/>
  <c r="K2599" i="6"/>
  <c r="U2657" i="6"/>
  <c r="K2657" i="6"/>
  <c r="U2733" i="6"/>
  <c r="K2733" i="6"/>
  <c r="R2657" i="6" l="1"/>
  <c r="W2657" i="6"/>
  <c r="S2657" i="6"/>
  <c r="R2619" i="6"/>
  <c r="W2619" i="6"/>
  <c r="S2619" i="6"/>
  <c r="R2714" i="6"/>
  <c r="W2714" i="6"/>
  <c r="S2714" i="6"/>
  <c r="R2638" i="6"/>
  <c r="S2638" i="6"/>
  <c r="W2638" i="6"/>
  <c r="R2676" i="6"/>
  <c r="W2676" i="6"/>
  <c r="S2676" i="6"/>
  <c r="R2600" i="6"/>
  <c r="S2600" i="6"/>
  <c r="W2600" i="6"/>
  <c r="R2733" i="6"/>
  <c r="S2733" i="6"/>
  <c r="W27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tc={81C0E440-A039-4EC7-B933-9C57ECCCEA7F}</author>
    <author>tc={502358D2-61FD-4136-8D96-A996196EFEBC}</author>
    <author>tc={C33D5372-72AC-4416-8A3B-5E73D6F76155}</author>
    <author>tc={E9FB032D-18B1-42BF-98DB-965224EEED4C}</author>
    <author>tc={BB3AB39D-22CD-490D-9D62-0007FA994169}</author>
    <author>tc={2B64E585-1194-4D8C-AC93-4337834452BC}</author>
    <author>tc={B6E49D39-6BAE-45E8-B250-38003049823F}</author>
    <author>tc={463AE12E-2035-476D-9573-2F8B4C9DCF5A}</author>
    <author>tc={E76C356D-3CCE-4CBA-8848-C106D722C8AB}</author>
    <author>tc={F82F8D0E-04A9-46DD-8851-B40964EA986A}</author>
    <author>tc={8E8E8620-EFB1-483D-806B-4FD4A3194179}</author>
    <author>tc={6645FCDC-1F48-437D-AAB5-0F87881750B2}</author>
    <author>tc={5CF492B6-9C62-4901-8504-B3B86A33C34E}</author>
  </authors>
  <commentList>
    <comment ref="B14" authorId="0" shapeId="0" xr:uid="{81C0E440-A039-4EC7-B933-9C57ECCCEA7F}">
      <text>
        <t>[Threaded comment]
Your version of Excel allows you to read this threaded comment; however, any edits to it will get removed if the file is opened in a newer version of Excel. Learn more: https://go.microsoft.com/fwlink/?linkid=870924
Comment:
    total flux reported, but missing isotopic fractions</t>
      </text>
    </comment>
    <comment ref="K17" authorId="1" shapeId="0" xr:uid="{502358D2-61FD-4136-8D96-A996196EFEBC}">
      <text>
        <t>[Threaded comment]
Your version of Excel allows you to read this threaded comment; however, any edits to it will get removed if the file is opened in a newer version of Excel. Learn more: https://go.microsoft.com/fwlink/?linkid=870924
Comment:
    NbObs based on Wang2016</t>
      </text>
    </comment>
    <comment ref="B39" authorId="2" shapeId="0" xr:uid="{C33D5372-72AC-4416-8A3B-5E73D6F76155}">
      <text>
        <t>[Threaded comment]
Your version of Excel allows you to read this threaded comment; however, any edits to it will get removed if the file is opened in a newer version of Excel. Learn more: https://go.microsoft.com/fwlink/?linkid=870924
Comment:
    missing one obs for UK experiment</t>
      </text>
    </comment>
    <comment ref="B41" authorId="3" shapeId="0" xr:uid="{E9FB032D-18B1-42BF-98DB-965224EEED4C}">
      <text>
        <t>[Threaded comment]
Your version of Excel allows you to read this threaded comment; however, any edits to it will get removed if the file is opened in a newer version of Excel. Learn more: https://go.microsoft.com/fwlink/?linkid=870924
Comment:
    To check if same data as Budai2016
Reply:
    some field incubations, with some short d13 indicators, but also annual degradation rates estimated, with a use of Q10 factor of 2 to include soil temperature variations. To be further analysed!
Reply:
    Also has H/C ratio, BPCA, chemical oxidation</t>
      </text>
    </comment>
    <comment ref="B48" authorId="4" shapeId="0" xr:uid="{BB3AB39D-22CD-490D-9D62-0007FA994169}">
      <text>
        <t>[Threaded comment]
Your version of Excel allows you to read this threaded comment; however, any edits to it will get removed if the file is opened in a newer version of Excel. Learn more: https://go.microsoft.com/fwlink/?linkid=870924
Comment:
    Field incubation, two years, with some measurements during the year
1 pyro char
1 htc char
and pyro &amp; htc char fermented with digestate from biogas facility
with fertiliser application for vegetation growth</t>
      </text>
    </comment>
    <comment ref="B49" authorId="5" shapeId="0" xr:uid="{2B64E585-1194-4D8C-AC93-4337834452BC}">
      <text>
        <t>[Threaded comment]
Your version of Excel allows you to read this threaded comment; however, any edits to it will get removed if the file is opened in a newer version of Excel. Learn more: https://go.microsoft.com/fwlink/?linkid=870924
Comment:
    5 biochars, from German producers, very different feedstocks, but no isotopic labelling; still using double decay model
1 soil control available
Reply:
    of interest to us
since we will also work with non labelled chars</t>
      </text>
    </comment>
    <comment ref="B50" authorId="6" shapeId="0" xr:uid="{B6E49D39-6BAE-45E8-B250-38003049823F}">
      <text>
        <t>[Threaded comment]
Your version of Excel allows you to read this threaded comment; however, any edits to it will get removed if the file is opened in a newer version of Excel. Learn more: https://go.microsoft.com/fwlink/?linkid=870924
Comment:
    1 type of charcoal fines, incubated for 165 days, after having spent 2 years in the field on an eucalyptus plantation....
- incubation without soil
- with soil, 0 t/ha &amp; 40t/ha
decomposition measured at different depth 0-5, 5-10, 10-20, 20-30
Reply:
    not labelled
Reply:
    can include between 1 and 5 observations, at best</t>
      </text>
    </comment>
    <comment ref="B51" authorId="7" shapeId="0" xr:uid="{463AE12E-2035-476D-9573-2F8B4C9DCF5A}">
      <text>
        <t>[Threaded comment]
Your version of Excel allows you to read this threaded comment; however, any edits to it will get removed if the file is opened in a newer version of Excel. Learn more: https://go.microsoft.com/fwlink/?linkid=870924
Comment:
    5 incubations of biochar alone, from wood &amp; crop residues, for 155 days
5 incubations + control biochar in MAPS soils (moderately acidic polluted soil)
5 incubations + control biochar in APS acidic polluted soil
No isotopic labelling</t>
      </text>
    </comment>
    <comment ref="B52" authorId="8" shapeId="0" xr:uid="{E76C356D-3CCE-4CBA-8848-C106D722C8AB}">
      <text>
        <t>[Threaded comment]
Your version of Excel allows you to read this threaded comment; however, any edits to it will get removed if the file is opened in a newer version of Excel. Learn more: https://go.microsoft.com/fwlink/?linkid=870924
Comment:
    FIELD incubation
1 biochar type, applied in 4 configurations: 25 t, 50t, 25t+45t compost, 50t + 45t compost; 4 replicates, 2 controls (no amendment, only compost)
Reply:
    Not measuring incubation, but amount of carbon remaining in soil, with a isotopic signature above 2 per mille / only possible for the treatments without compost (otherwise not possible to distinguish 3 C sources with 1 isotope)
Reply:
    Sampling for isotpic t0, t1 (3 weeks), t2 (1 year), t3 (2years)
Sampling for BPCA: t0, t1, t3 but not t2... thus not used for fitting..
Reply:
    2 observations, but results deemed not statistically significant for a decay curve, thus they don¨t report any MRTs</t>
      </text>
    </comment>
    <comment ref="C63" authorId="9" shapeId="0" xr:uid="{F82F8D0E-04A9-46DD-8851-B40964EA986A}">
      <text>
        <t>[Threaded comment]
Your version of Excel allows you to read this threaded comment; however, any edits to it will get removed if the file is opened in a newer version of Excel. Learn more: https://go.microsoft.com/fwlink/?linkid=870924
Comment:
    Microcosm study, with C &amp; N isotopes, but also transport</t>
      </text>
    </comment>
    <comment ref="C67" authorId="10" shapeId="0" xr:uid="{8E8E8620-EFB1-483D-806B-4FD4A3194179}">
      <text>
        <t>[Threaded comment]
Your version of Excel allows you to read this threaded comment; however, any edits to it will get removed if the file is opened in a newer version of Excel. Learn more: https://go.microsoft.com/fwlink/?linkid=870924
Comment:
    Hydrochar, field, 13C, but no good time series</t>
      </text>
    </comment>
    <comment ref="B70" authorId="11" shapeId="0" xr:uid="{6645FCDC-1F48-437D-AAB5-0F87881750B2}">
      <text>
        <t>[Threaded comment]
Your version of Excel allows you to read this threaded comment; however, any edits to it will get removed if the file is opened in a newer version of Excel. Learn more: https://go.microsoft.com/fwlink/?linkid=870924
Comment:
    cited in Criscuoli2021
Reply:
    about BPCAs methods, based on Glaser work from 1998, but not usable in this database</t>
      </text>
    </comment>
    <comment ref="C72" authorId="12" shapeId="0" xr:uid="{5CF492B6-9C62-4901-8504-B3B86A33C34E}">
      <text>
        <t>[Threaded comment]
Your version of Excel allows you to read this threaded comment; however, any edits to it will get removed if the file is opened in a newer version of Excel. Learn more: https://go.microsoft.com/fwlink/?linkid=870924
Comment:
    180 days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tc={287A407B-EF7B-474B-A9CC-328219481FA8}</author>
    <author>tc={85BD029A-2475-40A6-A2D1-9DB24A780247}</author>
  </authors>
  <commentList>
    <comment ref="I2475" authorId="0" shapeId="0" xr:uid="{287A407B-EF7B-474B-A9CC-328219481FA8}">
      <text>
        <t>[Threaded comment]
Your version of Excel allows you to read this threaded comment; however, any edits to it will get removed if the file is opened in a newer version of Excel. Learn more: https://go.microsoft.com/fwlink/?linkid=870924
Comment:
    diff formula, for first decay rate</t>
      </text>
    </comment>
    <comment ref="B2582" authorId="1" shapeId="0" xr:uid="{85BD029A-2475-40A6-A2D1-9DB24A780247}">
      <text>
        <t>[Threaded comment]
Your version of Excel allows you to read this threaded comment; however, any edits to it will get removed if the file is opened in a newer version of Excel. Learn more: https://go.microsoft.com/fwlink/?linkid=870924
Comment:
    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tc={6055D9B6-CE86-41A9-9791-07AD05B6893B}</author>
    <author>tc={8BFF3EF2-B5CD-4C05-AD54-5025C2932F6C}</author>
    <author>tc={A281931F-82C3-44F5-8055-BECFC9EF3152}</author>
    <author>Author</author>
    <author>tc={63AA67C3-F381-48AE-A5AE-07426CA3CDC7}</author>
    <author>tc={D3D21D77-916E-452E-900E-49C6944B5A71}</author>
    <author>tc={789437E4-D05C-4E09-AD5F-6176D13796BE}</author>
  </authors>
  <commentList>
    <comment ref="BL17" authorId="0" shapeId="0" xr:uid="{6055D9B6-CE86-41A9-9791-07AD05B6893B}">
      <text>
        <t>[Threaded comment]
Your version of Excel allows you to read this threaded comment; however, any edits to it will get removed if the file is opened in a newer version of Excel. Learn more: https://go.microsoft.com/fwlink/?linkid=870924
Comment:
    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
Reply:
    In fact &gt; these are the same experiment, but for 2 years (this assessment) instead of 1 year (former assessment)</t>
      </text>
    </comment>
    <comment ref="AF47" authorId="1" shapeId="0" xr:uid="{8BFF3EF2-B5CD-4C05-AD54-5025C2932F6C}">
      <text>
        <t>[Threaded comment]
Your version of Excel allows you to read this threaded comment; however, any edits to it will get removed if the file is opened in a newer version of Excel. Learn more: https://go.microsoft.com/fwlink/?linkid=870924
Comment:
    The average 13C
values of the CO2 released during 0-1, 1-6, 6-12, 12-24, and
24-36 months were used to partition C mineralized between
either PyOM or nSOM þ SC sources</t>
      </text>
    </comment>
    <comment ref="M54" authorId="2" shapeId="0" xr:uid="{A281931F-82C3-44F5-8055-BECFC9EF3152}">
      <text>
        <t>[Threaded comment]
Your version of Excel allows you to read this threaded comment; however, any edits to it will get removed if the file is opened in a newer version of Excel. Learn more: https://go.microsoft.com/fwlink/?linkid=870924
Comment:
    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
      </text>
    </comment>
    <comment ref="L57" authorId="3" shapeId="0" xr:uid="{AA653EC0-4E4C-4F0F-AD43-14546E35F829}">
      <text>
        <r>
          <rPr>
            <b/>
            <sz val="9"/>
            <color indexed="81"/>
            <rFont val="Tahoma"/>
            <family val="2"/>
          </rPr>
          <t>Author:</t>
        </r>
        <r>
          <rPr>
            <sz val="9"/>
            <color indexed="81"/>
            <rFont val="Tahoma"/>
            <family val="2"/>
          </rPr>
          <t xml:space="preserve">
drying temperature</t>
        </r>
      </text>
    </comment>
    <comment ref="B112" authorId="4" shapeId="0" xr:uid="{63AA67C3-F381-48AE-A5AE-07426CA3CDC7}">
      <text>
        <t>[Threaded comment]
Your version of Excel allows you to read this threaded comment; however, any edits to it will get removed if the file is opened in a newer version of Excel. Learn more: https://go.microsoft.com/fwlink/?linkid=870924
Comment:
    Same observations as in Zimmerman 2010, but with 3.2 years of experiment instead of 1 year
 !
Reply:
    The book reports information only for 5 incubation, at 250 and 650 degrees, and for grass, oak, and oak 650 72hours.
While Lehmann/Woolf works report 7 incubation from this book chapter, but at temperature 400, 525, and 650. Not the 250 one.
Reply:
    Data must have been obtained directly from Zimmerman &amp; Gao</t>
      </text>
    </comment>
    <comment ref="BH120" authorId="5" shapeId="0" xr:uid="{D3D21D77-916E-452E-900E-49C6944B5A71}">
      <text>
        <t>[Threaded comment]
Your version of Excel allows you to read this threaded comment; however, any edits to it will get removed if the file is opened in a newer version of Excel. Learn more: https://go.microsoft.com/fwlink/?linkid=870924
Comment:
    approximate reading from Figure 5 (values not reported in Tables)</t>
      </text>
    </comment>
    <comment ref="D128" authorId="6" shapeId="0" xr:uid="{789437E4-D05C-4E09-AD5F-6176D13796BE}">
      <text>
        <t>[Threaded comment]
Your version of Excel allows you to read this threaded comment; however, any edits to it will get removed if the file is opened in a newer version of Excel. Learn more: https://go.microsoft.com/fwlink/?linkid=870924
Comment:
    Field trial only performed with BC_MED (but BC_MED and BC_LAB were compared in 90day LAB incubation)
Reply:
    Two field trial with BC_MED 8t/ha and 25t/ha</t>
      </text>
    </comment>
  </commentList>
</comments>
</file>

<file path=xl/sharedStrings.xml><?xml version="1.0" encoding="utf-8"?>
<sst xmlns="http://schemas.openxmlformats.org/spreadsheetml/2006/main" count="11898" uniqueCount="1560">
  <si>
    <t>Table</t>
  </si>
  <si>
    <t>Articles</t>
  </si>
  <si>
    <t>Description</t>
  </si>
  <si>
    <t>The table `articles` contains an inventory of scientific articles reporting biochar incubation experiments.</t>
  </si>
  <si>
    <t>name</t>
  </si>
  <si>
    <t>ID_art</t>
  </si>
  <si>
    <t>AuthorDate</t>
  </si>
  <si>
    <t>FullCitation</t>
  </si>
  <si>
    <t>DOI</t>
  </si>
  <si>
    <t>ContactAuthor</t>
  </si>
  <si>
    <t>RawData_status</t>
  </si>
  <si>
    <t>RawData_remark</t>
  </si>
  <si>
    <t>RawData_copyright</t>
  </si>
  <si>
    <t>NbObs</t>
  </si>
  <si>
    <t>Spokas2010</t>
  </si>
  <si>
    <t>Singh2012</t>
  </si>
  <si>
    <t>Budai2013</t>
  </si>
  <si>
    <t>Wang2016</t>
  </si>
  <si>
    <t>Lehmann2019</t>
  </si>
  <si>
    <t>Woolf2021</t>
  </si>
  <si>
    <t>longName</t>
  </si>
  <si>
    <t>Identifier of the article</t>
  </si>
  <si>
    <t>First author and publication year</t>
  </si>
  <si>
    <t>Full citation of the article</t>
  </si>
  <si>
    <t>Digital Object Identifier</t>
  </si>
  <si>
    <t>Contact author email address</t>
  </si>
  <si>
    <t>Status of the raw data</t>
  </si>
  <si>
    <t>Remark on the status of the raw data</t>
  </si>
  <si>
    <t>Copyright regarding the raw data</t>
  </si>
  <si>
    <t>Number of observations</t>
  </si>
  <si>
    <t>Article included in Spokas 2010</t>
  </si>
  <si>
    <t>Article included in Sing 2012</t>
  </si>
  <si>
    <t>Article included in Budai 2013</t>
  </si>
  <si>
    <t>Article included in Wang 2016</t>
  </si>
  <si>
    <t>Article included in Lehmann 2019</t>
  </si>
  <si>
    <t>Article included in Woolf 2021</t>
  </si>
  <si>
    <t>type</t>
  </si>
  <si>
    <t>integer</t>
  </si>
  <si>
    <t>string</t>
  </si>
  <si>
    <t>url</t>
  </si>
  <si>
    <t>email</t>
  </si>
  <si>
    <t>boolean</t>
  </si>
  <si>
    <t>int</t>
  </si>
  <si>
    <t>description</t>
  </si>
  <si>
    <t>The unique identifier (integer) given to an article containing biochar incubation observations. The identifer is also used in the tables data &amp; metadata.</t>
  </si>
  <si>
    <t>A short text identifier of the article with last name of first author and publication year.</t>
  </si>
  <si>
    <t>The full citation of the article, in text format.</t>
  </si>
  <si>
    <t>The DOI of the article, for easy online access.</t>
  </si>
  <si>
    <t>Email address of the contact author of the manuscript, as available in published article, or as in mail correspondance with author.</t>
  </si>
  <si>
    <t>How was the data collected (from author, digitized, supporting information, from other person than authors) or why it was not possible to collect the data (author contacted but no reply received).</t>
  </si>
  <si>
    <t>Describes to what extent the data can be shared in a public database. By default, the value is `NotPublic`.  It can be labelled `Public` if the data was obtained from authors with their approval for sharing, if it was digitized manually, or if the article was published open-source. TO_DO: discuss that.</t>
  </si>
  <si>
    <t>The number of observations reported in this article (replicates of a given experimental setup count as a single observation).</t>
  </si>
  <si>
    <t>Whether the article was included in the earlier biochar stability estimates by Spokas (2010).</t>
  </si>
  <si>
    <t>Whether the article was included in the earlier biochar stability estimates by Singh (2012).</t>
  </si>
  <si>
    <t>Whether the article was included in the earlier biochar stability estimates by Budai (2013), non-peer reviewed work performed for the International Biochar Institute.</t>
  </si>
  <si>
    <t>Whether the article was included in the earlier biochar stability estimates by Wang (2016).</t>
  </si>
  <si>
    <t>Whether the article was included in the earlier biochar stability estimates by Lehmann (2019), referring to the appendix of the 2019 revision of the IPCC greenhouse gas inventory guidelines.</t>
  </si>
  <si>
    <t>Whether the article was included in the earlier biochar stability estimates by Woolf (2021).</t>
  </si>
  <si>
    <t>Data</t>
  </si>
  <si>
    <t>The table `data` contains the decomposition time series for each individual observation (statistical average of the replicates). Depending on how the incubation data is reported, the 3 variables (biochar remaining, biochar decomposed, biochar decay rate) can be re-calculated knowing at least one of them.</t>
  </si>
  <si>
    <t>ID_obs</t>
  </si>
  <si>
    <t>time</t>
  </si>
  <si>
    <t>Identifier of the observation</t>
  </si>
  <si>
    <t>Time, in days, relative</t>
  </si>
  <si>
    <t>float</t>
  </si>
  <si>
    <t>unit</t>
  </si>
  <si>
    <t>none</t>
  </si>
  <si>
    <t>days</t>
  </si>
  <si>
    <t>The unique identifier (integer) given to a biochar incubation observation, i.e. any single experiment leading to a decay curve for a given biochar in a given environment, including replicates. Same field as in the tables article &amp; metadata.</t>
  </si>
  <si>
    <t>The unique identifier (integer) given to a peer-reviewed article reporting biochar incubation data. Same field as in the tables article &amp; metadata.</t>
  </si>
  <si>
    <t>Time of incubation starting at t=0 when incubation starts. Usually, at t=0, the biochar decomposed is equal to 0 and the amount remaining is equal to 100. Time values, in days, can be of type float (decimals) when data were retrieved by digitizing figures.</t>
  </si>
  <si>
    <t>Metadata</t>
  </si>
  <si>
    <t>The table `metadata` contains a set of metadata describing the experimental conditions of each biochar incubation. The fields in this table relate to the type of biomass, the pyrolysis conditions, the biochar properties, and the incubation conditions.</t>
  </si>
  <si>
    <t>NameObs</t>
  </si>
  <si>
    <t>Replicates</t>
  </si>
  <si>
    <t>Biomass</t>
  </si>
  <si>
    <t>BiomassClass</t>
  </si>
  <si>
    <t>BiomassLignin</t>
  </si>
  <si>
    <t>Pyrolysis</t>
  </si>
  <si>
    <t>PyrolysisClass</t>
  </si>
  <si>
    <t>HHT</t>
  </si>
  <si>
    <t>RT</t>
  </si>
  <si>
    <t>HR</t>
  </si>
  <si>
    <t>Soil type</t>
  </si>
  <si>
    <t>Soil clay content</t>
  </si>
  <si>
    <t>Soil sand content</t>
  </si>
  <si>
    <t>Soil silt content</t>
  </si>
  <si>
    <t>Soil organic matter content</t>
  </si>
  <si>
    <t>SoilMoisture_Absolute</t>
  </si>
  <si>
    <t>SoilMoisture_WHC</t>
  </si>
  <si>
    <t>pH_soil</t>
  </si>
  <si>
    <t>pH_bc-soil</t>
  </si>
  <si>
    <t>SoilOrigin</t>
  </si>
  <si>
    <t>SoilGeolocation</t>
  </si>
  <si>
    <t>LabField</t>
  </si>
  <si>
    <t>Cultivated</t>
  </si>
  <si>
    <t>IncubationTemperature</t>
  </si>
  <si>
    <t>IncubationDuration</t>
  </si>
  <si>
    <t>ApplicationRate</t>
  </si>
  <si>
    <t>TotalFluxMeasurement</t>
  </si>
  <si>
    <t>BiocharFluxDetermination</t>
  </si>
  <si>
    <t>OtherIncubationDescription</t>
  </si>
  <si>
    <t>AssociatedControl</t>
  </si>
  <si>
    <t>Ash550</t>
  </si>
  <si>
    <t>Ash700</t>
  </si>
  <si>
    <t>Carbon</t>
  </si>
  <si>
    <t>Carbon, organic</t>
  </si>
  <si>
    <t>Hydrogen</t>
  </si>
  <si>
    <t>Nitrogen</t>
  </si>
  <si>
    <t>Sulphur</t>
  </si>
  <si>
    <t>Oxygen</t>
  </si>
  <si>
    <t>Magnesium</t>
  </si>
  <si>
    <t>Potassium</t>
  </si>
  <si>
    <t>H/C_org</t>
  </si>
  <si>
    <t>H/C_tot</t>
  </si>
  <si>
    <t>O/C_org</t>
  </si>
  <si>
    <t>C/N</t>
  </si>
  <si>
    <t>pH_H2O</t>
  </si>
  <si>
    <t>pH_CaCl2</t>
  </si>
  <si>
    <t>CEC</t>
  </si>
  <si>
    <t>SA_N2</t>
  </si>
  <si>
    <t>SA_CO2</t>
  </si>
  <si>
    <t>FixedCarbon</t>
  </si>
  <si>
    <t>VolatileMatter</t>
  </si>
  <si>
    <t>ParticleSize</t>
  </si>
  <si>
    <t>BulkDensity</t>
  </si>
  <si>
    <t>TrueDensity</t>
  </si>
  <si>
    <t>OxidationH2O2</t>
  </si>
  <si>
    <t>Name or identifier of the observation in the original research article</t>
  </si>
  <si>
    <t>Number of replicates</t>
  </si>
  <si>
    <t>Name of the biomass</t>
  </si>
  <si>
    <t>Name of the biomass class</t>
  </si>
  <si>
    <t>Lignin content of the biomass</t>
  </si>
  <si>
    <t>Pyrolysis process description</t>
  </si>
  <si>
    <t>Name of the pyrolysis class</t>
  </si>
  <si>
    <t>Pyrolysis Highest Treatment Temperature</t>
  </si>
  <si>
    <t>Pyrolysis Residence time at the Highest Treatment Temperature</t>
  </si>
  <si>
    <t>Pyrolysis Heating Rate</t>
  </si>
  <si>
    <t>Clay content of the soil</t>
  </si>
  <si>
    <t>Sand content of the soil</t>
  </si>
  <si>
    <t>Silt content of the soil</t>
  </si>
  <si>
    <t>Organic matter content of the soil</t>
  </si>
  <si>
    <t>Absolute moisture content of the soil</t>
  </si>
  <si>
    <t>Moisture content of the soil relative to WHC</t>
  </si>
  <si>
    <t>Soil pH</t>
  </si>
  <si>
    <t>Soil-biochar blend pH</t>
  </si>
  <si>
    <t>Geographic origin of the soil sample</t>
  </si>
  <si>
    <t>Geographical coordinates of the soil sample</t>
  </si>
  <si>
    <t>Lab or field experiment</t>
  </si>
  <si>
    <t>Temperature of the incubation</t>
  </si>
  <si>
    <t>Duration of the incubation</t>
  </si>
  <si>
    <t>Biochar application rate to the soil</t>
  </si>
  <si>
    <t>Total Flux Measurement method</t>
  </si>
  <si>
    <t>Biochar Flux Determination method</t>
  </si>
  <si>
    <t>Other Incubation Description</t>
  </si>
  <si>
    <t>Biochar ash content at 550°C</t>
  </si>
  <si>
    <t>Biochar ash content at 700°C</t>
  </si>
  <si>
    <t>Biochar carbon content</t>
  </si>
  <si>
    <t>Biochar organic carbon content</t>
  </si>
  <si>
    <t>Biochar hydrogen content</t>
  </si>
  <si>
    <t>Biochar nitrogen content</t>
  </si>
  <si>
    <t>Biochar sulphur content</t>
  </si>
  <si>
    <t>Biochar oxygen content</t>
  </si>
  <si>
    <t>Biochar magnesium content</t>
  </si>
  <si>
    <t>Biochar potassium content</t>
  </si>
  <si>
    <t>Hydrogen to organic carbon molar ratio</t>
  </si>
  <si>
    <t>Hydrogen to carbon molar ratio</t>
  </si>
  <si>
    <t>Oxygen to organic carbon molar ratio</t>
  </si>
  <si>
    <t>Carbon to nitrogen molar ratio</t>
  </si>
  <si>
    <t>Biochar pH in H2O</t>
  </si>
  <si>
    <t>Biochar pH in CaCl2</t>
  </si>
  <si>
    <t>Cation Exchange Capacity</t>
  </si>
  <si>
    <t>Surface area with N2</t>
  </si>
  <si>
    <t>Surface area with CO2</t>
  </si>
  <si>
    <t>Fixed carbon</t>
  </si>
  <si>
    <t>Volatile Matter</t>
  </si>
  <si>
    <t>Particle Size</t>
  </si>
  <si>
    <t>Bulk density</t>
  </si>
  <si>
    <t>Chemical oxidation with H2O2</t>
  </si>
  <si>
    <t>tuple</t>
  </si>
  <si>
    <t>%</t>
  </si>
  <si>
    <t>°C</t>
  </si>
  <si>
    <t>min</t>
  </si>
  <si>
    <t>°C per min</t>
  </si>
  <si>
    <t>% WHC</t>
  </si>
  <si>
    <t>%, dry weight / dry weight</t>
  </si>
  <si>
    <t>cmol / kg</t>
  </si>
  <si>
    <t>m2 / g</t>
  </si>
  <si>
    <t>?</t>
  </si>
  <si>
    <t>kg / m3, dry weight</t>
  </si>
  <si>
    <t>g / cm3, dry weight</t>
  </si>
  <si>
    <t>group</t>
  </si>
  <si>
    <t>identification</t>
  </si>
  <si>
    <t>biomass</t>
  </si>
  <si>
    <t>pyrolysis</t>
  </si>
  <si>
    <t>incubation</t>
  </si>
  <si>
    <t>biochar</t>
  </si>
  <si>
    <t>method</t>
  </si>
  <si>
    <t>na</t>
  </si>
  <si>
    <t>Cross, A.; Sohi, S.P. A method for screening the relative long-term stability of biochar. GCB Bioenergy 2013, 5, 215-220</t>
  </si>
  <si>
    <t>The unique identifier (integer) given to a peer-reviewed article reporting biochar incubation data. Same field as in the tables article &amp; data.</t>
  </si>
  <si>
    <t>The name or identifier of the observation as in the original article from which it is taken. This field allows to easily cross-check the information collected from the original article.</t>
  </si>
  <si>
    <t>The number of replicates performed for this specific observation.</t>
  </si>
  <si>
    <t>The name the biomass used to produce biochar. Text can be as detailed as necessary (e.g. type, species, cultivation details).</t>
  </si>
  <si>
    <t>Classification of the biomass feedstocks in a few number of categories: wood, grass, crop-residue, manure, biosolids. TO_DO: agree on a list of classes.</t>
  </si>
  <si>
    <t>The average lignin content of the biomass feedstock, either reported from the authors or taken from database on biomass properties.</t>
  </si>
  <si>
    <t>Brief description of the pyrolysis process (e.g. reactor type, brand, scale, process conditions).</t>
  </si>
  <si>
    <t>The Highest Treatment Temperature reached during the pyrolysis, as reported in the article. Note: there is an uncertainty related to determination of pyrolysis temperature.</t>
  </si>
  <si>
    <t>The residence time at the Highest Treatment Temperature during the pyrolysis. Note: often difficult to distinguish the total residence time in the reactor from the residence time at the highest treatment temperature, in the information available in articles.</t>
  </si>
  <si>
    <t>The pyrolysis heating rate, i.e. the average speed at which the biomass feedstock is heated during the pyrolysis, until it reaches the highest treatment temperature, as reported in the article.</t>
  </si>
  <si>
    <t>Brief description of the soil type used for the incubation, e.g. using soil classification standards.</t>
  </si>
  <si>
    <t>Clay content of the soil, as reported by authors.</t>
  </si>
  <si>
    <t>Sand content of the soil, as reported by authors.</t>
  </si>
  <si>
    <t>Silt content of the soil, as reported by authors.</t>
  </si>
  <si>
    <t>Organic matter content of the soil, as reported by authors (neglecting inorganic carbon content). TO_DO: decide if total carbon content rather than organic matter content is preferable?.</t>
  </si>
  <si>
    <t>Absolute moisture content of the soil, as reported by authors. It can be maintained constant in laboratory incubations, while it may vary with climate in field experiments. In that case, a climatic average can be reported.</t>
  </si>
  <si>
    <t>Moisture content of the soil relative to the soil's water holding capacity, as reported by authors. It can be maintained constant in laboratory incubations, while it may vary with climate in field experiments. In that case, a climatic average can be reported.</t>
  </si>
  <si>
    <t>pH of the soil before mixing addition of biochar</t>
  </si>
  <si>
    <t>pH of the soil after addition of biochar</t>
  </si>
  <si>
    <t>Geographic origin of the soil sample used for incubation, reported as a text value.</t>
  </si>
  <si>
    <t>Geographical coordinates of the site of extraction of the soil sample, given as a tuple (latitude, longitude) in decimal format. If only a region is given, the approximative center of the region is used.</t>
  </si>
  <si>
    <t>Whether the incubation is carried out in a lab environment (`lab`) or in the field (`field`).</t>
  </si>
  <si>
    <t>Whether the plants are cultivated in the incubation experiment, `yes` or `no`.</t>
  </si>
  <si>
    <t>For lab experiments, average incubation temperature as reported by authors. For field experiments, climatic average temperature at the field where the experiment is located.</t>
  </si>
  <si>
    <t>During of the incubation experiment, expressed in days.</t>
  </si>
  <si>
    <t>Biochar application rate to the soil.</t>
  </si>
  <si>
    <t>How the total flux of decomposed carbon dioxide was measured in the incubation. This field can be e.g. titration</t>
  </si>
  <si>
    <t>How the fraction of the total flux of decomposed carbon dioxide attributed to biochar was determined. This field can take one of the following values: `13C natural abundance`, `13C depleted`, `14C labeled`, `13C labeled`, `13C isotopic signature`, `Headspace CO2, coulometer, no other source of C in soil`. TO_DO: some namings may be equivalent, to check.</t>
  </si>
  <si>
    <t>Other information on the incubation experimental setup not covered in other fields. In particular: aged biochar process if any; microbial activity measures or community stucture.</t>
  </si>
  <si>
    <t>Whether the biochar incubation was performed alongside a control incubation without biochar: `yes`, `no`</t>
  </si>
  <si>
    <t>Biochar ash content at 550°C as determined in lab analysis. TO_DO: add references to appropriate laboratory methods (DIN, ASTM).</t>
  </si>
  <si>
    <t>Biochar ash content at 700°C as determined in lab analysis. TO_DO: add references to appropriate laboratory methods (DIN, ASTM).</t>
  </si>
  <si>
    <t>Biochar (total) carbon content, as determined in lab analysis.</t>
  </si>
  <si>
    <t>Biochar organic carbon content, as determined in lab analysis.</t>
  </si>
  <si>
    <t>Biochar hydrogen content, as determined in lab analysis.</t>
  </si>
  <si>
    <t>Biochar nitrogen content, as determined in lab analysis.</t>
  </si>
  <si>
    <t>Biochar sulphur content, as determined in lab analysis.</t>
  </si>
  <si>
    <t>Biochar oxygen content, as determined in lab analysis or more commonly calculated as 100-C-H-N-S.</t>
  </si>
  <si>
    <t>Biochar magnesium content, as determined in lab analysis.</t>
  </si>
  <si>
    <t>Biochar potassium content, as determined in lab analysis.</t>
  </si>
  <si>
    <t>Hydrogen to organic carbon molar ratio of the biochar sample, either as reported by authors or recaculated from elemental composition. TO_DO: discuss what to do if C_org or H is not reported; if we know about ash composition or not, re-estimate C_org or H from the rest?</t>
  </si>
  <si>
    <t>Hydrogen to total carbon molar ratio of the biochar sample, either as reported by authors or recaculated from elemental composition.</t>
  </si>
  <si>
    <t>Oxygen to organic carbon molar ratio of the biochar sample, either as reported by authors or recaculated from elemental composition. TO_DO: discuss whether to include it at all, whether it should be O/C or O_org/C_org or O/C_org, knowing O_org is never/impractical to measure. Argument to include O/C: reproduce earlier Spokas 2010 results.</t>
  </si>
  <si>
    <t>Carbon to nitrogen molar ratio of the biochar sample, either as reported by authors or recaculated from elemental composition.</t>
  </si>
  <si>
    <t>pH of the biochar sample in water, at 1:5 ratio.</t>
  </si>
  <si>
    <t>pH of the biochar sample in calcium chloride, at 1:5 ratio.</t>
  </si>
  <si>
    <t>Cation Exchange Capacity of biochar sample</t>
  </si>
  <si>
    <t>Surface area of biochar sample measured with dinitrogen gas.</t>
  </si>
  <si>
    <t>Surface area of biochar sample measured with carbon dioxide gas.</t>
  </si>
  <si>
    <t>Fixed carbon of biochar sample as determined in proximate analysis.</t>
  </si>
  <si>
    <t>Volatile matter of biochar sample as determined in proximate analysis.</t>
  </si>
  <si>
    <t>Average biochar particle size at the time of incubation.</t>
  </si>
  <si>
    <t>Bulk density of incubated biochar, measured at its particle size (not grinded), untapped. TO_DO: discuss whether needed (rarely available)</t>
  </si>
  <si>
    <t>True density of incubated biochar, as measured in laboratory analysis (finely grinded).</t>
  </si>
  <si>
    <t>Chemical oxidation with hydrogen peroxide, according to Edinburgh stability test.</t>
  </si>
  <si>
    <t>Metadata_validation</t>
  </si>
  <si>
    <t>The table `metadata_validation` contains two additional fields for each field in the `metadata` tables. The table `metadata_validation` is used for data validation, tracability and transparency. The two fields are `fieldName_comment` and `fieldName_loci`. The field `fieldName_comment` describes how the metadata was retrieved and if any assumptions/calculations were made by the person compiling the data. The field `fieldName_loci` explains where the metadata was found, e.g. Article, Table 3; Article, Section 2.3, p230; SupportingMaterial, Table S3; SupportingMaterial, Excel; DocumentFromAuthors; ReferenceInArticle, Table 2. If needed.</t>
  </si>
  <si>
    <t>Biomass_comment</t>
  </si>
  <si>
    <t>Biomass_loci</t>
  </si>
  <si>
    <t>BiomassClass_comment</t>
  </si>
  <si>
    <t>BiomassClass_loci</t>
  </si>
  <si>
    <t>BiomassLignin_comment</t>
  </si>
  <si>
    <t>BiomassLignin_loci</t>
  </si>
  <si>
    <t>Pyrolysis_comment</t>
  </si>
  <si>
    <t>Pyrolysis_loci</t>
  </si>
  <si>
    <t>PyrolysisClass_comment</t>
  </si>
  <si>
    <t>PyrolysisClass_loci</t>
  </si>
  <si>
    <t>HHT_comment</t>
  </si>
  <si>
    <t>HHT_loci</t>
  </si>
  <si>
    <t>RT_comment</t>
  </si>
  <si>
    <t>RT_loci</t>
  </si>
  <si>
    <t>HR_comment</t>
  </si>
  <si>
    <t>HR_loci</t>
  </si>
  <si>
    <t>Soil type_comment</t>
  </si>
  <si>
    <t>Soil type_loci</t>
  </si>
  <si>
    <t>Soil clay content_comment</t>
  </si>
  <si>
    <t>Soil clay content_loci</t>
  </si>
  <si>
    <t>Soil sand content_comment</t>
  </si>
  <si>
    <t>Soil sand content_loci</t>
  </si>
  <si>
    <t>Soil silt content_comment</t>
  </si>
  <si>
    <t>Soil silt content_loci</t>
  </si>
  <si>
    <t>Soil organic matter content_comment</t>
  </si>
  <si>
    <t>Soil organic matter content_loci</t>
  </si>
  <si>
    <t>SoilMoisture_Absolute_comment</t>
  </si>
  <si>
    <t>SoilMoisture_Absolute_loci</t>
  </si>
  <si>
    <t>SoilMoisture_WHC_comment</t>
  </si>
  <si>
    <t>SoilMoisture_WHC_loci</t>
  </si>
  <si>
    <t>pH_soil_comment</t>
  </si>
  <si>
    <t>pH_soil_loci</t>
  </si>
  <si>
    <t>pH_bc-soil_comment</t>
  </si>
  <si>
    <t>pH_bc-soil_loci</t>
  </si>
  <si>
    <t>SoilOrigin_comment</t>
  </si>
  <si>
    <t>SoilOrigin_loci</t>
  </si>
  <si>
    <t>SoilGeolocation_comment</t>
  </si>
  <si>
    <t>SoilGeolocation_loci</t>
  </si>
  <si>
    <t>LabField_comment</t>
  </si>
  <si>
    <t>LabField_loci</t>
  </si>
  <si>
    <t>Cultivated_comment</t>
  </si>
  <si>
    <t>Cultivated_loci</t>
  </si>
  <si>
    <t>IncubationTemperature_comment</t>
  </si>
  <si>
    <t>IncubationTemperature_loci</t>
  </si>
  <si>
    <t>IncubationDuration_comment</t>
  </si>
  <si>
    <t>IncubationDuration_loci</t>
  </si>
  <si>
    <t>ApplicationRate_comment</t>
  </si>
  <si>
    <t>ApplicationRate_loci</t>
  </si>
  <si>
    <t>TotalFluxMeasurement_comment</t>
  </si>
  <si>
    <t>TotalFluxMeasurement_loci</t>
  </si>
  <si>
    <t>BiocharFluxDetermination_comment</t>
  </si>
  <si>
    <t>BiocharFluxDetermination_loci</t>
  </si>
  <si>
    <t>OtherIncubationDescription_comment</t>
  </si>
  <si>
    <t>OtherIncubationDescription_loci</t>
  </si>
  <si>
    <t>AssociatedControl_comment</t>
  </si>
  <si>
    <t>AssociatedControl_loci</t>
  </si>
  <si>
    <t>Ash550_comment</t>
  </si>
  <si>
    <t>Ash550_loci</t>
  </si>
  <si>
    <t>Ash700_comment</t>
  </si>
  <si>
    <t>Ash700_loci</t>
  </si>
  <si>
    <t>Carbon_comment</t>
  </si>
  <si>
    <t>Carbon_loci</t>
  </si>
  <si>
    <t>Carbon, organic_comment</t>
  </si>
  <si>
    <t>Carbon, organic_loci</t>
  </si>
  <si>
    <t>Hydrogen_comment</t>
  </si>
  <si>
    <t>Hydrogen_loci</t>
  </si>
  <si>
    <t>Nitrogen_comment</t>
  </si>
  <si>
    <t>Nitrogen_loci</t>
  </si>
  <si>
    <t>Sulphur_comment</t>
  </si>
  <si>
    <t>Sulphur_loci</t>
  </si>
  <si>
    <t>Oxygen_comment</t>
  </si>
  <si>
    <t>Oxygen_loci</t>
  </si>
  <si>
    <t>Magnesium_comment</t>
  </si>
  <si>
    <t>Magnesium_loci</t>
  </si>
  <si>
    <t>Potassium_comment</t>
  </si>
  <si>
    <t>Potassium_loci</t>
  </si>
  <si>
    <t>H/C_org_comment</t>
  </si>
  <si>
    <t>H/C_org_loci</t>
  </si>
  <si>
    <t>H/C_tot_comment</t>
  </si>
  <si>
    <t>H/C_tot_loci</t>
  </si>
  <si>
    <t>O/C_org_comment</t>
  </si>
  <si>
    <t>O/C_org_loci</t>
  </si>
  <si>
    <t>C/N_comment</t>
  </si>
  <si>
    <t>C/N_loci</t>
  </si>
  <si>
    <t>pH_H2O_comment</t>
  </si>
  <si>
    <t>pH_H2O_loci</t>
  </si>
  <si>
    <t>pH_CaCl2_comment</t>
  </si>
  <si>
    <t>pH_CaCl2_loci</t>
  </si>
  <si>
    <t>CEC_comment</t>
  </si>
  <si>
    <t>CEC_loci</t>
  </si>
  <si>
    <t>SA_N2_comment</t>
  </si>
  <si>
    <t>SA_N2_loci</t>
  </si>
  <si>
    <t>SA_CO2_comment</t>
  </si>
  <si>
    <t>SA_CO2_loci</t>
  </si>
  <si>
    <t>FixedCarbon_comment</t>
  </si>
  <si>
    <t>FixedCarbon_loci</t>
  </si>
  <si>
    <t>VolatileMatter_comment</t>
  </si>
  <si>
    <t>VolatileMatter_loci</t>
  </si>
  <si>
    <t>ParticleSize_comment</t>
  </si>
  <si>
    <t>ParticleSize_loci</t>
  </si>
  <si>
    <t>BulkDensity_comment</t>
  </si>
  <si>
    <t>BulkDensity_loci</t>
  </si>
  <si>
    <t>TrueDensity_comment</t>
  </si>
  <si>
    <t>TrueDensity_loci</t>
  </si>
  <si>
    <t>OxidationH2O2_comment</t>
  </si>
  <si>
    <t>OxidationH2O2_loci</t>
  </si>
  <si>
    <t>Major2010</t>
  </si>
  <si>
    <t>Zimmerman2010</t>
  </si>
  <si>
    <t>Zimmerman2013</t>
  </si>
  <si>
    <t>Fang2014</t>
  </si>
  <si>
    <t>Kuzyakov2014</t>
  </si>
  <si>
    <t>Dharmakeerthi2015</t>
  </si>
  <si>
    <t>Herath2015</t>
  </si>
  <si>
    <t>Wu2016</t>
  </si>
  <si>
    <t>Bamminger2014</t>
  </si>
  <si>
    <t>Bruun2008</t>
  </si>
  <si>
    <t>Bruun2014</t>
  </si>
  <si>
    <t>Cross2011</t>
  </si>
  <si>
    <t>Farrell2013</t>
  </si>
  <si>
    <t>Keith2011</t>
  </si>
  <si>
    <t>Kuzyakov2009</t>
  </si>
  <si>
    <t>Lu2014</t>
  </si>
  <si>
    <t>Luo2011</t>
  </si>
  <si>
    <t>Maestrini2014b</t>
  </si>
  <si>
    <t>Maestrini2014a</t>
  </si>
  <si>
    <t>Malghani2013</t>
  </si>
  <si>
    <t>Naisse2014</t>
  </si>
  <si>
    <t>Nguyen2014</t>
  </si>
  <si>
    <t>Santos2012</t>
  </si>
  <si>
    <t>Stewart2013</t>
  </si>
  <si>
    <t>Yin2014</t>
  </si>
  <si>
    <t>Jones2011</t>
  </si>
  <si>
    <t>Liu2020</t>
  </si>
  <si>
    <t>Ventura2019</t>
  </si>
  <si>
    <t>Ventura2014</t>
  </si>
  <si>
    <t>Budai2016</t>
  </si>
  <si>
    <t>Rasse2017</t>
  </si>
  <si>
    <t>Baldock2002</t>
  </si>
  <si>
    <t>Hamer2004</t>
  </si>
  <si>
    <t>Cheng2006</t>
  </si>
  <si>
    <t>Novak2010</t>
  </si>
  <si>
    <t>Nguyen2009</t>
  </si>
  <si>
    <t>Fang2019</t>
  </si>
  <si>
    <t>Major, J., Lehmann, J., Rondon, M. &amp; Goodale, C. (2010) Fate of soil-applied black carbon: downward migration, leaching and soil respiration. Global Change Biology 16: 1366-1379.</t>
  </si>
  <si>
    <t>Zimmerman, A. R. (2010) Abiotic and Microbial Oxidation of Laboratory-Produced Black Carbon (Biochar). Environmental Science &amp; Technology 44(4): 1295-1301.</t>
  </si>
  <si>
    <t>Singh, B. P., Cowie, A. L. &amp; Smernik, R. J. (2012) Biochar stability in a clayey soil as a function of feedstock and pyrolysis temperature. Environmental Science and Technology 46: 11770-11778</t>
  </si>
  <si>
    <t>Fang, Y., Singh, B. P. &amp; Singh, B. (2014) Temperature sensitivity of biochar and native carbon mineralisation in biochar-amended soils. Agriculture, Ecosystems and Environment 191: 158-167.</t>
  </si>
  <si>
    <t>Kuzyakov, Y., Bogomolova, I. &amp; Glaser, B. (2014) Biochar stability in soil: Decomposition during eight years and transformation as assessed by compound-specific 14C analysis. Soil Biology and Biochemistry 70: 229-236.</t>
  </si>
  <si>
    <t>Dharmakeerthi RS, Hanley K, Whitman T, Woolf D &amp; Lehmann J. (2015) Organic carbon dynamics in soils with pyrogenic organic matter that received plant residue additions over seven years. Soil Biology and Biochemistry 88: 268-274.</t>
  </si>
  <si>
    <t>Herath, H. M. S. K., Camps‐Arbestain, M., Hedley, M. J., Kirschbaum, M. U. F., Wang, T. &amp; van Hale, R. (2015) Experimental evidence for sequestering C with biochar by avoidance of CO2 emissions from original feedstock and protection of native soil organic matter. GCB Bioenergy 7(3): 512-526.</t>
  </si>
  <si>
    <t>Wu, M., Han, X., Zhong, T., Yuan, M. &amp; Wu, W. (2016) Soil organic carbon content affects the stability of biochar in paddy soil. Agriculture, Ecosystems &amp; Environment 223: 59-66</t>
  </si>
  <si>
    <t>Bamminger C, Marschner B, Jüschke E (2014) An incubation study on the stability and biological effects of pyrogenic and hydrothermal biochar in two soils. European Journal of Soil Science, 65, 72–82.</t>
  </si>
  <si>
    <t>Bruun S, Clauson‐Kaas S, Bobuľská L, Thomsen IK (2014) Carbon dioxide emissions from biochar in soil: role of clay, microorganisms and carbonates. European Journal of Soil Science, 65, 52–59.</t>
  </si>
  <si>
    <t>Cross A, Sohi SP (2011) The priming potential of biochar products in relation to labile carbon contents and soil organic matter status. Soil Biology and Biochemistry, 43, 2127–2134.</t>
  </si>
  <si>
    <t>Farrell M, Kuhn TK, Macdonald LM et al. (2013) Microbial utilisation of biochar-derived carbon. Science of the Total Environment, 465, 288–297.</t>
  </si>
  <si>
    <t>Keith A, Singh B, Singh BP (2011) Interactive priming of biochar and labile organic matter mineralization in a smectite-rich soil. Environmental Science &amp; Technology, 45, 9611–9618.</t>
  </si>
  <si>
    <t>Kuzyakov Y, Bogomolova I, Glaser B (2014) Biochar stability in soil: Decomposition during eight years and transformation as assessed by compound-specific 14C analysis. Soil Biology and Biochemistry, 70, 229–236.</t>
  </si>
  <si>
    <t>Lu W, Ding W, Zhang J, Li Y, Luo J, Bolan N, Xie Z (2014) Biochar suppressed the decomposition of organic carbon in a cultivated sandy loam soil: A negative priming effect. Soil Biology and Biochemistry, 76, 12–21.</t>
  </si>
  <si>
    <t>Luo Y, Durenkamp M, De Nobili M, Lin Q, Brookes PC (2011) Short term soil priming effects and the mineralisation of biochar following its incorporation to soils of different pH. Soil Biology and Biochemistry, 43, 2304–2314.</t>
  </si>
  <si>
    <t>Maestrini B, Herrmann AM, Nannipieri P, Schmidt MW, Abiven S (2014a) Ryegrass-derived pyrogenic organic matter changes organic carbon and nitrogen mineralization in a temperate forest soil. Soil Biology and Biochemistry, 69, 291–301.</t>
  </si>
  <si>
    <t>Maestrini B, Abiven S, Singh N, Bird J, Torn MS, Schmidt MWI (2014b) Carbon losses from pyrolysed and original wood in a forest soil under natural and increased N deposition. Biogeosciences, 11, 5199–5213.</t>
  </si>
  <si>
    <t>Malghani S, Gleixner G, Trumbore SE (2013) Chars produced by slow pyrolysis and hydrothermal carbonization vary in carbon sequestration potential and greenhouse gases emissions. Soil Biology and Biochemistry, 62, 137–146.</t>
  </si>
  <si>
    <t>Naisse C, Girardin C, Lefevre R, Pozzi A, Maas R, Stark A, Rumpel C (2014) Effect of physical weathering on the carbon sequestration potential of biochars and hydrochars in soil. GCB Bioenergy. doi: 10.1111/gcbb.12158.</t>
  </si>
  <si>
    <t>Nguyen BT, Koide RT, Dell C, Drohan P, Skinner H, Adler PR, Nord A (2014) Turnover of soil carbon following addition of switchgrass-derived biochar to four soils. Soil Science Society of America Journal, 78, 531–537.</t>
  </si>
  <si>
    <t>Santos F, Torn MS, Bird JA (2012) Biological degradation of pyrogenic organic matter in temperate forest soils. Soil Biology and Biochemistry, 51, 115–124.</t>
  </si>
  <si>
    <t>Stewart CE, Zheng J, Botte J, Cotrufo MF (2013) Co-generated fast pyrolysis biochar mitigates greenhouse gas emissions and increases carbon sequestration in temperate soils. GCB Bioenergy, 5, 153–164.</t>
  </si>
  <si>
    <t>Yin YF, He XH, Gao R, Ma HL, Yang YS (2014) Effects of rice straw and its biochar addition on soil labile carbon and soil organic carbon. Journal of Integrative Agriculture, 13, 491–498.</t>
  </si>
  <si>
    <t>Jones DL, Murphy DV, Khalid M, Ahmad W, Edwards-Jones G, DeLuca TH (2011) Short-term biochar-induced increase in soil CO2 release is both biotically and abiotically mediated. Soil Biology and Biochemistry, 43, 1723–1731.</t>
  </si>
  <si>
    <t xml:space="preserve">Liu, B., Liu, Q., Wang, X., Bei, Q., Zhang, Y., Lin, Z., … Xie, Z. (2020). A fast chemical oxidation method for predicting the long-term mineralization of biochar in soils. Science of The Total Environment, 718, 137390. </t>
  </si>
  <si>
    <t>Ventura, M., Alberti, G., Panzacchi, P., Vedove, G. D., Miglietta, F., &amp; Tonon, G. (2019). Biochar mineralization and priming effect in a poplar short rotation coppice from a 3-year field experiment. Biology and Fertility of Soils, 55(1), 67–78.</t>
  </si>
  <si>
    <t>Ventura, M., Alberti, G., Viger, M., Jenkins, J.R., Girardin, C., Baronti, S., Zaldei, A., Taylor, G., Rumpel, C., Miglietta, F. and Tonon, G. (2015), Biochar mineralization and priming effect on SOM decomposition in two European short rotation coppices. GCB Bioenergy, 7: 1150-1160.</t>
  </si>
  <si>
    <t xml:space="preserve">Budai, A., Rasse, D.P., Lagomarsino, A. et al. Biochar persistence, priming and microbial responses to pyrolysis temperature series. Biol Fertil Soils 52, 749–761 (2016). </t>
  </si>
  <si>
    <t>Baldock JA, Smernik RJ. Chemical composition and bioavailability of thermally, altered Pinus resinosa (Red Pine) wood. Org. Geochem. 33(9), 1093–1109 (2002).</t>
  </si>
  <si>
    <t>https://doi.org/10.1111/j.1365-2486.2009.02044.x</t>
  </si>
  <si>
    <t>https://doi.org/10.1021/es903140c</t>
  </si>
  <si>
    <t>https://doi.org/10.1021/es302545b</t>
  </si>
  <si>
    <t>https://doi.org/10.1016/j.agee.2014.02.018</t>
  </si>
  <si>
    <t>https://doi.org/10.1016/j.soilbio.2015.06.003</t>
  </si>
  <si>
    <t>https://doi.org/10.1111/gcbb.12183</t>
  </si>
  <si>
    <t>https://doi.org/10.1016/j.agee.2016.02.033</t>
  </si>
  <si>
    <t>https://doi.org/10.1111/ejss.12074</t>
  </si>
  <si>
    <t>https://doi.org/10.1007/s00374-016-1116-6</t>
  </si>
  <si>
    <t>http://doi.org/10.1371/journal.pone.0184383</t>
  </si>
  <si>
    <t>CL273@cornell.edu</t>
  </si>
  <si>
    <t>azimmer@ufl.edu</t>
  </si>
  <si>
    <t>bp.singh@dpi.nsw.gov.au</t>
  </si>
  <si>
    <t>balwant.singh@sydney.edu.au</t>
  </si>
  <si>
    <t>kuzyakov@gwdg.de</t>
  </si>
  <si>
    <t>samanherath@uwu.ac.lk</t>
  </si>
  <si>
    <t>weixiang@zju.edu.cn</t>
  </si>
  <si>
    <t>zbxie@issas.ac.cn</t>
  </si>
  <si>
    <t>maurizio.ventura@unibz.it</t>
  </si>
  <si>
    <t>Alice.Budai@nibio.no</t>
  </si>
  <si>
    <t>daniel.rasse@nibio.no</t>
  </si>
  <si>
    <t>yes</t>
  </si>
  <si>
    <t>no</t>
  </si>
  <si>
    <t>Yes</t>
  </si>
  <si>
    <t>No</t>
  </si>
  <si>
    <t>fangyunying@gmail.com</t>
  </si>
  <si>
    <t>Fang, Y., Singh, B. P., Nazaries, L., Keith, A., Tavakkoli, E., Wilson, N., &amp; Singh, B. (2019). Interactive carbon priming, microbial response and biochar persistence in a Vertisol with varied inputs of biochar and labile organic matter. European Journal of Soil Science, 70(5), 960–974</t>
  </si>
  <si>
    <t>https://doi.org/10.1111/EJSS.12808</t>
  </si>
  <si>
    <t>Nguyen BT, Lehmann J. Black carbon decomposition under varying water regimes. Org. Geochem. 40(8), 846–853 (2009).</t>
  </si>
  <si>
    <t>https://doi.org/10.1016/j.orggeochem.2009.05.004</t>
  </si>
  <si>
    <t>Novak, J. M., Busscher, W. J., Watts, D. W., Laird, D. A., Ahmedna, M. A., &amp; Niandou, M. A. S. (2010). Short-term CO2 mineralization after additions of biochar and switchgrass to a Typic Kandiudult. Geoderma, 154(3–4), 281–288</t>
  </si>
  <si>
    <t>https://doi.org/10.1016/J.GEODERMA.2009.10.014</t>
  </si>
  <si>
    <t>jeff.novak@ars.usda.gov</t>
  </si>
  <si>
    <t>Cheng CH, Lehmann J, Thies JE, Burton SD, Engelhard MH. Oxidation of black carbon by biotic and abiotic processes. Org. Geochem. 37(11), 1477–1488 (2006).</t>
  </si>
  <si>
    <t>https://doi.org/10.1016/j.orggeochem.2006.06.022</t>
  </si>
  <si>
    <t>Hamer U, Marschner B, Brodowski S, Amelung W. Interactive priming of black carbon and glucose mineralisation. Org. Geochem. 35(7), 823–830 (2004)</t>
  </si>
  <si>
    <t>https://doi.org/10.1016/j.orggeochem.2004.03.003</t>
  </si>
  <si>
    <t>ute.hamer@ruhr-uni-bochum.de</t>
  </si>
  <si>
    <t>https://doi.org/10.1016/S0146-6380(02)00062-1</t>
  </si>
  <si>
    <t>jeff.baldock@adl.clw.csiro.au</t>
  </si>
  <si>
    <t>Rasse, D. P., Budai, A., O’Toole, A., Ma, X., Rumpel, C., &amp; Abiven, S. (2017). Persistence in soil of Miscanthus biochar in laboratory and field conditions. PLOS ONE, 12(9), e0184383.</t>
  </si>
  <si>
    <t>Creative Commons Attribution 4.0 International License</t>
  </si>
  <si>
    <t xml:space="preserve">https://doi.org/10.1111/gcbb.12219 </t>
  </si>
  <si>
    <t>https://doi.org/10.1007/s00374-018-1329-y</t>
  </si>
  <si>
    <t>https://doi.org/10.1016/J.SCITOTENV.2020.137390</t>
  </si>
  <si>
    <t>© 2020 Elsevier B.V. All rights reserved.</t>
  </si>
  <si>
    <t>© 2018, Springer-Verlag GmbH Germany, part of Springer Nature</t>
  </si>
  <si>
    <t>https://doi.org/10.1016/j.soilbio.2011.04.018</t>
  </si>
  <si>
    <t>d.jones@bangor.ac.uk</t>
  </si>
  <si>
    <t>Copyright © 2011 Elsevier Ltd. All rights reserved.</t>
  </si>
  <si>
    <t>https://doi.org/10.1016/S2095-3119(13)60704-2</t>
  </si>
  <si>
    <t>Creative Commons CC-BY-NC-ND + Copyright © 2014 Chinese Academy of Agricultural Sciences. Published by Elsevier B.V. All rights reserved.</t>
  </si>
  <si>
    <t>yunfengyin@163.com</t>
  </si>
  <si>
    <t>catherine.stewart@colostate.edu</t>
  </si>
  <si>
    <t>https://doi.org/10.1111/gcbb.12001</t>
  </si>
  <si>
    <t>jbird@qc.cuny.edu</t>
  </si>
  <si>
    <t>https://doi.org/10.1016/j.soilbio.2012.04.005</t>
  </si>
  <si>
    <t>Copyright © 2012 Elsevier Ltd. Published by Elsevier Ltd. All rights reserved.</t>
  </si>
  <si>
    <t>curtis.dell@ars.usda.gov</t>
  </si>
  <si>
    <t>https://doi.org/10.2136/sssaj2013.07.0258</t>
  </si>
  <si>
    <t>Open Access, GCB Bioenergy</t>
  </si>
  <si>
    <t>© by the Soil Science Society of America, Inc.</t>
  </si>
  <si>
    <t>https://doi.org/10.1111/gcbb.12158</t>
  </si>
  <si>
    <t>cornelia.rumpel@grignon.inra.fr</t>
  </si>
  <si>
    <t>https://doi.org/10.1016/j.soilbio.2013.03.013</t>
  </si>
  <si>
    <t>Creative Commons CC BY license 4.0</t>
  </si>
  <si>
    <t>Creative Commons CC BY license 3.0</t>
  </si>
  <si>
    <t>https://doi.org/10.5194/bg-11-5199-2014</t>
  </si>
  <si>
    <t>smalgh@bgc-jena.mpg.de</t>
  </si>
  <si>
    <t>samuel.abiven@geo.uzh.ch</t>
  </si>
  <si>
    <t>https://doi.org/10.1016/j.soilbio.2013.11.013</t>
  </si>
  <si>
    <t>Copyright © 2013 Elsevier Ltd. All rights reserved.</t>
  </si>
  <si>
    <t>linqm@cau.edu.cn</t>
  </si>
  <si>
    <t>https://doi.org/10.1016/j.soilbio.2011.07.020</t>
  </si>
  <si>
    <t>https://doi.org/10.1016/j.soilbio.2014.04.029</t>
  </si>
  <si>
    <t>wxding@mail.issas.ac.cn</t>
  </si>
  <si>
    <t>Copyright © 2014 Elsevier Ltd. All rights reserved.</t>
  </si>
  <si>
    <t>https://doi.org/10.1016/j.soilbio.2013.12.021</t>
  </si>
  <si>
    <t>https://doi.org/10.1016/j.soilbio.2008.10.016</t>
  </si>
  <si>
    <t>Copyright © 2008 Elsevier Ltd. All rights reserved.</t>
  </si>
  <si>
    <t>Copyright © 2011, American Chemical Society</t>
  </si>
  <si>
    <t>https://doi.org/10.1021/es202186j</t>
  </si>
  <si>
    <t>https://doi.org/10.1016/j.scitotenv.2013.03.090</t>
  </si>
  <si>
    <t>mark.farrell@csiro.au</t>
  </si>
  <si>
    <t>Copyright © 2013 Elsevier B.V. All rights reserved.</t>
  </si>
  <si>
    <t>https://doi.org/10.1016/j.soilbio.2011.06.016</t>
  </si>
  <si>
    <t>andrew.cross@ed.ac.uk</t>
  </si>
  <si>
    <t xml:space="preserve">Bruun S, Jensen ES, Jensen LS (2008) Microbial mineralization and assimilation of black carbon: Dependency on degree of thermal alteration. Organic Geochemistry, 39, 839–845. </t>
  </si>
  <si>
    <t>https://doi.org/10.1111/ejss.12073</t>
  </si>
  <si>
    <t>sab@life.ku.dk</t>
  </si>
  <si>
    <t>© 2013 British Society of Soil Science</t>
  </si>
  <si>
    <t>https://doi.org/10.1016/j.orggeochem.2008.04.020</t>
  </si>
  <si>
    <t>chris.bamminger@rub.de</t>
  </si>
  <si>
    <t>Copyright © 2016 Elsevier B.V. All rights reserved.</t>
  </si>
  <si>
    <t>Copyright © 2015 Elsevier Ltd. All rights reserved.</t>
  </si>
  <si>
    <t>Copyright © 2014 Elsevier B.V. All rights reserved.</t>
  </si>
  <si>
    <t>yunying.fang@dpi.nsw.gov.au</t>
  </si>
  <si>
    <t>https://doi.org/10.1201/b14585</t>
  </si>
  <si>
    <t>[book chapter] Zimmerman, A. R. &amp; Gao, B. (2013) The stability of biochar in the environment,. In: Biochar and Soil Biota, eds. N. Ladygina &amp; F. Rineau, pp. 1-40. Boca Raton, USA: CRC Press.</t>
  </si>
  <si>
    <t>taylorfrancis</t>
  </si>
  <si>
    <t>© 2009 Blackwell Publishing Ltd</t>
  </si>
  <si>
    <t>Copyright © 2010 American Chemical Society</t>
  </si>
  <si>
    <t>Copyright © 2012 American Chemical Society</t>
  </si>
  <si>
    <t>Copyright © 2002 Elsevier Science Ltd. All rights reserved.</t>
  </si>
  <si>
    <t>© 2019 British Society of Soil Science</t>
  </si>
  <si>
    <t>Copyright © 2009 Elsevier Ltd. All rights reserved.</t>
  </si>
  <si>
    <t>Published by Elsevier B.V.</t>
  </si>
  <si>
    <t>Copyright © 2006 Elsevier Ltd. All rights reserved.</t>
  </si>
  <si>
    <t>Copyright © 2004 Elsevier Ltd. All rights reserved.</t>
  </si>
  <si>
    <t>Yousaf2016</t>
  </si>
  <si>
    <t>lgj@ustc.edu.cn</t>
  </si>
  <si>
    <t>https://doi.org/10.1111/gcbb.12401</t>
  </si>
  <si>
    <t>Yousaf, B., Liu, G., Wang, R., Abbas, Q., Imtiaz, M., &amp; Liu, R. (2017). Investigating the biochar effects on C-mineralization and sequestration of carbon in soil compared with conventional amendments using the stable isotope (δ13C) approach. GCB Bioenergy, 9(6), 1085–1099.</t>
  </si>
  <si>
    <t>https://doi.org/10.1016/j.geoderma.2016.08.019</t>
  </si>
  <si>
    <t>Gronwald2016</t>
  </si>
  <si>
    <t xml:space="preserve">Gronwald, M., Vos, C., Helfrich, M., &amp; Don, A. (2016). Stability of pyrochar and hydrochar in agricultural soil - a new field incubation method. Geoderma, 284, 85–92. </t>
  </si>
  <si>
    <t>© 2016 Elsevier B.V. All rights reserved.</t>
  </si>
  <si>
    <t>axel.don@thuenen.de</t>
  </si>
  <si>
    <t>Lanza2018</t>
  </si>
  <si>
    <t>Lanza, G., Stang, A., Kern, J., Wirth, S., &amp; Gessler, A. (2018). Degradability of raw and post-processed chars in a two-year field experiment. Science of The Total Environment, 628–629, 1600–1608.</t>
  </si>
  <si>
    <t>https://doi.org/10.1016/J.SCITOTENV.2018.02.164</t>
  </si>
  <si>
    <t>glanza@atb-potsdam.de</t>
  </si>
  <si>
    <t>© 2018 Elsevier B.V. All rights reserved.</t>
  </si>
  <si>
    <t>Rosa2018</t>
  </si>
  <si>
    <t>https://doi.org/10.1016/j.scitotenv.2017.09.124</t>
  </si>
  <si>
    <t>jmrosa@irnase.csic.es</t>
  </si>
  <si>
    <t>de la Rosa, J. M., Rosado, M., Paneque, M., Miller, A. Z., &amp; Knicker, H. (2018). Effects of aging under field conditions on biochar structure and composition: Implications for biochar stability in soils. Science of The Total Environment, 613–614, 969–976.</t>
  </si>
  <si>
    <t>© 2017 Elsevier B.V. All rights reserved.</t>
  </si>
  <si>
    <t>Leal2019</t>
  </si>
  <si>
    <t>Leal, O. dos A., Dick, D. P., de La Rosa, J. M., Leal, D. P. B., González-Pérez, J. A., Campos, G. S., &amp; Knicker, H. (2019). Charcoal Fine Residues Effects on Soil Organic Matter Humic Substances, Composition, and Biodegradability. Agronomy 2019, Vol. 9, Page 384, 9(7), 384.</t>
  </si>
  <si>
    <t>https://doi.org/10.3390/AGRONOMY9070384</t>
  </si>
  <si>
    <t>otavioleal@hotmail.com</t>
  </si>
  <si>
    <t>MDPI Open Access</t>
  </si>
  <si>
    <t>Campos2021</t>
  </si>
  <si>
    <t>Campos, P., Knicker, H., Velasco-Molina, M., &amp; de la Rosa, J. M. (2021). Assessment of the biochemical degradability of crop derived biochars in trace elements polluted soils. Journal of Analytical and Applied Pyrolysis, 157, 105186.</t>
  </si>
  <si>
    <t>https://doi.org/10.1016/J.JAAP.2021.105186</t>
  </si>
  <si>
    <t>pcampos@irnas.csic.es</t>
  </si>
  <si>
    <t>© 2021 Elsevier B.V. All rights reserved.</t>
  </si>
  <si>
    <t>Criscuoli2021</t>
  </si>
  <si>
    <t xml:space="preserve">Criscuoli, I., Ventura, M., Wiedner, K., Glaser, B., Panzacchi, P., Ceccon, C., Loesch, M., Raifer, B., &amp; Tonon, G. (2021). Stability of Woodchips Biochar and Impact on Soil Carbon Stocks: Results from a Two-Year Field Experiment. Forests 2021, Vol. 12, Page 1350, 12(10), 1350. </t>
  </si>
  <si>
    <t>https://doi.org/10.3390/F12101350</t>
  </si>
  <si>
    <t>irene.criscuoli@crea.gov.it</t>
  </si>
  <si>
    <t>Knoblauch2011</t>
  </si>
  <si>
    <t>https://doi.org/10.1016/j.soilbio.2010.07.012</t>
  </si>
  <si>
    <t>christian.knoblauch@uni-hamburg.de</t>
  </si>
  <si>
    <t>Sarfaraz2020</t>
  </si>
  <si>
    <t>https://doi.org/10.1038/s41598-020-57987-8</t>
  </si>
  <si>
    <t>Creative Commons CC BY 4.0</t>
  </si>
  <si>
    <t>qschoudhary@gmail.com</t>
  </si>
  <si>
    <t>Galvez2012</t>
  </si>
  <si>
    <t>https://doi.org/10.1016/j.agee.2011.06.015</t>
  </si>
  <si>
    <t>agalvezp@ugr.es</t>
  </si>
  <si>
    <t>Cayuela2010</t>
  </si>
  <si>
    <t>marialuz.cayuela@wur.nl</t>
  </si>
  <si>
    <t>https://doi.org/10.1111/j.1757-1707.2010.01055.x</t>
  </si>
  <si>
    <t>Zhu2019</t>
  </si>
  <si>
    <t>https://doi.org/10.1016/j.envint.2019.105211</t>
  </si>
  <si>
    <t>blchen@zju.edu.cn</t>
  </si>
  <si>
    <t>https://doi.org/10.1016/j.jenvman.2015.10.006</t>
  </si>
  <si>
    <t>sslee97@kangwon.ac.kr</t>
  </si>
  <si>
    <t>https://doi.org/10.1038/srep25127</t>
  </si>
  <si>
    <t>Hernandez2016</t>
  </si>
  <si>
    <t>m.hernandezsoriano@uq.edu.au</t>
  </si>
  <si>
    <t>Conz2017</t>
  </si>
  <si>
    <t>https://doi.org/10.4236/as.2017.89067</t>
  </si>
  <si>
    <t>rafaelaconz@gmail.com</t>
  </si>
  <si>
    <t>Schouten2012</t>
  </si>
  <si>
    <t>https://doi.org/10.1111/j.1757-1707.2012.01163.x</t>
  </si>
  <si>
    <t>marialuz.cayuela@gmail.com</t>
  </si>
  <si>
    <t>Hilscher2011</t>
  </si>
  <si>
    <t>https://doi.org/10.1016/j.orggeochem.2010.10.005</t>
  </si>
  <si>
    <t>hilscher@wzw.tum.de</t>
  </si>
  <si>
    <t>Fidel2019</t>
  </si>
  <si>
    <t>https://doi.org/10.3390/soilsystems3010008</t>
  </si>
  <si>
    <t>rfidel@email.arizona.edu</t>
  </si>
  <si>
    <t>Hansen2016</t>
  </si>
  <si>
    <t>https://doi.org/10.1016/j.geoderma.2016.01.033</t>
  </si>
  <si>
    <t>dsst@plen.ku.dk</t>
  </si>
  <si>
    <t>Schulze2016</t>
  </si>
  <si>
    <t>https://doi.org/10.1016/j.geoderma.2015.12.018</t>
  </si>
  <si>
    <t>jkern@atb-potsdam.de</t>
  </si>
  <si>
    <t>Baronti2017</t>
  </si>
  <si>
    <t>https://doi.org/10.1111/gcbb.12450</t>
  </si>
  <si>
    <t>s.baronti@ibimet.cnr.it</t>
  </si>
  <si>
    <t>https://doi.org/10.1016/j.agee.2014.03.027</t>
  </si>
  <si>
    <t>Schimmelpfennig2014</t>
  </si>
  <si>
    <t>Sonja.schimmelpfennig@bot2.bio.uni-giessen.de</t>
  </si>
  <si>
    <t>Qayyum2012</t>
  </si>
  <si>
    <t>https://doi.org/10.2134/jeq2011.0058</t>
  </si>
  <si>
    <t>isohyperthermic kaolinitic Typic Haplustox sandy clay loam</t>
  </si>
  <si>
    <t>p1367, §Site characteristics</t>
  </si>
  <si>
    <t>Matazul farm in the Llanos Orientales nonflooded savanna region of Colombia</t>
  </si>
  <si>
    <t>(4.170889, -70.603583)</t>
  </si>
  <si>
    <t>Converted from DMS (Degree Minute Second) to DD (decimal degree). Error in article: article states "04D, 10M, 15.2S (North), 07D,36M,12.9S (West)" which correspond to the ocean, near Africa. The correct location is in fact 70D,36M,12.9 (West) in Colombia.</t>
  </si>
  <si>
    <t>Prunings of old mango trees</t>
  </si>
  <si>
    <t>δ ¹³C biochar</t>
  </si>
  <si>
    <t>δ ¹³C soil</t>
  </si>
  <si>
    <t>-10,9 to -13,5</t>
  </si>
  <si>
    <t>Ratio of isotopes 13C / 12C</t>
  </si>
  <si>
    <t>‰</t>
  </si>
  <si>
    <t>Ratio of isotopes 13C / 12C in the biochar studied</t>
  </si>
  <si>
    <t>Ratio of isotopes 13C / 12C in the soil studied</t>
  </si>
  <si>
    <t>-28.2 to -28.9</t>
  </si>
  <si>
    <t>Black C material 1-2</t>
  </si>
  <si>
    <t>p1367 §Field experiment</t>
  </si>
  <si>
    <t>wood</t>
  </si>
  <si>
    <t>Not available in Phylis database. Value taken from Sharma &amp; Mohanty (2021) https://doi.org/10.1039/D1RA01467F</t>
  </si>
  <si>
    <t>Two biochars were produced. Biochar 1 was produced in an earth mound. Biochar 2 in a trench.</t>
  </si>
  <si>
    <t>Biochar 1: mound of tightly packed logs (approximately 2m high, 5m diameter), covered with dry grass and soil. Biochar 2: soil trench, deemed similar to mound.</t>
  </si>
  <si>
    <t>p1367 §Field experiment, p1369 §Soil respiration measurement</t>
  </si>
  <si>
    <t>Classified as slow pyrolyis, could be a separate category for earth mound and trench techniques</t>
  </si>
  <si>
    <t>HHT not measured, a range from 400 to 600°C is given based on literature.</t>
  </si>
  <si>
    <t>RT not measured, a typical value of 48 hours is given based on literature. Not RT at HHT.</t>
  </si>
  <si>
    <t>Unknown. Could be searched in literature for earth mound.</t>
  </si>
  <si>
    <t>From alluvial sediments originating in the Andes. Soil cover dominated by native C4 vegetation for extensive time period, giving a specific isotopic signature to carbon dioxide from soil respiration.</t>
  </si>
  <si>
    <t>Based on H1 horizon (0-28cm)</t>
  </si>
  <si>
    <t>Data from UC Davis web tool for `isohyperthermic kaolinitic Typic Haplustox` https://casoilresource.lawr.ucdavis.edu/soil_web/ssurgo.php?action=explain_component&amp;mukey=326397&amp;cokey=22146635</t>
  </si>
  <si>
    <t>Field</t>
  </si>
  <si>
    <t>Decomposition data was collected from field experiment in two times: biochar 1 was applied to soil in December 2004, and soil respiration was measured in April 2006. Thus, biochar 2 was applied to soil in May 2006, and soil respiration was measured immediately. Thus, decomposition in 1st year after application is represented by biochar 2, while second year is represented by biochar 1.</t>
  </si>
  <si>
    <t>p1367-8 §Field experiment, p1369 §Soil respiration measurement</t>
  </si>
  <si>
    <t>p1368 §Field experiment</t>
  </si>
  <si>
    <t>During respiration measurement, soil was kept free of vegetation ("The soil inside the rings was kept free of vegetation"). "At the onset of the dry season in December 2004, BC was incorporated to soil under native savanna vegetation which to our knowledge had never been tilled or cropped."</t>
  </si>
  <si>
    <t>p1368 §Field experiment, p1369 §Soil respiration measurement</t>
  </si>
  <si>
    <t>Average annual temperature</t>
  </si>
  <si>
    <t>p1367 §Site characteristics</t>
  </si>
  <si>
    <t>p1369 §Soil respiration measurement</t>
  </si>
  <si>
    <t>Not continuous (biochar 1 for 1 year, and biochar 2 for 1 year) and only during wet season (May-Dec).</t>
  </si>
  <si>
    <t>p1369 §Soil respiration measurement, Figure 4</t>
  </si>
  <si>
    <t>p1369 §Soil respiration measurement, p1368 §Field experiment, p1371 Figure 1</t>
  </si>
  <si>
    <t>static-chamber soda lime traps</t>
  </si>
  <si>
    <t>Static-chamber soda lime traps (after Edwards, 1982) Edwards NT (1982) The use of soda-lime for measuring respiration rates in terrestrial systems. Pedobiologia, 23, 321–330.</t>
  </si>
  <si>
    <t>13C natural abundance</t>
  </si>
  <si>
    <t>Soil respiration was also measured at plots without biochar (in 3 replicates, for 2 plots), as controls for both biochar 1 and biochar 2.</t>
  </si>
  <si>
    <t>p1368 Table 1</t>
  </si>
  <si>
    <t>Soil had specific signature due to native vegetation being mainly C4, "present-day native C4 vegetation dominated the area for a very extensive period" (δ ¹³C between -10.9 abd -13.5). Mango tree is C3, and its biochar had a δ ¹³C between -28.9 and -28.2. Note that isotopic concentrations in the respired CO2 were not determined for every sampling date (see text, and FIgure 4). "Carbon and N contents and isotope ratios were determined by combustion on an isotope ratio mass spectrometer (IRMS; Europa Hydra 20/20 by Europa Scientific, Crewe, UK) for solid samples, and gas on a GC-C-IRMS (Europa Geo 20/20-Orchid by Europa Scientific)."</t>
  </si>
  <si>
    <t>p1367 §Site characteristics, p1370 §Calculations and statistical analysis, p1374 Figure 4, p1370 Analytical procedures</t>
  </si>
  <si>
    <t>Average of biochar 1 and 2. Based on ASTM (2007), corresponding to ash at 575C</t>
  </si>
  <si>
    <t>To measure pH, BC was mixed with either water or 1N KCl in a 1 : 10 mass : volume ratio, stirred three times over 1 h and the pH was read with a gel epoxy electrode (Symphony by VWR, West Chester, PA, USA).</t>
  </si>
  <si>
    <t>Black C was then ground by hand using a metallic disk pestle, to pass through a 0.9mm sieve, and mixed well</t>
  </si>
  <si>
    <t>Average of biochar 1 and 2. Combustion on an isotope ratio mass spectrometer (IRMS; Europy Hydra 20/20 by Europa Scientific Crewe, UK)</t>
  </si>
  <si>
    <t>Recalculated from C/N ratio given in Table 1 (mass ratio), for each biochar 1 and 2, then averaged. Combustion on an isotope ratio mass spectrometer (IRMS; Europy Hydra 20/20 by Europa Scientific Crewe, UK)</t>
  </si>
  <si>
    <t>Recalculated from H/C ratio given in Table 1 (mass ratio), for each biochar 1 and 2, then averaged. Combustion on an oxygen analyzer (PDZ Europa 20-20, Heckatech HT by Europa Scientific)</t>
  </si>
  <si>
    <t>Recalculated from O/C ratio given in Table 1 (mass ratio), for each biochar 1 and 2, then averaged.</t>
  </si>
  <si>
    <t>Converted to molar, average of two values.</t>
  </si>
  <si>
    <t>Only O/C_tot is available, and reported as proxy, average of two biochars.</t>
  </si>
  <si>
    <t>Average of two values, converted to centi-mol per kg.</t>
  </si>
  <si>
    <t>&lt;0.9mm sieve</t>
  </si>
  <si>
    <t>nan</t>
  </si>
  <si>
    <t>ID_Lehmann2019</t>
  </si>
  <si>
    <t>ID_Woolf2021</t>
  </si>
  <si>
    <t>W39</t>
  </si>
  <si>
    <t>ID_Lehmann2021</t>
  </si>
  <si>
    <t>L48</t>
  </si>
  <si>
    <t>I29</t>
  </si>
  <si>
    <t>Identifier of this observation in Lehmann 2019 raw data (see Excel files in folder former-assessments)</t>
  </si>
  <si>
    <t>Identifier of this observation in Woolf 2021 (see Excel files in folder former-assessments)</t>
  </si>
  <si>
    <t>Identifier of this observation in Lehmann 2021 (see Excel files in folder former-assessments)</t>
  </si>
  <si>
    <t>Zimmermann 2010</t>
  </si>
  <si>
    <t>Busch2015</t>
  </si>
  <si>
    <t>https://doi.org/10.1111/sum.12180</t>
  </si>
  <si>
    <t>daniela.busch@landw.uni-halle.de</t>
  </si>
  <si>
    <t>Knoblauch, C., Maarifat, A. A., Pfeiffer, E. M., &amp; Haefele, S. M. (2011). Degradability of black carbon and its impact on trace gas fluxes and carbon turnover in paddy soils. Soil Biology and Biochemistry, 43(9), 1768–1778</t>
  </si>
  <si>
    <t>grass</t>
  </si>
  <si>
    <t>crop</t>
  </si>
  <si>
    <t>pyr-slow</t>
  </si>
  <si>
    <t>cleaned quartz sand</t>
  </si>
  <si>
    <t>Lab</t>
  </si>
  <si>
    <t>Application rate 20mg biochar per 200 mg sand</t>
  </si>
  <si>
    <t>headspace CO2 coulometer</t>
  </si>
  <si>
    <t>no other carbon source in soil</t>
  </si>
  <si>
    <t>Modified version of ASTM D-1762-84. Ash content was determined as weight loss after combustion at 750C for 6h with no ceramic cap.</t>
  </si>
  <si>
    <t>SI p3 §Volatile matter and ash content</t>
  </si>
  <si>
    <t>Carlo-Erba NA-1500 CNS Elemental Analyzer</t>
  </si>
  <si>
    <t>p1296 §Biochar Characterization, SI p3 §Elemental C, N and H</t>
  </si>
  <si>
    <t>SI p3 §Elemental C, N and H</t>
  </si>
  <si>
    <t>SI p7 Table S1</t>
  </si>
  <si>
    <t>Table S1 report the carbon content as being organic carbon content. Here, carbon and organic carbon content are set to same value.</t>
  </si>
  <si>
    <t>Yield from biomass to biochar</t>
  </si>
  <si>
    <t>The pyrolysis yield as biochar dry mass over biomass dry mass</t>
  </si>
  <si>
    <t>BiocharYield</t>
  </si>
  <si>
    <t>0.25 to 2.0 mm</t>
  </si>
  <si>
    <t>&lt;0.25 mm</t>
  </si>
  <si>
    <t>After cooling, biochars were lightly crushed and sieved into particle size fractions of &lt;0.25 (fine) and 0.25-2 mm (coarse).</t>
  </si>
  <si>
    <t>p1296 §Biochar Production</t>
  </si>
  <si>
    <t>Bubinga 250 coarse</t>
  </si>
  <si>
    <t>Cedar 250 coarse</t>
  </si>
  <si>
    <t>Grass 250 coarse</t>
  </si>
  <si>
    <t>Oak 250 coarse</t>
  </si>
  <si>
    <t>Pine 250 coarse</t>
  </si>
  <si>
    <t>Sugar cane bagasse 250 coarse</t>
  </si>
  <si>
    <t>Bubinga 400 coarse</t>
  </si>
  <si>
    <t>Bubinga 650 coarse</t>
  </si>
  <si>
    <t>Cedar 400 coarse</t>
  </si>
  <si>
    <t>Cedar 525 coarse</t>
  </si>
  <si>
    <t>Cedar 650 coarse</t>
  </si>
  <si>
    <t>Grass 400 coarse</t>
  </si>
  <si>
    <t>Grass 525 coarse</t>
  </si>
  <si>
    <t>Grass 650 coarse</t>
  </si>
  <si>
    <t>Oak 400 coarse</t>
  </si>
  <si>
    <t>Oak 525 coarse</t>
  </si>
  <si>
    <t>Oak 650 coarse</t>
  </si>
  <si>
    <t>Pine 400 coarse</t>
  </si>
  <si>
    <t>Pine 525 coarse</t>
  </si>
  <si>
    <t>Pine 650 coarse</t>
  </si>
  <si>
    <t>Sugar cane bagasse 400 coarse</t>
  </si>
  <si>
    <t>Sugar cane bagasse 525 coarse</t>
  </si>
  <si>
    <t>Sugar cane bagasse 650 coarse</t>
  </si>
  <si>
    <t>Oak 400 coarse 72 hours</t>
  </si>
  <si>
    <t>Oak 650 coarse 72 hours</t>
  </si>
  <si>
    <t>Pine 400 coarse 72 hours</t>
  </si>
  <si>
    <t>Pine 650 coarse 72 hours</t>
  </si>
  <si>
    <t>Cedar 400 fine</t>
  </si>
  <si>
    <t>Cedar 525 fine</t>
  </si>
  <si>
    <t>Oak 250 fine</t>
  </si>
  <si>
    <t>Oak 525 fine</t>
  </si>
  <si>
    <t>Oak 650 fine</t>
  </si>
  <si>
    <t>Pine 525 fine</t>
  </si>
  <si>
    <t>Pine 650 fine</t>
  </si>
  <si>
    <t>Bubinga, the tropical hardwood, Guibourtia demeusei</t>
  </si>
  <si>
    <t>Cedar, living wood portion of Eastern red cedar, Juniperus virginiana</t>
  </si>
  <si>
    <t>Grass, mixed stems and blades of live Eastern gamma grass (Tripsacum dactyloides)</t>
  </si>
  <si>
    <t>Oak, living wood portion of Laurel oak, Quercus laurifolia</t>
  </si>
  <si>
    <t>Pine, living wood portion of Loblolly pine, Pinus taeda</t>
  </si>
  <si>
    <t>Sugar cane bagasse, industrial processing by Florida Crystal Corp</t>
  </si>
  <si>
    <t>Laboratory scale reactor</t>
  </si>
  <si>
    <t>12 mL borosilicate vials with rubber septa, 80 μL of aqueous nutrient solution [60 g of(NH4)2SO4+6 g of KH2PO4 L-1], carried out in the dark, microbial innoculate from the supernatant of a local forest soil after 24h shaking in water</t>
  </si>
  <si>
    <t>100 μL of aqueous solution, for 220 mg of soil-biochar, then about every 4 months, 50 μL of sterilized deionized water was added to vials to return samples to about water holding capacity state.</t>
  </si>
  <si>
    <t>Florida, USA</t>
  </si>
  <si>
    <t>L78</t>
  </si>
  <si>
    <t>L79</t>
  </si>
  <si>
    <t>L80</t>
  </si>
  <si>
    <t>L81</t>
  </si>
  <si>
    <t>L82</t>
  </si>
  <si>
    <t>L75</t>
  </si>
  <si>
    <t>L76</t>
  </si>
  <si>
    <t>L77</t>
  </si>
  <si>
    <t>L74</t>
  </si>
  <si>
    <t>L71</t>
  </si>
  <si>
    <t>L72</t>
  </si>
  <si>
    <t>L73</t>
  </si>
  <si>
    <t>L68</t>
  </si>
  <si>
    <t>L69</t>
  </si>
  <si>
    <t>L70</t>
  </si>
  <si>
    <t>L83</t>
  </si>
  <si>
    <t>L84</t>
  </si>
  <si>
    <t>L85</t>
  </si>
  <si>
    <t>L86</t>
  </si>
  <si>
    <t>W84</t>
  </si>
  <si>
    <t>W85</t>
  </si>
  <si>
    <t>W86</t>
  </si>
  <si>
    <t>W87</t>
  </si>
  <si>
    <t>W81</t>
  </si>
  <si>
    <t>W82</t>
  </si>
  <si>
    <t>W83</t>
  </si>
  <si>
    <t>W79</t>
  </si>
  <si>
    <t>W80</t>
  </si>
  <si>
    <t>W76</t>
  </si>
  <si>
    <t>W77</t>
  </si>
  <si>
    <t>W78</t>
  </si>
  <si>
    <t>W72</t>
  </si>
  <si>
    <t>W73</t>
  </si>
  <si>
    <t>W74</t>
  </si>
  <si>
    <t>W75</t>
  </si>
  <si>
    <t>W69</t>
  </si>
  <si>
    <t>W70</t>
  </si>
  <si>
    <t>W71</t>
  </si>
  <si>
    <t>I57</t>
  </si>
  <si>
    <t>I58</t>
  </si>
  <si>
    <t>I59</t>
  </si>
  <si>
    <t>I55</t>
  </si>
  <si>
    <t>I56</t>
  </si>
  <si>
    <t>I52</t>
  </si>
  <si>
    <t>I53</t>
  </si>
  <si>
    <t>I54</t>
  </si>
  <si>
    <t>I48</t>
  </si>
  <si>
    <t>I49</t>
  </si>
  <si>
    <t>I50</t>
  </si>
  <si>
    <t>I51</t>
  </si>
  <si>
    <t>I44</t>
  </si>
  <si>
    <t>I45</t>
  </si>
  <si>
    <t>I46</t>
  </si>
  <si>
    <t>I47</t>
  </si>
  <si>
    <t>I41</t>
  </si>
  <si>
    <t>I42</t>
  </si>
  <si>
    <t>I43</t>
  </si>
  <si>
    <t>mentioned in Zimmerman &amp; Gao 2013, Table 1, note 1</t>
  </si>
  <si>
    <t>Calculated as 1 - ash - volatile matter, all expressed on dry basis</t>
  </si>
  <si>
    <t>W53</t>
  </si>
  <si>
    <t>W54</t>
  </si>
  <si>
    <t>W55</t>
  </si>
  <si>
    <t>W56</t>
  </si>
  <si>
    <t>W57</t>
  </si>
  <si>
    <t>W58</t>
  </si>
  <si>
    <t>W59</t>
  </si>
  <si>
    <t>W60</t>
  </si>
  <si>
    <t>W61</t>
  </si>
  <si>
    <t>W62</t>
  </si>
  <si>
    <t>W63</t>
  </si>
  <si>
    <t>L52</t>
  </si>
  <si>
    <t>L53</t>
  </si>
  <si>
    <t>L54</t>
  </si>
  <si>
    <t>L55</t>
  </si>
  <si>
    <t>L56</t>
  </si>
  <si>
    <t>L57</t>
  </si>
  <si>
    <t>L58</t>
  </si>
  <si>
    <t>L59</t>
  </si>
  <si>
    <t>L60</t>
  </si>
  <si>
    <t>L61</t>
  </si>
  <si>
    <t>L62</t>
  </si>
  <si>
    <t>I30</t>
  </si>
  <si>
    <t>I31</t>
  </si>
  <si>
    <t>I32</t>
  </si>
  <si>
    <t>I33</t>
  </si>
  <si>
    <t>I34</t>
  </si>
  <si>
    <t>I35</t>
  </si>
  <si>
    <t>I36</t>
  </si>
  <si>
    <t>I37</t>
  </si>
  <si>
    <t>I38</t>
  </si>
  <si>
    <t>I39</t>
  </si>
  <si>
    <t>I40</t>
  </si>
  <si>
    <t>Wood400A</t>
  </si>
  <si>
    <t>Wood550A</t>
  </si>
  <si>
    <t>Wood400NA</t>
  </si>
  <si>
    <t>Wood550NA</t>
  </si>
  <si>
    <t>Leaf550A</t>
  </si>
  <si>
    <t>PS550A</t>
  </si>
  <si>
    <t>PL400NA</t>
  </si>
  <si>
    <t>PL550A</t>
  </si>
  <si>
    <t>CM400NA</t>
  </si>
  <si>
    <t>CM550A</t>
  </si>
  <si>
    <t>p11771 §Biochars and biochar chemical analyses</t>
  </si>
  <si>
    <t>&lt;2.0 mm</t>
  </si>
  <si>
    <t>All the biochar materials were gently ground to &lt;2 mm before mixing with the soil</t>
  </si>
  <si>
    <t>Eucalyptus saligna wood (C 47.9%, N ∼0.03%, δ13C −27.6‰)</t>
  </si>
  <si>
    <t>Eucalyptus saligna leaves (C 50.1%, N 1.33%, δ13C −28.2‰)</t>
  </si>
  <si>
    <t>Papermill sludge (33.5%C, 0.20% N, δ13C −23.6‰)</t>
  </si>
  <si>
    <t>Poultry litter (poultry manure on rice hull, 39.3% C, 6.09% N, δ13C −24.9‰)</t>
  </si>
  <si>
    <t>Cow manure (20% C, 1.96% N, δ13C −27.4‰)</t>
  </si>
  <si>
    <t>p11771 §Biochars and biochar chemical analyses, SI p2 §Soils and biochars</t>
  </si>
  <si>
    <t>leaf</t>
  </si>
  <si>
    <t>biosolids</t>
  </si>
  <si>
    <t>manure</t>
  </si>
  <si>
    <t>slow pyrolysis by Pacific Pyrolysis, in Daisy Reactor, Australia, A = with steam activation, NA = without steam activation</t>
  </si>
  <si>
    <t>SI p2 §Soils and biochars</t>
  </si>
  <si>
    <t>%, weight / weight</t>
  </si>
  <si>
    <t>SI p4 §Incubation experiment</t>
  </si>
  <si>
    <t>Articles says about 67%, while SI states about 70%</t>
  </si>
  <si>
    <t>p11771§Incubation experiment, SI p4 §Incubation experiment</t>
  </si>
  <si>
    <t>vertisol soil (0-10cm) from treeless grassland dominated by C4 tusock Mitchell grass over 100 years, rich in clay and dominated by smectite (&gt;80%)</t>
  </si>
  <si>
    <t>Converted from total C to SOM by following assumption: About 58% of the mass of organic matter exists as carbon. We can estimate the percentage of SOM from the SOC% using the conversion factor 1.72 (derived from 100/58).</t>
  </si>
  <si>
    <t>p11771 §Soil and Soil Analyses</t>
  </si>
  <si>
    <t>Toorak Research Station near Julia Creek, Queensland, Australia</t>
  </si>
  <si>
    <t>(-21.046944, 142.315278)</t>
  </si>
  <si>
    <t>p11771 §Incubation experiment</t>
  </si>
  <si>
    <t>SI p5 §Incubation experiment</t>
  </si>
  <si>
    <t>Biochar (2mm sieved) was mixed with the soil at 8.17 g kg−1 soil (ovendry basis), corresponding to ∼10 t ha−1 to a depth of 10 cm (bulk density 1.2 t m−3).</t>
  </si>
  <si>
    <t>control soil without biochar</t>
  </si>
  <si>
    <t>5L sealed buckets with soda trap (30mL of 2M NaOH) replaced 20 times over 5 years</t>
  </si>
  <si>
    <t>sealed buckets with soda trap</t>
  </si>
  <si>
    <t>Air-dried soil (equivalent to 612 g, oven dry), adjusted to ∼67% of water holding capacity using a nutrient solution containing NH4NO3 (50 mg N kg−1 dry soil), and inoculated with a microbial inoculum, was placed in
600 mL plastic jars. These were then placed in sealed 5 L buckets and preincubated for 10 days in the dark at 22 ± 1 °C. After preincubation, a nutrient solution (6 mL) that contained (kg−1 soil) ca. 500 mg N, 80 mg P, 200 mg K, 30 mg S, and trace elements was uniformly mixed with the soil.</t>
  </si>
  <si>
    <t>Leaf400A</t>
  </si>
  <si>
    <t>p11772 Table 1</t>
  </si>
  <si>
    <t>dry combustion using a Vario Max CNS analyser (Singh, 2010)</t>
  </si>
  <si>
    <t>in Singh2010, Table 1</t>
  </si>
  <si>
    <t>1 : 5 (solid : solution) ratio after shaking for 30 min in deionised water</t>
  </si>
  <si>
    <t>mg/kg, dry weight / dry weight</t>
  </si>
  <si>
    <t>Phosphorous</t>
  </si>
  <si>
    <t>Biochar phosphorous content</t>
  </si>
  <si>
    <t>in Singh2010, Table 3</t>
  </si>
  <si>
    <t>in Singh2010, Table 4</t>
  </si>
  <si>
    <t>"The potential CEC of the original biochars and the biochar samples after removing water-soluble salts and carbonates was measured using the silver thiourea method (Rayment and Higginson 1992)." Here, we report CEC for the original biochar (with water soluble salts and carbonates), converted to cmol/kg.</t>
  </si>
  <si>
    <t>Eucalyptys saligna wood, 13C depleted</t>
  </si>
  <si>
    <t>slow pyrolysis by Pacific Pyrolysis, in Daisy Reactor, Australia</t>
  </si>
  <si>
    <t>WA-450-20</t>
  </si>
  <si>
    <t>inceptisol, 35°89′S, 116°38′E, from Western Australia (WA)</t>
  </si>
  <si>
    <t>entisol, 33°14′S, 134°72′E, from Southern Australia (SA)</t>
  </si>
  <si>
    <t>oxisol, 28°50′S, 153°25′E, from New South Wales (NSW)</t>
  </si>
  <si>
    <t>vertisol, 28°13′S, 152°6′E, from Queensland (QLD)</t>
  </si>
  <si>
    <t xml:space="preserve">13C depleted </t>
  </si>
  <si>
    <t>WA-450-40</t>
  </si>
  <si>
    <t>SA-450-40</t>
  </si>
  <si>
    <t>NSW-450-40</t>
  </si>
  <si>
    <t>QLD-450-40</t>
  </si>
  <si>
    <t>WA-450-60</t>
  </si>
  <si>
    <t>SA-450-20</t>
  </si>
  <si>
    <t>SA-450-60</t>
  </si>
  <si>
    <t>NSW-450-20</t>
  </si>
  <si>
    <t>NSW-450-60</t>
  </si>
  <si>
    <t>QLD-450-20</t>
  </si>
  <si>
    <t>QLD-450-60</t>
  </si>
  <si>
    <t>WA-550-20</t>
  </si>
  <si>
    <t>WA-550-40</t>
  </si>
  <si>
    <t>WA-550-60</t>
  </si>
  <si>
    <t>SA-550-20</t>
  </si>
  <si>
    <t>SA-550-40</t>
  </si>
  <si>
    <t>SA-550-60</t>
  </si>
  <si>
    <t>NSW-550-20</t>
  </si>
  <si>
    <t>NSW-550-40</t>
  </si>
  <si>
    <t>NSW-550-60</t>
  </si>
  <si>
    <t>QLD-550-20</t>
  </si>
  <si>
    <t>QLD-550-40</t>
  </si>
  <si>
    <t>QLD-550-60</t>
  </si>
  <si>
    <t>Carlo-Erba NA-1500 CNS Elemental Analyzer. Hydrogen content not reported in SI, but received from author. Only available for coarse fraction.</t>
  </si>
  <si>
    <t>Carlo-Erba NA-1500 CNS Elemental Analyzer. Nitrogen content not reported in SI, but received from author. Only available for coarse fraction.</t>
  </si>
  <si>
    <t>Not measured for fine fraction. Here, assumed to be equal to coarse fraction.</t>
  </si>
  <si>
    <t>Not measured for fine fraction (according to author). Here, assumed to be equal to coarse fraction.</t>
  </si>
  <si>
    <t>Quote "Oxygen content was calculated by difference assuming a composition of C, N, H, and O, only. This assumption could have led to an over-estimate of oxygen content. If ash content (below) is assumed to represent inorganic elemental weight %, oxygen weight% can be re-calculated as 1-10% less for most samples. For Oak650, for an ash content of 3.7%, oxygen weight% would be 20.4% less and the grasses, with ash contents ranging 7-25% would have re-calculated oxygen weight% that are 16-50% less." Here, the Oxygen content was re-calculated as 100-C-N-H (leading to a small difference compared to values reported in SI of article).</t>
  </si>
  <si>
    <t>Re-calculated with precise atomic ratios (12,0107/1,00784)</t>
  </si>
  <si>
    <t>Converted to molar ratio, from paper where it was reported in weight unit.</t>
  </si>
  <si>
    <t>Re-calculated with precise atomic ratios (12,0107/15,999)</t>
  </si>
  <si>
    <t>Re-calculated with precise atomic ratios (14,0067/12,0107)</t>
  </si>
  <si>
    <t>Set to 5% in the observations named _5%, unpublished data, according to author.</t>
  </si>
  <si>
    <t>Western Australia, agricultural soils</t>
  </si>
  <si>
    <t>Southern Australia, agricultural soils</t>
  </si>
  <si>
    <t>New South Wales, Australia, agricultural soils</t>
  </si>
  <si>
    <t>Queensland, Australia, agricultural soils</t>
  </si>
  <si>
    <t>p159 §Biochars and soils, in Fang2013 p2 §Biochars and soils, and Table 1</t>
  </si>
  <si>
    <t>p159 §Biochars and soils, in Fang2013 p2 §Biochars and soils, and Table 2</t>
  </si>
  <si>
    <t>p159 §Biochars and soils, in Fang2013 p2 §Biochars and soils, and Table 3</t>
  </si>
  <si>
    <t>p159 §Biochars and soils, in Fang2013 p2 §Biochars and soils, and Table 4</t>
  </si>
  <si>
    <t>p159 §Biochars and soils, in Fang2013 p2 §Biochars and soils, and Table 5</t>
  </si>
  <si>
    <t>p159 §Biochars and soils, in Fang2013 p2 §Biochars and soils, and Table 6</t>
  </si>
  <si>
    <t>p159 §Biochars and soils, in Fang2013 p2 §Biochars and soils, and Table 7</t>
  </si>
  <si>
    <t>p159 §Biochars and soils, in Fang2013 p2 §Biochars and soils, and Table 8</t>
  </si>
  <si>
    <t>p159 §Biochars and soils, in Fang2013 p2 §Biochars and soils, and Table 9</t>
  </si>
  <si>
    <t>p159 §Biochars and soils, in Fang2013 p2 §Biochars and soils, and Table 10</t>
  </si>
  <si>
    <t>p159 §Biochars and soils, in Fang2013 p2 §Biochars and soils, and Table 11</t>
  </si>
  <si>
    <t>p159 §Biochars and soils, in Fang2013 p2 §Biochars and soils, and Table 12</t>
  </si>
  <si>
    <t>p159 §Biochars and soils, in Fang2013 p2 §Biochars and soils, and Table 13</t>
  </si>
  <si>
    <t>p159 §Biochars and soils, in Fang2013 p2 §Biochars and soils, and Table 14</t>
  </si>
  <si>
    <t>p159 §Biochars and soils, in Fang2013 p2 §Biochars and soils, and Table 15</t>
  </si>
  <si>
    <t>p159 §Biochars and soils, in Fang2013 p2 §Biochars and soils, and Table 16</t>
  </si>
  <si>
    <t>p159 §Biochars and soils, in Fang2013 p2 §Biochars and soils, and Table 17</t>
  </si>
  <si>
    <t>p159 §Biochars and soils, in Fang2013 p2 §Biochars and soils, and Table 18</t>
  </si>
  <si>
    <t>p159 §Biochars and soils, in Fang2013 p2 §Biochars and soils, and Table 19</t>
  </si>
  <si>
    <t>p159 §Biochars and soils, in Fang2013 p2 §Biochars and soils, and Table 20</t>
  </si>
  <si>
    <t>p159 §Biochars and soils, in Fang2013 p2 §Biochars and soils, and Table 21</t>
  </si>
  <si>
    <t>p159 §Biochars and soils, in Fang2013 p2 §Biochars and soils, and Table 22</t>
  </si>
  <si>
    <t>p159 §Biochars and soils, in Fang2013 p2 §Biochars and soils, and Table 23</t>
  </si>
  <si>
    <t>p159 §Biochars and soils, in Fang2013 p2 §Biochars and soils, and Table 24</t>
  </si>
  <si>
    <t>p159 §Biochars and soils, in Fang2013 p2 §Biochars and soils, and Table 25</t>
  </si>
  <si>
    <t>p159 §Biochars and soils, in Fang2013 p2 §Biochars and soils, and Table 26</t>
  </si>
  <si>
    <t>p159 §Biochars and soils, in Fang2013 p2 §Biochars and soils, and Table 27</t>
  </si>
  <si>
    <t>p159 §Biochars and soils, in Fang2013 p2 §Biochars and soils, and Table 28</t>
  </si>
  <si>
    <t>p159 §Biochars and soils, in Fang2013 p2 §Biochars and soils, and Table 29</t>
  </si>
  <si>
    <t>p159 §Biochars and soils, in Fang2013 p2 §Biochars and soils, and Table 30</t>
  </si>
  <si>
    <t>(-36.483333, 116.633333)</t>
  </si>
  <si>
    <t>(-33.233333, 135.2)</t>
  </si>
  <si>
    <t>(-28.833333, 153.416667)</t>
  </si>
  <si>
    <t>(-28.216667, 152.1)</t>
  </si>
  <si>
    <t>CO2 traps with 40 ml of 2.5 M NaOH were changed at day 3, 9, 18,38, 94, 183, 276, 365, 498, 550, 671 and 730 for the 20◦C incuba-tion experiment, and at day 2, 4, 8, 16, 30, 51, 80, 130, 183, 246,313, 365, 428, 469, 550, 591, 659 and 730 for the 40◦C incubation experiment, and at day 2, 4, 8, 16, 30, 51, 80, 112, 144, 183, 231,263, 311, 365, 423, 463, 505, 550, 591, 640, 683 and 730 for the 60C incubation experiment.</t>
  </si>
  <si>
    <t>p160 §Laboratory incubation</t>
  </si>
  <si>
    <t>Woolf 2021 / Lehmann 2021</t>
  </si>
  <si>
    <t>Woolf 2021 / Lehmann 2022</t>
  </si>
  <si>
    <t>Woolf 2021 / Lehmann 2023</t>
  </si>
  <si>
    <t>Woolf 2021 / Lehmann 2024</t>
  </si>
  <si>
    <t>Woolf 2021 / Lehmann 2025</t>
  </si>
  <si>
    <t>Woolf 2021 / Lehmann 2026</t>
  </si>
  <si>
    <t>Woolf 2021 / Lehmann 2027</t>
  </si>
  <si>
    <t>Woolf 2021 / Lehmann 2028</t>
  </si>
  <si>
    <t>Woolf 2021 / Lehmann 2029</t>
  </si>
  <si>
    <t>Woolf 2021 / Lehmann 2030</t>
  </si>
  <si>
    <t>Woolf 2021 / Lehmann 2031</t>
  </si>
  <si>
    <t>retrieved from Woolf 2021 / Lehmann 2021, Lehmann having received H content data from Singh back in 2012, set equal to H/C_tot</t>
  </si>
  <si>
    <t>Here, set equal to total carbon</t>
  </si>
  <si>
    <t>recalculated from H/C_org ratio retrieved from Lehmann, with precise atomic ratios. Note: not same value is obtained as in Lehmann 2021 (formula mistake)</t>
  </si>
  <si>
    <t>Here, re-calculated as 1 - ash750 - C - N - H - S</t>
  </si>
  <si>
    <t>Fang2014a</t>
  </si>
  <si>
    <t>Fang2014b</t>
  </si>
  <si>
    <t>Fang, Y., Singh, B., Singh, B. P., &amp; Krull, E. (2014). Biochar carbon stability in four contrasting soils. European Journal of Soil Science, 65(1), 60–71</t>
  </si>
  <si>
    <t>https://doi.org/10.1111/ejss.12094</t>
  </si>
  <si>
    <t>superseeded by Fang2014a: same experiment but data for 2 years instead of 1, and for 3 temperatures instead of 2. Woolf &amp; Lehmann report values from the 1 year experiment. Here, we report it for the 2 year experiment.</t>
  </si>
  <si>
    <t>Lolium perenne, shoots, ryegrass, 14C labeled</t>
  </si>
  <si>
    <t>"The charring was done by slowly heating during 4.5 h from 20 to 400C following by 13 h at 400C (details in Kuzyakov et al., 2009)"</t>
  </si>
  <si>
    <t>p230 §14C labeled biochar</t>
  </si>
  <si>
    <t>loamy haplic luvisol</t>
  </si>
  <si>
    <t>loess, from open cast mine at 15m depth</t>
  </si>
  <si>
    <t>open-cast mine at Nussloch, SW Germany (49.19°N, 8.43°E, 217 m asl.</t>
  </si>
  <si>
    <t>14C labeled</t>
  </si>
  <si>
    <t>Also tracked the transformation of biochar's chemical compounds: lipids, saccharides, BPCA.</t>
  </si>
  <si>
    <t>108 mg biochar, 45 g of soil or loess</t>
  </si>
  <si>
    <t>p230 §Experimental layout and incubation conditions</t>
  </si>
  <si>
    <t>"70% of water holding capacity by addition of 9.45 and 8.82 ml distilled water to soil and loess, respectively", "The soil moisture was controlled gravimetrically and water was added if necessary"</t>
  </si>
  <si>
    <t>jars with soda trap</t>
  </si>
  <si>
    <t>14C activity of CO2 trapped in a NaOH solutionwas measured by scintillation counting 2 ml aliquots with 4 ml of the scintillation cocktail. To ensure high precision of 14C counting, the radioactivity background was measured every 10 samples and measuring time was set at least for 30 min (up to 120 min) for each sample</t>
  </si>
  <si>
    <t>3 ml of 1.0 M NaOH solution placed in small caps into the incubation 250-mL Schott jars, NaOH replaced 59 times; total CO2 trapped in the NaOH solution was measured by titration of 1 ml aliquot with 0.2 M HCl</t>
  </si>
  <si>
    <t>Soil+BC</t>
  </si>
  <si>
    <t>Loess+BC</t>
  </si>
  <si>
    <t>aniso-hyperthermic kaolinitic Typic Haplustox, sandy clay loam</t>
  </si>
  <si>
    <t>_x0002_-12.89</t>
  </si>
  <si>
    <t>measured in KCl</t>
  </si>
  <si>
    <t>mound of tightly packed logs (approximately 2m high, 5m diameter), covered with dry grass and soil</t>
  </si>
  <si>
    <t>PyOM</t>
  </si>
  <si>
    <t>PyOM+SC</t>
  </si>
  <si>
    <t>here, assumed to be Ash550 (and not 700) since refers to Major2010 where ash was determined at 550C</t>
  </si>
  <si>
    <t>&lt;5mm sieve</t>
  </si>
  <si>
    <t>without addition of sugarcane residues</t>
  </si>
  <si>
    <t>with addition of sugarcane residues (inducing priming of biochar) at 4 occuranges (921, 1523, 2010, 2257 days)</t>
  </si>
  <si>
    <t>fresh corn stover</t>
  </si>
  <si>
    <t>GDL-1500X tubular furnace, N2 atmosphere</t>
  </si>
  <si>
    <t>LN, paddy soil, loamy</t>
  </si>
  <si>
    <t>SD, paddy soil, loamy</t>
  </si>
  <si>
    <t>JS, paddy soil, clay loam</t>
  </si>
  <si>
    <t>ZJ, paddy soil, loamy</t>
  </si>
  <si>
    <t>GD, paddy soil, sand clay</t>
  </si>
  <si>
    <t>Southern China, Benxi City, Liaoning Province (LN, 123.7E, 41.3N)</t>
  </si>
  <si>
    <t>LN</t>
  </si>
  <si>
    <t>SD</t>
  </si>
  <si>
    <t>JS</t>
  </si>
  <si>
    <t>ZJ</t>
  </si>
  <si>
    <t>GD</t>
  </si>
  <si>
    <t>Linyi City, Shandong Province (SD, 118.4E, 35.1N)</t>
  </si>
  <si>
    <t>Nanjing City, Jiangsu Province (JS,118.8E, 32.1N)</t>
  </si>
  <si>
    <t>Hangzhou City, Zhejiang Province (ZJ, 119.9E, 30.4N)</t>
  </si>
  <si>
    <t>Xuwen City, Guangdong Province (GD, 110.2E, 20.3N)</t>
  </si>
  <si>
    <t>rice straw, 13C labeled</t>
  </si>
  <si>
    <t>No/Yes</t>
  </si>
  <si>
    <t>13C labeled</t>
  </si>
  <si>
    <t>kept in flooded conditions</t>
  </si>
  <si>
    <t>gas</t>
  </si>
  <si>
    <t>htc</t>
  </si>
  <si>
    <t>pyr-flash</t>
  </si>
  <si>
    <t>Maize (Zea mays L.) pelletized silage feedstock</t>
  </si>
  <si>
    <t>Advanced Gasification Technology s.r.l. at atmospheric pressure</t>
  </si>
  <si>
    <t>Raw feedstock</t>
  </si>
  <si>
    <t>Classification of the pyrolysis processes into a few number of categories: pyr-slow, gas, htc, pyr-flash, no-treat, torr. Note: no-treat can be used to describe raw biomass incubation.</t>
  </si>
  <si>
    <t>no-treat</t>
  </si>
  <si>
    <t>Entisol, sandy loam texture with 12% clay, 34% silt, and 54% sand. pH 5.4 in water, soil organic C is 1.4%, total N is 0.11%</t>
  </si>
  <si>
    <t>Soil silt loam (7% clay, 53% silt, 40% sand) with a pH of 5.5</t>
  </si>
  <si>
    <t xml:space="preserve">Sandy loam Inceptisol - 83 % sand, 11 % silt, and 6 % clay and had a TOC content of 12 g kg−1 (dw) and a C/N ratio of 12; pH of 6.8 </t>
  </si>
  <si>
    <t>Sandy loam Inceptisol - 83 % sand, 11 % silt, and 6 % clay and had a TOC content of 12 g kg−1 (dw) and a C/N ratio of 12; pH of 6.9</t>
  </si>
  <si>
    <t>Sandy loam Inceptisol - 83 % sand, 11 % silt, and 6 % clay and had a TOC content of 12 g kg−1 (dw) and a C/N ratio of 12; pH of 6.10</t>
  </si>
  <si>
    <t>Sandy loam Inceptisol - 83 % sand, 11 % silt, and 6 % clay and had a TOC content of 12 g kg−1 (dw) and a C/N ratio of 12; pH of 6.11</t>
  </si>
  <si>
    <t>Sandy loam Inceptisol - 83 % sand, 11 % silt, and 6 % clay and had a TOC content of 12 g kg−1 (dw) and a C/N ratio of 12; pH of 6.12</t>
  </si>
  <si>
    <t>Sandy loam Inceptisol - 83 % sand, 11 % silt, and 6 % clay and had a TOC content of 12 g kg−1 (dw) and a C/N ratio of 12; pH of 6.13</t>
  </si>
  <si>
    <t>Sandy loam Inceptisol - 83 % sand, 11 % silt, and 6 % clay and had a TOC content of 12 g kg−1 (dw) and a C/N ratio of 12; pH of 6.14</t>
  </si>
  <si>
    <t>Sandy loam Inceptisol - 83 % sand, 11 % silt, and 6 % clay and had a TOC content of 12 g kg−1 (dw) and a C/N ratio of 12; pH of 6.15</t>
  </si>
  <si>
    <t>Sandy loam Inceptisol - 83 % sand, 11 % silt, and 6 % clay and had a TOC content of 12 g kg−1 (dw) and a C/N ratio of 12; pH of 6.16</t>
  </si>
  <si>
    <t>Sandy loam Inceptisol - 83 % sand, 11 % silt, and 6 % clay and had a TOC content of 12 g kg−1 (dw) and a C/N ratio of 12; pH of 6.17</t>
  </si>
  <si>
    <t>Sandy loam Inceptisol - 83 % sand, 11 % silt, and 6 % clay and had a TOC content of 12 g kg−1 (dw) and a C/N ratio of 12; pH of 6.18</t>
  </si>
  <si>
    <t>Sandy loam Inceptisol - 83 % sand, 11 % silt, and 6 % clay and had a TOC content of 12 g kg−1 (dw) and a C/N ratio of 12; pH of 6.19</t>
  </si>
  <si>
    <t>Sandy loam Inceptisol - 83 % sand, 11 % silt, and 6 % clay and had a TOC content of 12 g kg−1 (dw) and a C/N ratio of 12; pH of 6.20</t>
  </si>
  <si>
    <t>Sandy loam Inceptisol - 83 % sand, 11 % silt, and 6 % clay and had a TOC content of 12 g kg−1 (dw) and a C/N ratio of 12; pH of 6.21</t>
  </si>
  <si>
    <t>Sandy loam Inceptisol - 83 % sand, 11 % silt, and 6 % clay and had a TOC content of 12 g kg−1 (dw) and a C/N ratio of 12; pH of 6.22</t>
  </si>
  <si>
    <t>Sandy loam Inceptisol - 83 % sand, 11 % silt, and 6 % clay and had a TOC content of 12 g kg−1 (dw) and a C/N ratio of 12; pH of 6.23</t>
  </si>
  <si>
    <t>Prato Sesia (Novara, Italy, 45° 39′ 32.2812″ N; 8° 21′ 16.8339″ E) - poplar (Populus x Canadensis Mönch, Oudemberg genotype) SRC plantation</t>
  </si>
  <si>
    <t xml:space="preserve">Pulborough, West Sussex, UK (50°57′ N; 0°30′ W), mixed willow genotypes (Salix spp.), </t>
  </si>
  <si>
    <t>Norway (59° 23′ 15″ N; 10° 46′ 26″ E) [soil sample]</t>
  </si>
  <si>
    <t>Key: effects of roots on biochar stability! Application rate, 30 t ha−1, then mixed in with rotary hoeing until 15cm depth, - annual average temperature 12C, precipitation 1500 mm, roots</t>
  </si>
  <si>
    <t>L42</t>
  </si>
  <si>
    <t>L12</t>
  </si>
  <si>
    <t>L13</t>
  </si>
  <si>
    <t>L38</t>
  </si>
  <si>
    <t>L39</t>
  </si>
  <si>
    <t>L40</t>
  </si>
  <si>
    <t>L41</t>
  </si>
  <si>
    <t>L63</t>
  </si>
  <si>
    <t>L64</t>
  </si>
  <si>
    <t>L65</t>
  </si>
  <si>
    <t>L66</t>
  </si>
  <si>
    <t>L67</t>
  </si>
  <si>
    <t>L1</t>
  </si>
  <si>
    <t>L2</t>
  </si>
  <si>
    <t>L3</t>
  </si>
  <si>
    <t>L4</t>
  </si>
  <si>
    <t>L5</t>
  </si>
  <si>
    <t>L6</t>
  </si>
  <si>
    <t>L7</t>
  </si>
  <si>
    <t>L8</t>
  </si>
  <si>
    <t>L9</t>
  </si>
  <si>
    <t>L10</t>
  </si>
  <si>
    <t>L11</t>
  </si>
  <si>
    <t>I23</t>
  </si>
  <si>
    <t>I1</t>
  </si>
  <si>
    <t>I2</t>
  </si>
  <si>
    <t>I19</t>
  </si>
  <si>
    <t>I20</t>
  </si>
  <si>
    <t>I21</t>
  </si>
  <si>
    <t>I22</t>
  </si>
  <si>
    <t>I24</t>
  </si>
  <si>
    <t>I25</t>
  </si>
  <si>
    <t>I26</t>
  </si>
  <si>
    <t>I27</t>
  </si>
  <si>
    <t>I28</t>
  </si>
  <si>
    <t>W1</t>
  </si>
  <si>
    <t>W2</t>
  </si>
  <si>
    <t>W3</t>
  </si>
  <si>
    <t>W4</t>
  </si>
  <si>
    <t>W5</t>
  </si>
  <si>
    <t>W6</t>
  </si>
  <si>
    <t>W7</t>
  </si>
  <si>
    <t>W8</t>
  </si>
  <si>
    <t>W9</t>
  </si>
  <si>
    <t>W10</t>
  </si>
  <si>
    <t>W11</t>
  </si>
  <si>
    <t>W12</t>
  </si>
  <si>
    <t>W13</t>
  </si>
  <si>
    <t>W38</t>
  </si>
  <si>
    <t>W40</t>
  </si>
  <si>
    <t>W41</t>
  </si>
  <si>
    <t>W42</t>
  </si>
  <si>
    <t>W43</t>
  </si>
  <si>
    <t>W49</t>
  </si>
  <si>
    <t>W64</t>
  </si>
  <si>
    <t>W65</t>
  </si>
  <si>
    <t>W66</t>
  </si>
  <si>
    <t>W67</t>
  </si>
  <si>
    <t>W68</t>
  </si>
  <si>
    <t>date</t>
  </si>
  <si>
    <t>Date, in YYYY-MM-DD, absolute</t>
  </si>
  <si>
    <t>datestr</t>
  </si>
  <si>
    <t>The actual date when the experiment was performed, an approximative starting date is usually reported for lab incubations, while for field trials, dates are reported</t>
  </si>
  <si>
    <t/>
  </si>
  <si>
    <t>F_tot_abs</t>
  </si>
  <si>
    <t>gC</t>
  </si>
  <si>
    <t>d_bc</t>
  </si>
  <si>
    <t>d_soc</t>
  </si>
  <si>
    <t>F_bc_abs</t>
  </si>
  <si>
    <t>F_soc_abs</t>
  </si>
  <si>
    <t>F_bc_rel</t>
  </si>
  <si>
    <t>F_soc_rel</t>
  </si>
  <si>
    <t>gC bc</t>
  </si>
  <si>
    <t>gC soc</t>
  </si>
  <si>
    <t>gC bc/ gC bc ini</t>
  </si>
  <si>
    <t>gC soc / gC soc ini</t>
  </si>
  <si>
    <t>Fn_soc_abs</t>
  </si>
  <si>
    <t>k_bc_abs</t>
  </si>
  <si>
    <t>k_soc_abs</t>
  </si>
  <si>
    <t>k_bc_rel0</t>
  </si>
  <si>
    <t>k_bc_reld</t>
  </si>
  <si>
    <t>C_bc_loss_abs</t>
  </si>
  <si>
    <t>C_bc_loss_rel</t>
  </si>
  <si>
    <t>C_bc_rem_abs</t>
  </si>
  <si>
    <t>C_bc_rem_rel</t>
  </si>
  <si>
    <t>P_soc_abs</t>
  </si>
  <si>
    <t>P_soc_rel</t>
  </si>
  <si>
    <t>gC bc / day</t>
  </si>
  <si>
    <t>gC soc / day</t>
  </si>
  <si>
    <t>gC bc / gC bc t-1 /day</t>
  </si>
  <si>
    <t>gC bc / gC bc ini /day</t>
  </si>
  <si>
    <t>gC bc / gC bc ini</t>
  </si>
  <si>
    <t>gC soc - gC n soc</t>
  </si>
  <si>
    <t>k_tot_abs</t>
  </si>
  <si>
    <t>gC / day</t>
  </si>
  <si>
    <t>C_tot_loss_abs</t>
  </si>
  <si>
    <t>C_tot_loss_rel</t>
  </si>
  <si>
    <t>gC tot / gC ini</t>
  </si>
  <si>
    <t>gC tot</t>
  </si>
  <si>
    <t>Soil respiration measurement only for treatment at 23.2 tonne biochar per hectare. Biochar incorporated to a depth of 10 cm, in plots of 4x5meters. Soil dry bulk density before biochar application was about 1.25 g/cm3 in the top layer (Figure 1). Thus, a weight by weight application rate can be calculated, with mass of biochar for 1 m2 of soil being 2.32 kg, and mass of dry soil being 1250 kg/m3 * 0,1 m.</t>
  </si>
  <si>
    <t>Fn_soc_rel</t>
  </si>
  <si>
    <t>gC / gC ini</t>
  </si>
  <si>
    <t>NSW-450-20-5%</t>
  </si>
  <si>
    <t>NSW-450-40-5%</t>
  </si>
  <si>
    <t>NSW-450-60-5%</t>
  </si>
  <si>
    <t>NSW-550-20-5%</t>
  </si>
  <si>
    <t>NSW-550-40-5%</t>
  </si>
  <si>
    <t>NSW-550-60-5%</t>
  </si>
  <si>
    <t>Yan2022</t>
  </si>
  <si>
    <t>https://doi.org/10.1016/j.soilbio.2022.108657</t>
  </si>
  <si>
    <t>hanlanfang@gdut.edu.cn</t>
  </si>
  <si>
    <t>Yang, Y., Sun, K., Han, L., Chen, Y., Liu, J., &amp; Xing, B. (2022). Biochar stability and impact on soil organic carbon mineralization depend on biochar processing, aging and soil clay content. Soil Biology and Biochemistry, 169, 108657</t>
  </si>
  <si>
    <t>Alfisol CS-350</t>
  </si>
  <si>
    <t>Alfisol CS-550</t>
  </si>
  <si>
    <t>Andisol CS-350</t>
  </si>
  <si>
    <t>Andisol CS-550</t>
  </si>
  <si>
    <t>wheat straw, 13C labelled and unlabelled</t>
  </si>
  <si>
    <t>"13C-labelled wheat straw was produced by feeding wheat seedlings with 13CO2 in a plant growth chamber"</t>
  </si>
  <si>
    <t>p2 §Production of labelled and unlabelled biochars</t>
  </si>
  <si>
    <t>Laboratory scale reactor, flushed with N2</t>
  </si>
  <si>
    <t>Laboratory scale reactor, flushed with N1</t>
  </si>
  <si>
    <t>Laboratory scale reactor, flushed with N3</t>
  </si>
  <si>
    <t>Laboratory scale reactor, flushed with N4</t>
  </si>
  <si>
    <t>Laboratory scale reactor, flushed with N5</t>
  </si>
  <si>
    <t>200°C_2.5h</t>
  </si>
  <si>
    <t>300°C_2.5h</t>
  </si>
  <si>
    <t>500°C_2.5h</t>
  </si>
  <si>
    <t>300°C_10h</t>
  </si>
  <si>
    <t>500°C_10h</t>
  </si>
  <si>
    <t>Yingtan city (116°55′ E, 28°12′ N), Jiangxi province</t>
  </si>
  <si>
    <t>Ultisol, from a paddy-rape rotation</t>
  </si>
  <si>
    <t>measured in H2O at water ratio of 1:2.5 (weight:weight)</t>
  </si>
  <si>
    <t>p3 §Soil and biochar characteristics</t>
  </si>
  <si>
    <t xml:space="preserve"> biochar: water ratio of 1:5 (weight: weight).</t>
  </si>
  <si>
    <t>"Ash contents of biochars were measured by weighing the remaining solid (ash) after heating biochar samples to 525 °C with a muffle furnace and holding the temperature for 8 h."</t>
  </si>
  <si>
    <t>gas sampling from sealed jars, with CO2 gas chromatograph</t>
  </si>
  <si>
    <t>in the dark</t>
  </si>
  <si>
    <t>W44</t>
  </si>
  <si>
    <t>W45</t>
  </si>
  <si>
    <t>W46</t>
  </si>
  <si>
    <t>W47</t>
  </si>
  <si>
    <t>W48</t>
  </si>
  <si>
    <t>L43</t>
  </si>
  <si>
    <t>L44</t>
  </si>
  <si>
    <t>L45</t>
  </si>
  <si>
    <t>L46</t>
  </si>
  <si>
    <t>L47</t>
  </si>
  <si>
    <t>p3 Table 1</t>
  </si>
  <si>
    <t>Assumed equal to C total, as in Lehmann 2021</t>
  </si>
  <si>
    <t>Assumed equal to C total, as in Lehmann 2022</t>
  </si>
  <si>
    <t>Assumed equal to C total, as in Lehmann 2023</t>
  </si>
  <si>
    <t>Assumed equal to C total, as in Lehmann 2024</t>
  </si>
  <si>
    <t>Assumed equal to C total, as in Lehmann 2025</t>
  </si>
  <si>
    <t>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Besides, C total is measured and assumed equal to C_org.</t>
  </si>
  <si>
    <t xml:space="preserve">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t>
  </si>
  <si>
    <t>100 mesh sieve?</t>
  </si>
  <si>
    <t>% of biochar C oxidised</t>
  </si>
  <si>
    <t>recalculated</t>
  </si>
  <si>
    <t>10 concentrations tested, procedure recommended by article is 0.2M of H+ (H2SO4) with 0.1 M K2Cr2O7 with a 2-hour oxidation time</t>
  </si>
  <si>
    <t>p9 §3.3 Fast chemical oxidation method for ..., Figure 5</t>
  </si>
  <si>
    <t>gas‐fired rotating drum kiln, inner volume of 5L</t>
  </si>
  <si>
    <t>Italy - no roots (trenching)</t>
  </si>
  <si>
    <t>UK - no roots (trenched)</t>
  </si>
  <si>
    <t>UK - roots (undisturbed soil)</t>
  </si>
  <si>
    <t>Italy - roots (undisturbed soil)</t>
  </si>
  <si>
    <t>CC-Feedstock</t>
  </si>
  <si>
    <t>CC-HTC-230</t>
  </si>
  <si>
    <t>CC-Flash-600</t>
  </si>
  <si>
    <t>CC-Slow-369</t>
  </si>
  <si>
    <t>CC-Slow-416</t>
  </si>
  <si>
    <t>CC-Slow-562</t>
  </si>
  <si>
    <t>CC-Slow-796</t>
  </si>
  <si>
    <t>MS-Feedstock</t>
  </si>
  <si>
    <t>MS-HTC-230</t>
  </si>
  <si>
    <t>MS-Slow-682</t>
  </si>
  <si>
    <t>MS-Slow-600</t>
  </si>
  <si>
    <t>MS-Slow-503</t>
  </si>
  <si>
    <t>MS-Slow-416</t>
  </si>
  <si>
    <t>MS-Slow-385</t>
  </si>
  <si>
    <t>MS-Slow-369</t>
  </si>
  <si>
    <t>MS-Slow-235-1.2%</t>
  </si>
  <si>
    <t>MS-Slow-235-0.12%</t>
  </si>
  <si>
    <t>Singh2015</t>
  </si>
  <si>
    <t>https://doi.org/10.1371/journal.pone.0141560</t>
  </si>
  <si>
    <t>Singh, B. P., Fang, Y., Boersma, M., Collins, D., van Zwieten, L., &amp; Macdonald, L. M. (2015). In Situ Persistence and Migration of Biochar Carbon and Its Impact on Native Carbon Emission in Contrasting Soils under Managed Temperate Pastures. PLOS ONE, 10(10), e0141560-</t>
  </si>
  <si>
    <t>PlosONE Open Access</t>
  </si>
  <si>
    <t>Ahmad2016</t>
  </si>
  <si>
    <t>Arenosol</t>
  </si>
  <si>
    <t>Cambisol</t>
  </si>
  <si>
    <t>Ferralsol</t>
  </si>
  <si>
    <t>Eucalyptys saligna wood, 13C depleted, comprising stem wood, branches, twigs, leaves</t>
  </si>
  <si>
    <t>W50</t>
  </si>
  <si>
    <t>W51</t>
  </si>
  <si>
    <t>W52</t>
  </si>
  <si>
    <t>L49</t>
  </si>
  <si>
    <t>L50</t>
  </si>
  <si>
    <t>L51</t>
  </si>
  <si>
    <t>BC-LAB</t>
  </si>
  <si>
    <t>BC-MED</t>
  </si>
  <si>
    <t>QLD-450-20-LOM-0%</t>
  </si>
  <si>
    <t>QLD-450-20-LOM-1%</t>
  </si>
  <si>
    <t>QLD-450-20-LOM-2%</t>
  </si>
  <si>
    <t>QLD-450-20-LOM-4%</t>
  </si>
  <si>
    <t>QLD-550-20-LOM-0%</t>
  </si>
  <si>
    <t>QLD-550-20-LOM-1%</t>
  </si>
  <si>
    <t>QLD-550-20-LOM-2%</t>
  </si>
  <si>
    <t>QLD-550-20-LOM-4%</t>
  </si>
  <si>
    <t>L30</t>
  </si>
  <si>
    <t>L31</t>
  </si>
  <si>
    <t>L32</t>
  </si>
  <si>
    <t>L33</t>
  </si>
  <si>
    <t>L34</t>
  </si>
  <si>
    <t>L35</t>
  </si>
  <si>
    <t>L36</t>
  </si>
  <si>
    <t>L37</t>
  </si>
  <si>
    <t>W30</t>
  </si>
  <si>
    <t>W31</t>
  </si>
  <si>
    <t>W32</t>
  </si>
  <si>
    <t>W33</t>
  </si>
  <si>
    <t>W34</t>
  </si>
  <si>
    <t>W35</t>
  </si>
  <si>
    <t>W36</t>
  </si>
  <si>
    <t>W37</t>
  </si>
  <si>
    <t>Arenosol, loamy fine sand</t>
  </si>
  <si>
    <t>Cambisol, coarse sandy loam</t>
  </si>
  <si>
    <t>Ferralsol, fine sandy loam</t>
  </si>
  <si>
    <t>p6 Table 1</t>
  </si>
  <si>
    <t>Table 1 report "fine sand" and "coarse sand", instead of using the sum of these values, we report 100% - clay content - silt content.</t>
  </si>
  <si>
    <t xml:space="preserve">Arenosol (World Reference Base) = Inceptisol (USDA Soil Classification) = Tenosol (Australian Soil Classification) </t>
  </si>
  <si>
    <t xml:space="preserve">Cambisol (World Reference Base) = Alfisol (USDA Soil Classification) = Dermosol (Australian Soil Classification) </t>
  </si>
  <si>
    <t xml:space="preserve">Ferralsol (World Reference Base) = Oxisol (USDA Soil Classification) = Ferrosol (Australian Soil Classification) </t>
  </si>
  <si>
    <t>p3 §Experimental field sites, p6 Table 1</t>
  </si>
  <si>
    <t>p3 §Experimental field sites</t>
  </si>
  <si>
    <t>Cobbitty, New South Wales, Australia, warmer and drier temperate climate</t>
  </si>
  <si>
    <t>Elliot, Tasmania, Australia, colder and wetter temperate climate</t>
  </si>
  <si>
    <t>(-34.02140, 150.66227)</t>
  </si>
  <si>
    <t>(-41.08110, 145.77035)</t>
  </si>
  <si>
    <t>(-34.02340, 150.66350)</t>
  </si>
  <si>
    <t>p4 §Experimental design and establishment of micro-plots</t>
  </si>
  <si>
    <t>with mixed C3 pasture and fertiliser application as per regional practice</t>
  </si>
  <si>
    <t>p9 Figure 1</t>
  </si>
  <si>
    <t>"1 kg per micro-plot, equivalent to 29.2 t/ha", "soil excavated to 10 cm depth and manually mixed with biochar"</t>
  </si>
  <si>
    <t>tbd</t>
  </si>
  <si>
    <t>static alkali absorption, in static closed chamber over 24h time periods</t>
  </si>
  <si>
    <t>p5 §Gas sampling for measuring total soil and biochar carbon emissions</t>
  </si>
  <si>
    <t>recalculated based on H/C_org value reported in p6 Table 1</t>
  </si>
  <si>
    <t>as in Lehmann2021, reporting a value of 3% as in Fang2014 (same biochar, but stored for couple of years)</t>
  </si>
  <si>
    <t>as in Lehmann2021, recalculated as 100%-C_tot-H-N-ash</t>
  </si>
  <si>
    <t>SI p1 §Environmental factors</t>
  </si>
  <si>
    <t>788.4 mm/yr</t>
  </si>
  <si>
    <t>1109.4 mm/yr</t>
  </si>
  <si>
    <t>p60 Table 1</t>
  </si>
  <si>
    <t>p60 §Biochar and soils</t>
  </si>
  <si>
    <t>"The soils were kept under continuous flood condition without nutrient solution supply during the whole incubation period."</t>
  </si>
  <si>
    <t>p60 §Incubation experiment</t>
  </si>
  <si>
    <t>measured in H2O at water ratio of 1:5 (weight:weight)</t>
  </si>
  <si>
    <t xml:space="preserve"> biochar: water ratio of 1:20 (weight: weight).</t>
  </si>
  <si>
    <t>p65 Table 4</t>
  </si>
  <si>
    <t>Value reported corresponds to "original biochar" (i.e. Before incubation) in particle (not powder).</t>
  </si>
  <si>
    <t>reported as in Lehmann2021, who noted "data here from an email from Weixiang Wu on February 10 2021"</t>
  </si>
  <si>
    <t>Value reported corresponds to "original biochar" (i.e. Before incubation) in particle (not powder), although unit is unclear</t>
  </si>
  <si>
    <t>recalculated, value matching Table 4</t>
  </si>
  <si>
    <t>recalculated, value matching Table 5</t>
  </si>
  <si>
    <t>p65 Table 5</t>
  </si>
  <si>
    <t>recalculated, value matching Table 6</t>
  </si>
  <si>
    <t>p65 Table 6</t>
  </si>
  <si>
    <t>recalculated, value matching Table 7</t>
  </si>
  <si>
    <t>p65 Table 7</t>
  </si>
  <si>
    <t>recalculated, value matching Table 8</t>
  </si>
  <si>
    <t>p65 Table 8</t>
  </si>
  <si>
    <t>(41.3,  123.7)</t>
  </si>
  <si>
    <t>(30.4, 119.9)</t>
  </si>
  <si>
    <t>(20.3, 110.2)</t>
  </si>
  <si>
    <t>(35.1, 118.4)</t>
  </si>
  <si>
    <t>(32.1, 118.8)</t>
  </si>
  <si>
    <t>produced in 2010, in Pyreg commercial prototype, slow pyrolysis screw reactor operating under continuous feeding</t>
  </si>
  <si>
    <t>p3 §Biochar production and characterization</t>
  </si>
  <si>
    <t>"The estimated highest treatment temperature (HTT) provided by the manufacturer was between 500-750degreeC. A precise temperature measurement at each phase of pyrolysis is in general difficult to obtain due to heat transfer limitations and was not possible for this machine."</t>
  </si>
  <si>
    <t>p5 §Field trial</t>
  </si>
  <si>
    <t>measured in H2O at water ratio of 1:1 (weight:weight)</t>
  </si>
  <si>
    <t>biochar added in september 2010, oats sown in 2011, barley sown in 2012</t>
  </si>
  <si>
    <t>"Annual average temperature was 6.7°C in 2011 (14 ± 2.6°C, May-Sept), and 5.9°C in 2012 (13.1 ± 2.3°C, May-Sept)." Value reported is for 2012 during May-Sept, because isotopic measurement were only available for 2012, and because during October-April temperature are low with little decomposition.</t>
  </si>
  <si>
    <t>p5 §Field trial, p5 §Field CO2 monitoring</t>
  </si>
  <si>
    <t>Fourteen CO2 flux measurements were undertaken from 23/05/2011 to 01/09/2011 and 11 measurements from 22/05/2012 to 04/10/2012. Measurements were conducted between 10:00 and 15:00.</t>
  </si>
  <si>
    <t>p5 §Field CO2 monitoring</t>
  </si>
  <si>
    <t>11 measurements from 22/05/2012 to 04/10/2012</t>
  </si>
  <si>
    <t>Measured 6 times in 2012. Samples were taken in partially inflated 1-L gas bags [31]. Because the air inside the chamber was a mixture of atmospheric air with increasing concentration of soil-emitted CO2, keeling plots were necessary to estimate the true δ13C value of the soil CO2. Gas samples were analyzed for δ13C using a cavity ring down spectrometer</t>
  </si>
  <si>
    <t>ASTM D1102 ash for wood (580-600C)</t>
  </si>
  <si>
    <t>Vertisol, with C4 grassland</t>
  </si>
  <si>
    <t>amendments of labile organic matter (LOM) from sugarcane residue from leaves and tops (C4 biomass)</t>
  </si>
  <si>
    <t>NO amendments of labile organic matter (LOM) from sugarcane residue from leaves and tops (C4 biomass)</t>
  </si>
  <si>
    <t>sealed buckets with soda trap, continuous trapping</t>
  </si>
  <si>
    <t>13C depleted</t>
  </si>
  <si>
    <t>p750 §Soil and biochar materials</t>
  </si>
  <si>
    <t>batch-flush headspace sampling</t>
  </si>
  <si>
    <t>Corncob, grown in Serbia ZP Maize Hybrid 505</t>
  </si>
  <si>
    <t>Corncob, from Waimanalo Farm Hawaii</t>
  </si>
  <si>
    <t>Miscanthus giganteus, chaffed biomass of grass</t>
  </si>
  <si>
    <t>in cited article (Budai 2014) p3792 §Carbonization</t>
  </si>
  <si>
    <t>"Flash carbonization was performed on corncob to produce biochar according to the method of Antal et al.26 The reaction lasted 20 min in a vessel pressurized to 0.8−3.4 MPa with air. Electric heating coils at the bottom of the pressure vessel ignited the lower portion of the biomass. After 360 s, compressed air was delivered to the top of the pressure vessel and flowed through the packed bed of feedstock to sustain the carbonization process. Pressure within the reactor was maintained at the specified range. After sufficient air was delivered to carbonize the corncob, air flow was halted and the reactor cooled overnight. The charcoal was removed from the reactor and allowed to equilibrate under a fume hood for 2 days."</t>
  </si>
  <si>
    <t>in cited article (Budai 2014) p3793 §Carbonization</t>
  </si>
  <si>
    <t>laboratory scale, 1 L steel autoclave (Anton Paar), immersed in water, heated at 230C for 6 hours, under autogenous pressure</t>
  </si>
  <si>
    <t>laboratory scale, vessel pressurized to 0.8−3.4 MPa with air</t>
  </si>
  <si>
    <t>laboratory scale, muffle furnace, 1 L stainless steel retort, at target temperatures ranging from 235 to 800 °C with a heating rate of 2.5 °C min−1</t>
  </si>
  <si>
    <t>laboratory scale, muffle furnace, 1 L stainless steel retort, at target temperatures ranging from 235 to 800 °C with a heating rate of 2.5 °C min−2</t>
  </si>
  <si>
    <t>laboratory scale, muffle furnace, 1 L stainless steel retort, at target temperatures ranging from 235 to 800 °C with a heating rate of 2.5 °C min−3</t>
  </si>
  <si>
    <t>laboratory scale, muffle furnace, 1 L stainless steel retort, at target temperatures ranging from 235 to 800 °C with a heating rate of 2.5 °C min−4</t>
  </si>
  <si>
    <t>laboratory scale, muffle furnace, 1 L stainless steel retort, at target temperatures ranging from 235 to 800 °C with a heating rate of 2.5 °C min−5</t>
  </si>
  <si>
    <t>laboratory scale, muffle furnace, 1 L stainless steel retort, at target temperatures ranging from 235 to 800 °C with a heating rate of 2.5 °C min−6</t>
  </si>
  <si>
    <t>laboratory scale, muffle furnace, 1 L stainless steel retort, at target temperatures ranging from 235 to 800 °C with a heating rate of 2.5 °C min−7</t>
  </si>
  <si>
    <t>laboratory scale, muffle furnace, 1 L stainless steel retort, at target temperatures ranging from 235 to 800 °C with a heating rate of 2.5 °C min−8</t>
  </si>
  <si>
    <t>laboratory scale, muffle furnace, 1 L stainless steel retort, at target temperatures ranging from 235 to 800 °C with a heating rate of 2.5 °C min−9</t>
  </si>
  <si>
    <t>laboratory scale, muffle furnace, 1 L stainless steel retort, at target temperatures ranging from 235 to 800 °C with a heating rate of 2.5 °C min−10</t>
  </si>
  <si>
    <t>p751 Table 1</t>
  </si>
  <si>
    <t>"After the desired final temperature was achieved, heat supply from the furnace was stopped and the sample cooled slowly to room temperature"</t>
  </si>
  <si>
    <t>"The reaction lasted 20 min"</t>
  </si>
  <si>
    <t>"then heated at 230 °C for 6 h"</t>
  </si>
  <si>
    <t>Value of 60% given for the time prior to pre-incubation at 20C for 14 days - assuming the same level is maintained during incubation, and corresponds to absolute soil moisture reported in the article</t>
  </si>
  <si>
    <t>(59.3875, 10.773889)</t>
  </si>
  <si>
    <t>Vertisol from grassland area where C4 tussock Mitchell grass grown for over 100 years, at Toorak Research Station, near Julia Creek, Queensland, Australia (21deg 02' 49''S, 141deg 78' 55'' E)</t>
  </si>
  <si>
    <t>(50.95, -0.5)</t>
  </si>
  <si>
    <t>(45.658967, 8.354676)</t>
  </si>
  <si>
    <t>(28.2, 116.916667)</t>
  </si>
  <si>
    <t>(49.19, 8.43)</t>
  </si>
  <si>
    <t>long-term experimental station Karlshof of Hohenheim University, Stuttgart, Germany (48deg 42', 44.37'' N, 9deg 11' 27.72''E)</t>
  </si>
  <si>
    <t>(48.712325, 9.191033)</t>
  </si>
  <si>
    <t>Rongotea, New Zealand (40°18' S, 175°23' E, 24 m above sea level)</t>
  </si>
  <si>
    <t>Wanganui-Hawera, New Zealand (39°37' S, 174°21' E, 66 m above sea level)</t>
  </si>
  <si>
    <t>(-40.3, 175.383333)</t>
  </si>
  <si>
    <t>(-39.616667, 174.35)</t>
  </si>
  <si>
    <t>p1296 §BC Mineralization rate</t>
  </si>
  <si>
    <t>pure sand, no actual soil extracted from environment, location set to Florida (USA) were experiment were made</t>
  </si>
  <si>
    <t>Location of Department of Geological Sciences, University of Florida, 241 Williamson Hall, Gainesville, Florida 32611-2120</t>
  </si>
  <si>
    <t>(29.647799, -82.346147)</t>
  </si>
  <si>
    <t>in cited article (Budai 2014) SI Table S1</t>
  </si>
  <si>
    <t>in cited article (Budai 2014) Table 1</t>
  </si>
  <si>
    <t>Elemental composition (C, H, N) of the samples was determined on 50−100 mg samples by dry combustion using a Leco CHN1000 analyzer and coal reference material (Leco Corp., St. Joseph, MI, USA)</t>
  </si>
  <si>
    <t>Oxygen was determined on 2 mg samples dried at 90 °C with a TruSpec Makro analyzer and O add-on module (Leco Corp.).</t>
  </si>
  <si>
    <t>converted from % to mg/kg, dry basis</t>
  </si>
  <si>
    <t>recalculated with precise molar mass, values matched with reported values in Table 1</t>
  </si>
  <si>
    <t>recalculated (O/C_tot) with precise molar mass, values matched with reported values in Table 1</t>
  </si>
  <si>
    <t>recalculated with precise molar mass</t>
  </si>
  <si>
    <t>pH was determined in a biochar/water volume ratio of 1:10 using a combination Orion pH electrode (SA 720, Allometrics, Inc., Baton Rouge, LA, USA)</t>
  </si>
  <si>
    <t>p751 Table 1, and in cited article (Budai 2014) p3793 §Physical and chemical analyses</t>
  </si>
  <si>
    <t>"Internal SA was measured using the Brunauer, Emmett, and Teller (BET) theory with N2 as the adsorbate"</t>
  </si>
  <si>
    <t>in cited article (Budai 2014) p3793 §Physical and chemical analyses, and SI Table S1</t>
  </si>
  <si>
    <t>reporting value from Table S1 in Budai2014 because it is expressed in dry weight % (while Budai 2016, recalculated fixed carbon by removing ash content in biomass and biochar)</t>
  </si>
  <si>
    <t>reporting value from Table S1 in Budai2014 because higher precision given</t>
  </si>
  <si>
    <t>retrieved from Xie 2013 (https://doi.org/10.1007/s11104-013-1636-x) for an Ultisol in same area (coordinates similar) and a pH of 4.4.</t>
  </si>
  <si>
    <t>Alfisol, under permanent pasture for last 50 years</t>
  </si>
  <si>
    <t>Andisol, under permanent pasture for last 50 years</t>
  </si>
  <si>
    <t>soda trap, with different setup in 295 first days</t>
  </si>
  <si>
    <t>observations</t>
  </si>
  <si>
    <t>articles</t>
  </si>
  <si>
    <t>Bai2013</t>
  </si>
  <si>
    <t xml:space="preserve">	Bai, M., Wilske, B., Buegger, F., Esperschütz, J., Kammann, C. I., Eckhardt, C., Koestler, M., Kraft, P., Bach, M., Frede, H.-G., &amp; Breuer, L. (2013). Degradation kinetics of biochar from pyrolysis and hydrothermal carbonization in temperate soils. Plant and Soil, 372(1), 375–387</t>
  </si>
  <si>
    <t>https://doi.org/10.1007/s11104-013-1745-6</t>
  </si>
  <si>
    <t>brkwils@yahoo.com</t>
  </si>
  <si>
    <t>cited in Leng 2019 review</t>
  </si>
  <si>
    <t>Schimmelpfennig2017</t>
  </si>
  <si>
    <t>Schimmelpfennig, S., Kammann, C., Mumme, J., Marhan, S., Bamminger, C., Moser, G., &amp; Müller, C. (2017). Degradation of Miscanthus×giganteus biochar, hydrochar and feedstock under the influence of disturbance events. Applied Soil Ecology, 113, 135–150</t>
  </si>
  <si>
    <t>https://doi.org/10.1016/j.apsoil.2017.01.006</t>
  </si>
  <si>
    <t>sonja.schimmelpfennig@thuenen.de</t>
  </si>
  <si>
    <t>deFigueiredo2019</t>
  </si>
  <si>
    <t>Figueiredo, C. C., Coser, T. R., Moreira, T. N., Leão, T. P., Vale, A. T., &amp; Paz-Ferreiro, J. (2019). Carbon Mineralization in a Soil Amended with Sewage Sludge-Derived Biochar. In Applied Sciences (Vol. 9, Issue 21)</t>
  </si>
  <si>
    <t>https://doi.org/10.3390/app9214481</t>
  </si>
  <si>
    <t>cicerocf@unb.br</t>
  </si>
  <si>
    <t>citing Bai2013, no isotope</t>
  </si>
  <si>
    <t>citing Bai2013, with isotope</t>
  </si>
  <si>
    <t>Malghani2015</t>
  </si>
  <si>
    <t>Malghani, S., Jüschke, E., Baumert, J., Thuille, A., Antonietti, M., Trumbore, S., &amp; Gleixner, G. (2015). Carbon sequestration potential of hydrothermal carbonization char (hydrochar) in two contrasting soils; results of a 1-year field study. Biology and Fertility of Soils, 51(1), 123–134</t>
  </si>
  <si>
    <t>https://doi.org/10.1007/s00374-014-0980-1</t>
  </si>
  <si>
    <t>gerd.gleixner@bgc-jena.mpg.de</t>
  </si>
  <si>
    <t>citing Bai2013, could be similar to as Malghani2013, with isotope, good data</t>
  </si>
  <si>
    <t>Kimetu2010</t>
  </si>
  <si>
    <t>Weng2017</t>
  </si>
  <si>
    <t>Weng, Z., Van Zwieten, L., Singh, B. P., Tavakkoli, E., Joseph, S., Macdonald, L. M., Rose, T. J., Rose, M. T., Kimber, S. W. L., Morris, S., Cozzolino, D., Araujo, J. R., Archanjo, B. S., &amp; Cowie, A. (2017). Biochar built soil carbon over a decade by stabilizing rhizodeposits. Nature Climate Change, 7(5), 371–376</t>
  </si>
  <si>
    <t>https://doi.org/10.1038/nclimate3276</t>
  </si>
  <si>
    <t>lukas.van.zwieten@dpi.nsw.gov.au</t>
  </si>
  <si>
    <t>cited in Leng 2019 review, no biochar stability, but some 10 year field exp with isotopes</t>
  </si>
  <si>
    <t>cited in Leng 2019 review, conference article</t>
  </si>
  <si>
    <t>https://doi.org/10.1071/SR10036</t>
  </si>
  <si>
    <t>Describes whether the raw data (incubation data `D` &amp; metadata `M`) are available in the database. Values can a combination of "D:yes/no", "M:yes/no", "Reason:text". For instance: "D:yes, M:yes". Or: "D:no, M:yes, Reason: Articles corresponds to 1-year experiment, which are the same as in Fang2014a where data is reported for 2 years."</t>
  </si>
  <si>
    <t>D:yes, M:yes</t>
  </si>
  <si>
    <t>D:no, M:yes, Reason: Article was superseeded by Kuzyakov2014 where data for same experiments are reported for longer time</t>
  </si>
  <si>
    <t>data from author, metadata from articles</t>
  </si>
  <si>
    <t>data from digitized figures, metadata from articles</t>
  </si>
  <si>
    <t>D:no, M:yes</t>
  </si>
  <si>
    <t>data from digitized figures while authors claimed having lost data, metadata from articles</t>
  </si>
  <si>
    <t>data not received but reconstructed from fitted decay parameters, metadata from articles and H/N contents from authors</t>
  </si>
  <si>
    <t>D:reconstructed, M:yes</t>
  </si>
  <si>
    <t>Article was superseeded by Kuzyakov2014 where data for same experiments are reported for longer time, although Kuzyakov2009 has glucose priming effects</t>
  </si>
  <si>
    <t>data from digitized figures while author were not able to share data, metadata from articles</t>
  </si>
  <si>
    <t>data from digitized figures for the observations not superseeded by Ventura2019, metadata from articles</t>
  </si>
  <si>
    <t>data retrieved from database archive from author university, metadata from articles</t>
  </si>
  <si>
    <t>data retrieved from database archive from author university and pangea repository, metadata from articles</t>
  </si>
  <si>
    <t>D:no, M:yes, Reason: Article was superseeded by Fang2014a where data for same experiments are reported for longer time and different temperatures</t>
  </si>
  <si>
    <t>IsolatedBiocharFlux</t>
  </si>
  <si>
    <t>Isolated biochar C flux</t>
  </si>
  <si>
    <t>Santos2021</t>
  </si>
  <si>
    <t>Santos, F., Rice, D. M., Bird, J. A., &amp; Berhe, A. A. (2021). Pyrolysis temperature and soil depth interactions determine PyC turnover and induced soil organic carbon priming. Biogeochemistry, 153(1), 47–65.</t>
  </si>
  <si>
    <t>https://doi.org/10.1007/s10533-021-00767-x</t>
  </si>
  <si>
    <t>santosf@ornl.gov</t>
  </si>
  <si>
    <t>Pine-Raw-Top</t>
  </si>
  <si>
    <t>Pine-Raw-Sub</t>
  </si>
  <si>
    <t>Pine-300-Top</t>
  </si>
  <si>
    <t>Pine-300-Sub</t>
  </si>
  <si>
    <t>Pine-450-Top</t>
  </si>
  <si>
    <t>Pine-450-Sub</t>
  </si>
  <si>
    <t>Jack pine</t>
  </si>
  <si>
    <t>13C-labeled biomass</t>
  </si>
  <si>
    <t>CO2 sampling for 24h from sealed jars, via rubber septum through lid</t>
  </si>
  <si>
    <t>maintained on a weekly basis throughout the incubation study by slowly pipetting MilliQ ultrapure water into the mixture</t>
  </si>
  <si>
    <t>Sierra Nevada, California, USA</t>
  </si>
  <si>
    <t>topsoil / 0-10cm / fine loamy soil / Musick soil series of the subgroup Ultic Haploxeralf, formed under a Mesozoic granitic parent material</t>
  </si>
  <si>
    <t>subsoil / 50-70cm / fine loamy soil / Musick soil series of the subgroup Ultic Haploxeralf, formed under a Mesozoic granitic parent material</t>
  </si>
  <si>
    <t>&lt;2 mm</t>
  </si>
  <si>
    <t xml:space="preserve">Laboratory scale reactor, under N2, GERO GLO 40/11 pyrolysis oven </t>
  </si>
  <si>
    <t>observations available in</t>
  </si>
  <si>
    <t>Sarfaraz, Q., Silva, L.S.d., Drescher, G.L. et al. Characterization and carbon mineralization of biochars produced from different animal manures and plant residues. Sci Rep 10, 955 (2020)</t>
  </si>
  <si>
    <t>Galvez, A., Sinicco, T., Cayuela, M.L., Mingorance, M.D., Fornasier, F., Mondini, C., 2012. Short term effects of bioenergy by-products on soil C and N dynamics, nutrient availability and biochemical properties. Agric. Ecosyst. Environ. 160, 3–14.</t>
  </si>
  <si>
    <t>CAYUELA, M.L., OENEMA, O., KUIKMAN, P.J., BAKKER, R.R. and Van GROENIGEN, J.W. (2010), Bioenergy by-products as soil amendments? Implications for carbon sequestration and greenhouse gas emissions. GCB Bioenergy, 2: 201-213.</t>
  </si>
  <si>
    <t>Ahmad, M., Ok, Y.S., Kim, B.Y., Ahn, J.H., Lee, Y.H., Zhang, M., Moon, D.H., Al-Wabel, M.I., Lee, S.S., 2016. Impact of soybean stover- and pine needle-derived biochars on Pb and As mobility, microbial community, and carbon stability in a contaminated agricultural soil. J. Environ. Manage. 166, 131–139.</t>
  </si>
  <si>
    <t>Zhu, X., Mao, L., Chen, B., 2019. Driving forces linking microbial community structure and functions to enhanced carbon stability in biochar-amended soil. Environ. Int. 133, 105211.</t>
  </si>
  <si>
    <t>Hernandez-Soriano, M., Kerré, B., Kopittke, P. et al. Biochar affects carbon composition and stability in soil: a combined spectroscopy-microscopy study. Sci Rep 6, 25127 (2016).</t>
  </si>
  <si>
    <t>Feola Conz, R. , Abbruzzini, T. , de Andrade, C. , P. Milori, D. and E. P. Cerri, C. (2017) Effect of Pyrolysis Temperature and Feedstock Type on Agricultural Properties and Stability of Biochars. Agricultural Sciences, 8, 914-933.</t>
  </si>
  <si>
    <t>Schouten, S., van Groenigen, J.W., Oenema, O. and Cayuela, M.L. (2012), ‘Bioenergy from cattle manure? Implications of anaerobic digestion and subsequent pyrolysis for carbon and nitrogen dynamics in soil’. Glob. Change Biol. Bioenergy, 4: 751-760.</t>
  </si>
  <si>
    <t>Hilscher, A., Knicker, H., 2011. Degradation of grass-derived pyrogenic organic material, transport of the residues within a soil column and distribution in soil organic matter fractions during a 28month microcosm experiment. Org. Geochem. 42, 42–54.</t>
  </si>
  <si>
    <t>Fidel, Rivka B., David A. Laird, and Timothy B. Parkin. 2019. "Effect of Biochar on Soil Greenhouse Gas Emissions at the Laboratory and Field Scales" Soil Systems 3, no. 1: 8.</t>
  </si>
  <si>
    <t>Hansen, V., Müller-Stöver, D., Munkholm, L.J., Peltre, C., Hauggaard-Nielsen, H., Jensen, L.S., 2016. The effect of straw and wood gasification biochar on carbon sequestration, selected soil fertility indicators and functional groups in soil: An incubation study. Geoderma 269, 99–107.</t>
  </si>
  <si>
    <t>Schulze, M., Mumme, J., Funke, A., Kern, J., 2016. Effects of selected process conditions on the stability of hydrochar in low-carbon sandy soil. Geoderma 267, 137–145.</t>
  </si>
  <si>
    <t>Baronti, S., Alberti, G., Camin, F., Criscuoli, I., Genesio, L., Mass, R., Vaccari, F.P., Ziller, L. and Miglietta, F. (2017), Hydrochar enhances growth of poplar for bioenergy while marginally contributing to direct soil carbon sequestration. GCB Bioenergy, 9: 1618-1626.</t>
  </si>
  <si>
    <t>Schimmelpfennig, S., Müller, C., Grünhage, L., Koch, C., Kammann, C., 2014. Biochar, hydrochar and uncarbonized feedstock application to permanent grassland—Effects on greenhouse gas emissions and plant growth. Agric. Ecosyst. Environ. 191, 39–52.</t>
  </si>
  <si>
    <t>Qayyum, M.F., Steffens, D., Reisenauer, H.P. and Schubert, S. (2012), Kinetics of Carbon Mineralization of Biochars Compared with Wheat Straw in Three Soils. J. Environ. Qual., 41: 1210-1220.</t>
  </si>
  <si>
    <t>Busch, D. and Glaser, B. (2015), Stability of co-composted hydrochar and biochar under field conditions in a temperate soil. Soil Use Manage, 31: 251-258.</t>
  </si>
  <si>
    <t>farooq.qayyum@ernaehrung.uni-giessen.de</t>
  </si>
  <si>
    <t>Kimetu Joseph M., Lehmann Johannes (2010) Stability and stabilisation of biochar and green manure in soil with different organic carbon contents. Australian Journal of Soil Research 48, 577-585.</t>
  </si>
  <si>
    <t>cl273@cornell.edu</t>
  </si>
  <si>
    <t>RS</t>
  </si>
  <si>
    <t>RS400</t>
  </si>
  <si>
    <t>RS700</t>
  </si>
  <si>
    <t>Rice straw</t>
  </si>
  <si>
    <t>Laboratory, muffle furnace</t>
  </si>
  <si>
    <t>topsoil / 0-15cm / entisol, froom cotton field / sandy loam texture</t>
  </si>
  <si>
    <t>Soda trap</t>
  </si>
  <si>
    <t>China</t>
  </si>
  <si>
    <t>Zimmermann2010</t>
  </si>
  <si>
    <t>fertilisation regime, irriguation when needed, biochar downward migration measurement / average rainfall in the area: 788.4 mm/yr</t>
  </si>
  <si>
    <t>fertilisation regime, irriguation when needed, biochar downward migration measurement / average rainfall in the area: 1109.4 mm/yr</t>
  </si>
  <si>
    <t>identified 2023-05 / contains 2-year incubation data, in topsoil &amp; subsoil, for 3 material: raw, 300C, 450C / 6 obs (4 obs of biochar, top and sub soil) / also measured R50 metric / data shared by author</t>
  </si>
  <si>
    <t>no isotopes</t>
  </si>
  <si>
    <t>no decay measurement, but remaining in soil, not usable</t>
  </si>
  <si>
    <t>shared by author</t>
  </si>
  <si>
    <t>yes, but no decay curves</t>
  </si>
  <si>
    <t>Whether the articles has performed experiments so as to be able to measure biochar C fluxes separately from other C sources (soil, co-amendments). Possible values: yes/no/yes, but…/na(not applicable)</t>
  </si>
  <si>
    <t>Data_comment</t>
  </si>
  <si>
    <t>Data_loci</t>
  </si>
  <si>
    <t>data from author received but missing isotopic fractions, cannot calculate biochar decay, metadata from articles</t>
  </si>
  <si>
    <t>Article reports average temperature of 19C, however raw data from author, received 2023-08, indicates an average temperature of 18.6C. Value updated on 2023-09-03</t>
  </si>
  <si>
    <t>Raw data excel file received from author</t>
  </si>
  <si>
    <t>Aubertin2021</t>
  </si>
  <si>
    <t xml:space="preserve">Aubertin, M.-L.; Girardin, C.; Houot, S.; Nobile, C.; Houben, D.; Bena, S.; Brech, Y.L.; Rumpel, C. Biochar-Compost Interactions as Affected by Weathering: Effects on Biological Stability and Plant Growth. Agronomy 2021, 11, 336. </t>
  </si>
  <si>
    <t>https://doi.org/10.3390/agronomy11020336</t>
  </si>
  <si>
    <t>marie-liesse.aubertin@inrae.fr; 'cornelia.rumpel@inrae.fr'</t>
  </si>
  <si>
    <t>identified 2023-09 / contains 1-year incubations, 6 observations, fresh x weathered, biochar and biochar-compost blends,</t>
  </si>
  <si>
    <t>misc-BC-fresh</t>
  </si>
  <si>
    <t>misc-BC-weathered</t>
  </si>
  <si>
    <t>misc-BC-C-fresh</t>
  </si>
  <si>
    <t>misc-BC-C-weathered</t>
  </si>
  <si>
    <t>cob-BC-C-fresh</t>
  </si>
  <si>
    <t>Miscanthus (elephant grass)</t>
  </si>
  <si>
    <t>Maize cobs</t>
  </si>
  <si>
    <t>Biogreen, ETIA, by VTGreen (Allier, France)</t>
  </si>
  <si>
    <t>no-soil, but inoculum derived from cropland field, Haplic Luvisol, Beauvais, France</t>
  </si>
  <si>
    <t>Beauvais, France</t>
  </si>
  <si>
    <t>Micro-GC 490 Agilent Technologies / isotopic ratio mass spectrometer</t>
  </si>
  <si>
    <t>no soil control; controls are 1 pure biochar incubation, 1 pure compost incubation</t>
  </si>
  <si>
    <t>no soil control; controls are 1 pure biochar incubation, 1 pure compost incubation // physical weathering: wet-drying-freeze-thawing cycles</t>
  </si>
  <si>
    <t>cob-BC-C-weathered</t>
  </si>
  <si>
    <t>in fact at 900C, via TGA</t>
  </si>
  <si>
    <t>section 2.3,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</si>
</sst>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
    <numFmt numFmtId="167" formatCode="0.0"/>
    <numFmt numFmtId="168" formatCode="0.0000"/>
    <numFmt numFmtId="169" formatCode="0.000E+00"/>
    <numFmt numFmtId="170" formatCode="0.0000E+00"/>
    <numFmt numFmtId="171" formatCode="0.00000"/>
    <numFmt numFmtId="172" formatCode="0.0000%"/>
    <numFmt numFmtId="173" formatCode="0.00000%"/>
    <numFmt numFmtId="174" formatCode="0.000000%"/>
    <numFmt numFmtId="175" formatCode="0.0000000"/>
    <numFmt numFmtId="176" formatCode="0.000000"/>
  </numFmts>
  <fonts count="12" x14ac:knownFonts="1">
    <font>
      <sz val="11"/>
      <color theme="1"/>
      <name val="Calibri"/>
      <family val="2"/>
      <scheme val="minor"/>
    </font>
    <font>
      <b/>
      <sz val="11"/>
      <name val="Calibri"/>
      <family val="2"/>
    </font>
    <font>
      <u/>
      <sz val="11"/>
      <color theme="10"/>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8"/>
      <name val="Calibri"/>
      <family val="2"/>
      <scheme val="minor"/>
    </font>
    <font>
      <sz val="9"/>
      <color indexed="81"/>
      <name val="Tahoma"/>
      <family val="2"/>
    </font>
    <font>
      <b/>
      <sz val="11"/>
      <color rgb="FFFF0000"/>
      <name val="Calibri"/>
      <family val="2"/>
    </font>
    <font>
      <sz val="11"/>
      <name val="Calibri"/>
      <family val="2"/>
      <scheme val="minor"/>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108">
    <xf numFmtId="0" fontId="0" fillId="0" borderId="0" xfId="0"/>
    <xf numFmtId="0" fontId="1" fillId="0" borderId="0" xfId="0" applyFont="1"/>
    <xf numFmtId="0" fontId="1" fillId="0" borderId="1" xfId="0" applyFont="1" applyBorder="1"/>
    <xf numFmtId="0" fontId="0" fillId="0" borderId="1" xfId="0" applyBorder="1"/>
    <xf numFmtId="0" fontId="2" fillId="0" borderId="0" xfId="1"/>
    <xf numFmtId="0" fontId="0" fillId="2" borderId="0" xfId="0" applyFill="1"/>
    <xf numFmtId="0" fontId="0" fillId="3" borderId="0" xfId="0" applyFill="1"/>
    <xf numFmtId="164" fontId="0" fillId="0" borderId="0" xfId="0" applyNumberFormat="1"/>
    <xf numFmtId="11" fontId="0" fillId="0" borderId="0" xfId="0" applyNumberFormat="1"/>
    <xf numFmtId="0" fontId="5" fillId="0" borderId="2" xfId="0" applyFont="1" applyBorder="1"/>
    <xf numFmtId="0" fontId="4" fillId="0" borderId="2" xfId="0" applyFont="1" applyBorder="1"/>
    <xf numFmtId="0" fontId="4" fillId="0" borderId="2" xfId="0" quotePrefix="1" applyFont="1" applyBorder="1"/>
    <xf numFmtId="10" fontId="0" fillId="0" borderId="0" xfId="0" applyNumberFormat="1"/>
    <xf numFmtId="0" fontId="0" fillId="4" borderId="0" xfId="0" applyFill="1"/>
    <xf numFmtId="165" fontId="0" fillId="0" borderId="0" xfId="2" applyNumberFormat="1" applyFont="1"/>
    <xf numFmtId="10" fontId="0" fillId="0" borderId="0" xfId="2" applyNumberFormat="1" applyFont="1"/>
    <xf numFmtId="2" fontId="0" fillId="0" borderId="0" xfId="0" applyNumberFormat="1"/>
    <xf numFmtId="166" fontId="0" fillId="0" borderId="0" xfId="2" applyNumberFormat="1" applyFont="1"/>
    <xf numFmtId="0" fontId="0" fillId="6" borderId="0" xfId="0" applyFill="1"/>
    <xf numFmtId="0" fontId="1" fillId="0" borderId="3" xfId="0" applyFont="1" applyBorder="1"/>
    <xf numFmtId="0" fontId="0" fillId="0" borderId="3" xfId="0" applyBorder="1"/>
    <xf numFmtId="0" fontId="5" fillId="0" borderId="4" xfId="0" applyFont="1" applyBorder="1"/>
    <xf numFmtId="0" fontId="4" fillId="0" borderId="4" xfId="0" applyFont="1" applyBorder="1"/>
    <xf numFmtId="0" fontId="4" fillId="0" borderId="4" xfId="0" quotePrefix="1" applyFont="1" applyBorder="1"/>
    <xf numFmtId="0" fontId="8" fillId="0" borderId="2" xfId="0" applyFont="1" applyBorder="1"/>
    <xf numFmtId="0" fontId="0" fillId="0" borderId="5" xfId="0" applyBorder="1"/>
    <xf numFmtId="0" fontId="0" fillId="0" borderId="6" xfId="0" applyBorder="1"/>
    <xf numFmtId="0" fontId="4" fillId="0" borderId="7" xfId="0" applyFont="1" applyBorder="1"/>
    <xf numFmtId="0" fontId="4" fillId="0" borderId="8" xfId="0" quotePrefix="1" applyFont="1" applyBorder="1"/>
    <xf numFmtId="0" fontId="4" fillId="0" borderId="7" xfId="0" quotePrefix="1" applyFont="1" applyBorder="1"/>
    <xf numFmtId="0" fontId="0" fillId="0" borderId="7" xfId="0" applyBorder="1"/>
    <xf numFmtId="10" fontId="0" fillId="0" borderId="7" xfId="0" applyNumberFormat="1" applyBorder="1"/>
    <xf numFmtId="9" fontId="0" fillId="0" borderId="7" xfId="0" applyNumberFormat="1" applyBorder="1"/>
    <xf numFmtId="10" fontId="0" fillId="0" borderId="7" xfId="2" applyNumberFormat="1" applyFont="1" applyFill="1" applyBorder="1"/>
    <xf numFmtId="9" fontId="0" fillId="0" borderId="7" xfId="2" applyFont="1" applyFill="1" applyBorder="1"/>
    <xf numFmtId="165" fontId="0" fillId="0" borderId="7" xfId="2" applyNumberFormat="1" applyFont="1" applyFill="1" applyBorder="1"/>
    <xf numFmtId="166" fontId="0" fillId="0" borderId="7" xfId="2" applyNumberFormat="1" applyFont="1" applyFill="1" applyBorder="1"/>
    <xf numFmtId="2" fontId="0" fillId="0" borderId="7" xfId="0" applyNumberFormat="1" applyBorder="1"/>
    <xf numFmtId="11" fontId="0" fillId="0" borderId="7" xfId="0" applyNumberFormat="1" applyBorder="1"/>
    <xf numFmtId="164" fontId="0" fillId="0" borderId="7" xfId="0" applyNumberFormat="1" applyBorder="1"/>
    <xf numFmtId="0" fontId="0" fillId="0" borderId="7" xfId="0" quotePrefix="1" applyBorder="1" applyAlignment="1">
      <alignment horizontal="center"/>
    </xf>
    <xf numFmtId="0" fontId="0" fillId="0" borderId="7" xfId="0" quotePrefix="1" applyBorder="1"/>
    <xf numFmtId="0" fontId="0" fillId="0" borderId="9" xfId="0" applyBorder="1"/>
    <xf numFmtId="9" fontId="0" fillId="0" borderId="9" xfId="2" applyFont="1" applyFill="1" applyBorder="1"/>
    <xf numFmtId="9" fontId="0" fillId="0" borderId="9" xfId="0" applyNumberFormat="1" applyBorder="1"/>
    <xf numFmtId="165" fontId="0" fillId="0" borderId="9" xfId="2" applyNumberFormat="1" applyFont="1" applyFill="1" applyBorder="1"/>
    <xf numFmtId="10" fontId="0" fillId="0" borderId="9" xfId="2" applyNumberFormat="1" applyFont="1" applyFill="1" applyBorder="1"/>
    <xf numFmtId="164" fontId="0" fillId="0" borderId="9" xfId="0" applyNumberFormat="1" applyBorder="1"/>
    <xf numFmtId="2" fontId="0" fillId="0" borderId="9" xfId="0" applyNumberFormat="1" applyBorder="1"/>
    <xf numFmtId="165" fontId="0" fillId="0" borderId="9" xfId="0" applyNumberFormat="1" applyBorder="1"/>
    <xf numFmtId="165" fontId="4" fillId="0" borderId="9" xfId="2" applyNumberFormat="1" applyFont="1" applyFill="1" applyBorder="1"/>
    <xf numFmtId="10" fontId="0" fillId="0" borderId="9" xfId="0" applyNumberFormat="1" applyBorder="1"/>
    <xf numFmtId="10" fontId="0" fillId="0" borderId="9" xfId="0" applyNumberFormat="1" applyBorder="1" applyAlignment="1">
      <alignment horizontal="right"/>
    </xf>
    <xf numFmtId="0" fontId="4" fillId="0" borderId="9" xfId="0" applyFont="1" applyBorder="1"/>
    <xf numFmtId="0" fontId="9" fillId="0" borderId="9" xfId="0" applyFont="1" applyBorder="1"/>
    <xf numFmtId="167" fontId="0" fillId="0" borderId="9" xfId="0" applyNumberFormat="1" applyBorder="1"/>
    <xf numFmtId="9" fontId="0" fillId="0" borderId="9" xfId="2" quotePrefix="1" applyFont="1" applyFill="1" applyBorder="1"/>
    <xf numFmtId="0" fontId="0" fillId="0" borderId="10" xfId="0" applyBorder="1"/>
    <xf numFmtId="0" fontId="0" fillId="0" borderId="1" xfId="0" quotePrefix="1" applyBorder="1"/>
    <xf numFmtId="0" fontId="1" fillId="7" borderId="1" xfId="0" applyFont="1" applyFill="1" applyBorder="1"/>
    <xf numFmtId="168" fontId="0" fillId="0" borderId="0" xfId="0" applyNumberFormat="1"/>
    <xf numFmtId="167" fontId="0" fillId="0" borderId="0" xfId="0" applyNumberFormat="1"/>
    <xf numFmtId="0" fontId="1" fillId="8" borderId="1" xfId="0" applyFont="1" applyFill="1" applyBorder="1"/>
    <xf numFmtId="0" fontId="1" fillId="3" borderId="1" xfId="0" applyFont="1" applyFill="1" applyBorder="1"/>
    <xf numFmtId="14" fontId="0" fillId="0" borderId="0" xfId="0" applyNumberFormat="1"/>
    <xf numFmtId="10" fontId="4" fillId="0" borderId="9" xfId="0" applyNumberFormat="1" applyFont="1" applyBorder="1"/>
    <xf numFmtId="10" fontId="4" fillId="0" borderId="9" xfId="2" applyNumberFormat="1" applyFont="1" applyFill="1" applyBorder="1"/>
    <xf numFmtId="165" fontId="9" fillId="0" borderId="9" xfId="2" applyNumberFormat="1" applyFont="1" applyFill="1" applyBorder="1"/>
    <xf numFmtId="10" fontId="9" fillId="0" borderId="9" xfId="2" applyNumberFormat="1" applyFont="1" applyFill="1" applyBorder="1"/>
    <xf numFmtId="10" fontId="9" fillId="0" borderId="9" xfId="0" applyNumberFormat="1" applyFont="1" applyBorder="1"/>
    <xf numFmtId="167" fontId="0" fillId="6" borderId="0" xfId="0" applyNumberFormat="1" applyFill="1"/>
    <xf numFmtId="11" fontId="0" fillId="6" borderId="0" xfId="0" applyNumberFormat="1" applyFill="1"/>
    <xf numFmtId="169" fontId="0" fillId="0" borderId="0" xfId="0" applyNumberFormat="1"/>
    <xf numFmtId="169" fontId="0" fillId="6" borderId="0" xfId="0" applyNumberFormat="1" applyFill="1"/>
    <xf numFmtId="170" fontId="0" fillId="6" borderId="0" xfId="0" applyNumberFormat="1" applyFill="1"/>
    <xf numFmtId="172" fontId="0" fillId="6" borderId="0" xfId="2" applyNumberFormat="1" applyFont="1" applyFill="1"/>
    <xf numFmtId="172" fontId="0" fillId="6" borderId="0" xfId="0" applyNumberFormat="1" applyFill="1"/>
    <xf numFmtId="171" fontId="0" fillId="0" borderId="9" xfId="0" applyNumberFormat="1" applyBorder="1"/>
    <xf numFmtId="1" fontId="4" fillId="0" borderId="9" xfId="0" applyNumberFormat="1" applyFont="1" applyBorder="1"/>
    <xf numFmtId="1" fontId="0" fillId="0" borderId="9" xfId="0" applyNumberFormat="1" applyBorder="1"/>
    <xf numFmtId="172" fontId="0" fillId="0" borderId="0" xfId="2" applyNumberFormat="1" applyFont="1"/>
    <xf numFmtId="172" fontId="0" fillId="0" borderId="0" xfId="0" applyNumberFormat="1"/>
    <xf numFmtId="0" fontId="11" fillId="4" borderId="0" xfId="0" applyFont="1" applyFill="1"/>
    <xf numFmtId="0" fontId="4" fillId="4" borderId="0" xfId="0" applyFont="1" applyFill="1"/>
    <xf numFmtId="0" fontId="0" fillId="7" borderId="0" xfId="0" applyFill="1"/>
    <xf numFmtId="173" fontId="0" fillId="0" borderId="0" xfId="2" applyNumberFormat="1" applyFont="1"/>
    <xf numFmtId="174" fontId="0" fillId="0" borderId="0" xfId="2" applyNumberFormat="1" applyFont="1"/>
    <xf numFmtId="9" fontId="0" fillId="0" borderId="0" xfId="0" applyNumberFormat="1"/>
    <xf numFmtId="173" fontId="0" fillId="0" borderId="0" xfId="0" applyNumberFormat="1"/>
    <xf numFmtId="174" fontId="0" fillId="0" borderId="0" xfId="0" applyNumberFormat="1"/>
    <xf numFmtId="9" fontId="0" fillId="0" borderId="0" xfId="2" applyFont="1"/>
    <xf numFmtId="175" fontId="0" fillId="0" borderId="0" xfId="0" applyNumberFormat="1"/>
    <xf numFmtId="0" fontId="5" fillId="4" borderId="0" xfId="0" applyFont="1" applyFill="1"/>
    <xf numFmtId="14" fontId="0" fillId="6" borderId="0" xfId="0" applyNumberFormat="1" applyFill="1"/>
    <xf numFmtId="176" fontId="0" fillId="0" borderId="0" xfId="0" applyNumberFormat="1"/>
    <xf numFmtId="9" fontId="0" fillId="0" borderId="10" xfId="0" applyNumberFormat="1" applyBorder="1"/>
    <xf numFmtId="165" fontId="0" fillId="0" borderId="10" xfId="2" applyNumberFormat="1" applyFont="1" applyFill="1" applyBorder="1"/>
    <xf numFmtId="10" fontId="0" fillId="0" borderId="10" xfId="2" applyNumberFormat="1" applyFont="1" applyFill="1" applyBorder="1"/>
    <xf numFmtId="170" fontId="0" fillId="0" borderId="0" xfId="0" applyNumberFormat="1"/>
    <xf numFmtId="174" fontId="4" fillId="0" borderId="0" xfId="2" applyNumberFormat="1" applyFont="1"/>
    <xf numFmtId="0" fontId="0" fillId="0" borderId="11" xfId="0" applyBorder="1"/>
    <xf numFmtId="0" fontId="0" fillId="0" borderId="0" xfId="0" quotePrefix="1"/>
    <xf numFmtId="0" fontId="9" fillId="0" borderId="0" xfId="0" applyFont="1"/>
    <xf numFmtId="0" fontId="9" fillId="0" borderId="5" xfId="0" applyFont="1" applyBorder="1"/>
    <xf numFmtId="0" fontId="9" fillId="0" borderId="2" xfId="0" applyFont="1" applyBorder="1"/>
    <xf numFmtId="0" fontId="9" fillId="0" borderId="12" xfId="0" applyFont="1" applyBorder="1"/>
    <xf numFmtId="0" fontId="9" fillId="5" borderId="2" xfId="0" applyFont="1" applyFill="1" applyBorder="1"/>
    <xf numFmtId="0" fontId="0" fillId="0" borderId="13" xfId="0" applyBorder="1"/>
  </cellXfs>
  <cellStyles count="3">
    <cellStyle name="Hyperlink" xfId="1" builtinId="8"/>
    <cellStyle name="Normal" xfId="0" builtinId="0"/>
    <cellStyle name="Percent" xfId="2" builtinId="5"/>
  </cellStyles>
  <dxfs count="36">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lias Sebastian Azzi" id="{36E0EA4B-B473-4321-B32F-60592958199B}" userId="S::eazzi@UG.KTH.SE::668bbf46-396e-4c37-80bc-c1dd1b87fdad" providerId="AD"/>
  <person displayName="Elias Azzi" id="{DA5362D7-8F63-423A-9F4A-1FF48A10BD3D}" userId="S::elias.azzi@slu.se::5cd0a805-888f-479d-b1fd-96024b49ef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2-04-28T12:17:31.49" personId="{36E0EA4B-B473-4321-B32F-60592958199B}" id="{81C0E440-A039-4EC7-B933-9C57ECCCEA7F}">
    <text>total flux reported, but missing isotopic fractions</text>
  </threadedComment>
  <threadedComment ref="K17" dT="2022-04-01T08:50:42.57" personId="{DA5362D7-8F63-423A-9F4A-1FF48A10BD3D}" id="{502358D2-61FD-4136-8D96-A996196EFEBC}">
    <text>NbObs based on Wang2016</text>
  </threadedComment>
  <threadedComment ref="B39" dT="2022-04-27T13:52:13.03" personId="{DA5362D7-8F63-423A-9F4A-1FF48A10BD3D}" id="{C33D5372-72AC-4416-8A3B-5E73D6F76155}">
    <text>missing one obs for UK experiment</text>
  </threadedComment>
  <threadedComment ref="B41" dT="2022-04-01T09:07:55.49" personId="{DA5362D7-8F63-423A-9F4A-1FF48A10BD3D}" id="{E9FB032D-18B1-42BF-98DB-965224EEED4C}">
    <text>To check if same data as Budai2016</text>
  </threadedComment>
  <threadedComment ref="B41" dT="2022-04-01T09:41:01.06" personId="{DA5362D7-8F63-423A-9F4A-1FF48A10BD3D}" id="{3CED96B8-85FC-4B30-BC74-D393397050D6}" parentId="{E9FB032D-18B1-42BF-98DB-965224EEED4C}">
    <text>some field incubations, with some short d13 indicators, but also annual degradation rates estimated, with a use of Q10 factor of 2 to include soil temperature variations. To be further analysed!</text>
  </threadedComment>
  <threadedComment ref="B41" dT="2022-04-01T09:41:35.25" personId="{DA5362D7-8F63-423A-9F4A-1FF48A10BD3D}" id="{656BAE13-3EDD-447F-8C07-C9145DC10D48}" parentId="{E9FB032D-18B1-42BF-98DB-965224EEED4C}">
    <text>Also has H/C ratio, BPCA, chemical oxidation</text>
  </threadedComment>
  <threadedComment ref="B48" dT="2022-04-05T08:53:59.56" personId="{DA5362D7-8F63-423A-9F4A-1FF48A10BD3D}" id="{BB3AB39D-22CD-490D-9D62-0007FA994169}">
    <text>Field incubation, two years, with some measurements during the year
1 pyro char
1 htc char
and pyro &amp; htc char fermented with digestate from biogas facility
with fertiliser application for vegetation growth</text>
  </threadedComment>
  <threadedComment ref="B49" dT="2022-04-05T08:57:57.93" personId="{DA5362D7-8F63-423A-9F4A-1FF48A10BD3D}" id="{2B64E585-1194-4D8C-AC93-4337834452BC}">
    <text>5 biochars, from German producers, very different feedstocks, but no isotopic labelling; still using double decay model
1 soil control available</text>
  </threadedComment>
  <threadedComment ref="B49" dT="2022-04-05T08:58:13.51" personId="{DA5362D7-8F63-423A-9F4A-1FF48A10BD3D}" id="{A19D276D-41A6-4137-8B18-4DB9F87045A2}" parentId="{2B64E585-1194-4D8C-AC93-4337834452BC}">
    <text>of interest to us
since we will also work with non labelled chars</text>
  </threadedComment>
  <threadedComment ref="B50" dT="2022-04-05T10:12:20.28" personId="{DA5362D7-8F63-423A-9F4A-1FF48A10BD3D}" id="{B6E49D39-6BAE-45E8-B250-38003049823F}">
    <text>1 type of charcoal fines, incubated for 165 days, after having spent 2 years in the field on an eucalyptus plantation....
- incubation without soil
- with soil, 0 t/ha &amp; 40t/ha
decomposition measured at different depth 0-5, 5-10, 10-20, 20-30</text>
  </threadedComment>
  <threadedComment ref="B50" dT="2022-04-05T10:12:51.46" personId="{DA5362D7-8F63-423A-9F4A-1FF48A10BD3D}" id="{66B75CBB-65BE-4DB9-85B0-10A1C816F9A9}" parentId="{B6E49D39-6BAE-45E8-B250-38003049823F}">
    <text>not labelled</text>
  </threadedComment>
  <threadedComment ref="B50" dT="2022-04-05T10:24:31.52" personId="{DA5362D7-8F63-423A-9F4A-1FF48A10BD3D}" id="{B461E920-628E-448D-954E-F25A1CBA827C}" parentId="{B6E49D39-6BAE-45E8-B250-38003049823F}">
    <text>can include between 1 and 5 observations, at best</text>
  </threadedComment>
  <threadedComment ref="B51" dT="2022-04-05T12:17:05.06" personId="{DA5362D7-8F63-423A-9F4A-1FF48A10BD3D}" id="{463AE12E-2035-476D-9573-2F8B4C9DCF5A}">
    <text>5 incubations of biochar alone, from wood &amp; crop residues, for 155 days
5 incubations + control biochar in MAPS soils (moderately acidic polluted soil)
5 incubations + control biochar in APS acidic polluted soil
No isotopic labelling</text>
  </threadedComment>
  <threadedComment ref="B52" dT="2022-04-05T12:31:16.32" personId="{DA5362D7-8F63-423A-9F4A-1FF48A10BD3D}" id="{E76C356D-3CCE-4CBA-8848-C106D722C8AB}">
    <text>FIELD incubation
1 biochar type, applied in 4 configurations: 25 t, 50t, 25t+45t compost, 50t + 45t compost; 4 replicates, 2 controls (no amendment, only compost)</text>
  </threadedComment>
  <threadedComment ref="B52" dT="2022-04-05T12:34:34.51" personId="{DA5362D7-8F63-423A-9F4A-1FF48A10BD3D}" id="{DEFCD09E-556E-4B9D-BF41-C3F790ABC30B}" parentId="{E76C356D-3CCE-4CBA-8848-C106D722C8AB}">
    <text>Not measuring incubation, but amount of carbon remaining in soil, with a isotopic signature above 2 per mille / only possible for the treatments without compost (otherwise not possible to distinguish 3 C sources with 1 isotope)</text>
  </threadedComment>
  <threadedComment ref="B52" dT="2022-04-05T12:49:35.04" personId="{DA5362D7-8F63-423A-9F4A-1FF48A10BD3D}" id="{E5E39450-23A9-4A0F-B419-CAFE4F4A3055}" parentId="{E76C356D-3CCE-4CBA-8848-C106D722C8AB}">
    <text>Sampling for isotpic t0, t1 (3 weeks), t2 (1 year), t3 (2years)
Sampling for BPCA: t0, t1, t3 but not t2... thus not used for fitting..</text>
  </threadedComment>
  <threadedComment ref="B52" dT="2022-04-05T12:53:34.93" personId="{DA5362D7-8F63-423A-9F4A-1FF48A10BD3D}" id="{21AB20C7-3908-420D-9F44-42B1F039BF06}" parentId="{E76C356D-3CCE-4CBA-8848-C106D722C8AB}">
    <text>2 observations, but results deemed not statistically significant for a decay curve, thus they don¨t report any MRTs</text>
  </threadedComment>
  <threadedComment ref="C63" dT="2023-05-30T07:19:58.48" personId="{DA5362D7-8F63-423A-9F4A-1FF48A10BD3D}" id="{F82F8D0E-04A9-46DD-8851-B40964EA986A}">
    <text>Microcosm study, with C &amp; N isotopes, but also transport</text>
  </threadedComment>
  <threadedComment ref="C67" dT="2023-05-30T07:29:48.19" personId="{DA5362D7-8F63-423A-9F4A-1FF48A10BD3D}" id="{8E8E8620-EFB1-483D-806B-4FD4A3194179}">
    <text>Hydrochar, field, 13C, but no good time series</text>
  </threadedComment>
  <threadedComment ref="B70" dT="2022-04-05T12:41:38.18" personId="{DA5362D7-8F63-423A-9F4A-1FF48A10BD3D}" id="{6645FCDC-1F48-437D-AAB5-0F87881750B2}">
    <text>cited in Criscuoli2021</text>
  </threadedComment>
  <threadedComment ref="B70" dT="2022-04-05T12:45:35.80" personId="{DA5362D7-8F63-423A-9F4A-1FF48A10BD3D}" id="{C2F4CDB0-72F6-4DD4-A29B-A18735EA0AE1}" parentId="{6645FCDC-1F48-437D-AAB5-0F87881750B2}">
    <text>about BPCAs methods, based on Glaser work from 1998, but not usable in this database</text>
  </threadedComment>
  <threadedComment ref="C72" dT="2022-04-19T07:52:08.32" personId="{DA5362D7-8F63-423A-9F4A-1FF48A10BD3D}" id="{5CF492B6-9C62-4901-8504-B3B86A33C34E}">
    <text>180 days</text>
  </threadedComment>
</ThreadedComments>
</file>

<file path=xl/threadedComments/threadedComment2.xml><?xml version="1.0" encoding="utf-8"?>
<ThreadedComments xmlns="http://schemas.microsoft.com/office/spreadsheetml/2018/threadedcomments" xmlns:x="http://schemas.openxmlformats.org/spreadsheetml/2006/main">
  <threadedComment ref="I2475" dT="2022-04-28T10:54:36.39" personId="{36E0EA4B-B473-4321-B32F-60592958199B}" id="{287A407B-EF7B-474B-A9CC-328219481FA8}">
    <text>diff formula, for first decay rate</text>
  </threadedComment>
  <threadedComment ref="B2582" dT="2022-05-27T13:33:08.03" personId="{DA5362D7-8F63-423A-9F4A-1FF48A10BD3D}" id="{85BD029A-2475-40A6-A2D1-9DB24A780247}">
    <text>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ext>
  </threadedComment>
</ThreadedComments>
</file>

<file path=xl/threadedComments/threadedComment3.xml><?xml version="1.0" encoding="utf-8"?>
<ThreadedComments xmlns="http://schemas.microsoft.com/office/spreadsheetml/2018/threadedcomments" xmlns:x="http://schemas.openxmlformats.org/spreadsheetml/2006/main">
  <threadedComment ref="BL17" dT="2022-04-08T11:03:31.21" personId="{DA5362D7-8F63-423A-9F4A-1FF48A10BD3D}" id="{6055D9B6-CE86-41A9-9791-07AD05B6893B}">
    <text>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text>
  </threadedComment>
  <threadedComment ref="BL17" dT="2022-04-08T11:21:43.27" personId="{DA5362D7-8F63-423A-9F4A-1FF48A10BD3D}" id="{DA9F7346-8ABF-4D2A-988D-1ACD9B15A0A0}" parentId="{6055D9B6-CE86-41A9-9791-07AD05B6893B}">
    <text>In fact &gt; these are the same experiment, but for 2 years (this assessment) instead of 1 year (former assessment)</text>
  </threadedComment>
  <threadedComment ref="AF47" dT="2022-04-28T06:19:58.89" personId="{36E0EA4B-B473-4321-B32F-60592958199B}" id="{8BFF3EF2-B5CD-4C05-AD54-5025C2932F6C}">
    <text>The average 13C
values of the CO2 released during 0-1, 1-6, 6-12, 12-24, and
24-36 months were used to partition C mineralized between
either PyOM or nSOM þ SC sources</text>
  </threadedComment>
  <threadedComment ref="M54" dT="2022-04-27T11:23:18.30" personId="{DA5362D7-8F63-423A-9F4A-1FF48A10BD3D}" id="{A281931F-82C3-44F5-8055-BECFC9EF3152}">
    <text>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ext>
  </threadedComment>
  <threadedComment ref="B112" dT="2022-04-07T10:01:06.45" personId="{DA5362D7-8F63-423A-9F4A-1FF48A10BD3D}" id="{63AA67C3-F381-48AE-A5AE-07426CA3CDC7}">
    <text>Same observations as in Zimmerman 2010, but with 3.2 years of experiment instead of 1 year
 !</text>
  </threadedComment>
  <threadedComment ref="B112" dT="2022-04-07T14:55:54.94" personId="{DA5362D7-8F63-423A-9F4A-1FF48A10BD3D}" id="{8124CBD4-E481-4414-87D4-92DEC82854FE}" parentId="{63AA67C3-F381-48AE-A5AE-07426CA3CDC7}">
    <text>The book reports information only for 5 incubation, at 250 and 650 degrees, and for grass, oak, and oak 650 72hours.
While Lehmann/Woolf works report 7 incubation from this book chapter, but at temperature 400, 525, and 650. Not the 250 one.</text>
  </threadedComment>
  <threadedComment ref="B112" dT="2022-04-07T14:56:17.10" personId="{DA5362D7-8F63-423A-9F4A-1FF48A10BD3D}" id="{8E9478F1-0AF3-4F83-8335-3C9622A9E7F2}" parentId="{63AA67C3-F381-48AE-A5AE-07426CA3CDC7}">
    <text>Data must have been obtained directly from Zimmerman &amp; Gao</text>
  </threadedComment>
  <threadedComment ref="BH120" dT="2022-04-19T14:07:15.47" personId="{DA5362D7-8F63-423A-9F4A-1FF48A10BD3D}" id="{D3D21D77-916E-452E-900E-49C6944B5A71}">
    <text>approximate reading from Figure 5 (values not reported in Tables)</text>
  </threadedComment>
  <threadedComment ref="D128" dT="2022-04-25T19:29:25.84" personId="{DA5362D7-8F63-423A-9F4A-1FF48A10BD3D}" id="{789437E4-D05C-4E09-AD5F-6176D13796BE}">
    <text>Field trial only performed with BC_MED (but BC_MED and BC_LAB were compared in 90day LAB incubation)</text>
  </threadedComment>
  <threadedComment ref="D128" dT="2022-04-25T19:30:05.78" personId="{DA5362D7-8F63-423A-9F4A-1FF48A10BD3D}" id="{C8EC4062-DF9F-4B37-AB9D-4E9D0114FA3F}" parentId="{789437E4-D05C-4E09-AD5F-6176D13796BE}">
    <text>Two field trial with BC_MED 8t/ha and 25t/ha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oi.org/10.1111/gcbb.12450" TargetMode="External"/><Relationship Id="rId21" Type="http://schemas.openxmlformats.org/officeDocument/2006/relationships/hyperlink" Target="https://doi.org/10.1016/J.SCITOTENV.2020.137390" TargetMode="External"/><Relationship Id="rId42" Type="http://schemas.openxmlformats.org/officeDocument/2006/relationships/hyperlink" Target="https://doi.org/10.1016/j.soilbio.2011.07.020" TargetMode="External"/><Relationship Id="rId63" Type="http://schemas.openxmlformats.org/officeDocument/2006/relationships/hyperlink" Target="https://doi.org/10.1111/gcbb.12183" TargetMode="External"/><Relationship Id="rId84" Type="http://schemas.openxmlformats.org/officeDocument/2006/relationships/hyperlink" Target="mailto:jmrosa@irnase.csic.es" TargetMode="External"/><Relationship Id="rId138" Type="http://schemas.openxmlformats.org/officeDocument/2006/relationships/hyperlink" Target="https://doi.org/10.1038/nclimate3276" TargetMode="External"/><Relationship Id="rId107" Type="http://schemas.openxmlformats.org/officeDocument/2006/relationships/hyperlink" Target="https://doi.org/10.1016/j.orggeochem.2010.10.005" TargetMode="External"/><Relationship Id="rId11" Type="http://schemas.openxmlformats.org/officeDocument/2006/relationships/hyperlink" Target="https://doi.org/10.1016/S0146-6380(02)00062-1" TargetMode="External"/><Relationship Id="rId32" Type="http://schemas.openxmlformats.org/officeDocument/2006/relationships/hyperlink" Target="https://doi.org/10.2136/sssaj2013.07.0258" TargetMode="External"/><Relationship Id="rId53" Type="http://schemas.openxmlformats.org/officeDocument/2006/relationships/hyperlink" Target="https://doi.org/10.1016/j.soilbio.2011.06.016" TargetMode="External"/><Relationship Id="rId74" Type="http://schemas.openxmlformats.org/officeDocument/2006/relationships/hyperlink" Target="https://doi.org/10.1021/es903140c" TargetMode="External"/><Relationship Id="rId128" Type="http://schemas.openxmlformats.org/officeDocument/2006/relationships/hyperlink" Target="https://doi.org/10.1371/journal.pone.0141560" TargetMode="External"/><Relationship Id="rId149" Type="http://schemas.openxmlformats.org/officeDocument/2006/relationships/comments" Target="../comments1.xml"/><Relationship Id="rId5" Type="http://schemas.openxmlformats.org/officeDocument/2006/relationships/hyperlink" Target="https://doi.org/10.1016/J.GEODERMA.2009.10.014" TargetMode="External"/><Relationship Id="rId95" Type="http://schemas.openxmlformats.org/officeDocument/2006/relationships/hyperlink" Target="mailto:agalvezp@ugr.es" TargetMode="External"/><Relationship Id="rId22" Type="http://schemas.openxmlformats.org/officeDocument/2006/relationships/hyperlink" Target="mailto:zbxie@issas.ac.cn" TargetMode="External"/><Relationship Id="rId27" Type="http://schemas.openxmlformats.org/officeDocument/2006/relationships/hyperlink" Target="mailto:catherine.stewart@colostate.edu" TargetMode="External"/><Relationship Id="rId43" Type="http://schemas.openxmlformats.org/officeDocument/2006/relationships/hyperlink" Target="https://doi.org/10.1016/j.soilbio.2014.04.029" TargetMode="External"/><Relationship Id="rId48" Type="http://schemas.openxmlformats.org/officeDocument/2006/relationships/hyperlink" Target="mailto:kuzyakov@gwdg.de" TargetMode="External"/><Relationship Id="rId64" Type="http://schemas.openxmlformats.org/officeDocument/2006/relationships/hyperlink" Target="mailto:samanherath@uwu.ac.lk" TargetMode="External"/><Relationship Id="rId69" Type="http://schemas.openxmlformats.org/officeDocument/2006/relationships/hyperlink" Target="mailto:azimmer@ufl.edu" TargetMode="External"/><Relationship Id="rId113" Type="http://schemas.openxmlformats.org/officeDocument/2006/relationships/hyperlink" Target="mailto:dsst@plen.ku.dk" TargetMode="External"/><Relationship Id="rId118" Type="http://schemas.openxmlformats.org/officeDocument/2006/relationships/hyperlink" Target="mailto:Sonja.schimmelpfennig@bot2.bio.uni-giessen.de" TargetMode="External"/><Relationship Id="rId134" Type="http://schemas.openxmlformats.org/officeDocument/2006/relationships/hyperlink" Target="https://doi.org/10.3390/app9214481" TargetMode="External"/><Relationship Id="rId139" Type="http://schemas.openxmlformats.org/officeDocument/2006/relationships/hyperlink" Target="mailto:lukas.van.zwieten@dpi.nsw.gov.au" TargetMode="External"/><Relationship Id="rId80" Type="http://schemas.openxmlformats.org/officeDocument/2006/relationships/hyperlink" Target="mailto:axel.don@thuenen.de" TargetMode="External"/><Relationship Id="rId85" Type="http://schemas.openxmlformats.org/officeDocument/2006/relationships/hyperlink" Target="https://doi.org/10.3390/AGRONOMY9070384" TargetMode="External"/><Relationship Id="rId150" Type="http://schemas.microsoft.com/office/2017/10/relationships/threadedComment" Target="../threadedComments/threadedComment1.xml"/><Relationship Id="rId12" Type="http://schemas.openxmlformats.org/officeDocument/2006/relationships/hyperlink" Target="mailto:jeff.baldock@adl.clw.csiro.au" TargetMode="External"/><Relationship Id="rId17" Type="http://schemas.openxmlformats.org/officeDocument/2006/relationships/hyperlink" Target="https://doi.org/10.1111/gcbb.12219" TargetMode="External"/><Relationship Id="rId33" Type="http://schemas.openxmlformats.org/officeDocument/2006/relationships/hyperlink" Target="https://doi.org/10.1111/gcbb.12158" TargetMode="External"/><Relationship Id="rId38" Type="http://schemas.openxmlformats.org/officeDocument/2006/relationships/hyperlink" Target="mailto:samuel.abiven@geo.uzh.ch" TargetMode="External"/><Relationship Id="rId59" Type="http://schemas.openxmlformats.org/officeDocument/2006/relationships/hyperlink" Target="https://doi.org/10.1111/ejss.12074" TargetMode="External"/><Relationship Id="rId103" Type="http://schemas.openxmlformats.org/officeDocument/2006/relationships/hyperlink" Target="mailto:rafaelaconz@gmail.com" TargetMode="External"/><Relationship Id="rId108" Type="http://schemas.openxmlformats.org/officeDocument/2006/relationships/hyperlink" Target="https://doi.org/10.1016/j.envint.2019.105211" TargetMode="External"/><Relationship Id="rId124" Type="http://schemas.openxmlformats.org/officeDocument/2006/relationships/hyperlink" Target="mailto:yunying.fang@dpi.nsw.gov.au" TargetMode="External"/><Relationship Id="rId129" Type="http://schemas.openxmlformats.org/officeDocument/2006/relationships/hyperlink" Target="mailto:bp.singh@dpi.nsw.gov.au" TargetMode="External"/><Relationship Id="rId54" Type="http://schemas.openxmlformats.org/officeDocument/2006/relationships/hyperlink" Target="mailto:andrew.cross@ed.ac.uk" TargetMode="External"/><Relationship Id="rId70" Type="http://schemas.openxmlformats.org/officeDocument/2006/relationships/hyperlink" Target="mailto:bp.singh@dpi.nsw.gov.au" TargetMode="External"/><Relationship Id="rId75" Type="http://schemas.openxmlformats.org/officeDocument/2006/relationships/hyperlink" Target="https://doi.org/10.1021/es302545b" TargetMode="External"/><Relationship Id="rId91" Type="http://schemas.openxmlformats.org/officeDocument/2006/relationships/hyperlink" Target="https://doi.org/10.1016/j.soilbio.2010.07.012" TargetMode="External"/><Relationship Id="rId96" Type="http://schemas.openxmlformats.org/officeDocument/2006/relationships/hyperlink" Target="https://doi.org/10.1111/j.1757-1707.2010.01055.x" TargetMode="External"/><Relationship Id="rId140" Type="http://schemas.openxmlformats.org/officeDocument/2006/relationships/hyperlink" Target="https://doi.org/10.1071/SR10036" TargetMode="External"/><Relationship Id="rId145" Type="http://schemas.openxmlformats.org/officeDocument/2006/relationships/hyperlink" Target="https://doi.org/10.3390/agronomy11020336" TargetMode="External"/><Relationship Id="rId1" Type="http://schemas.openxmlformats.org/officeDocument/2006/relationships/hyperlink" Target="mailto:fangyunying@gmail.com" TargetMode="External"/><Relationship Id="rId6" Type="http://schemas.openxmlformats.org/officeDocument/2006/relationships/hyperlink" Target="mailto:jeff.novak@ars.usda.gov" TargetMode="External"/><Relationship Id="rId23" Type="http://schemas.openxmlformats.org/officeDocument/2006/relationships/hyperlink" Target="https://doi.org/10.1016/j.soilbio.2011.04.018" TargetMode="External"/><Relationship Id="rId28" Type="http://schemas.openxmlformats.org/officeDocument/2006/relationships/hyperlink" Target="https://doi.org/10.1111/gcbb.12001" TargetMode="External"/><Relationship Id="rId49" Type="http://schemas.openxmlformats.org/officeDocument/2006/relationships/hyperlink" Target="https://doi.org/10.1021/es202186j" TargetMode="External"/><Relationship Id="rId114" Type="http://schemas.openxmlformats.org/officeDocument/2006/relationships/hyperlink" Target="https://doi.org/10.1016/j.geoderma.2015.12.018" TargetMode="External"/><Relationship Id="rId119" Type="http://schemas.openxmlformats.org/officeDocument/2006/relationships/hyperlink" Target="https://doi.org/10.1016/j.agee.2014.03.027" TargetMode="External"/><Relationship Id="rId44" Type="http://schemas.openxmlformats.org/officeDocument/2006/relationships/hyperlink" Target="mailto:wxding@mail.issas.ac.cn" TargetMode="External"/><Relationship Id="rId60" Type="http://schemas.openxmlformats.org/officeDocument/2006/relationships/hyperlink" Target="mailto:chris.bamminger@rub.de" TargetMode="External"/><Relationship Id="rId65" Type="http://schemas.openxmlformats.org/officeDocument/2006/relationships/hyperlink" Target="https://doi.org/10.1016/j.soilbio.2015.06.003" TargetMode="External"/><Relationship Id="rId81" Type="http://schemas.openxmlformats.org/officeDocument/2006/relationships/hyperlink" Target="https://doi.org/10.1016/J.SCITOTENV.2018.02.164" TargetMode="External"/><Relationship Id="rId86" Type="http://schemas.openxmlformats.org/officeDocument/2006/relationships/hyperlink" Target="mailto:otavioleal@hotmail.com" TargetMode="External"/><Relationship Id="rId130" Type="http://schemas.openxmlformats.org/officeDocument/2006/relationships/hyperlink" Target="https://doi.org/10.1007/s11104-013-1745-6" TargetMode="External"/><Relationship Id="rId135" Type="http://schemas.openxmlformats.org/officeDocument/2006/relationships/hyperlink" Target="mailto:cicerocf@unb.br" TargetMode="External"/><Relationship Id="rId13" Type="http://schemas.openxmlformats.org/officeDocument/2006/relationships/hyperlink" Target="http://doi.org/10.1371/journal.pone.0184383" TargetMode="External"/><Relationship Id="rId18" Type="http://schemas.openxmlformats.org/officeDocument/2006/relationships/hyperlink" Target="https://doi.org/10.1007/s00374-018-1329-y" TargetMode="External"/><Relationship Id="rId39" Type="http://schemas.openxmlformats.org/officeDocument/2006/relationships/hyperlink" Target="mailto:samuel.abiven@geo.uzh.ch" TargetMode="External"/><Relationship Id="rId109" Type="http://schemas.openxmlformats.org/officeDocument/2006/relationships/hyperlink" Target="https://doi.org/10.1016/j.agee.2011.06.015" TargetMode="External"/><Relationship Id="rId34" Type="http://schemas.openxmlformats.org/officeDocument/2006/relationships/hyperlink" Target="mailto:cornelia.rumpel@grignon.inra.fr" TargetMode="External"/><Relationship Id="rId50" Type="http://schemas.openxmlformats.org/officeDocument/2006/relationships/hyperlink" Target="mailto:balwant.singh@sydney.edu.au" TargetMode="External"/><Relationship Id="rId55" Type="http://schemas.openxmlformats.org/officeDocument/2006/relationships/hyperlink" Target="https://doi.org/10.1111/ejss.12073" TargetMode="External"/><Relationship Id="rId76" Type="http://schemas.openxmlformats.org/officeDocument/2006/relationships/hyperlink" Target="https://doi.org/10.1201/b14585" TargetMode="External"/><Relationship Id="rId97" Type="http://schemas.openxmlformats.org/officeDocument/2006/relationships/hyperlink" Target="mailto:blchen@zju.edu.cn" TargetMode="External"/><Relationship Id="rId104" Type="http://schemas.openxmlformats.org/officeDocument/2006/relationships/hyperlink" Target="https://doi.org/10.1111/j.1757-1707.2012.01163.x" TargetMode="External"/><Relationship Id="rId120" Type="http://schemas.openxmlformats.org/officeDocument/2006/relationships/hyperlink" Target="https://doi.org/10.2134/jeq2011.0058" TargetMode="External"/><Relationship Id="rId125" Type="http://schemas.openxmlformats.org/officeDocument/2006/relationships/hyperlink" Target="mailto:marialuz.cayuela@wur.nl" TargetMode="External"/><Relationship Id="rId141" Type="http://schemas.openxmlformats.org/officeDocument/2006/relationships/hyperlink" Target="https://doi.org/10.1007/s10533-021-00767-x" TargetMode="External"/><Relationship Id="rId146" Type="http://schemas.openxmlformats.org/officeDocument/2006/relationships/hyperlink" Target="mailto:marie-liesse.aubertin@inrae.fr;%20'cornelia.rumpel@inrae.fr'" TargetMode="External"/><Relationship Id="rId7" Type="http://schemas.openxmlformats.org/officeDocument/2006/relationships/hyperlink" Target="https://doi.org/10.1016/j.orggeochem.2006.06.022" TargetMode="External"/><Relationship Id="rId71" Type="http://schemas.openxmlformats.org/officeDocument/2006/relationships/hyperlink" Target="mailto:azimmer@ufl.edu" TargetMode="External"/><Relationship Id="rId92" Type="http://schemas.openxmlformats.org/officeDocument/2006/relationships/hyperlink" Target="mailto:christian.knoblauch@uni-hamburg.de" TargetMode="External"/><Relationship Id="rId2" Type="http://schemas.openxmlformats.org/officeDocument/2006/relationships/hyperlink" Target="https://doi.org/10.1111/EJSS.12808" TargetMode="External"/><Relationship Id="rId29" Type="http://schemas.openxmlformats.org/officeDocument/2006/relationships/hyperlink" Target="mailto:jbird@qc.cuny.edu" TargetMode="External"/><Relationship Id="rId24" Type="http://schemas.openxmlformats.org/officeDocument/2006/relationships/hyperlink" Target="mailto:d.jones@bangor.ac.uk" TargetMode="External"/><Relationship Id="rId40" Type="http://schemas.openxmlformats.org/officeDocument/2006/relationships/hyperlink" Target="https://doi.org/10.1016/j.soilbio.2013.11.013" TargetMode="External"/><Relationship Id="rId45" Type="http://schemas.openxmlformats.org/officeDocument/2006/relationships/hyperlink" Target="https://doi.org/10.1016/j.soilbio.2013.12.021" TargetMode="External"/><Relationship Id="rId66" Type="http://schemas.openxmlformats.org/officeDocument/2006/relationships/hyperlink" Target="mailto:CL273@cornell.edu" TargetMode="External"/><Relationship Id="rId87" Type="http://schemas.openxmlformats.org/officeDocument/2006/relationships/hyperlink" Target="https://doi.org/10.1016/J.JAAP.2021.105186" TargetMode="External"/><Relationship Id="rId110" Type="http://schemas.openxmlformats.org/officeDocument/2006/relationships/hyperlink" Target="https://doi.org/10.3390/soilsystems3010008" TargetMode="External"/><Relationship Id="rId115" Type="http://schemas.openxmlformats.org/officeDocument/2006/relationships/hyperlink" Target="mailto:jkern@atb-potsdam.de" TargetMode="External"/><Relationship Id="rId131" Type="http://schemas.openxmlformats.org/officeDocument/2006/relationships/hyperlink" Target="mailto:brkwils@yahoo.com" TargetMode="External"/><Relationship Id="rId136" Type="http://schemas.openxmlformats.org/officeDocument/2006/relationships/hyperlink" Target="https://doi.org/10.1007/s00374-014-0980-1" TargetMode="External"/><Relationship Id="rId61" Type="http://schemas.openxmlformats.org/officeDocument/2006/relationships/hyperlink" Target="https://doi.org/10.1016/j.agee.2016.02.033" TargetMode="External"/><Relationship Id="rId82" Type="http://schemas.openxmlformats.org/officeDocument/2006/relationships/hyperlink" Target="mailto:glanza@atb-potsdam.de" TargetMode="External"/><Relationship Id="rId19" Type="http://schemas.openxmlformats.org/officeDocument/2006/relationships/hyperlink" Target="mailto:maurizio.ventura@unibz.it" TargetMode="External"/><Relationship Id="rId14" Type="http://schemas.openxmlformats.org/officeDocument/2006/relationships/hyperlink" Target="mailto:daniel.rasse@nibio.no" TargetMode="External"/><Relationship Id="rId30" Type="http://schemas.openxmlformats.org/officeDocument/2006/relationships/hyperlink" Target="https://doi.org/10.1016/j.soilbio.2012.04.005" TargetMode="External"/><Relationship Id="rId35" Type="http://schemas.openxmlformats.org/officeDocument/2006/relationships/hyperlink" Target="https://doi.org/10.1016/j.soilbio.2013.03.013" TargetMode="External"/><Relationship Id="rId56" Type="http://schemas.openxmlformats.org/officeDocument/2006/relationships/hyperlink" Target="mailto:sab@life.ku.dk" TargetMode="External"/><Relationship Id="rId77" Type="http://schemas.openxmlformats.org/officeDocument/2006/relationships/hyperlink" Target="mailto:lgj@ustc.edu.cn" TargetMode="External"/><Relationship Id="rId100" Type="http://schemas.openxmlformats.org/officeDocument/2006/relationships/hyperlink" Target="https://doi.org/10.1038/srep25127" TargetMode="External"/><Relationship Id="rId105" Type="http://schemas.openxmlformats.org/officeDocument/2006/relationships/hyperlink" Target="mailto:marialuz.cayuela@gmail.com" TargetMode="External"/><Relationship Id="rId126" Type="http://schemas.openxmlformats.org/officeDocument/2006/relationships/hyperlink" Target="mailto:hanlanfang@gdut.edu.cn" TargetMode="External"/><Relationship Id="rId147" Type="http://schemas.openxmlformats.org/officeDocument/2006/relationships/printerSettings" Target="../printerSettings/printerSettings1.bin"/><Relationship Id="rId8" Type="http://schemas.openxmlformats.org/officeDocument/2006/relationships/hyperlink" Target="mailto:CL273@cornell.edu" TargetMode="External"/><Relationship Id="rId51" Type="http://schemas.openxmlformats.org/officeDocument/2006/relationships/hyperlink" Target="https://doi.org/10.1016/j.scitotenv.2013.03.090" TargetMode="External"/><Relationship Id="rId72" Type="http://schemas.openxmlformats.org/officeDocument/2006/relationships/hyperlink" Target="mailto:CL273@cornell.edu" TargetMode="External"/><Relationship Id="rId93" Type="http://schemas.openxmlformats.org/officeDocument/2006/relationships/hyperlink" Target="https://doi.org/10.1038/s41598-020-57987-8" TargetMode="External"/><Relationship Id="rId98" Type="http://schemas.openxmlformats.org/officeDocument/2006/relationships/hyperlink" Target="https://doi.org/10.1016/j.jenvman.2015.10.006" TargetMode="External"/><Relationship Id="rId121" Type="http://schemas.openxmlformats.org/officeDocument/2006/relationships/hyperlink" Target="mailto:daniela.busch@landw.uni-halle.de" TargetMode="External"/><Relationship Id="rId142" Type="http://schemas.openxmlformats.org/officeDocument/2006/relationships/hyperlink" Target="mailto:santosf@ornl.gov" TargetMode="External"/><Relationship Id="rId3" Type="http://schemas.openxmlformats.org/officeDocument/2006/relationships/hyperlink" Target="https://doi.org/10.1016/j.orggeochem.2009.05.004" TargetMode="External"/><Relationship Id="rId25" Type="http://schemas.openxmlformats.org/officeDocument/2006/relationships/hyperlink" Target="https://doi.org/10.1016/S2095-3119(13)60704-2" TargetMode="External"/><Relationship Id="rId46" Type="http://schemas.openxmlformats.org/officeDocument/2006/relationships/hyperlink" Target="mailto:kuzyakov@gwdg.de" TargetMode="External"/><Relationship Id="rId67" Type="http://schemas.openxmlformats.org/officeDocument/2006/relationships/hyperlink" Target="https://doi.org/10.1016/j.agee.2014.02.018" TargetMode="External"/><Relationship Id="rId116" Type="http://schemas.openxmlformats.org/officeDocument/2006/relationships/hyperlink" Target="mailto:s.baronti@ibimet.cnr.it" TargetMode="External"/><Relationship Id="rId137" Type="http://schemas.openxmlformats.org/officeDocument/2006/relationships/hyperlink" Target="mailto:gerd.gleixner@bgc-jena.mpg.de" TargetMode="External"/><Relationship Id="rId20" Type="http://schemas.openxmlformats.org/officeDocument/2006/relationships/hyperlink" Target="mailto:maurizio.ventura@unibz.it" TargetMode="External"/><Relationship Id="rId41" Type="http://schemas.openxmlformats.org/officeDocument/2006/relationships/hyperlink" Target="mailto:linqm@cau.edu.cn" TargetMode="External"/><Relationship Id="rId62" Type="http://schemas.openxmlformats.org/officeDocument/2006/relationships/hyperlink" Target="mailto:weixiang@zju.edu.cn" TargetMode="External"/><Relationship Id="rId83" Type="http://schemas.openxmlformats.org/officeDocument/2006/relationships/hyperlink" Target="https://doi.org/10.1016/j.scitotenv.2017.09.124" TargetMode="External"/><Relationship Id="rId88" Type="http://schemas.openxmlformats.org/officeDocument/2006/relationships/hyperlink" Target="mailto:pcampos@irnas.csic.es" TargetMode="External"/><Relationship Id="rId111" Type="http://schemas.openxmlformats.org/officeDocument/2006/relationships/hyperlink" Target="mailto:rfidel@email.arizona.edu" TargetMode="External"/><Relationship Id="rId132" Type="http://schemas.openxmlformats.org/officeDocument/2006/relationships/hyperlink" Target="https://doi.org/10.1016/j.apsoil.2017.01.006" TargetMode="External"/><Relationship Id="rId15" Type="http://schemas.openxmlformats.org/officeDocument/2006/relationships/hyperlink" Target="https://doi.org/10.1007/s00374-016-1116-6" TargetMode="External"/><Relationship Id="rId36" Type="http://schemas.openxmlformats.org/officeDocument/2006/relationships/hyperlink" Target="https://doi.org/10.5194/bg-11-5199-2014" TargetMode="External"/><Relationship Id="rId57" Type="http://schemas.openxmlformats.org/officeDocument/2006/relationships/hyperlink" Target="https://doi.org/10.1016/j.orggeochem.2008.04.020" TargetMode="External"/><Relationship Id="rId106" Type="http://schemas.openxmlformats.org/officeDocument/2006/relationships/hyperlink" Target="mailto:hilscher@wzw.tum.de" TargetMode="External"/><Relationship Id="rId127" Type="http://schemas.openxmlformats.org/officeDocument/2006/relationships/hyperlink" Target="https://doi.org/10.1016/j.soilbio.2022.108657" TargetMode="External"/><Relationship Id="rId10" Type="http://schemas.openxmlformats.org/officeDocument/2006/relationships/hyperlink" Target="mailto:ute.hamer@ruhr-uni-bochum.de" TargetMode="External"/><Relationship Id="rId31" Type="http://schemas.openxmlformats.org/officeDocument/2006/relationships/hyperlink" Target="mailto:curtis.dell@ars.usda.gov" TargetMode="External"/><Relationship Id="rId52" Type="http://schemas.openxmlformats.org/officeDocument/2006/relationships/hyperlink" Target="mailto:mark.farrell@csiro.au" TargetMode="External"/><Relationship Id="rId73" Type="http://schemas.openxmlformats.org/officeDocument/2006/relationships/hyperlink" Target="https://doi.org/10.1111/j.1365-2486.2009.02044.x" TargetMode="External"/><Relationship Id="rId78" Type="http://schemas.openxmlformats.org/officeDocument/2006/relationships/hyperlink" Target="https://doi.org/10.1111/gcbb.12401" TargetMode="External"/><Relationship Id="rId94" Type="http://schemas.openxmlformats.org/officeDocument/2006/relationships/hyperlink" Target="mailto:qschoudhary@gmail.com" TargetMode="External"/><Relationship Id="rId99" Type="http://schemas.openxmlformats.org/officeDocument/2006/relationships/hyperlink" Target="mailto:sslee97@kangwon.ac.kr" TargetMode="External"/><Relationship Id="rId101" Type="http://schemas.openxmlformats.org/officeDocument/2006/relationships/hyperlink" Target="mailto:m.hernandezsoriano@uq.edu.au" TargetMode="External"/><Relationship Id="rId122" Type="http://schemas.openxmlformats.org/officeDocument/2006/relationships/hyperlink" Target="https://doi.org/10.1111/sum.12180" TargetMode="External"/><Relationship Id="rId143" Type="http://schemas.openxmlformats.org/officeDocument/2006/relationships/hyperlink" Target="mailto:farooq.qayyum@ernaehrung.uni-giessen.de" TargetMode="External"/><Relationship Id="rId148" Type="http://schemas.openxmlformats.org/officeDocument/2006/relationships/vmlDrawing" Target="../drawings/vmlDrawing1.vml"/><Relationship Id="rId4" Type="http://schemas.openxmlformats.org/officeDocument/2006/relationships/hyperlink" Target="mailto:CL273@cornell.edu" TargetMode="External"/><Relationship Id="rId9" Type="http://schemas.openxmlformats.org/officeDocument/2006/relationships/hyperlink" Target="https://doi.org/10.1016/j.orggeochem.2004.03.003" TargetMode="External"/><Relationship Id="rId26" Type="http://schemas.openxmlformats.org/officeDocument/2006/relationships/hyperlink" Target="mailto:yunfengyin@163.com" TargetMode="External"/><Relationship Id="rId47" Type="http://schemas.openxmlformats.org/officeDocument/2006/relationships/hyperlink" Target="https://doi.org/10.1016/j.soilbio.2008.10.016" TargetMode="External"/><Relationship Id="rId68" Type="http://schemas.openxmlformats.org/officeDocument/2006/relationships/hyperlink" Target="mailto:yunying.fang@dpi.nsw.gov.au" TargetMode="External"/><Relationship Id="rId89" Type="http://schemas.openxmlformats.org/officeDocument/2006/relationships/hyperlink" Target="https://doi.org/10.3390/F12101350" TargetMode="External"/><Relationship Id="rId112" Type="http://schemas.openxmlformats.org/officeDocument/2006/relationships/hyperlink" Target="https://doi.org/10.1016/j.geoderma.2016.01.033" TargetMode="External"/><Relationship Id="rId133" Type="http://schemas.openxmlformats.org/officeDocument/2006/relationships/hyperlink" Target="mailto:sonja.schimmelpfennig@thuenen.de" TargetMode="External"/><Relationship Id="rId16" Type="http://schemas.openxmlformats.org/officeDocument/2006/relationships/hyperlink" Target="mailto:Alice.Budai@nibio.no" TargetMode="External"/><Relationship Id="rId37" Type="http://schemas.openxmlformats.org/officeDocument/2006/relationships/hyperlink" Target="mailto:smalgh@bgc-jena.mpg.de" TargetMode="External"/><Relationship Id="rId58" Type="http://schemas.openxmlformats.org/officeDocument/2006/relationships/hyperlink" Target="mailto:sab@life.ku.dk" TargetMode="External"/><Relationship Id="rId79" Type="http://schemas.openxmlformats.org/officeDocument/2006/relationships/hyperlink" Target="https://doi.org/10.1016/j.geoderma.2016.08.019" TargetMode="External"/><Relationship Id="rId102" Type="http://schemas.openxmlformats.org/officeDocument/2006/relationships/hyperlink" Target="https://doi.org/10.4236/as.2017.89067" TargetMode="External"/><Relationship Id="rId123" Type="http://schemas.openxmlformats.org/officeDocument/2006/relationships/hyperlink" Target="https://doi.org/10.1111/ejss.12094" TargetMode="External"/><Relationship Id="rId144" Type="http://schemas.openxmlformats.org/officeDocument/2006/relationships/hyperlink" Target="mailto:cl273@cornell.edu" TargetMode="External"/><Relationship Id="rId90" Type="http://schemas.openxmlformats.org/officeDocument/2006/relationships/hyperlink" Target="mailto:irene.criscuoli@crea.gov.it"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80"/>
  <sheetViews>
    <sheetView zoomScale="85" zoomScaleNormal="85" workbookViewId="0">
      <pane xSplit="3" ySplit="7" topLeftCell="E53" activePane="bottomRight" state="frozen"/>
      <selection pane="topRight" activeCell="D1" sqref="D1"/>
      <selection pane="bottomLeft" activeCell="A8" sqref="A8"/>
      <selection pane="bottomRight" activeCell="F84" sqref="F84"/>
    </sheetView>
  </sheetViews>
  <sheetFormatPr defaultRowHeight="14.4" x14ac:dyDescent="0.3"/>
  <cols>
    <col min="1" max="1" width="7.33203125" customWidth="1"/>
    <col min="2" max="2" width="9.109375" customWidth="1"/>
    <col min="3" max="3" width="24.5546875" customWidth="1"/>
    <col min="4" max="4" width="15.5546875" customWidth="1"/>
    <col min="5" max="5" width="8" customWidth="1"/>
    <col min="6" max="6" width="18" customWidth="1"/>
    <col min="7" max="7" width="15.21875" customWidth="1"/>
    <col min="8" max="8" width="15.44140625" customWidth="1"/>
    <col min="9" max="10" width="18.33203125" customWidth="1"/>
    <col min="11" max="11" width="7.109375" customWidth="1"/>
    <col min="12" max="12" width="11.77734375" customWidth="1"/>
    <col min="13" max="13" width="9.6640625" customWidth="1"/>
    <col min="14" max="15" width="9.5546875" customWidth="1"/>
    <col min="16" max="16" width="12.33203125" customWidth="1"/>
    <col min="17" max="17" width="10" customWidth="1"/>
  </cols>
  <sheetData>
    <row r="1" spans="1:17" x14ac:dyDescent="0.3">
      <c r="A1" s="1" t="s">
        <v>0</v>
      </c>
      <c r="B1" t="s">
        <v>1</v>
      </c>
      <c r="C1">
        <f>COUNT(_xlfn.UNIQUE(B8:B4974))</f>
        <v>73</v>
      </c>
      <c r="D1" t="s">
        <v>1432</v>
      </c>
    </row>
    <row r="2" spans="1:17" x14ac:dyDescent="0.3">
      <c r="A2" s="1" t="s">
        <v>2</v>
      </c>
      <c r="B2" t="s">
        <v>3</v>
      </c>
    </row>
    <row r="3" spans="1:17" x14ac:dyDescent="0.3">
      <c r="A3" s="1"/>
      <c r="K3">
        <f>SUM(K8:K98)</f>
        <v>259</v>
      </c>
    </row>
    <row r="4" spans="1:17" x14ac:dyDescent="0.3">
      <c r="A4" s="2" t="s">
        <v>4</v>
      </c>
      <c r="B4" s="2" t="s">
        <v>5</v>
      </c>
      <c r="C4" s="2" t="s">
        <v>6</v>
      </c>
      <c r="D4" s="2" t="s">
        <v>7</v>
      </c>
      <c r="E4" s="2" t="s">
        <v>8</v>
      </c>
      <c r="F4" s="2" t="s">
        <v>9</v>
      </c>
      <c r="G4" s="2" t="s">
        <v>10</v>
      </c>
      <c r="H4" s="2" t="s">
        <v>11</v>
      </c>
      <c r="I4" s="2" t="s">
        <v>12</v>
      </c>
      <c r="J4" s="2" t="s">
        <v>1476</v>
      </c>
      <c r="K4" s="2" t="s">
        <v>13</v>
      </c>
      <c r="L4" s="2" t="s">
        <v>14</v>
      </c>
      <c r="M4" s="2" t="s">
        <v>15</v>
      </c>
      <c r="N4" s="2" t="s">
        <v>16</v>
      </c>
      <c r="O4" s="2" t="s">
        <v>17</v>
      </c>
      <c r="P4" s="2" t="s">
        <v>18</v>
      </c>
      <c r="Q4" s="19" t="s">
        <v>19</v>
      </c>
    </row>
    <row r="5" spans="1:17" x14ac:dyDescent="0.3">
      <c r="A5" s="2" t="s">
        <v>20</v>
      </c>
      <c r="B5" s="3" t="s">
        <v>21</v>
      </c>
      <c r="C5" s="3" t="s">
        <v>22</v>
      </c>
      <c r="D5" s="3" t="s">
        <v>23</v>
      </c>
      <c r="E5" s="3" t="s">
        <v>24</v>
      </c>
      <c r="F5" s="3" t="s">
        <v>25</v>
      </c>
      <c r="G5" s="3" t="s">
        <v>26</v>
      </c>
      <c r="H5" s="3" t="s">
        <v>27</v>
      </c>
      <c r="I5" s="3" t="s">
        <v>28</v>
      </c>
      <c r="J5" s="3" t="s">
        <v>1477</v>
      </c>
      <c r="K5" s="3" t="s">
        <v>29</v>
      </c>
      <c r="L5" s="3" t="s">
        <v>30</v>
      </c>
      <c r="M5" s="3" t="s">
        <v>31</v>
      </c>
      <c r="N5" s="3" t="s">
        <v>32</v>
      </c>
      <c r="O5" s="3" t="s">
        <v>33</v>
      </c>
      <c r="P5" s="3" t="s">
        <v>34</v>
      </c>
      <c r="Q5" s="20" t="s">
        <v>35</v>
      </c>
    </row>
    <row r="6" spans="1:17" x14ac:dyDescent="0.3">
      <c r="A6" s="2" t="s">
        <v>36</v>
      </c>
      <c r="B6" s="3" t="s">
        <v>37</v>
      </c>
      <c r="C6" s="3" t="s">
        <v>38</v>
      </c>
      <c r="D6" s="3" t="s">
        <v>38</v>
      </c>
      <c r="E6" s="3" t="s">
        <v>39</v>
      </c>
      <c r="F6" s="3" t="s">
        <v>40</v>
      </c>
      <c r="G6" s="3" t="s">
        <v>41</v>
      </c>
      <c r="H6" s="3" t="s">
        <v>38</v>
      </c>
      <c r="I6" s="3" t="s">
        <v>41</v>
      </c>
      <c r="J6" s="3" t="s">
        <v>41</v>
      </c>
      <c r="K6" s="3" t="s">
        <v>42</v>
      </c>
      <c r="L6" s="3" t="s">
        <v>41</v>
      </c>
      <c r="M6" s="3" t="s">
        <v>41</v>
      </c>
      <c r="N6" s="3" t="s">
        <v>41</v>
      </c>
      <c r="O6" s="3" t="s">
        <v>41</v>
      </c>
      <c r="P6" s="3" t="s">
        <v>41</v>
      </c>
      <c r="Q6" s="20" t="s">
        <v>41</v>
      </c>
    </row>
    <row r="7" spans="1:17" x14ac:dyDescent="0.3">
      <c r="A7" s="2" t="s">
        <v>43</v>
      </c>
      <c r="B7" s="3" t="s">
        <v>44</v>
      </c>
      <c r="C7" s="3" t="s">
        <v>45</v>
      </c>
      <c r="D7" s="3" t="s">
        <v>46</v>
      </c>
      <c r="E7" s="3" t="s">
        <v>47</v>
      </c>
      <c r="F7" s="3" t="s">
        <v>48</v>
      </c>
      <c r="G7" s="3" t="s">
        <v>1461</v>
      </c>
      <c r="H7" s="3" t="s">
        <v>49</v>
      </c>
      <c r="I7" s="3" t="s">
        <v>50</v>
      </c>
      <c r="J7" s="3" t="s">
        <v>1533</v>
      </c>
      <c r="K7" s="3" t="s">
        <v>51</v>
      </c>
      <c r="L7" s="3" t="s">
        <v>52</v>
      </c>
      <c r="M7" s="3" t="s">
        <v>53</v>
      </c>
      <c r="N7" s="3" t="s">
        <v>54</v>
      </c>
      <c r="O7" s="3" t="s">
        <v>55</v>
      </c>
      <c r="P7" s="3" t="s">
        <v>56</v>
      </c>
      <c r="Q7" s="20" t="s">
        <v>57</v>
      </c>
    </row>
    <row r="8" spans="1:17" x14ac:dyDescent="0.3">
      <c r="B8" s="82">
        <v>1</v>
      </c>
      <c r="C8" s="13" t="s">
        <v>363</v>
      </c>
      <c r="D8" t="s">
        <v>400</v>
      </c>
      <c r="E8" s="4" t="s">
        <v>430</v>
      </c>
      <c r="F8" s="4" t="s">
        <v>440</v>
      </c>
      <c r="G8" t="s">
        <v>1462</v>
      </c>
      <c r="H8" t="s">
        <v>1464</v>
      </c>
      <c r="I8" t="s">
        <v>530</v>
      </c>
      <c r="J8" s="101" t="s">
        <v>451</v>
      </c>
      <c r="K8">
        <v>1</v>
      </c>
      <c r="L8" t="s">
        <v>453</v>
      </c>
      <c r="N8" t="s">
        <v>454</v>
      </c>
      <c r="O8" t="s">
        <v>453</v>
      </c>
      <c r="P8" t="s">
        <v>453</v>
      </c>
      <c r="Q8" t="s">
        <v>453</v>
      </c>
    </row>
    <row r="9" spans="1:17" x14ac:dyDescent="0.3">
      <c r="B9" s="82">
        <v>2</v>
      </c>
      <c r="C9" s="13" t="s">
        <v>364</v>
      </c>
      <c r="D9" t="s">
        <v>401</v>
      </c>
      <c r="E9" s="4" t="s">
        <v>431</v>
      </c>
      <c r="F9" s="4" t="s">
        <v>441</v>
      </c>
      <c r="G9" t="s">
        <v>1469</v>
      </c>
      <c r="H9" t="s">
        <v>1468</v>
      </c>
      <c r="I9" t="s">
        <v>531</v>
      </c>
      <c r="J9" s="101" t="s">
        <v>451</v>
      </c>
      <c r="K9">
        <v>27</v>
      </c>
      <c r="L9" t="s">
        <v>453</v>
      </c>
      <c r="N9" t="s">
        <v>453</v>
      </c>
      <c r="O9" t="s">
        <v>453</v>
      </c>
      <c r="P9" t="s">
        <v>453</v>
      </c>
      <c r="Q9" t="s">
        <v>453</v>
      </c>
    </row>
    <row r="10" spans="1:17" x14ac:dyDescent="0.3">
      <c r="B10" s="82">
        <v>3</v>
      </c>
      <c r="C10" s="13" t="s">
        <v>15</v>
      </c>
      <c r="D10" t="s">
        <v>402</v>
      </c>
      <c r="E10" s="4" t="s">
        <v>432</v>
      </c>
      <c r="F10" s="4" t="s">
        <v>442</v>
      </c>
      <c r="G10" t="s">
        <v>1462</v>
      </c>
      <c r="H10" t="s">
        <v>1464</v>
      </c>
      <c r="I10" t="s">
        <v>532</v>
      </c>
      <c r="J10" s="101" t="s">
        <v>451</v>
      </c>
      <c r="K10">
        <v>11</v>
      </c>
      <c r="L10" t="s">
        <v>454</v>
      </c>
      <c r="N10" t="s">
        <v>453</v>
      </c>
      <c r="O10" t="s">
        <v>453</v>
      </c>
      <c r="P10" t="s">
        <v>453</v>
      </c>
      <c r="Q10" t="s">
        <v>453</v>
      </c>
    </row>
    <row r="11" spans="1:17" x14ac:dyDescent="0.3">
      <c r="B11" s="82">
        <v>4</v>
      </c>
      <c r="C11" s="13" t="s">
        <v>365</v>
      </c>
      <c r="D11" t="s">
        <v>528</v>
      </c>
      <c r="E11" s="4" t="s">
        <v>527</v>
      </c>
      <c r="F11" s="4" t="s">
        <v>441</v>
      </c>
      <c r="G11" t="s">
        <v>1469</v>
      </c>
      <c r="H11" t="s">
        <v>1468</v>
      </c>
      <c r="I11" t="s">
        <v>529</v>
      </c>
      <c r="J11" s="101" t="s">
        <v>451</v>
      </c>
      <c r="K11">
        <v>7</v>
      </c>
      <c r="L11" t="s">
        <v>454</v>
      </c>
      <c r="N11" t="s">
        <v>453</v>
      </c>
      <c r="O11" t="s">
        <v>453</v>
      </c>
      <c r="P11" t="s">
        <v>453</v>
      </c>
      <c r="Q11" t="s">
        <v>453</v>
      </c>
    </row>
    <row r="12" spans="1:17" x14ac:dyDescent="0.3">
      <c r="B12" s="82">
        <v>5</v>
      </c>
      <c r="C12" s="13" t="s">
        <v>997</v>
      </c>
      <c r="D12" t="s">
        <v>403</v>
      </c>
      <c r="E12" s="4" t="s">
        <v>433</v>
      </c>
      <c r="F12" s="4" t="s">
        <v>526</v>
      </c>
      <c r="G12" t="s">
        <v>1462</v>
      </c>
      <c r="H12" t="s">
        <v>1464</v>
      </c>
      <c r="I12" t="s">
        <v>525</v>
      </c>
      <c r="J12" s="101" t="s">
        <v>451</v>
      </c>
      <c r="K12">
        <v>30</v>
      </c>
      <c r="L12" t="s">
        <v>454</v>
      </c>
      <c r="N12" t="s">
        <v>454</v>
      </c>
      <c r="O12" t="s">
        <v>453</v>
      </c>
      <c r="P12" t="s">
        <v>453</v>
      </c>
      <c r="Q12" t="s">
        <v>453</v>
      </c>
    </row>
    <row r="13" spans="1:17" x14ac:dyDescent="0.3">
      <c r="B13" s="82">
        <v>6</v>
      </c>
      <c r="C13" s="13" t="s">
        <v>367</v>
      </c>
      <c r="D13" t="s">
        <v>404</v>
      </c>
      <c r="E13" s="4" t="s">
        <v>507</v>
      </c>
      <c r="F13" s="4" t="s">
        <v>444</v>
      </c>
      <c r="G13" t="s">
        <v>1462</v>
      </c>
      <c r="H13" t="s">
        <v>1465</v>
      </c>
      <c r="I13" t="s">
        <v>506</v>
      </c>
      <c r="J13" s="101" t="s">
        <v>451</v>
      </c>
      <c r="K13">
        <v>2</v>
      </c>
      <c r="L13" t="s">
        <v>454</v>
      </c>
      <c r="N13" t="s">
        <v>454</v>
      </c>
      <c r="O13" t="s">
        <v>453</v>
      </c>
      <c r="P13" t="s">
        <v>453</v>
      </c>
      <c r="Q13" t="s">
        <v>453</v>
      </c>
    </row>
    <row r="14" spans="1:17" x14ac:dyDescent="0.3">
      <c r="B14" s="92">
        <v>7</v>
      </c>
      <c r="C14" s="83" t="s">
        <v>368</v>
      </c>
      <c r="D14" t="s">
        <v>405</v>
      </c>
      <c r="E14" s="4" t="s">
        <v>434</v>
      </c>
      <c r="F14" s="4" t="s">
        <v>440</v>
      </c>
      <c r="G14" t="s">
        <v>1466</v>
      </c>
      <c r="H14" t="s">
        <v>1536</v>
      </c>
      <c r="I14" t="s">
        <v>524</v>
      </c>
      <c r="J14" s="101" t="s">
        <v>451</v>
      </c>
      <c r="K14">
        <v>2</v>
      </c>
      <c r="L14" t="s">
        <v>454</v>
      </c>
      <c r="N14" t="s">
        <v>454</v>
      </c>
      <c r="O14" t="s">
        <v>454</v>
      </c>
      <c r="P14" t="s">
        <v>453</v>
      </c>
      <c r="Q14" t="s">
        <v>453</v>
      </c>
    </row>
    <row r="15" spans="1:17" x14ac:dyDescent="0.3">
      <c r="B15" s="82">
        <v>8</v>
      </c>
      <c r="C15" s="13" t="s">
        <v>369</v>
      </c>
      <c r="D15" t="s">
        <v>406</v>
      </c>
      <c r="E15" s="4" t="s">
        <v>435</v>
      </c>
      <c r="F15" s="4" t="s">
        <v>445</v>
      </c>
      <c r="G15" t="s">
        <v>1462</v>
      </c>
      <c r="H15" t="s">
        <v>1465</v>
      </c>
      <c r="I15" t="s">
        <v>490</v>
      </c>
      <c r="J15" s="101" t="s">
        <v>451</v>
      </c>
      <c r="K15">
        <v>4</v>
      </c>
      <c r="L15" t="s">
        <v>454</v>
      </c>
      <c r="N15" t="s">
        <v>454</v>
      </c>
      <c r="O15" t="s">
        <v>453</v>
      </c>
      <c r="P15" t="s">
        <v>453</v>
      </c>
      <c r="Q15" t="s">
        <v>453</v>
      </c>
    </row>
    <row r="16" spans="1:17" x14ac:dyDescent="0.3">
      <c r="B16" s="82">
        <v>9</v>
      </c>
      <c r="C16" s="13" t="s">
        <v>370</v>
      </c>
      <c r="D16" t="s">
        <v>407</v>
      </c>
      <c r="E16" s="4" t="s">
        <v>436</v>
      </c>
      <c r="F16" s="4" t="s">
        <v>446</v>
      </c>
      <c r="G16" t="s">
        <v>1462</v>
      </c>
      <c r="H16" t="s">
        <v>1467</v>
      </c>
      <c r="I16" t="s">
        <v>523</v>
      </c>
      <c r="J16" s="101" t="s">
        <v>451</v>
      </c>
      <c r="K16">
        <v>5</v>
      </c>
      <c r="L16" t="s">
        <v>454</v>
      </c>
      <c r="N16" t="s">
        <v>454</v>
      </c>
      <c r="O16" t="s">
        <v>454</v>
      </c>
      <c r="P16" t="s">
        <v>453</v>
      </c>
      <c r="Q16" t="s">
        <v>453</v>
      </c>
    </row>
    <row r="17" spans="2:17" x14ac:dyDescent="0.3">
      <c r="B17">
        <v>10</v>
      </c>
      <c r="C17" s="18" t="s">
        <v>371</v>
      </c>
      <c r="D17" t="s">
        <v>408</v>
      </c>
      <c r="E17" s="4" t="s">
        <v>437</v>
      </c>
      <c r="F17" s="4" t="s">
        <v>522</v>
      </c>
      <c r="G17" t="s">
        <v>452</v>
      </c>
      <c r="I17" t="s">
        <v>520</v>
      </c>
      <c r="K17" s="18">
        <v>2</v>
      </c>
      <c r="L17" t="s">
        <v>454</v>
      </c>
      <c r="N17" t="s">
        <v>454</v>
      </c>
      <c r="O17" t="s">
        <v>453</v>
      </c>
      <c r="P17" t="s">
        <v>454</v>
      </c>
      <c r="Q17" t="s">
        <v>454</v>
      </c>
    </row>
    <row r="18" spans="2:17" x14ac:dyDescent="0.3">
      <c r="B18">
        <v>11</v>
      </c>
      <c r="C18" s="18" t="s">
        <v>372</v>
      </c>
      <c r="D18" t="s">
        <v>517</v>
      </c>
      <c r="E18" s="4" t="s">
        <v>521</v>
      </c>
      <c r="F18" s="4" t="s">
        <v>519</v>
      </c>
      <c r="G18" t="s">
        <v>452</v>
      </c>
      <c r="I18" t="s">
        <v>509</v>
      </c>
      <c r="K18" s="18">
        <v>3</v>
      </c>
      <c r="L18" t="s">
        <v>454</v>
      </c>
      <c r="N18" t="s">
        <v>454</v>
      </c>
      <c r="O18" t="s">
        <v>453</v>
      </c>
      <c r="P18" t="s">
        <v>454</v>
      </c>
      <c r="Q18" t="s">
        <v>454</v>
      </c>
    </row>
    <row r="19" spans="2:17" x14ac:dyDescent="0.3">
      <c r="B19">
        <v>12</v>
      </c>
      <c r="C19" s="18" t="s">
        <v>373</v>
      </c>
      <c r="D19" t="s">
        <v>409</v>
      </c>
      <c r="E19" s="4" t="s">
        <v>518</v>
      </c>
      <c r="F19" s="4" t="s">
        <v>519</v>
      </c>
      <c r="G19" t="s">
        <v>452</v>
      </c>
      <c r="I19" t="s">
        <v>520</v>
      </c>
      <c r="K19" s="18">
        <v>9</v>
      </c>
      <c r="L19" t="s">
        <v>454</v>
      </c>
      <c r="N19" t="s">
        <v>454</v>
      </c>
      <c r="O19" t="s">
        <v>453</v>
      </c>
      <c r="P19" t="s">
        <v>454</v>
      </c>
      <c r="Q19" t="s">
        <v>454</v>
      </c>
    </row>
    <row r="20" spans="2:17" x14ac:dyDescent="0.3">
      <c r="B20">
        <v>13</v>
      </c>
      <c r="C20" s="18" t="s">
        <v>374</v>
      </c>
      <c r="D20" t="s">
        <v>410</v>
      </c>
      <c r="E20" s="4" t="s">
        <v>515</v>
      </c>
      <c r="F20" s="4" t="s">
        <v>516</v>
      </c>
      <c r="G20" t="s">
        <v>452</v>
      </c>
      <c r="I20" t="s">
        <v>479</v>
      </c>
      <c r="K20" s="18">
        <v>20</v>
      </c>
      <c r="L20" t="s">
        <v>454</v>
      </c>
      <c r="N20" t="s">
        <v>454</v>
      </c>
      <c r="O20" t="s">
        <v>453</v>
      </c>
      <c r="P20" t="s">
        <v>454</v>
      </c>
      <c r="Q20" t="s">
        <v>454</v>
      </c>
    </row>
    <row r="21" spans="2:17" x14ac:dyDescent="0.3">
      <c r="B21">
        <v>14</v>
      </c>
      <c r="C21" s="18" t="s">
        <v>375</v>
      </c>
      <c r="D21" t="s">
        <v>411</v>
      </c>
      <c r="E21" s="4" t="s">
        <v>512</v>
      </c>
      <c r="F21" s="4" t="s">
        <v>513</v>
      </c>
      <c r="G21" t="s">
        <v>452</v>
      </c>
      <c r="I21" t="s">
        <v>514</v>
      </c>
      <c r="K21" s="18">
        <v>2</v>
      </c>
      <c r="L21" t="s">
        <v>454</v>
      </c>
      <c r="N21" t="s">
        <v>454</v>
      </c>
      <c r="O21" t="s">
        <v>453</v>
      </c>
      <c r="P21" t="s">
        <v>454</v>
      </c>
      <c r="Q21" t="s">
        <v>454</v>
      </c>
    </row>
    <row r="22" spans="2:17" x14ac:dyDescent="0.3">
      <c r="B22">
        <v>15</v>
      </c>
      <c r="C22" s="18" t="s">
        <v>376</v>
      </c>
      <c r="D22" t="s">
        <v>412</v>
      </c>
      <c r="E22" s="4" t="s">
        <v>511</v>
      </c>
      <c r="F22" s="4" t="s">
        <v>443</v>
      </c>
      <c r="G22" t="s">
        <v>452</v>
      </c>
      <c r="I22" t="s">
        <v>510</v>
      </c>
      <c r="K22" s="18">
        <v>8</v>
      </c>
      <c r="L22" t="s">
        <v>454</v>
      </c>
      <c r="N22" t="s">
        <v>454</v>
      </c>
      <c r="O22" t="s">
        <v>453</v>
      </c>
      <c r="P22" t="s">
        <v>454</v>
      </c>
      <c r="Q22" t="s">
        <v>454</v>
      </c>
    </row>
    <row r="23" spans="2:17" x14ac:dyDescent="0.3">
      <c r="B23" s="82">
        <v>16</v>
      </c>
      <c r="C23" s="13" t="s">
        <v>377</v>
      </c>
      <c r="D23" t="s">
        <v>413</v>
      </c>
      <c r="E23" s="4" t="s">
        <v>508</v>
      </c>
      <c r="F23" s="4" t="s">
        <v>444</v>
      </c>
      <c r="G23" t="s">
        <v>1463</v>
      </c>
      <c r="H23" t="s">
        <v>1470</v>
      </c>
      <c r="I23" t="s">
        <v>509</v>
      </c>
      <c r="J23" s="101" t="s">
        <v>451</v>
      </c>
      <c r="K23" s="18">
        <v>2</v>
      </c>
      <c r="L23" t="s">
        <v>454</v>
      </c>
      <c r="N23" t="s">
        <v>454</v>
      </c>
      <c r="O23" t="s">
        <v>453</v>
      </c>
      <c r="P23" t="s">
        <v>453</v>
      </c>
      <c r="Q23" t="s">
        <v>453</v>
      </c>
    </row>
    <row r="24" spans="2:17" x14ac:dyDescent="0.3">
      <c r="B24">
        <v>17</v>
      </c>
      <c r="C24" s="18" t="s">
        <v>378</v>
      </c>
      <c r="D24" t="s">
        <v>414</v>
      </c>
      <c r="E24" s="4" t="s">
        <v>504</v>
      </c>
      <c r="F24" s="4" t="s">
        <v>505</v>
      </c>
      <c r="G24" t="s">
        <v>452</v>
      </c>
      <c r="I24" t="s">
        <v>506</v>
      </c>
      <c r="K24" s="18">
        <v>2</v>
      </c>
      <c r="L24" t="s">
        <v>454</v>
      </c>
      <c r="N24" t="s">
        <v>454</v>
      </c>
      <c r="O24" t="s">
        <v>453</v>
      </c>
      <c r="P24" t="s">
        <v>454</v>
      </c>
      <c r="Q24" t="s">
        <v>454</v>
      </c>
    </row>
    <row r="25" spans="2:17" x14ac:dyDescent="0.3">
      <c r="B25">
        <v>18</v>
      </c>
      <c r="C25" s="18" t="s">
        <v>379</v>
      </c>
      <c r="D25" t="s">
        <v>415</v>
      </c>
      <c r="E25" s="4" t="s">
        <v>503</v>
      </c>
      <c r="F25" s="4" t="s">
        <v>502</v>
      </c>
      <c r="G25" t="s">
        <v>452</v>
      </c>
      <c r="I25" t="s">
        <v>479</v>
      </c>
      <c r="K25" s="18">
        <v>8</v>
      </c>
      <c r="L25" t="s">
        <v>454</v>
      </c>
      <c r="N25" t="s">
        <v>454</v>
      </c>
      <c r="O25" t="s">
        <v>453</v>
      </c>
      <c r="P25" t="s">
        <v>454</v>
      </c>
      <c r="Q25" t="s">
        <v>454</v>
      </c>
    </row>
    <row r="26" spans="2:17" x14ac:dyDescent="0.3">
      <c r="B26">
        <v>19</v>
      </c>
      <c r="C26" s="18" t="s">
        <v>381</v>
      </c>
      <c r="D26" t="s">
        <v>416</v>
      </c>
      <c r="E26" s="4" t="s">
        <v>500</v>
      </c>
      <c r="F26" s="4" t="s">
        <v>499</v>
      </c>
      <c r="G26" t="s">
        <v>452</v>
      </c>
      <c r="I26" t="s">
        <v>501</v>
      </c>
      <c r="K26" s="18">
        <v>2</v>
      </c>
      <c r="L26" t="s">
        <v>454</v>
      </c>
      <c r="N26" t="s">
        <v>454</v>
      </c>
      <c r="O26" t="s">
        <v>453</v>
      </c>
      <c r="P26" t="s">
        <v>454</v>
      </c>
      <c r="Q26" t="s">
        <v>454</v>
      </c>
    </row>
    <row r="27" spans="2:17" x14ac:dyDescent="0.3">
      <c r="B27">
        <v>20</v>
      </c>
      <c r="C27" s="18" t="s">
        <v>380</v>
      </c>
      <c r="D27" t="s">
        <v>417</v>
      </c>
      <c r="E27" s="4" t="s">
        <v>497</v>
      </c>
      <c r="F27" s="4" t="s">
        <v>499</v>
      </c>
      <c r="G27" t="s">
        <v>452</v>
      </c>
      <c r="I27" t="s">
        <v>496</v>
      </c>
      <c r="K27" s="18">
        <v>2</v>
      </c>
      <c r="L27" t="s">
        <v>454</v>
      </c>
      <c r="N27" t="s">
        <v>454</v>
      </c>
      <c r="O27" t="s">
        <v>453</v>
      </c>
      <c r="P27" t="s">
        <v>454</v>
      </c>
      <c r="Q27" t="s">
        <v>454</v>
      </c>
    </row>
    <row r="28" spans="2:17" x14ac:dyDescent="0.3">
      <c r="B28">
        <v>21</v>
      </c>
      <c r="C28" s="18" t="s">
        <v>382</v>
      </c>
      <c r="D28" t="s">
        <v>418</v>
      </c>
      <c r="E28" s="4" t="s">
        <v>494</v>
      </c>
      <c r="F28" s="4" t="s">
        <v>498</v>
      </c>
      <c r="G28" t="s">
        <v>452</v>
      </c>
      <c r="I28" t="s">
        <v>495</v>
      </c>
      <c r="K28" s="18">
        <v>2</v>
      </c>
      <c r="L28" t="s">
        <v>454</v>
      </c>
      <c r="N28" t="s">
        <v>454</v>
      </c>
      <c r="O28" t="s">
        <v>453</v>
      </c>
      <c r="P28" t="s">
        <v>454</v>
      </c>
      <c r="Q28" t="s">
        <v>454</v>
      </c>
    </row>
    <row r="29" spans="2:17" x14ac:dyDescent="0.3">
      <c r="B29">
        <v>22</v>
      </c>
      <c r="C29" s="18" t="s">
        <v>383</v>
      </c>
      <c r="D29" t="s">
        <v>419</v>
      </c>
      <c r="E29" s="4" t="s">
        <v>492</v>
      </c>
      <c r="F29" s="4" t="s">
        <v>493</v>
      </c>
      <c r="G29" t="s">
        <v>452</v>
      </c>
      <c r="I29" t="s">
        <v>490</v>
      </c>
      <c r="K29" s="18">
        <v>2</v>
      </c>
      <c r="L29" t="s">
        <v>454</v>
      </c>
      <c r="N29" t="s">
        <v>454</v>
      </c>
      <c r="O29" t="s">
        <v>453</v>
      </c>
      <c r="P29" t="s">
        <v>454</v>
      </c>
      <c r="Q29" t="s">
        <v>454</v>
      </c>
    </row>
    <row r="30" spans="2:17" x14ac:dyDescent="0.3">
      <c r="B30">
        <v>23</v>
      </c>
      <c r="C30" s="18" t="s">
        <v>539</v>
      </c>
      <c r="D30" t="s">
        <v>542</v>
      </c>
      <c r="E30" s="4" t="s">
        <v>541</v>
      </c>
      <c r="F30" s="4" t="s">
        <v>540</v>
      </c>
      <c r="G30" t="s">
        <v>452</v>
      </c>
      <c r="I30" t="s">
        <v>495</v>
      </c>
      <c r="L30" t="s">
        <v>454</v>
      </c>
      <c r="M30" t="s">
        <v>454</v>
      </c>
      <c r="N30" t="s">
        <v>454</v>
      </c>
      <c r="O30" t="s">
        <v>454</v>
      </c>
      <c r="P30" t="s">
        <v>454</v>
      </c>
      <c r="Q30" t="s">
        <v>454</v>
      </c>
    </row>
    <row r="31" spans="2:17" x14ac:dyDescent="0.3">
      <c r="B31">
        <v>24</v>
      </c>
      <c r="C31" s="18" t="s">
        <v>384</v>
      </c>
      <c r="D31" t="s">
        <v>420</v>
      </c>
      <c r="E31" s="4" t="s">
        <v>489</v>
      </c>
      <c r="F31" s="4" t="s">
        <v>488</v>
      </c>
      <c r="G31" t="s">
        <v>452</v>
      </c>
      <c r="I31" t="s">
        <v>491</v>
      </c>
      <c r="K31" s="18">
        <v>4</v>
      </c>
      <c r="L31" t="s">
        <v>454</v>
      </c>
      <c r="N31" t="s">
        <v>454</v>
      </c>
      <c r="O31" t="s">
        <v>453</v>
      </c>
      <c r="P31" t="s">
        <v>454</v>
      </c>
      <c r="Q31" t="s">
        <v>454</v>
      </c>
    </row>
    <row r="32" spans="2:17" x14ac:dyDescent="0.3">
      <c r="B32">
        <v>25</v>
      </c>
      <c r="C32" s="18" t="s">
        <v>385</v>
      </c>
      <c r="D32" t="s">
        <v>421</v>
      </c>
      <c r="E32" s="4" t="s">
        <v>486</v>
      </c>
      <c r="F32" s="4" t="s">
        <v>485</v>
      </c>
      <c r="G32" t="s">
        <v>452</v>
      </c>
      <c r="I32" t="s">
        <v>487</v>
      </c>
      <c r="K32" s="18">
        <v>2</v>
      </c>
      <c r="L32" t="s">
        <v>454</v>
      </c>
      <c r="N32" t="s">
        <v>454</v>
      </c>
      <c r="O32" t="s">
        <v>453</v>
      </c>
      <c r="P32" t="s">
        <v>454</v>
      </c>
      <c r="Q32" t="s">
        <v>454</v>
      </c>
    </row>
    <row r="33" spans="2:17" x14ac:dyDescent="0.3">
      <c r="B33">
        <v>26</v>
      </c>
      <c r="C33" s="18" t="s">
        <v>386</v>
      </c>
      <c r="D33" t="s">
        <v>422</v>
      </c>
      <c r="E33" s="4" t="s">
        <v>484</v>
      </c>
      <c r="F33" s="4" t="s">
        <v>483</v>
      </c>
      <c r="G33" t="s">
        <v>452</v>
      </c>
      <c r="I33" t="s">
        <v>490</v>
      </c>
      <c r="K33" s="18">
        <v>16</v>
      </c>
      <c r="L33" t="s">
        <v>454</v>
      </c>
      <c r="N33" t="s">
        <v>454</v>
      </c>
      <c r="O33" t="s">
        <v>453</v>
      </c>
      <c r="P33" t="s">
        <v>454</v>
      </c>
      <c r="Q33" t="s">
        <v>454</v>
      </c>
    </row>
    <row r="34" spans="2:17" x14ac:dyDescent="0.3">
      <c r="B34">
        <v>27</v>
      </c>
      <c r="C34" s="18" t="s">
        <v>544</v>
      </c>
      <c r="D34" t="s">
        <v>545</v>
      </c>
      <c r="E34" s="4" t="s">
        <v>543</v>
      </c>
      <c r="F34" s="4" t="s">
        <v>547</v>
      </c>
      <c r="G34" t="s">
        <v>452</v>
      </c>
      <c r="I34" t="s">
        <v>546</v>
      </c>
      <c r="L34" t="s">
        <v>454</v>
      </c>
      <c r="M34" t="s">
        <v>454</v>
      </c>
      <c r="N34" t="s">
        <v>454</v>
      </c>
      <c r="O34" t="s">
        <v>454</v>
      </c>
      <c r="P34" t="s">
        <v>454</v>
      </c>
      <c r="Q34" t="s">
        <v>454</v>
      </c>
    </row>
    <row r="35" spans="2:17" x14ac:dyDescent="0.3">
      <c r="B35">
        <v>28</v>
      </c>
      <c r="C35" s="18" t="s">
        <v>387</v>
      </c>
      <c r="D35" t="s">
        <v>423</v>
      </c>
      <c r="E35" s="4" t="s">
        <v>480</v>
      </c>
      <c r="F35" s="4" t="s">
        <v>482</v>
      </c>
      <c r="G35" t="s">
        <v>452</v>
      </c>
      <c r="I35" t="s">
        <v>481</v>
      </c>
      <c r="K35" s="18">
        <v>2</v>
      </c>
      <c r="L35" t="s">
        <v>454</v>
      </c>
      <c r="N35" t="s">
        <v>454</v>
      </c>
      <c r="O35" t="s">
        <v>453</v>
      </c>
      <c r="P35" t="s">
        <v>454</v>
      </c>
      <c r="Q35" t="s">
        <v>454</v>
      </c>
    </row>
    <row r="36" spans="2:17" x14ac:dyDescent="0.3">
      <c r="B36">
        <v>29</v>
      </c>
      <c r="C36" s="18" t="s">
        <v>388</v>
      </c>
      <c r="D36" t="s">
        <v>424</v>
      </c>
      <c r="E36" s="4" t="s">
        <v>477</v>
      </c>
      <c r="F36" s="4" t="s">
        <v>478</v>
      </c>
      <c r="G36" t="s">
        <v>452</v>
      </c>
      <c r="I36" t="s">
        <v>479</v>
      </c>
      <c r="L36" t="s">
        <v>454</v>
      </c>
      <c r="N36" t="s">
        <v>454</v>
      </c>
      <c r="O36" t="s">
        <v>454</v>
      </c>
      <c r="P36" t="s">
        <v>454</v>
      </c>
      <c r="Q36" t="s">
        <v>453</v>
      </c>
    </row>
    <row r="37" spans="2:17" x14ac:dyDescent="0.3">
      <c r="B37" s="82">
        <v>30</v>
      </c>
      <c r="C37" s="13" t="s">
        <v>389</v>
      </c>
      <c r="D37" t="s">
        <v>425</v>
      </c>
      <c r="E37" s="4" t="s">
        <v>474</v>
      </c>
      <c r="F37" s="4" t="s">
        <v>447</v>
      </c>
      <c r="G37" t="s">
        <v>1462</v>
      </c>
      <c r="H37" t="s">
        <v>1471</v>
      </c>
      <c r="I37" t="s">
        <v>475</v>
      </c>
      <c r="J37" s="101" t="s">
        <v>451</v>
      </c>
      <c r="K37">
        <v>5</v>
      </c>
      <c r="L37" t="s">
        <v>454</v>
      </c>
      <c r="N37" t="s">
        <v>454</v>
      </c>
      <c r="O37" t="s">
        <v>453</v>
      </c>
      <c r="P37" t="s">
        <v>454</v>
      </c>
      <c r="Q37" t="s">
        <v>454</v>
      </c>
    </row>
    <row r="38" spans="2:17" x14ac:dyDescent="0.3">
      <c r="B38" s="82">
        <v>31</v>
      </c>
      <c r="C38" s="13" t="s">
        <v>390</v>
      </c>
      <c r="D38" t="s">
        <v>426</v>
      </c>
      <c r="E38" s="4" t="s">
        <v>473</v>
      </c>
      <c r="F38" s="4" t="s">
        <v>448</v>
      </c>
      <c r="G38" t="s">
        <v>1462</v>
      </c>
      <c r="H38" t="s">
        <v>1465</v>
      </c>
      <c r="I38" t="s">
        <v>476</v>
      </c>
      <c r="J38" s="101" t="s">
        <v>451</v>
      </c>
      <c r="K38">
        <v>2</v>
      </c>
      <c r="L38" t="s">
        <v>454</v>
      </c>
      <c r="N38" t="s">
        <v>454</v>
      </c>
      <c r="O38" t="s">
        <v>454</v>
      </c>
      <c r="P38" t="s">
        <v>454</v>
      </c>
      <c r="Q38" t="s">
        <v>454</v>
      </c>
    </row>
    <row r="39" spans="2:17" x14ac:dyDescent="0.3">
      <c r="B39" s="82">
        <v>32</v>
      </c>
      <c r="C39" s="13" t="s">
        <v>391</v>
      </c>
      <c r="D39" t="s">
        <v>427</v>
      </c>
      <c r="E39" s="4" t="s">
        <v>472</v>
      </c>
      <c r="F39" s="4" t="s">
        <v>448</v>
      </c>
      <c r="G39" t="s">
        <v>1462</v>
      </c>
      <c r="H39" t="s">
        <v>1472</v>
      </c>
      <c r="I39" t="s">
        <v>495</v>
      </c>
      <c r="J39" s="101" t="s">
        <v>451</v>
      </c>
      <c r="K39">
        <v>1</v>
      </c>
      <c r="L39" t="s">
        <v>454</v>
      </c>
      <c r="N39" t="s">
        <v>454</v>
      </c>
      <c r="O39" t="s">
        <v>454</v>
      </c>
      <c r="P39" t="s">
        <v>454</v>
      </c>
      <c r="Q39" t="s">
        <v>453</v>
      </c>
    </row>
    <row r="40" spans="2:17" x14ac:dyDescent="0.3">
      <c r="B40" s="82">
        <v>33</v>
      </c>
      <c r="C40" s="13" t="s">
        <v>392</v>
      </c>
      <c r="D40" t="s">
        <v>428</v>
      </c>
      <c r="E40" s="4" t="s">
        <v>438</v>
      </c>
      <c r="F40" s="4" t="s">
        <v>449</v>
      </c>
      <c r="G40" t="s">
        <v>1462</v>
      </c>
      <c r="H40" t="s">
        <v>1473</v>
      </c>
      <c r="I40" t="s">
        <v>471</v>
      </c>
      <c r="J40" s="101" t="s">
        <v>451</v>
      </c>
      <c r="K40">
        <v>17</v>
      </c>
      <c r="L40" t="s">
        <v>454</v>
      </c>
      <c r="N40" t="s">
        <v>454</v>
      </c>
      <c r="O40" t="s">
        <v>454</v>
      </c>
      <c r="P40" t="s">
        <v>454</v>
      </c>
      <c r="Q40" t="s">
        <v>454</v>
      </c>
    </row>
    <row r="41" spans="2:17" x14ac:dyDescent="0.3">
      <c r="B41" s="82">
        <v>34</v>
      </c>
      <c r="C41" s="13" t="s">
        <v>393</v>
      </c>
      <c r="D41" t="s">
        <v>470</v>
      </c>
      <c r="E41" s="4" t="s">
        <v>439</v>
      </c>
      <c r="F41" s="4" t="s">
        <v>450</v>
      </c>
      <c r="G41" t="s">
        <v>1462</v>
      </c>
      <c r="H41" t="s">
        <v>1474</v>
      </c>
      <c r="I41" t="s">
        <v>471</v>
      </c>
      <c r="J41" s="101" t="s">
        <v>451</v>
      </c>
      <c r="K41">
        <v>2</v>
      </c>
      <c r="L41" t="s">
        <v>454</v>
      </c>
      <c r="N41" t="s">
        <v>454</v>
      </c>
      <c r="O41" t="s">
        <v>454</v>
      </c>
      <c r="P41" t="s">
        <v>454</v>
      </c>
      <c r="Q41" t="s">
        <v>454</v>
      </c>
    </row>
    <row r="42" spans="2:17" x14ac:dyDescent="0.3">
      <c r="B42">
        <v>35</v>
      </c>
      <c r="C42" s="18" t="s">
        <v>394</v>
      </c>
      <c r="D42" t="s">
        <v>429</v>
      </c>
      <c r="E42" s="4" t="s">
        <v>468</v>
      </c>
      <c r="F42" s="4" t="s">
        <v>469</v>
      </c>
      <c r="G42" t="s">
        <v>452</v>
      </c>
      <c r="I42" t="s">
        <v>533</v>
      </c>
      <c r="L42" t="s">
        <v>453</v>
      </c>
      <c r="N42" t="s">
        <v>454</v>
      </c>
      <c r="O42" t="s">
        <v>454</v>
      </c>
      <c r="P42" t="s">
        <v>454</v>
      </c>
      <c r="Q42" t="s">
        <v>454</v>
      </c>
    </row>
    <row r="43" spans="2:17" x14ac:dyDescent="0.3">
      <c r="B43">
        <v>36</v>
      </c>
      <c r="C43" s="18" t="s">
        <v>395</v>
      </c>
      <c r="D43" t="s">
        <v>465</v>
      </c>
      <c r="E43" s="4" t="s">
        <v>466</v>
      </c>
      <c r="F43" s="4" t="s">
        <v>467</v>
      </c>
      <c r="G43" t="s">
        <v>452</v>
      </c>
      <c r="I43" t="s">
        <v>538</v>
      </c>
      <c r="L43" t="s">
        <v>453</v>
      </c>
      <c r="N43" t="s">
        <v>454</v>
      </c>
      <c r="O43" t="s">
        <v>454</v>
      </c>
      <c r="P43" t="s">
        <v>454</v>
      </c>
      <c r="Q43" t="s">
        <v>454</v>
      </c>
    </row>
    <row r="44" spans="2:17" x14ac:dyDescent="0.3">
      <c r="B44">
        <v>37</v>
      </c>
      <c r="C44" s="18" t="s">
        <v>396</v>
      </c>
      <c r="D44" t="s">
        <v>463</v>
      </c>
      <c r="E44" s="4" t="s">
        <v>464</v>
      </c>
      <c r="F44" s="4" t="s">
        <v>440</v>
      </c>
      <c r="G44" t="s">
        <v>452</v>
      </c>
      <c r="I44" t="s">
        <v>537</v>
      </c>
      <c r="L44" t="s">
        <v>453</v>
      </c>
      <c r="N44" t="s">
        <v>454</v>
      </c>
      <c r="O44" t="s">
        <v>454</v>
      </c>
      <c r="P44" t="s">
        <v>454</v>
      </c>
      <c r="Q44" t="s">
        <v>454</v>
      </c>
    </row>
    <row r="45" spans="2:17" x14ac:dyDescent="0.3">
      <c r="B45">
        <v>38</v>
      </c>
      <c r="C45" s="18" t="s">
        <v>397</v>
      </c>
      <c r="D45" t="s">
        <v>460</v>
      </c>
      <c r="E45" s="4" t="s">
        <v>461</v>
      </c>
      <c r="F45" s="4" t="s">
        <v>462</v>
      </c>
      <c r="G45" t="s">
        <v>452</v>
      </c>
      <c r="I45" t="s">
        <v>536</v>
      </c>
      <c r="L45" t="s">
        <v>453</v>
      </c>
      <c r="N45" t="s">
        <v>454</v>
      </c>
      <c r="O45" t="s">
        <v>454</v>
      </c>
      <c r="P45" t="s">
        <v>454</v>
      </c>
      <c r="Q45" t="s">
        <v>454</v>
      </c>
    </row>
    <row r="46" spans="2:17" x14ac:dyDescent="0.3">
      <c r="B46">
        <v>39</v>
      </c>
      <c r="C46" s="18" t="s">
        <v>398</v>
      </c>
      <c r="D46" t="s">
        <v>458</v>
      </c>
      <c r="E46" s="4" t="s">
        <v>459</v>
      </c>
      <c r="F46" s="4" t="s">
        <v>440</v>
      </c>
      <c r="G46" t="s">
        <v>452</v>
      </c>
      <c r="I46" t="s">
        <v>535</v>
      </c>
      <c r="L46" t="s">
        <v>453</v>
      </c>
      <c r="N46" t="s">
        <v>454</v>
      </c>
      <c r="O46" t="s">
        <v>454</v>
      </c>
      <c r="P46" t="s">
        <v>454</v>
      </c>
      <c r="Q46" t="s">
        <v>453</v>
      </c>
    </row>
    <row r="47" spans="2:17" x14ac:dyDescent="0.3">
      <c r="B47" s="82">
        <v>40</v>
      </c>
      <c r="C47" s="13" t="s">
        <v>399</v>
      </c>
      <c r="D47" t="s">
        <v>456</v>
      </c>
      <c r="E47" s="4" t="s">
        <v>457</v>
      </c>
      <c r="F47" s="4" t="s">
        <v>455</v>
      </c>
      <c r="G47" t="s">
        <v>1462</v>
      </c>
      <c r="H47" t="s">
        <v>1531</v>
      </c>
      <c r="I47" t="s">
        <v>534</v>
      </c>
      <c r="J47" s="101" t="s">
        <v>451</v>
      </c>
      <c r="K47">
        <v>8</v>
      </c>
      <c r="L47" t="s">
        <v>454</v>
      </c>
      <c r="M47" t="s">
        <v>454</v>
      </c>
      <c r="N47" t="s">
        <v>454</v>
      </c>
      <c r="O47" t="s">
        <v>454</v>
      </c>
      <c r="P47" t="s">
        <v>454</v>
      </c>
      <c r="Q47" t="s">
        <v>454</v>
      </c>
    </row>
    <row r="48" spans="2:17" x14ac:dyDescent="0.3">
      <c r="B48" s="13">
        <v>41</v>
      </c>
      <c r="C48" s="6" t="s">
        <v>548</v>
      </c>
      <c r="D48" t="s">
        <v>549</v>
      </c>
      <c r="E48" s="4" t="s">
        <v>550</v>
      </c>
      <c r="F48" s="4" t="s">
        <v>551</v>
      </c>
      <c r="G48" t="s">
        <v>452</v>
      </c>
      <c r="H48" t="s">
        <v>1529</v>
      </c>
      <c r="I48" t="s">
        <v>552</v>
      </c>
      <c r="J48" s="101" t="s">
        <v>452</v>
      </c>
      <c r="K48">
        <v>4</v>
      </c>
      <c r="L48" t="s">
        <v>454</v>
      </c>
      <c r="M48" t="s">
        <v>454</v>
      </c>
      <c r="N48" t="s">
        <v>454</v>
      </c>
      <c r="O48" t="s">
        <v>454</v>
      </c>
      <c r="P48" t="s">
        <v>454</v>
      </c>
      <c r="Q48" t="s">
        <v>454</v>
      </c>
    </row>
    <row r="49" spans="2:17" x14ac:dyDescent="0.3">
      <c r="B49" s="13">
        <v>42</v>
      </c>
      <c r="C49" s="6" t="s">
        <v>553</v>
      </c>
      <c r="D49" t="s">
        <v>556</v>
      </c>
      <c r="E49" s="4" t="s">
        <v>554</v>
      </c>
      <c r="F49" s="4" t="s">
        <v>555</v>
      </c>
      <c r="G49" t="s">
        <v>452</v>
      </c>
      <c r="H49" t="s">
        <v>1529</v>
      </c>
      <c r="I49" t="s">
        <v>557</v>
      </c>
      <c r="J49" t="s">
        <v>452</v>
      </c>
      <c r="K49">
        <v>5</v>
      </c>
      <c r="L49" t="s">
        <v>454</v>
      </c>
      <c r="M49" t="s">
        <v>454</v>
      </c>
      <c r="N49" t="s">
        <v>454</v>
      </c>
      <c r="O49" t="s">
        <v>454</v>
      </c>
      <c r="P49" t="s">
        <v>454</v>
      </c>
      <c r="Q49" t="s">
        <v>454</v>
      </c>
    </row>
    <row r="50" spans="2:17" x14ac:dyDescent="0.3">
      <c r="B50" s="13">
        <v>43</v>
      </c>
      <c r="C50" s="6" t="s">
        <v>558</v>
      </c>
      <c r="D50" t="s">
        <v>559</v>
      </c>
      <c r="E50" s="4" t="s">
        <v>560</v>
      </c>
      <c r="F50" s="4" t="s">
        <v>561</v>
      </c>
      <c r="G50" t="s">
        <v>452</v>
      </c>
      <c r="H50" t="s">
        <v>1529</v>
      </c>
      <c r="I50" t="s">
        <v>562</v>
      </c>
      <c r="J50" t="s">
        <v>452</v>
      </c>
      <c r="K50">
        <v>5</v>
      </c>
      <c r="L50" t="s">
        <v>454</v>
      </c>
      <c r="M50" t="s">
        <v>454</v>
      </c>
      <c r="N50" t="s">
        <v>454</v>
      </c>
      <c r="O50" t="s">
        <v>454</v>
      </c>
      <c r="P50" t="s">
        <v>454</v>
      </c>
      <c r="Q50" t="s">
        <v>454</v>
      </c>
    </row>
    <row r="51" spans="2:17" x14ac:dyDescent="0.3">
      <c r="B51" s="13">
        <v>44</v>
      </c>
      <c r="C51" s="6" t="s">
        <v>563</v>
      </c>
      <c r="D51" t="s">
        <v>564</v>
      </c>
      <c r="E51" s="4" t="s">
        <v>565</v>
      </c>
      <c r="F51" s="4" t="s">
        <v>566</v>
      </c>
      <c r="G51" t="s">
        <v>452</v>
      </c>
      <c r="H51" t="s">
        <v>1529</v>
      </c>
      <c r="I51" t="s">
        <v>567</v>
      </c>
      <c r="J51" t="s">
        <v>452</v>
      </c>
      <c r="K51">
        <v>15</v>
      </c>
      <c r="L51" t="s">
        <v>454</v>
      </c>
      <c r="M51" t="s">
        <v>454</v>
      </c>
      <c r="N51" t="s">
        <v>454</v>
      </c>
      <c r="O51" t="s">
        <v>454</v>
      </c>
      <c r="P51" t="s">
        <v>454</v>
      </c>
      <c r="Q51" t="s">
        <v>454</v>
      </c>
    </row>
    <row r="52" spans="2:17" x14ac:dyDescent="0.3">
      <c r="B52">
        <v>45</v>
      </c>
      <c r="C52" s="6" t="s">
        <v>568</v>
      </c>
      <c r="D52" t="s">
        <v>569</v>
      </c>
      <c r="E52" s="4" t="s">
        <v>570</v>
      </c>
      <c r="F52" s="4" t="s">
        <v>571</v>
      </c>
      <c r="G52" t="s">
        <v>452</v>
      </c>
      <c r="H52" t="s">
        <v>1530</v>
      </c>
      <c r="I52" t="s">
        <v>562</v>
      </c>
      <c r="J52" t="s">
        <v>1532</v>
      </c>
      <c r="L52" t="s">
        <v>454</v>
      </c>
      <c r="M52" t="s">
        <v>454</v>
      </c>
      <c r="N52" t="s">
        <v>454</v>
      </c>
      <c r="O52" t="s">
        <v>454</v>
      </c>
      <c r="P52" t="s">
        <v>454</v>
      </c>
      <c r="Q52" t="s">
        <v>454</v>
      </c>
    </row>
    <row r="53" spans="2:17" x14ac:dyDescent="0.3">
      <c r="B53" s="82">
        <v>46</v>
      </c>
      <c r="C53" s="13" t="s">
        <v>1261</v>
      </c>
      <c r="D53" t="s">
        <v>1263</v>
      </c>
      <c r="E53" s="4" t="s">
        <v>1262</v>
      </c>
      <c r="F53" s="4" t="s">
        <v>442</v>
      </c>
      <c r="G53" t="s">
        <v>1462</v>
      </c>
      <c r="H53" t="s">
        <v>1531</v>
      </c>
      <c r="I53" t="s">
        <v>1264</v>
      </c>
      <c r="J53" s="101" t="s">
        <v>451</v>
      </c>
      <c r="K53">
        <v>3</v>
      </c>
      <c r="L53" t="s">
        <v>454</v>
      </c>
      <c r="M53" t="s">
        <v>454</v>
      </c>
      <c r="N53" t="s">
        <v>454</v>
      </c>
      <c r="O53" t="s">
        <v>454</v>
      </c>
      <c r="P53" t="s">
        <v>453</v>
      </c>
      <c r="Q53" t="s">
        <v>453</v>
      </c>
    </row>
    <row r="54" spans="2:17" x14ac:dyDescent="0.3">
      <c r="B54">
        <v>47</v>
      </c>
      <c r="C54" s="5" t="s">
        <v>572</v>
      </c>
      <c r="D54" t="s">
        <v>691</v>
      </c>
      <c r="E54" s="4" t="s">
        <v>573</v>
      </c>
      <c r="F54" s="4" t="s">
        <v>574</v>
      </c>
      <c r="G54" t="s">
        <v>452</v>
      </c>
      <c r="L54" t="s">
        <v>454</v>
      </c>
      <c r="M54" t="s">
        <v>454</v>
      </c>
      <c r="N54" t="s">
        <v>454</v>
      </c>
      <c r="O54" t="s">
        <v>454</v>
      </c>
      <c r="P54" t="s">
        <v>454</v>
      </c>
      <c r="Q54" t="s">
        <v>454</v>
      </c>
    </row>
    <row r="55" spans="2:17" x14ac:dyDescent="0.3">
      <c r="B55">
        <v>48</v>
      </c>
      <c r="C55" s="5" t="s">
        <v>575</v>
      </c>
      <c r="D55" t="s">
        <v>1498</v>
      </c>
      <c r="E55" s="4" t="s">
        <v>576</v>
      </c>
      <c r="F55" s="4" t="s">
        <v>578</v>
      </c>
      <c r="G55" t="s">
        <v>452</v>
      </c>
      <c r="I55" t="s">
        <v>577</v>
      </c>
      <c r="L55" t="s">
        <v>454</v>
      </c>
      <c r="M55" t="s">
        <v>454</v>
      </c>
      <c r="N55" t="s">
        <v>454</v>
      </c>
      <c r="O55" t="s">
        <v>454</v>
      </c>
      <c r="P55" t="s">
        <v>454</v>
      </c>
      <c r="Q55" t="s">
        <v>454</v>
      </c>
    </row>
    <row r="56" spans="2:17" x14ac:dyDescent="0.3">
      <c r="B56">
        <v>49</v>
      </c>
      <c r="C56" s="5" t="s">
        <v>579</v>
      </c>
      <c r="D56" t="s">
        <v>1499</v>
      </c>
      <c r="E56" s="4" t="s">
        <v>580</v>
      </c>
      <c r="F56" s="4" t="s">
        <v>581</v>
      </c>
      <c r="G56" t="s">
        <v>452</v>
      </c>
      <c r="L56" t="s">
        <v>454</v>
      </c>
      <c r="M56" t="s">
        <v>454</v>
      </c>
      <c r="N56" t="s">
        <v>454</v>
      </c>
      <c r="O56" t="s">
        <v>454</v>
      </c>
      <c r="P56" t="s">
        <v>454</v>
      </c>
      <c r="Q56" t="s">
        <v>454</v>
      </c>
    </row>
    <row r="57" spans="2:17" x14ac:dyDescent="0.3">
      <c r="B57">
        <v>50</v>
      </c>
      <c r="C57" s="5" t="s">
        <v>582</v>
      </c>
      <c r="D57" t="s">
        <v>1500</v>
      </c>
      <c r="E57" s="4" t="s">
        <v>584</v>
      </c>
      <c r="F57" s="4" t="s">
        <v>583</v>
      </c>
      <c r="G57" t="s">
        <v>452</v>
      </c>
      <c r="L57" t="s">
        <v>454</v>
      </c>
      <c r="M57" t="s">
        <v>454</v>
      </c>
      <c r="N57" t="s">
        <v>454</v>
      </c>
      <c r="O57" t="s">
        <v>454</v>
      </c>
      <c r="P57" t="s">
        <v>454</v>
      </c>
      <c r="Q57" t="s">
        <v>454</v>
      </c>
    </row>
    <row r="58" spans="2:17" x14ac:dyDescent="0.3">
      <c r="B58" s="82">
        <v>51</v>
      </c>
      <c r="C58" s="13" t="s">
        <v>585</v>
      </c>
      <c r="D58" t="s">
        <v>1502</v>
      </c>
      <c r="E58" s="4" t="s">
        <v>586</v>
      </c>
      <c r="F58" s="4" t="s">
        <v>587</v>
      </c>
      <c r="G58" t="s">
        <v>1462</v>
      </c>
      <c r="H58" t="s">
        <v>1465</v>
      </c>
      <c r="J58" s="101" t="s">
        <v>451</v>
      </c>
      <c r="K58">
        <v>3</v>
      </c>
      <c r="L58" t="s">
        <v>454</v>
      </c>
      <c r="M58" t="s">
        <v>454</v>
      </c>
      <c r="N58" t="s">
        <v>454</v>
      </c>
      <c r="O58" t="s">
        <v>454</v>
      </c>
      <c r="P58" t="s">
        <v>454</v>
      </c>
      <c r="Q58" t="s">
        <v>454</v>
      </c>
    </row>
    <row r="59" spans="2:17" x14ac:dyDescent="0.3">
      <c r="B59">
        <v>52</v>
      </c>
      <c r="C59" s="5" t="s">
        <v>1265</v>
      </c>
      <c r="D59" t="s">
        <v>1501</v>
      </c>
      <c r="E59" s="4" t="s">
        <v>588</v>
      </c>
      <c r="F59" s="4" t="s">
        <v>589</v>
      </c>
      <c r="G59" t="s">
        <v>452</v>
      </c>
      <c r="L59" t="s">
        <v>454</v>
      </c>
      <c r="M59" t="s">
        <v>454</v>
      </c>
      <c r="N59" t="s">
        <v>454</v>
      </c>
      <c r="O59" t="s">
        <v>454</v>
      </c>
      <c r="P59" t="s">
        <v>454</v>
      </c>
      <c r="Q59" t="s">
        <v>454</v>
      </c>
    </row>
    <row r="60" spans="2:17" x14ac:dyDescent="0.3">
      <c r="B60">
        <v>53</v>
      </c>
      <c r="C60" s="5" t="s">
        <v>591</v>
      </c>
      <c r="D60" t="s">
        <v>1503</v>
      </c>
      <c r="E60" s="4" t="s">
        <v>590</v>
      </c>
      <c r="F60" s="4" t="s">
        <v>592</v>
      </c>
      <c r="G60" t="s">
        <v>452</v>
      </c>
      <c r="I60" t="s">
        <v>577</v>
      </c>
      <c r="L60" t="s">
        <v>454</v>
      </c>
      <c r="M60" t="s">
        <v>454</v>
      </c>
      <c r="N60" t="s">
        <v>454</v>
      </c>
      <c r="O60" t="s">
        <v>454</v>
      </c>
      <c r="P60" t="s">
        <v>454</v>
      </c>
      <c r="Q60" t="s">
        <v>454</v>
      </c>
    </row>
    <row r="61" spans="2:17" x14ac:dyDescent="0.3">
      <c r="B61">
        <v>54</v>
      </c>
      <c r="C61" s="5" t="s">
        <v>593</v>
      </c>
      <c r="D61" t="s">
        <v>1504</v>
      </c>
      <c r="E61" s="4" t="s">
        <v>594</v>
      </c>
      <c r="F61" s="4" t="s">
        <v>595</v>
      </c>
      <c r="G61" t="s">
        <v>452</v>
      </c>
      <c r="I61" t="s">
        <v>577</v>
      </c>
      <c r="L61" t="s">
        <v>454</v>
      </c>
      <c r="M61" t="s">
        <v>454</v>
      </c>
      <c r="N61" t="s">
        <v>454</v>
      </c>
      <c r="O61" t="s">
        <v>454</v>
      </c>
      <c r="P61" t="s">
        <v>454</v>
      </c>
      <c r="Q61" t="s">
        <v>454</v>
      </c>
    </row>
    <row r="62" spans="2:17" x14ac:dyDescent="0.3">
      <c r="B62">
        <v>55</v>
      </c>
      <c r="C62" s="5" t="s">
        <v>596</v>
      </c>
      <c r="D62" t="s">
        <v>1505</v>
      </c>
      <c r="E62" s="4" t="s">
        <v>597</v>
      </c>
      <c r="F62" s="4" t="s">
        <v>598</v>
      </c>
      <c r="G62" t="s">
        <v>452</v>
      </c>
      <c r="L62" t="s">
        <v>454</v>
      </c>
      <c r="M62" t="s">
        <v>454</v>
      </c>
      <c r="N62" t="s">
        <v>454</v>
      </c>
      <c r="O62" t="s">
        <v>454</v>
      </c>
      <c r="P62" t="s">
        <v>454</v>
      </c>
      <c r="Q62" t="s">
        <v>454</v>
      </c>
    </row>
    <row r="63" spans="2:17" x14ac:dyDescent="0.3">
      <c r="B63">
        <v>56</v>
      </c>
      <c r="C63" s="5" t="s">
        <v>599</v>
      </c>
      <c r="D63" t="s">
        <v>1506</v>
      </c>
      <c r="E63" s="4" t="s">
        <v>600</v>
      </c>
      <c r="F63" s="4" t="s">
        <v>601</v>
      </c>
      <c r="G63" t="s">
        <v>452</v>
      </c>
      <c r="H63" t="s">
        <v>1437</v>
      </c>
      <c r="L63" t="s">
        <v>454</v>
      </c>
      <c r="M63" t="s">
        <v>454</v>
      </c>
      <c r="N63" t="s">
        <v>454</v>
      </c>
      <c r="O63" t="s">
        <v>454</v>
      </c>
      <c r="P63" t="s">
        <v>454</v>
      </c>
      <c r="Q63" t="s">
        <v>454</v>
      </c>
    </row>
    <row r="64" spans="2:17" x14ac:dyDescent="0.3">
      <c r="B64">
        <v>57</v>
      </c>
      <c r="C64" s="5" t="s">
        <v>602</v>
      </c>
      <c r="D64" t="s">
        <v>1507</v>
      </c>
      <c r="E64" s="4" t="s">
        <v>603</v>
      </c>
      <c r="F64" s="4" t="s">
        <v>604</v>
      </c>
      <c r="G64" t="s">
        <v>452</v>
      </c>
      <c r="L64" t="s">
        <v>454</v>
      </c>
      <c r="M64" t="s">
        <v>454</v>
      </c>
      <c r="N64" t="s">
        <v>454</v>
      </c>
      <c r="O64" t="s">
        <v>454</v>
      </c>
      <c r="P64" t="s">
        <v>454</v>
      </c>
      <c r="Q64" t="s">
        <v>454</v>
      </c>
    </row>
    <row r="65" spans="2:17" x14ac:dyDescent="0.3">
      <c r="B65">
        <v>58</v>
      </c>
      <c r="C65" s="5" t="s">
        <v>605</v>
      </c>
      <c r="D65" t="s">
        <v>1508</v>
      </c>
      <c r="E65" s="4" t="s">
        <v>606</v>
      </c>
      <c r="F65" s="4" t="s">
        <v>607</v>
      </c>
      <c r="G65" t="s">
        <v>452</v>
      </c>
      <c r="L65" t="s">
        <v>454</v>
      </c>
      <c r="M65" t="s">
        <v>454</v>
      </c>
      <c r="N65" t="s">
        <v>454</v>
      </c>
      <c r="O65" t="s">
        <v>454</v>
      </c>
      <c r="P65" t="s">
        <v>454</v>
      </c>
      <c r="Q65" t="s">
        <v>454</v>
      </c>
    </row>
    <row r="66" spans="2:17" x14ac:dyDescent="0.3">
      <c r="B66">
        <v>59</v>
      </c>
      <c r="C66" s="5" t="s">
        <v>608</v>
      </c>
      <c r="D66" t="s">
        <v>1509</v>
      </c>
      <c r="E66" s="4" t="s">
        <v>609</v>
      </c>
      <c r="F66" s="4" t="s">
        <v>610</v>
      </c>
      <c r="G66" t="s">
        <v>452</v>
      </c>
      <c r="L66" t="s">
        <v>454</v>
      </c>
      <c r="M66" t="s">
        <v>454</v>
      </c>
      <c r="N66" t="s">
        <v>454</v>
      </c>
      <c r="O66" t="s">
        <v>454</v>
      </c>
      <c r="P66" t="s">
        <v>454</v>
      </c>
      <c r="Q66" t="s">
        <v>454</v>
      </c>
    </row>
    <row r="67" spans="2:17" x14ac:dyDescent="0.3">
      <c r="B67">
        <v>60</v>
      </c>
      <c r="C67" s="5" t="s">
        <v>611</v>
      </c>
      <c r="D67" t="s">
        <v>1510</v>
      </c>
      <c r="E67" s="4" t="s">
        <v>612</v>
      </c>
      <c r="F67" s="4" t="s">
        <v>613</v>
      </c>
      <c r="G67" t="s">
        <v>452</v>
      </c>
      <c r="I67" t="s">
        <v>577</v>
      </c>
      <c r="L67" t="s">
        <v>454</v>
      </c>
      <c r="M67" t="s">
        <v>454</v>
      </c>
      <c r="N67" t="s">
        <v>454</v>
      </c>
      <c r="O67" t="s">
        <v>454</v>
      </c>
      <c r="P67" t="s">
        <v>454</v>
      </c>
      <c r="Q67" t="s">
        <v>454</v>
      </c>
    </row>
    <row r="68" spans="2:17" x14ac:dyDescent="0.3">
      <c r="B68">
        <v>61</v>
      </c>
      <c r="C68" s="5" t="s">
        <v>615</v>
      </c>
      <c r="D68" t="s">
        <v>1511</v>
      </c>
      <c r="E68" s="4" t="s">
        <v>614</v>
      </c>
      <c r="F68" s="4" t="s">
        <v>616</v>
      </c>
      <c r="G68" t="s">
        <v>452</v>
      </c>
      <c r="L68" t="s">
        <v>454</v>
      </c>
      <c r="M68" t="s">
        <v>454</v>
      </c>
      <c r="N68" t="s">
        <v>454</v>
      </c>
      <c r="O68" t="s">
        <v>454</v>
      </c>
      <c r="P68" t="s">
        <v>454</v>
      </c>
      <c r="Q68" t="s">
        <v>454</v>
      </c>
    </row>
    <row r="69" spans="2:17" x14ac:dyDescent="0.3">
      <c r="B69">
        <v>62</v>
      </c>
      <c r="C69" s="5" t="s">
        <v>617</v>
      </c>
      <c r="D69" t="s">
        <v>1512</v>
      </c>
      <c r="E69" s="4" t="s">
        <v>618</v>
      </c>
      <c r="F69" s="4" t="s">
        <v>1514</v>
      </c>
      <c r="G69" t="s">
        <v>452</v>
      </c>
      <c r="L69" t="s">
        <v>454</v>
      </c>
      <c r="M69" t="s">
        <v>454</v>
      </c>
      <c r="N69" t="s">
        <v>454</v>
      </c>
      <c r="O69" t="s">
        <v>454</v>
      </c>
      <c r="P69" t="s">
        <v>454</v>
      </c>
      <c r="Q69" t="s">
        <v>454</v>
      </c>
    </row>
    <row r="70" spans="2:17" x14ac:dyDescent="0.3">
      <c r="B70">
        <v>63</v>
      </c>
      <c r="C70" s="5" t="s">
        <v>688</v>
      </c>
      <c r="D70" t="s">
        <v>1513</v>
      </c>
      <c r="E70" s="4" t="s">
        <v>689</v>
      </c>
      <c r="F70" s="4" t="s">
        <v>690</v>
      </c>
      <c r="G70" t="s">
        <v>452</v>
      </c>
      <c r="L70" t="s">
        <v>454</v>
      </c>
      <c r="M70" t="s">
        <v>454</v>
      </c>
      <c r="N70" t="s">
        <v>454</v>
      </c>
      <c r="O70" t="s">
        <v>454</v>
      </c>
      <c r="P70" t="s">
        <v>454</v>
      </c>
      <c r="Q70" t="s">
        <v>454</v>
      </c>
    </row>
    <row r="71" spans="2:17" x14ac:dyDescent="0.3">
      <c r="B71" s="82">
        <v>64</v>
      </c>
      <c r="C71" s="13" t="s">
        <v>998</v>
      </c>
      <c r="D71" t="s">
        <v>999</v>
      </c>
      <c r="E71" s="4" t="s">
        <v>1000</v>
      </c>
      <c r="F71" s="4" t="s">
        <v>526</v>
      </c>
      <c r="G71" t="s">
        <v>1475</v>
      </c>
      <c r="H71" t="s">
        <v>1001</v>
      </c>
      <c r="J71" s="101" t="s">
        <v>451</v>
      </c>
      <c r="L71" t="s">
        <v>454</v>
      </c>
      <c r="M71" t="s">
        <v>454</v>
      </c>
      <c r="N71" t="s">
        <v>454</v>
      </c>
      <c r="O71" t="s">
        <v>454</v>
      </c>
      <c r="P71" t="s">
        <v>454</v>
      </c>
      <c r="Q71" t="s">
        <v>454</v>
      </c>
    </row>
    <row r="72" spans="2:17" x14ac:dyDescent="0.3">
      <c r="B72">
        <v>65</v>
      </c>
      <c r="C72" s="5" t="s">
        <v>1187</v>
      </c>
      <c r="D72" t="s">
        <v>1190</v>
      </c>
      <c r="E72" s="4" t="s">
        <v>1188</v>
      </c>
      <c r="F72" s="4" t="s">
        <v>1189</v>
      </c>
      <c r="G72" t="s">
        <v>452</v>
      </c>
      <c r="L72" t="s">
        <v>454</v>
      </c>
      <c r="M72" t="s">
        <v>454</v>
      </c>
      <c r="N72" t="s">
        <v>454</v>
      </c>
      <c r="O72" t="s">
        <v>454</v>
      </c>
      <c r="P72" t="s">
        <v>454</v>
      </c>
      <c r="Q72" t="s">
        <v>454</v>
      </c>
    </row>
    <row r="73" spans="2:17" x14ac:dyDescent="0.3">
      <c r="B73">
        <v>66</v>
      </c>
      <c r="C73" s="5" t="s">
        <v>1433</v>
      </c>
      <c r="D73" t="s">
        <v>1434</v>
      </c>
      <c r="E73" s="4" t="s">
        <v>1435</v>
      </c>
      <c r="F73" s="4" t="s">
        <v>1436</v>
      </c>
      <c r="G73" t="s">
        <v>452</v>
      </c>
      <c r="H73" t="s">
        <v>1437</v>
      </c>
      <c r="L73" t="s">
        <v>454</v>
      </c>
      <c r="M73" t="s">
        <v>454</v>
      </c>
      <c r="N73" t="s">
        <v>454</v>
      </c>
      <c r="O73" t="s">
        <v>454</v>
      </c>
      <c r="P73" t="s">
        <v>454</v>
      </c>
      <c r="Q73" t="s">
        <v>454</v>
      </c>
    </row>
    <row r="74" spans="2:17" x14ac:dyDescent="0.3">
      <c r="B74">
        <v>67</v>
      </c>
      <c r="C74" s="5" t="s">
        <v>1438</v>
      </c>
      <c r="D74" t="s">
        <v>1439</v>
      </c>
      <c r="E74" s="4" t="s">
        <v>1440</v>
      </c>
      <c r="F74" s="4" t="s">
        <v>1441</v>
      </c>
      <c r="G74" t="s">
        <v>452</v>
      </c>
      <c r="H74" t="s">
        <v>1447</v>
      </c>
      <c r="L74" t="s">
        <v>454</v>
      </c>
      <c r="M74" t="s">
        <v>454</v>
      </c>
      <c r="N74" t="s">
        <v>454</v>
      </c>
      <c r="O74" t="s">
        <v>454</v>
      </c>
      <c r="P74" t="s">
        <v>454</v>
      </c>
      <c r="Q74" t="s">
        <v>454</v>
      </c>
    </row>
    <row r="75" spans="2:17" x14ac:dyDescent="0.3">
      <c r="B75">
        <v>68</v>
      </c>
      <c r="C75" s="5" t="s">
        <v>1442</v>
      </c>
      <c r="D75" t="s">
        <v>1443</v>
      </c>
      <c r="E75" s="4" t="s">
        <v>1444</v>
      </c>
      <c r="F75" s="4" t="s">
        <v>1445</v>
      </c>
      <c r="G75" t="s">
        <v>452</v>
      </c>
      <c r="H75" t="s">
        <v>1446</v>
      </c>
      <c r="L75" t="s">
        <v>454</v>
      </c>
      <c r="M75" t="s">
        <v>454</v>
      </c>
      <c r="N75" t="s">
        <v>454</v>
      </c>
      <c r="O75" t="s">
        <v>454</v>
      </c>
      <c r="P75" t="s">
        <v>454</v>
      </c>
      <c r="Q75" t="s">
        <v>454</v>
      </c>
    </row>
    <row r="76" spans="2:17" x14ac:dyDescent="0.3">
      <c r="B76">
        <v>69</v>
      </c>
      <c r="C76" s="5" t="s">
        <v>1448</v>
      </c>
      <c r="D76" t="s">
        <v>1449</v>
      </c>
      <c r="E76" s="4" t="s">
        <v>1450</v>
      </c>
      <c r="F76" s="4" t="s">
        <v>1451</v>
      </c>
      <c r="G76" t="s">
        <v>452</v>
      </c>
      <c r="H76" t="s">
        <v>1452</v>
      </c>
      <c r="L76" t="s">
        <v>454</v>
      </c>
      <c r="M76" t="s">
        <v>454</v>
      </c>
      <c r="N76" t="s">
        <v>454</v>
      </c>
      <c r="O76" t="s">
        <v>454</v>
      </c>
      <c r="P76" t="s">
        <v>454</v>
      </c>
      <c r="Q76" t="s">
        <v>454</v>
      </c>
    </row>
    <row r="77" spans="2:17" x14ac:dyDescent="0.3">
      <c r="B77">
        <v>70</v>
      </c>
      <c r="C77" s="5" t="s">
        <v>1453</v>
      </c>
      <c r="D77" t="s">
        <v>1515</v>
      </c>
      <c r="E77" s="4" t="s">
        <v>1460</v>
      </c>
      <c r="F77" s="4" t="s">
        <v>1516</v>
      </c>
      <c r="G77" t="s">
        <v>452</v>
      </c>
      <c r="H77" t="s">
        <v>1459</v>
      </c>
      <c r="L77" t="s">
        <v>454</v>
      </c>
      <c r="M77" t="s">
        <v>454</v>
      </c>
      <c r="N77" t="s">
        <v>454</v>
      </c>
      <c r="O77" t="s">
        <v>454</v>
      </c>
      <c r="P77" t="s">
        <v>454</v>
      </c>
      <c r="Q77" t="s">
        <v>454</v>
      </c>
    </row>
    <row r="78" spans="2:17" x14ac:dyDescent="0.3">
      <c r="B78">
        <v>71</v>
      </c>
      <c r="C78" s="5" t="s">
        <v>1454</v>
      </c>
      <c r="D78" t="s">
        <v>1455</v>
      </c>
      <c r="E78" s="4" t="s">
        <v>1456</v>
      </c>
      <c r="F78" s="4" t="s">
        <v>1457</v>
      </c>
      <c r="G78" t="s">
        <v>452</v>
      </c>
      <c r="H78" t="s">
        <v>1458</v>
      </c>
      <c r="J78" t="s">
        <v>452</v>
      </c>
      <c r="L78" t="s">
        <v>454</v>
      </c>
      <c r="M78" t="s">
        <v>454</v>
      </c>
      <c r="N78" t="s">
        <v>454</v>
      </c>
      <c r="O78" t="s">
        <v>454</v>
      </c>
      <c r="P78" t="s">
        <v>454</v>
      </c>
      <c r="Q78" t="s">
        <v>454</v>
      </c>
    </row>
    <row r="79" spans="2:17" x14ac:dyDescent="0.3">
      <c r="B79" s="82">
        <v>72</v>
      </c>
      <c r="C79" s="13" t="s">
        <v>1478</v>
      </c>
      <c r="D79" t="s">
        <v>1479</v>
      </c>
      <c r="E79" s="4" t="s">
        <v>1480</v>
      </c>
      <c r="F79" s="4" t="s">
        <v>1481</v>
      </c>
      <c r="G79" t="s">
        <v>1462</v>
      </c>
      <c r="H79" t="s">
        <v>1528</v>
      </c>
      <c r="J79" s="101" t="s">
        <v>451</v>
      </c>
      <c r="K79">
        <v>6</v>
      </c>
      <c r="L79" t="s">
        <v>454</v>
      </c>
      <c r="M79" t="s">
        <v>454</v>
      </c>
      <c r="N79" t="s">
        <v>454</v>
      </c>
      <c r="O79" t="s">
        <v>454</v>
      </c>
      <c r="P79" t="s">
        <v>454</v>
      </c>
      <c r="Q79" t="s">
        <v>454</v>
      </c>
    </row>
    <row r="80" spans="2:17" x14ac:dyDescent="0.3">
      <c r="B80">
        <v>73</v>
      </c>
      <c r="C80" s="5" t="s">
        <v>1539</v>
      </c>
      <c r="D80" t="s">
        <v>1540</v>
      </c>
      <c r="E80" s="4" t="s">
        <v>1541</v>
      </c>
      <c r="F80" s="4" t="s">
        <v>1542</v>
      </c>
      <c r="H80" t="s">
        <v>1543</v>
      </c>
      <c r="I80" t="s">
        <v>577</v>
      </c>
      <c r="J80" t="s">
        <v>451</v>
      </c>
      <c r="K80">
        <v>6</v>
      </c>
      <c r="L80" t="s">
        <v>454</v>
      </c>
      <c r="M80" t="s">
        <v>454</v>
      </c>
      <c r="N80" t="s">
        <v>454</v>
      </c>
      <c r="O80" t="s">
        <v>454</v>
      </c>
      <c r="P80" t="s">
        <v>454</v>
      </c>
      <c r="Q80" t="s">
        <v>454</v>
      </c>
    </row>
  </sheetData>
  <hyperlinks>
    <hyperlink ref="F47" r:id="rId1" xr:uid="{CE373F32-BF29-4EC5-A1F7-8EC77CBC6386}"/>
    <hyperlink ref="E47" r:id="rId2" xr:uid="{39922C19-DE63-4BEC-B0DD-02D0358A3C53}"/>
    <hyperlink ref="E46" r:id="rId3" xr:uid="{F60B4692-EFB5-42D1-9393-92F56E52DCD5}"/>
    <hyperlink ref="F46" r:id="rId4" xr:uid="{7E2FD1FC-17D2-4AFC-BF97-AD99DF7DDF30}"/>
    <hyperlink ref="E45" r:id="rId5" xr:uid="{1109B9BD-D1A9-4827-AEBB-FB1C5E0FC0E0}"/>
    <hyperlink ref="F45" r:id="rId6" xr:uid="{E5E236F2-11C4-49F3-9F6D-B5D8D8B453E3}"/>
    <hyperlink ref="E44" r:id="rId7" xr:uid="{8EE405D7-E37B-4441-8561-3D51710E3C02}"/>
    <hyperlink ref="F44" r:id="rId8" xr:uid="{44503999-C636-45BB-8795-8CE99ADF8969}"/>
    <hyperlink ref="E43" r:id="rId9" xr:uid="{90C8DFF8-62B6-4C91-9C96-8FE6CC06FCEA}"/>
    <hyperlink ref="F43" r:id="rId10" xr:uid="{8A177EDB-046E-4F95-9F89-28793E8FCC98}"/>
    <hyperlink ref="E42" r:id="rId11" xr:uid="{B9D2BF9F-F4BE-4A0E-90A9-90B6BDB68734}"/>
    <hyperlink ref="F42" r:id="rId12" xr:uid="{A069D45D-9898-4770-B71B-471C1133C52A}"/>
    <hyperlink ref="E41" r:id="rId13" xr:uid="{4BB9BD39-6DDF-41E5-A68B-7917AC3E6F3E}"/>
    <hyperlink ref="F41" r:id="rId14" xr:uid="{5CC01F2C-320E-42B0-AA14-F5240CE3C7E2}"/>
    <hyperlink ref="E40" r:id="rId15" xr:uid="{FCCF8A1A-DCF7-4B4A-8E10-F3BD4DC47C19}"/>
    <hyperlink ref="F40" r:id="rId16" xr:uid="{F163A359-3FF1-4452-BC56-64856F05BD3D}"/>
    <hyperlink ref="E39" r:id="rId17" xr:uid="{42253366-95DE-400F-998B-F21055508EB3}"/>
    <hyperlink ref="E38" r:id="rId18" xr:uid="{3332C66B-745D-4E51-ADF6-A0C1BC70C607}"/>
    <hyperlink ref="F38" r:id="rId19" xr:uid="{1357C0C0-C4C7-4765-A7C7-5E7F6EDE20B3}"/>
    <hyperlink ref="F39" r:id="rId20" xr:uid="{0160032A-15C9-47D7-940B-D94FF98EABEB}"/>
    <hyperlink ref="E37" r:id="rId21" xr:uid="{F720037E-52DE-459A-9BDB-84DE5256187F}"/>
    <hyperlink ref="F37" r:id="rId22" xr:uid="{F408A128-3308-4F4A-B61D-67423E459B85}"/>
    <hyperlink ref="E36" r:id="rId23" xr:uid="{1E569940-BC35-4E37-89B5-2A0253E7A41E}"/>
    <hyperlink ref="F36" r:id="rId24" xr:uid="{F5794EA7-4FBE-4803-8892-11A61A87D5E6}"/>
    <hyperlink ref="E35" r:id="rId25" xr:uid="{3D2826AE-FB3A-4310-BE52-9C9336212918}"/>
    <hyperlink ref="F35" r:id="rId26" xr:uid="{EE91FEB4-8B70-4A3F-89E9-B059AADEE62A}"/>
    <hyperlink ref="F33" r:id="rId27" xr:uid="{064F3A3E-7AE8-4E5F-9A86-50B685DA0939}"/>
    <hyperlink ref="E33" r:id="rId28" xr:uid="{BD0CBCAA-47E4-4471-BD8C-B02EA4931396}"/>
    <hyperlink ref="F32" r:id="rId29" xr:uid="{44625A5D-C2EB-4525-90E8-49DC7115AAB1}"/>
    <hyperlink ref="E32" r:id="rId30" xr:uid="{216EB37D-7345-4703-936E-B5BB7CF7E4DC}"/>
    <hyperlink ref="F31" r:id="rId31" xr:uid="{9F983D51-C966-4031-BAD3-0887107CD820}"/>
    <hyperlink ref="E31" r:id="rId32" xr:uid="{D61641AF-912C-403D-9BF8-D4068D2829D0}"/>
    <hyperlink ref="E29" r:id="rId33" xr:uid="{507364EB-171E-4392-BCBC-C4F39F5086DA}"/>
    <hyperlink ref="F29" r:id="rId34" xr:uid="{4EAA4965-1274-4183-92B7-CB90A7685419}"/>
    <hyperlink ref="E28" r:id="rId35" xr:uid="{2C1B6F59-E104-4565-B58B-9E015C8AAB60}"/>
    <hyperlink ref="E27" r:id="rId36" xr:uid="{D40E0488-779B-4965-8806-0569C33FF8C4}"/>
    <hyperlink ref="F28" r:id="rId37" xr:uid="{BF40D17D-C205-4126-8574-E02ABF41FFA9}"/>
    <hyperlink ref="F27" r:id="rId38" xr:uid="{115552AC-C51C-4893-9E67-0B4010E37364}"/>
    <hyperlink ref="F26" r:id="rId39" xr:uid="{E2A66400-327C-48CF-A8F5-33C3ADDE87DD}"/>
    <hyperlink ref="E26" r:id="rId40" xr:uid="{8FB187BA-0F39-4545-AEF4-E888CEEF87AC}"/>
    <hyperlink ref="F25" r:id="rId41" xr:uid="{327E8872-1318-46CC-AB7E-33AAF3385D7B}"/>
    <hyperlink ref="E25" r:id="rId42" xr:uid="{8B516B94-4E9D-4CA8-AEEE-583B95AC1022}"/>
    <hyperlink ref="E24" r:id="rId43" xr:uid="{B0D6692E-9AAF-4FF1-99FB-4A374E7B3941}"/>
    <hyperlink ref="F24" r:id="rId44" xr:uid="{FD5B973A-4AF5-4E99-B1F1-280624E36CD8}"/>
    <hyperlink ref="E13" r:id="rId45" xr:uid="{51853296-CAF9-402D-AD35-1DC60A1643D5}"/>
    <hyperlink ref="F13" r:id="rId46" xr:uid="{ED7487E6-A7C4-4C45-A24F-0765410FD392}"/>
    <hyperlink ref="E23" r:id="rId47" xr:uid="{2F23DA27-4767-4014-8380-439024C68696}"/>
    <hyperlink ref="F23" r:id="rId48" xr:uid="{C92683C7-FD8D-40EF-9915-CBDEB1BEF7CE}"/>
    <hyperlink ref="E22" r:id="rId49" xr:uid="{95B8528A-855E-40C8-85E2-D0261B73291D}"/>
    <hyperlink ref="F22" r:id="rId50" xr:uid="{D7C11214-E008-483E-A146-CA79D5D9259C}"/>
    <hyperlink ref="E21" r:id="rId51" xr:uid="{2BB26045-EC5F-463A-94B6-6952BA3D6D19}"/>
    <hyperlink ref="F21" r:id="rId52" xr:uid="{F1BC2D13-E551-421D-AA70-36E5068CB088}"/>
    <hyperlink ref="E20" r:id="rId53" xr:uid="{E2AB6529-C35D-46B5-8D55-D10D69F88D94}"/>
    <hyperlink ref="F20" r:id="rId54" xr:uid="{F4A20495-5962-4091-8E57-9DE73B1940A5}"/>
    <hyperlink ref="E19" r:id="rId55" xr:uid="{9B474D7D-8828-4D31-851F-6279F7883564}"/>
    <hyperlink ref="F19" r:id="rId56" xr:uid="{D78CF931-4B95-47EE-885E-03E7AF111528}"/>
    <hyperlink ref="E18" r:id="rId57" xr:uid="{1FCEDF82-CB74-4E1F-AAC2-4F82CDF5DB71}"/>
    <hyperlink ref="F18" r:id="rId58" xr:uid="{303F8F85-FC14-4897-BE22-58BF9884FD54}"/>
    <hyperlink ref="E17" r:id="rId59" xr:uid="{F27AF9DC-FAD5-4A09-8982-48F2BD943C9E}"/>
    <hyperlink ref="F17" r:id="rId60" xr:uid="{915DBA2B-98AD-4115-A5FF-3D1347D07F63}"/>
    <hyperlink ref="E16" r:id="rId61" xr:uid="{B1296D20-33A0-42E4-9A0B-F478D6027D59}"/>
    <hyperlink ref="F16" r:id="rId62" xr:uid="{E4F93CF4-DB24-4086-AEE4-A5179FBCB4B5}"/>
    <hyperlink ref="E15" r:id="rId63" xr:uid="{D8FF80B8-F3DE-420D-B192-5246D484AA2C}"/>
    <hyperlink ref="F15" r:id="rId64" xr:uid="{0AD4B901-D32F-47D2-89C2-69827F28C054}"/>
    <hyperlink ref="E14" r:id="rId65" xr:uid="{A797FB5A-63DE-4E42-82A2-6BED68F145B6}"/>
    <hyperlink ref="F14" r:id="rId66" xr:uid="{3CC245AB-0C24-46BA-8AC5-C1FDD325B8B8}"/>
    <hyperlink ref="E12" r:id="rId67" xr:uid="{87CF249C-67C5-4D7C-9F8E-D5D1B7331C53}"/>
    <hyperlink ref="F12" r:id="rId68" xr:uid="{E4378A4E-F539-4ECF-B481-91622DDE1DE2}"/>
    <hyperlink ref="F11" r:id="rId69" xr:uid="{C627D465-F79A-4F53-8EFE-79CEA570FC8A}"/>
    <hyperlink ref="F10" r:id="rId70" xr:uid="{B67A1A6A-750A-40DD-AE7C-3637473E2B48}"/>
    <hyperlink ref="F9" r:id="rId71" xr:uid="{5B4CD201-CE44-4331-9CFE-B822EE61C9FA}"/>
    <hyperlink ref="F8" r:id="rId72" xr:uid="{231C22B1-2E20-46BF-B201-82F3D0B35498}"/>
    <hyperlink ref="E8" r:id="rId73" xr:uid="{526D3599-1450-4A64-88F2-76E19925B7C7}"/>
    <hyperlink ref="E9" r:id="rId74" xr:uid="{30EAD1E8-80CB-45DE-AEA2-56028D4AF757}"/>
    <hyperlink ref="E10" r:id="rId75" xr:uid="{40EAF542-2133-4D6E-8DA2-CDE7418616A9}"/>
    <hyperlink ref="E11" r:id="rId76" xr:uid="{0FDFE44A-AA39-479C-9331-E9CB27734C02}"/>
    <hyperlink ref="F30" r:id="rId77" xr:uid="{B2FCEA7F-E8E5-47A7-A425-2C526B547F6F}"/>
    <hyperlink ref="E30" r:id="rId78" xr:uid="{9DB54F22-23DE-4C68-AC1A-0AC717395F33}"/>
    <hyperlink ref="E34" r:id="rId79" xr:uid="{362E8B3A-487D-4F63-B42D-E1FDE1504B52}"/>
    <hyperlink ref="F34" r:id="rId80" xr:uid="{4BBDEBDA-692E-4C0C-9C41-F71799A57911}"/>
    <hyperlink ref="E48" r:id="rId81" xr:uid="{0E679D5D-B5E9-4BAA-9104-57132F4816A4}"/>
    <hyperlink ref="F48" r:id="rId82" xr:uid="{4DB6BD0B-2E96-415A-87EE-15935DE42EB6}"/>
    <hyperlink ref="E49" r:id="rId83" xr:uid="{62F752F5-7350-42BA-AA94-7266A16184D5}"/>
    <hyperlink ref="F49" r:id="rId84" xr:uid="{FC9547D7-D219-4AE9-A09D-D4952A51BAE7}"/>
    <hyperlink ref="E50" r:id="rId85" xr:uid="{8A755A2F-4220-42BA-857F-A7AFDB599D5D}"/>
    <hyperlink ref="F50" r:id="rId86" xr:uid="{E3FF2E72-5678-4BB6-8026-8D9236063D3B}"/>
    <hyperlink ref="E51" r:id="rId87" xr:uid="{75E7E4EA-8B2C-432A-97C1-42DBDC1C08D8}"/>
    <hyperlink ref="F51" r:id="rId88" xr:uid="{498682CF-7CEE-477B-A0BC-65BDE5487471}"/>
    <hyperlink ref="E52" r:id="rId89" xr:uid="{707749DF-A6D3-4A0E-99DA-51BF86C029AD}"/>
    <hyperlink ref="F52" r:id="rId90" xr:uid="{43A5EDB2-F60A-4E18-B47C-53A59DD605EF}"/>
    <hyperlink ref="E54" r:id="rId91" xr:uid="{38BE08F2-AE4C-492D-9037-F68550E49E77}"/>
    <hyperlink ref="F54" r:id="rId92" xr:uid="{B2B9AC7A-EDB6-4E2F-804E-DB4B88900E70}"/>
    <hyperlink ref="E55" r:id="rId93" xr:uid="{73179A86-6600-4FB5-9622-1240DFBE1A9C}"/>
    <hyperlink ref="F55" r:id="rId94" xr:uid="{02348316-A148-4BA8-A275-2CE9A2424F34}"/>
    <hyperlink ref="F56" r:id="rId95" xr:uid="{8D3BCEEF-AF4F-4677-B61D-80E754C40C4C}"/>
    <hyperlink ref="E57" r:id="rId96" xr:uid="{1EBA6191-FB78-4313-ABDD-EF5C47D36120}"/>
    <hyperlink ref="F58" r:id="rId97" xr:uid="{29A3105D-74E7-48BF-B586-D985D5D1AE63}"/>
    <hyperlink ref="E59" r:id="rId98" xr:uid="{AE59BB96-02C4-448D-9039-34973F40E7BB}"/>
    <hyperlink ref="F59" r:id="rId99" xr:uid="{722ADBE5-7785-46CA-8713-DBA482CACA80}"/>
    <hyperlink ref="E60" r:id="rId100" xr:uid="{22AB7BD5-6BBF-40AF-9E93-986D7C01B9A9}"/>
    <hyperlink ref="F60" r:id="rId101" xr:uid="{5FD49D74-429B-4332-BC43-120B804FE46D}"/>
    <hyperlink ref="E61" r:id="rId102" xr:uid="{B016A352-695A-4DE9-B31F-F02F0890C763}"/>
    <hyperlink ref="F61" r:id="rId103" xr:uid="{5EFDFE8C-4EB4-46B4-9BE4-6EE618BCBAE5}"/>
    <hyperlink ref="E62" r:id="rId104" xr:uid="{DEC97D81-DF43-479B-9156-81F3CF3CE138}"/>
    <hyperlink ref="F62" r:id="rId105" xr:uid="{A317B82F-E611-4F45-8C01-29B3317201F1}"/>
    <hyperlink ref="F63" r:id="rId106" xr:uid="{ECF3229F-9290-4E7C-BE0E-C3BD3F4088D9}"/>
    <hyperlink ref="E63" r:id="rId107" xr:uid="{794DDBEA-6BA9-4435-80E5-BB11848661FA}"/>
    <hyperlink ref="E58" r:id="rId108" xr:uid="{F8980793-9537-4473-9F1A-A247AB086966}"/>
    <hyperlink ref="E56" r:id="rId109" xr:uid="{365D6DDE-A168-4450-B307-B9CAF4F1D20E}"/>
    <hyperlink ref="E64" r:id="rId110" xr:uid="{5B0CCDD8-2AD3-4D75-B435-6D23F77E8B90}"/>
    <hyperlink ref="F64" r:id="rId111" xr:uid="{3A45A802-B3AB-4EDD-B9E2-8B2AFAED4214}"/>
    <hyperlink ref="E65" r:id="rId112" xr:uid="{C4D46951-3F5B-4490-9442-13F9711D6498}"/>
    <hyperlink ref="F65" r:id="rId113" xr:uid="{2DFC12CC-A054-4BBE-AB23-6604E3362A31}"/>
    <hyperlink ref="E66" r:id="rId114" xr:uid="{B8BF50E8-AE9A-47C0-A751-2C07A77B55B8}"/>
    <hyperlink ref="F66" r:id="rId115" xr:uid="{3BC298B6-5615-4E39-AB53-CA1A83413544}"/>
    <hyperlink ref="F67" r:id="rId116" xr:uid="{EF8B6656-C550-4FCC-BEA2-697A3654F594}"/>
    <hyperlink ref="E67" r:id="rId117" xr:uid="{763AD29E-0C65-4A2D-83FF-034FAF810F2D}"/>
    <hyperlink ref="F68" r:id="rId118" xr:uid="{D6ED2E8D-A1F1-4F3C-8B8F-4549A9B74535}"/>
    <hyperlink ref="E68" r:id="rId119" xr:uid="{8F2BF52C-AEB3-41AA-B82F-D6EB6A10622A}"/>
    <hyperlink ref="E69" r:id="rId120" xr:uid="{39251B3C-3537-4192-8E3B-58A2C1376191}"/>
    <hyperlink ref="F70" r:id="rId121" xr:uid="{3616322D-8DC7-4043-8BE7-00BA2DF660AA}"/>
    <hyperlink ref="E70" r:id="rId122" xr:uid="{DEA0E7DD-16F5-4B95-A92A-1C5BBF98F94F}"/>
    <hyperlink ref="E71" r:id="rId123" xr:uid="{47F60415-8158-420C-9EB2-C7C389C3F8A2}"/>
    <hyperlink ref="F71" r:id="rId124" xr:uid="{8573E355-280F-4AE3-B3D2-52A465901C59}"/>
    <hyperlink ref="F57" r:id="rId125" xr:uid="{9D0E17CE-92CA-4F39-8312-178EE416A614}"/>
    <hyperlink ref="F72" r:id="rId126" xr:uid="{057FC7BD-C13B-40F4-B753-1CF5C5B33D14}"/>
    <hyperlink ref="E72" r:id="rId127" xr:uid="{75507A13-1EF1-4FB5-B571-3F1A2ED4931D}"/>
    <hyperlink ref="E53" r:id="rId128" xr:uid="{387AB4B9-6B11-4353-A79C-CEFDC2A8BA46}"/>
    <hyperlink ref="F53" r:id="rId129" xr:uid="{B281FF21-4AE1-43B5-B574-731B7E455BEC}"/>
    <hyperlink ref="E73" r:id="rId130" xr:uid="{836036FE-2D30-4F26-B0C1-C5359FD13912}"/>
    <hyperlink ref="F73" r:id="rId131" xr:uid="{25E5BE72-61A0-47E5-95D0-BB2BC19408E3}"/>
    <hyperlink ref="E74" r:id="rId132" xr:uid="{F0ECB2A8-C8B8-461C-98DC-645F7C5BBC99}"/>
    <hyperlink ref="F74" r:id="rId133" xr:uid="{33A49BD2-06EF-491A-843E-7BBA651137FD}"/>
    <hyperlink ref="E75" r:id="rId134" xr:uid="{AF209C5F-A42E-45A4-88F9-57A0ADB9F7DC}"/>
    <hyperlink ref="F75" r:id="rId135" xr:uid="{9C88E276-6C80-40A8-8292-06A1E0B43E22}"/>
    <hyperlink ref="E76" r:id="rId136" xr:uid="{562AFFD0-DB74-48E2-B585-0A3D7DBC4C60}"/>
    <hyperlink ref="F76" r:id="rId137" xr:uid="{1ED3F9D3-1E73-417E-8DB2-A9B87C3D3E33}"/>
    <hyperlink ref="E78" r:id="rId138" xr:uid="{99879691-69D1-48DF-AAA7-742FA45589F9}"/>
    <hyperlink ref="F78" r:id="rId139" xr:uid="{585432EB-904C-483B-930B-8A3C74212236}"/>
    <hyperlink ref="E77" r:id="rId140" xr:uid="{5E268EF3-D506-4DBC-B248-CA0597795E7D}"/>
    <hyperlink ref="E79" r:id="rId141" xr:uid="{50C203C0-7E86-475F-8D89-8C38385F3A6C}"/>
    <hyperlink ref="F79" r:id="rId142" xr:uid="{2D30D997-8BB6-438A-A45C-8F3759C2E1ED}"/>
    <hyperlink ref="F69" r:id="rId143" xr:uid="{461B4B4D-CBAE-415E-8B05-A63B11F5636A}"/>
    <hyperlink ref="F77" r:id="rId144" xr:uid="{FCC83EC8-3AEE-434C-9550-37BB90A797FE}"/>
    <hyperlink ref="E80" r:id="rId145" xr:uid="{169E8F41-482D-449F-9EE9-6CF104D7B43F}"/>
    <hyperlink ref="F80" r:id="rId146" xr:uid="{A000AB2C-4BC9-45DF-A0A3-C76A2CA06B25}"/>
  </hyperlinks>
  <pageMargins left="0.75" right="0.75" top="1" bottom="1" header="0.5" footer="0.5"/>
  <pageSetup paperSize="9" orientation="portrait" r:id="rId147"/>
  <legacyDrawing r:id="rId14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A76A-B357-4294-9A94-A53BC646461C}">
  <sheetPr codeName="Sheet2"/>
  <dimension ref="A1:AA2818"/>
  <sheetViews>
    <sheetView tabSelected="1" zoomScale="70" zoomScaleNormal="70" workbookViewId="0">
      <pane xSplit="4" ySplit="8" topLeftCell="E2778" activePane="bottomRight" state="frozen"/>
      <selection pane="topRight" activeCell="F1" sqref="F1"/>
      <selection pane="bottomLeft" activeCell="A9" sqref="A9"/>
      <selection pane="bottomRight" activeCell="S2781" sqref="S2781"/>
    </sheetView>
  </sheetViews>
  <sheetFormatPr defaultRowHeight="14.4" x14ac:dyDescent="0.3"/>
  <cols>
    <col min="1" max="1" width="9" customWidth="1"/>
    <col min="2" max="2" width="6.88671875" customWidth="1"/>
    <col min="3" max="3" width="7" customWidth="1"/>
    <col min="4" max="4" width="9" customWidth="1"/>
    <col min="5" max="5" width="12" style="64" customWidth="1"/>
    <col min="6" max="6" width="9.77734375" customWidth="1"/>
    <col min="7" max="7" width="8.5546875" customWidth="1"/>
    <col min="8" max="8" width="7.88671875" customWidth="1"/>
    <col min="9" max="9" width="10.109375" customWidth="1"/>
    <col min="10" max="10" width="11.21875" customWidth="1"/>
    <col min="11" max="11" width="10.77734375" customWidth="1"/>
    <col min="12" max="12" width="10" customWidth="1"/>
    <col min="13" max="13" width="10.88671875" customWidth="1"/>
    <col min="14" max="14" width="9.88671875" customWidth="1"/>
    <col min="15" max="15" width="11.109375" customWidth="1"/>
    <col min="16" max="16" width="10.88671875" customWidth="1"/>
    <col min="17" max="17" width="9.21875" customWidth="1"/>
    <col min="18" max="18" width="12.109375" customWidth="1"/>
    <col min="19" max="19" width="15" customWidth="1"/>
    <col min="20" max="20" width="13.33203125" customWidth="1"/>
    <col min="21" max="21" width="12.5546875" customWidth="1"/>
    <col min="22" max="22" width="13.109375" customWidth="1"/>
    <col min="23" max="23" width="12.88671875" customWidth="1"/>
    <col min="24" max="24" width="14" customWidth="1"/>
    <col min="25" max="25" width="13.109375" customWidth="1"/>
    <col min="26" max="27" width="12.88671875" customWidth="1"/>
  </cols>
  <sheetData>
    <row r="1" spans="1:27" x14ac:dyDescent="0.3">
      <c r="A1" s="1" t="s">
        <v>0</v>
      </c>
      <c r="B1" t="s">
        <v>58</v>
      </c>
      <c r="D1">
        <f>COUNT(_xlfn.UNIQUE(B9:B4952))</f>
        <v>130</v>
      </c>
      <c r="E1" t="s">
        <v>1497</v>
      </c>
      <c r="G1">
        <f>COUNT(_xlfn.UNIQUE(C9:C4952))</f>
        <v>17</v>
      </c>
      <c r="H1" t="s">
        <v>1432</v>
      </c>
    </row>
    <row r="2" spans="1:27" x14ac:dyDescent="0.3">
      <c r="A2" s="1" t="s">
        <v>2</v>
      </c>
      <c r="B2" t="s">
        <v>59</v>
      </c>
      <c r="E2"/>
    </row>
    <row r="3" spans="1:27" x14ac:dyDescent="0.3">
      <c r="A3" s="1"/>
      <c r="E3"/>
    </row>
    <row r="4" spans="1:27" x14ac:dyDescent="0.3">
      <c r="A4" s="2" t="s">
        <v>4</v>
      </c>
      <c r="B4" s="2" t="s">
        <v>60</v>
      </c>
      <c r="C4" s="2" t="s">
        <v>5</v>
      </c>
      <c r="D4" s="2" t="s">
        <v>61</v>
      </c>
      <c r="E4" s="2" t="s">
        <v>1138</v>
      </c>
      <c r="F4" s="2" t="s">
        <v>1143</v>
      </c>
      <c r="G4" s="2" t="s">
        <v>1145</v>
      </c>
      <c r="H4" s="2" t="s">
        <v>1146</v>
      </c>
      <c r="I4" s="63" t="s">
        <v>1147</v>
      </c>
      <c r="J4" s="2" t="s">
        <v>1148</v>
      </c>
      <c r="K4" s="63" t="s">
        <v>1149</v>
      </c>
      <c r="L4" s="2" t="s">
        <v>1150</v>
      </c>
      <c r="M4" s="2" t="s">
        <v>1155</v>
      </c>
      <c r="N4" s="2" t="s">
        <v>1179</v>
      </c>
      <c r="O4" s="2" t="s">
        <v>1172</v>
      </c>
      <c r="P4" s="63" t="s">
        <v>1156</v>
      </c>
      <c r="Q4" s="2" t="s">
        <v>1157</v>
      </c>
      <c r="R4" s="62" t="s">
        <v>1158</v>
      </c>
      <c r="S4" s="59" t="s">
        <v>1159</v>
      </c>
      <c r="T4" s="63" t="s">
        <v>1160</v>
      </c>
      <c r="U4" s="59" t="s">
        <v>1161</v>
      </c>
      <c r="V4" s="63" t="s">
        <v>1162</v>
      </c>
      <c r="W4" s="59" t="s">
        <v>1163</v>
      </c>
      <c r="X4" s="2" t="s">
        <v>1174</v>
      </c>
      <c r="Y4" s="2" t="s">
        <v>1175</v>
      </c>
      <c r="Z4" s="2" t="s">
        <v>1164</v>
      </c>
      <c r="AA4" s="2" t="s">
        <v>1165</v>
      </c>
    </row>
    <row r="5" spans="1:27" x14ac:dyDescent="0.3">
      <c r="A5" s="2" t="s">
        <v>20</v>
      </c>
      <c r="B5" s="3" t="s">
        <v>62</v>
      </c>
      <c r="C5" s="3" t="s">
        <v>21</v>
      </c>
      <c r="D5" s="3" t="s">
        <v>63</v>
      </c>
      <c r="E5" s="3" t="s">
        <v>1139</v>
      </c>
      <c r="F5" s="58" t="s">
        <v>1142</v>
      </c>
      <c r="G5" s="3"/>
      <c r="H5" s="3"/>
      <c r="I5" s="3"/>
      <c r="J5" s="3"/>
      <c r="K5" s="3"/>
      <c r="L5" s="3"/>
      <c r="M5" s="3"/>
      <c r="N5" s="3"/>
      <c r="O5" s="3"/>
      <c r="P5" s="3"/>
      <c r="Q5" s="3"/>
      <c r="R5" s="3"/>
      <c r="S5" s="3"/>
      <c r="T5" s="3"/>
      <c r="U5" s="3"/>
      <c r="V5" s="3"/>
      <c r="W5" s="3"/>
      <c r="X5" s="3"/>
      <c r="Y5" s="3"/>
      <c r="Z5" s="3"/>
      <c r="AA5" s="3"/>
    </row>
    <row r="6" spans="1:27" x14ac:dyDescent="0.3">
      <c r="A6" s="2" t="s">
        <v>36</v>
      </c>
      <c r="B6" s="3" t="s">
        <v>37</v>
      </c>
      <c r="C6" s="3" t="s">
        <v>37</v>
      </c>
      <c r="D6" s="3" t="s">
        <v>64</v>
      </c>
      <c r="E6" s="3" t="s">
        <v>1140</v>
      </c>
      <c r="F6" s="3" t="s">
        <v>1144</v>
      </c>
      <c r="G6" s="3" t="s">
        <v>180</v>
      </c>
      <c r="H6" s="3" t="s">
        <v>180</v>
      </c>
      <c r="I6" s="3" t="s">
        <v>1151</v>
      </c>
      <c r="J6" s="3" t="s">
        <v>1152</v>
      </c>
      <c r="K6" s="3" t="s">
        <v>1153</v>
      </c>
      <c r="L6" s="3" t="s">
        <v>1154</v>
      </c>
      <c r="M6" s="3" t="s">
        <v>1144</v>
      </c>
      <c r="N6" s="3" t="s">
        <v>1180</v>
      </c>
      <c r="O6" s="3" t="s">
        <v>1173</v>
      </c>
      <c r="P6" s="3" t="s">
        <v>1166</v>
      </c>
      <c r="Q6" s="3" t="s">
        <v>1167</v>
      </c>
      <c r="R6" s="3" t="s">
        <v>1169</v>
      </c>
      <c r="S6" s="3" t="s">
        <v>1168</v>
      </c>
      <c r="T6" s="3" t="s">
        <v>1151</v>
      </c>
      <c r="U6" s="3" t="s">
        <v>1170</v>
      </c>
      <c r="V6" s="3" t="s">
        <v>1151</v>
      </c>
      <c r="W6" s="3" t="s">
        <v>1170</v>
      </c>
      <c r="X6" s="3" t="s">
        <v>1177</v>
      </c>
      <c r="Y6" s="3" t="s">
        <v>1176</v>
      </c>
      <c r="Z6" s="3" t="s">
        <v>1171</v>
      </c>
      <c r="AA6" s="3" t="s">
        <v>1154</v>
      </c>
    </row>
    <row r="7" spans="1:27" x14ac:dyDescent="0.3">
      <c r="A7" s="2" t="s">
        <v>65</v>
      </c>
      <c r="B7" s="3" t="s">
        <v>66</v>
      </c>
      <c r="C7" s="3" t="s">
        <v>66</v>
      </c>
      <c r="D7" s="3" t="s">
        <v>67</v>
      </c>
      <c r="E7" s="3" t="s">
        <v>66</v>
      </c>
      <c r="F7" s="3"/>
      <c r="G7" s="3"/>
      <c r="H7" s="3"/>
      <c r="I7" s="3"/>
      <c r="J7" s="3"/>
      <c r="K7" s="3"/>
      <c r="L7" s="3"/>
      <c r="M7" s="3"/>
      <c r="N7" s="3"/>
      <c r="O7" s="3"/>
      <c r="P7" s="3"/>
      <c r="Q7" s="3"/>
      <c r="R7" s="3"/>
      <c r="S7" s="3"/>
      <c r="T7" s="3"/>
      <c r="U7" s="3"/>
      <c r="V7" s="3"/>
      <c r="W7" s="3"/>
      <c r="X7" s="3"/>
      <c r="Y7" s="3"/>
      <c r="Z7" s="3"/>
      <c r="AA7" s="3"/>
    </row>
    <row r="8" spans="1:27" x14ac:dyDescent="0.3">
      <c r="A8" s="2" t="s">
        <v>43</v>
      </c>
      <c r="B8" s="3" t="s">
        <v>68</v>
      </c>
      <c r="C8" s="3" t="s">
        <v>69</v>
      </c>
      <c r="D8" s="3" t="s">
        <v>70</v>
      </c>
      <c r="E8" s="3" t="s">
        <v>1141</v>
      </c>
      <c r="F8" s="58" t="s">
        <v>1142</v>
      </c>
      <c r="G8" s="3"/>
      <c r="H8" s="3"/>
      <c r="I8" s="3"/>
      <c r="J8" s="3"/>
      <c r="K8" s="3"/>
      <c r="L8" s="3"/>
      <c r="M8" s="3"/>
      <c r="N8" s="3"/>
      <c r="O8" s="3"/>
      <c r="P8" s="3"/>
      <c r="Q8" s="3"/>
      <c r="R8" s="3"/>
      <c r="S8" s="3"/>
      <c r="T8" s="3"/>
      <c r="U8" s="3"/>
      <c r="V8" s="3"/>
      <c r="W8" s="3"/>
      <c r="X8" s="3"/>
      <c r="Y8" s="3"/>
      <c r="Z8" s="3"/>
      <c r="AA8" s="3"/>
    </row>
    <row r="9" spans="1:27" x14ac:dyDescent="0.3">
      <c r="B9">
        <v>1</v>
      </c>
      <c r="C9">
        <v>1</v>
      </c>
      <c r="D9">
        <v>0</v>
      </c>
      <c r="E9" s="64">
        <v>39950</v>
      </c>
      <c r="K9" s="60">
        <f>I9/$V$9</f>
        <v>0</v>
      </c>
      <c r="R9">
        <v>0</v>
      </c>
      <c r="S9">
        <v>0</v>
      </c>
      <c r="T9" s="60">
        <f>$V$9*U9/100</f>
        <v>0</v>
      </c>
      <c r="U9" s="88">
        <f>100%-W9</f>
        <v>0</v>
      </c>
      <c r="V9" s="61">
        <f>2.32*1000*metadata!$AK$11</f>
        <v>1568.32</v>
      </c>
      <c r="W9" s="85">
        <v>1</v>
      </c>
    </row>
    <row r="10" spans="1:27" x14ac:dyDescent="0.3">
      <c r="B10">
        <v>1</v>
      </c>
      <c r="C10">
        <v>1</v>
      </c>
      <c r="D10">
        <v>1</v>
      </c>
      <c r="E10" s="64">
        <f t="shared" ref="E10:E28" si="0">E9+D10-D9</f>
        <v>39951</v>
      </c>
      <c r="I10" s="94">
        <f t="shared" ref="I10:I28" si="1">T10-T9</f>
        <v>1.3208165533094087E-2</v>
      </c>
      <c r="J10" s="94"/>
      <c r="K10" s="94">
        <f t="shared" ref="K10:K28" si="2">I10/$V$9</f>
        <v>8.4218562111648693E-6</v>
      </c>
      <c r="P10" s="60">
        <f>I10/(D10-D9)</f>
        <v>1.3208165533094087E-2</v>
      </c>
      <c r="R10" s="8">
        <f>(U10-U9)/(D10-D9)/$W$9</f>
        <v>8.4218562111648687E-4</v>
      </c>
      <c r="S10" s="8">
        <f t="shared" ref="S10:S28" si="3">(U10-U9)/(D10-D9)/W9</f>
        <v>8.4218562111648687E-4</v>
      </c>
      <c r="T10" s="60">
        <f t="shared" ref="T10:T28" si="4">$V$9*U10/100</f>
        <v>1.3208165533094087E-2</v>
      </c>
      <c r="U10" s="88">
        <f t="shared" ref="U10:U78" si="5">100%-W10</f>
        <v>8.4218562111648687E-4</v>
      </c>
      <c r="V10" s="61">
        <f>$V$9*W10/100</f>
        <v>15.669991834466906</v>
      </c>
      <c r="W10" s="85">
        <v>0.99915781437888351</v>
      </c>
    </row>
    <row r="11" spans="1:27" x14ac:dyDescent="0.3">
      <c r="B11">
        <v>1</v>
      </c>
      <c r="C11">
        <v>1</v>
      </c>
      <c r="D11">
        <v>15</v>
      </c>
      <c r="E11" s="64">
        <f t="shared" si="0"/>
        <v>39965</v>
      </c>
      <c r="I11" s="94">
        <f>T11-T10</f>
        <v>2.1919051399320325E-2</v>
      </c>
      <c r="J11" s="94"/>
      <c r="K11" s="94">
        <f t="shared" si="2"/>
        <v>1.397613458944624E-5</v>
      </c>
      <c r="P11" s="60">
        <f t="shared" ref="P11:P28" si="6">I11/(D11-D10)</f>
        <v>1.5656465285228804E-3</v>
      </c>
      <c r="R11" s="8">
        <f t="shared" ref="R11:R28" si="7">(U11-U10)/(D11-D10)/$W$9</f>
        <v>9.9829532781758878E-5</v>
      </c>
      <c r="S11" s="8">
        <f t="shared" si="3"/>
        <v>9.9913678645266777E-5</v>
      </c>
      <c r="T11" s="60">
        <f t="shared" si="4"/>
        <v>3.5127216932414412E-2</v>
      </c>
      <c r="U11" s="88">
        <f t="shared" si="5"/>
        <v>2.2397990800611112E-3</v>
      </c>
      <c r="V11" s="61">
        <f t="shared" ref="V11:V27" si="8">$V$9*W11/100</f>
        <v>15.648072783067585</v>
      </c>
      <c r="W11" s="85">
        <v>0.99776020091993889</v>
      </c>
    </row>
    <row r="12" spans="1:27" x14ac:dyDescent="0.3">
      <c r="B12">
        <v>1</v>
      </c>
      <c r="C12">
        <v>1</v>
      </c>
      <c r="D12">
        <v>38</v>
      </c>
      <c r="E12" s="64">
        <f t="shared" si="0"/>
        <v>39988</v>
      </c>
      <c r="I12" s="94">
        <f t="shared" si="1"/>
        <v>0</v>
      </c>
      <c r="J12" s="94"/>
      <c r="K12" s="94">
        <f t="shared" si="2"/>
        <v>0</v>
      </c>
      <c r="P12" s="60">
        <f t="shared" si="6"/>
        <v>0</v>
      </c>
      <c r="R12" s="8">
        <f t="shared" si="7"/>
        <v>0</v>
      </c>
      <c r="S12" s="8">
        <f t="shared" si="3"/>
        <v>0</v>
      </c>
      <c r="T12" s="60">
        <f t="shared" si="4"/>
        <v>3.5127216932414412E-2</v>
      </c>
      <c r="U12" s="88">
        <f t="shared" si="5"/>
        <v>2.2397990800611112E-3</v>
      </c>
      <c r="V12" s="61">
        <f t="shared" si="8"/>
        <v>15.648072783067585</v>
      </c>
      <c r="W12" s="85">
        <v>0.99776020091993889</v>
      </c>
    </row>
    <row r="13" spans="1:27" x14ac:dyDescent="0.3">
      <c r="B13">
        <v>1</v>
      </c>
      <c r="C13">
        <v>1</v>
      </c>
      <c r="D13">
        <v>70</v>
      </c>
      <c r="E13" s="64">
        <f t="shared" si="0"/>
        <v>40020</v>
      </c>
      <c r="I13" s="94">
        <f t="shared" si="1"/>
        <v>9.885967184458333E-3</v>
      </c>
      <c r="J13" s="94"/>
      <c r="K13" s="94">
        <f t="shared" si="2"/>
        <v>6.303539573848662E-6</v>
      </c>
      <c r="P13" s="60">
        <f t="shared" si="6"/>
        <v>3.0893647451432291E-4</v>
      </c>
      <c r="R13" s="8">
        <f t="shared" si="7"/>
        <v>1.9698561168277062E-5</v>
      </c>
      <c r="S13" s="8">
        <f t="shared" si="3"/>
        <v>1.9742781031068296E-5</v>
      </c>
      <c r="T13" s="60">
        <f t="shared" si="4"/>
        <v>4.5013184116872745E-2</v>
      </c>
      <c r="U13" s="88">
        <f t="shared" si="5"/>
        <v>2.8701530374459772E-3</v>
      </c>
      <c r="V13" s="61">
        <f t="shared" si="8"/>
        <v>15.638186815883127</v>
      </c>
      <c r="W13" s="85">
        <v>0.99712984696255402</v>
      </c>
    </row>
    <row r="14" spans="1:27" x14ac:dyDescent="0.3">
      <c r="B14">
        <v>1</v>
      </c>
      <c r="C14">
        <v>1</v>
      </c>
      <c r="D14">
        <v>127</v>
      </c>
      <c r="E14" s="64">
        <f t="shared" si="0"/>
        <v>40077</v>
      </c>
      <c r="I14" s="94">
        <f t="shared" si="1"/>
        <v>0.19071694224306501</v>
      </c>
      <c r="J14" s="94"/>
      <c r="K14" s="94">
        <f t="shared" si="2"/>
        <v>1.2160588543349891E-4</v>
      </c>
      <c r="P14" s="60">
        <f t="shared" si="6"/>
        <v>3.3459112674221934E-3</v>
      </c>
      <c r="R14" s="8">
        <f t="shared" si="7"/>
        <v>2.1334365865526128E-4</v>
      </c>
      <c r="S14" s="8">
        <f t="shared" si="3"/>
        <v>2.1395775014171564E-4</v>
      </c>
      <c r="T14" s="60">
        <f t="shared" si="4"/>
        <v>0.23573012635993776</v>
      </c>
      <c r="U14" s="88">
        <f t="shared" si="5"/>
        <v>1.503074158079587E-2</v>
      </c>
      <c r="V14" s="61">
        <f t="shared" si="8"/>
        <v>15.447469873640062</v>
      </c>
      <c r="W14" s="85">
        <v>0.98496925841920413</v>
      </c>
    </row>
    <row r="15" spans="1:27" x14ac:dyDescent="0.3">
      <c r="B15">
        <v>1</v>
      </c>
      <c r="C15">
        <v>1</v>
      </c>
      <c r="D15">
        <v>185</v>
      </c>
      <c r="E15" s="64">
        <f t="shared" si="0"/>
        <v>40135</v>
      </c>
      <c r="I15" s="94">
        <f t="shared" si="1"/>
        <v>3.0044760966752931E-2</v>
      </c>
      <c r="J15" s="94"/>
      <c r="K15" s="94">
        <f t="shared" si="2"/>
        <v>1.915728994513424E-5</v>
      </c>
      <c r="P15" s="60">
        <f t="shared" si="6"/>
        <v>5.1801312011642983E-4</v>
      </c>
      <c r="R15" s="8">
        <f t="shared" si="7"/>
        <v>3.3029810250231402E-5</v>
      </c>
      <c r="S15" s="8">
        <f t="shared" si="3"/>
        <v>3.3533848866757091E-5</v>
      </c>
      <c r="T15" s="60">
        <f t="shared" si="4"/>
        <v>0.26577488732669069</v>
      </c>
      <c r="U15" s="88">
        <f t="shared" si="5"/>
        <v>1.6946470575309291E-2</v>
      </c>
      <c r="V15" s="61">
        <f t="shared" si="8"/>
        <v>15.417425112673309</v>
      </c>
      <c r="W15" s="85">
        <v>0.98305352942469071</v>
      </c>
    </row>
    <row r="16" spans="1:27" x14ac:dyDescent="0.3">
      <c r="B16">
        <v>1</v>
      </c>
      <c r="C16">
        <v>1</v>
      </c>
      <c r="D16">
        <v>202</v>
      </c>
      <c r="E16" s="64">
        <f t="shared" si="0"/>
        <v>40152</v>
      </c>
      <c r="I16" s="94">
        <f t="shared" si="1"/>
        <v>1.1297115741654706E-3</v>
      </c>
      <c r="J16" s="94"/>
      <c r="K16" s="94">
        <f t="shared" si="2"/>
        <v>7.2033231366396575E-7</v>
      </c>
      <c r="P16" s="60">
        <f t="shared" si="6"/>
        <v>6.6453622009733564E-5</v>
      </c>
      <c r="R16" s="8">
        <f t="shared" si="7"/>
        <v>4.2372489039057288E-6</v>
      </c>
      <c r="S16" s="8">
        <f t="shared" si="3"/>
        <v>4.3102931601145669E-6</v>
      </c>
      <c r="T16" s="60">
        <f t="shared" si="4"/>
        <v>0.26690459890085616</v>
      </c>
      <c r="U16" s="88">
        <f t="shared" si="5"/>
        <v>1.7018503806675689E-2</v>
      </c>
      <c r="V16" s="61">
        <f t="shared" si="8"/>
        <v>15.416295401099143</v>
      </c>
      <c r="W16" s="85">
        <v>0.98298149619332431</v>
      </c>
    </row>
    <row r="17" spans="2:23" x14ac:dyDescent="0.3">
      <c r="B17">
        <v>1</v>
      </c>
      <c r="C17">
        <v>1</v>
      </c>
      <c r="D17">
        <v>217</v>
      </c>
      <c r="E17" s="64">
        <f t="shared" si="0"/>
        <v>40167</v>
      </c>
      <c r="I17" s="94">
        <f t="shared" si="1"/>
        <v>8.1552639991655518E-6</v>
      </c>
      <c r="J17" s="94"/>
      <c r="K17" s="94">
        <f t="shared" si="2"/>
        <v>5.1999999994679353E-9</v>
      </c>
      <c r="P17" s="60">
        <f t="shared" si="6"/>
        <v>5.4368426661103683E-7</v>
      </c>
      <c r="R17" s="8">
        <f t="shared" si="7"/>
        <v>3.4666666663222637E-8</v>
      </c>
      <c r="S17" s="8">
        <f t="shared" si="3"/>
        <v>3.5266855782608439E-8</v>
      </c>
      <c r="T17" s="60">
        <f t="shared" si="4"/>
        <v>0.26691275416485533</v>
      </c>
      <c r="U17" s="88">
        <f t="shared" si="5"/>
        <v>1.7019023806675637E-2</v>
      </c>
      <c r="V17" s="61">
        <f t="shared" si="8"/>
        <v>15.416287245835145</v>
      </c>
      <c r="W17" s="85">
        <v>0.98298097619332436</v>
      </c>
    </row>
    <row r="18" spans="2:23" x14ac:dyDescent="0.3">
      <c r="B18">
        <v>1</v>
      </c>
      <c r="C18">
        <v>1</v>
      </c>
      <c r="D18">
        <v>232</v>
      </c>
      <c r="E18" s="64">
        <f t="shared" si="0"/>
        <v>40182</v>
      </c>
      <c r="I18" s="94">
        <f t="shared" si="1"/>
        <v>8.1552639992210629E-6</v>
      </c>
      <c r="J18" s="94"/>
      <c r="K18" s="94">
        <f t="shared" si="2"/>
        <v>5.1999999995033304E-9</v>
      </c>
      <c r="P18" s="60">
        <f t="shared" si="6"/>
        <v>5.4368426661473752E-7</v>
      </c>
      <c r="R18" s="8">
        <f t="shared" si="7"/>
        <v>3.4666666663222637E-8</v>
      </c>
      <c r="S18" s="8">
        <f t="shared" si="3"/>
        <v>3.526687443888506E-8</v>
      </c>
      <c r="T18" s="60">
        <f t="shared" si="4"/>
        <v>0.26692090942885455</v>
      </c>
      <c r="U18" s="88">
        <f t="shared" si="5"/>
        <v>1.7019543806675586E-2</v>
      </c>
      <c r="V18" s="61">
        <f t="shared" si="8"/>
        <v>15.416279090571145</v>
      </c>
      <c r="W18" s="85">
        <v>0.98298045619332441</v>
      </c>
    </row>
    <row r="19" spans="2:23" x14ac:dyDescent="0.3">
      <c r="B19">
        <v>1</v>
      </c>
      <c r="C19">
        <v>1</v>
      </c>
      <c r="D19">
        <v>247</v>
      </c>
      <c r="E19" s="64">
        <f t="shared" si="0"/>
        <v>40197</v>
      </c>
      <c r="I19" s="94">
        <f t="shared" si="1"/>
        <v>0</v>
      </c>
      <c r="J19" s="94"/>
      <c r="K19" s="94">
        <f t="shared" si="2"/>
        <v>0</v>
      </c>
      <c r="P19" s="60">
        <f t="shared" si="6"/>
        <v>0</v>
      </c>
      <c r="R19" s="8">
        <f t="shared" si="7"/>
        <v>0</v>
      </c>
      <c r="S19" s="8">
        <f t="shared" si="3"/>
        <v>0</v>
      </c>
      <c r="T19" s="60">
        <f t="shared" si="4"/>
        <v>0.26692090942885455</v>
      </c>
      <c r="U19" s="88">
        <f t="shared" si="5"/>
        <v>1.7019543806675586E-2</v>
      </c>
      <c r="V19" s="61">
        <f t="shared" si="8"/>
        <v>15.416279090571145</v>
      </c>
      <c r="W19" s="85">
        <v>0.98298045619332441</v>
      </c>
    </row>
    <row r="20" spans="2:23" x14ac:dyDescent="0.3">
      <c r="B20">
        <v>1</v>
      </c>
      <c r="C20">
        <v>1</v>
      </c>
      <c r="D20">
        <v>262</v>
      </c>
      <c r="E20" s="64">
        <f t="shared" si="0"/>
        <v>40212</v>
      </c>
      <c r="I20" s="94">
        <f t="shared" si="1"/>
        <v>8.1552639991655518E-6</v>
      </c>
      <c r="J20" s="94"/>
      <c r="K20" s="94">
        <f t="shared" si="2"/>
        <v>5.1999999994679353E-9</v>
      </c>
      <c r="P20" s="60">
        <f t="shared" si="6"/>
        <v>5.4368426661103683E-7</v>
      </c>
      <c r="R20" s="8">
        <f t="shared" si="7"/>
        <v>3.4666666663222637E-8</v>
      </c>
      <c r="S20" s="8">
        <f t="shared" si="3"/>
        <v>3.526689309518142E-8</v>
      </c>
      <c r="T20" s="60">
        <f t="shared" si="4"/>
        <v>0.26692906469285371</v>
      </c>
      <c r="U20" s="88">
        <f t="shared" si="5"/>
        <v>1.7020063806675534E-2</v>
      </c>
      <c r="V20" s="61">
        <f t="shared" si="8"/>
        <v>15.416270935307146</v>
      </c>
      <c r="W20" s="85">
        <v>0.98297993619332447</v>
      </c>
    </row>
    <row r="21" spans="2:23" x14ac:dyDescent="0.3">
      <c r="B21">
        <v>1</v>
      </c>
      <c r="C21">
        <v>1</v>
      </c>
      <c r="D21">
        <v>277</v>
      </c>
      <c r="E21" s="64">
        <f t="shared" si="0"/>
        <v>40227</v>
      </c>
      <c r="I21" s="94">
        <f t="shared" si="1"/>
        <v>0</v>
      </c>
      <c r="J21" s="94"/>
      <c r="K21" s="94">
        <f t="shared" si="2"/>
        <v>0</v>
      </c>
      <c r="P21" s="60">
        <f t="shared" si="6"/>
        <v>0</v>
      </c>
      <c r="R21" s="8">
        <f t="shared" si="7"/>
        <v>0</v>
      </c>
      <c r="S21" s="8">
        <f t="shared" si="3"/>
        <v>0</v>
      </c>
      <c r="T21" s="60">
        <f t="shared" si="4"/>
        <v>0.26692906469285371</v>
      </c>
      <c r="U21" s="88">
        <f t="shared" si="5"/>
        <v>1.7020063806675534E-2</v>
      </c>
      <c r="V21" s="61">
        <f t="shared" si="8"/>
        <v>15.416270935307146</v>
      </c>
      <c r="W21" s="85">
        <v>0.98297993619332447</v>
      </c>
    </row>
    <row r="22" spans="2:23" x14ac:dyDescent="0.3">
      <c r="B22">
        <v>1</v>
      </c>
      <c r="C22">
        <v>1</v>
      </c>
      <c r="D22">
        <v>292</v>
      </c>
      <c r="E22" s="64">
        <f t="shared" si="0"/>
        <v>40242</v>
      </c>
      <c r="I22" s="94">
        <f t="shared" si="1"/>
        <v>8.1552640026627543E-6</v>
      </c>
      <c r="J22" s="94"/>
      <c r="K22" s="94">
        <f t="shared" si="2"/>
        <v>5.2000000016978389E-9</v>
      </c>
      <c r="P22" s="60">
        <f t="shared" si="6"/>
        <v>5.4368426684418361E-7</v>
      </c>
      <c r="R22" s="8">
        <f t="shared" si="7"/>
        <v>3.466666667802561E-8</v>
      </c>
      <c r="S22" s="8">
        <f t="shared" si="3"/>
        <v>3.5266911766556806E-8</v>
      </c>
      <c r="T22" s="60">
        <f t="shared" si="4"/>
        <v>0.26693721995685638</v>
      </c>
      <c r="U22" s="88">
        <f t="shared" si="5"/>
        <v>1.7020583806675704E-2</v>
      </c>
      <c r="V22" s="61">
        <f t="shared" si="8"/>
        <v>15.416262780043144</v>
      </c>
      <c r="W22" s="85">
        <v>0.9829794161933243</v>
      </c>
    </row>
    <row r="23" spans="2:23" x14ac:dyDescent="0.3">
      <c r="B23">
        <v>1</v>
      </c>
      <c r="C23">
        <v>1</v>
      </c>
      <c r="D23">
        <v>307</v>
      </c>
      <c r="E23" s="64">
        <f t="shared" si="0"/>
        <v>40257</v>
      </c>
      <c r="I23" s="94">
        <f t="shared" si="1"/>
        <v>0</v>
      </c>
      <c r="J23" s="94"/>
      <c r="K23" s="94">
        <f t="shared" si="2"/>
        <v>0</v>
      </c>
      <c r="P23" s="60">
        <f t="shared" si="6"/>
        <v>0</v>
      </c>
      <c r="R23" s="8">
        <f t="shared" si="7"/>
        <v>0</v>
      </c>
      <c r="S23" s="8">
        <f t="shared" si="3"/>
        <v>0</v>
      </c>
      <c r="T23" s="60">
        <f t="shared" si="4"/>
        <v>0.26693721995685638</v>
      </c>
      <c r="U23" s="88">
        <f t="shared" si="5"/>
        <v>1.7020583806675704E-2</v>
      </c>
      <c r="V23" s="61">
        <f t="shared" si="8"/>
        <v>15.416262780043144</v>
      </c>
      <c r="W23" s="85">
        <v>0.9829794161933243</v>
      </c>
    </row>
    <row r="24" spans="2:23" x14ac:dyDescent="0.3">
      <c r="B24">
        <v>1</v>
      </c>
      <c r="C24">
        <v>1</v>
      </c>
      <c r="D24">
        <v>353</v>
      </c>
      <c r="E24" s="64">
        <f t="shared" si="0"/>
        <v>40303</v>
      </c>
      <c r="I24" s="94">
        <f t="shared" si="1"/>
        <v>0</v>
      </c>
      <c r="J24" s="94"/>
      <c r="K24" s="94">
        <f t="shared" si="2"/>
        <v>0</v>
      </c>
      <c r="P24" s="60">
        <f t="shared" si="6"/>
        <v>0</v>
      </c>
      <c r="R24" s="8">
        <f t="shared" si="7"/>
        <v>0</v>
      </c>
      <c r="S24" s="8">
        <f t="shared" si="3"/>
        <v>0</v>
      </c>
      <c r="T24" s="60">
        <f t="shared" si="4"/>
        <v>0.26693721995685638</v>
      </c>
      <c r="U24" s="88">
        <f t="shared" si="5"/>
        <v>1.7020583806675704E-2</v>
      </c>
      <c r="V24" s="61">
        <f t="shared" si="8"/>
        <v>15.416262780043144</v>
      </c>
      <c r="W24" s="85">
        <v>0.9829794161933243</v>
      </c>
    </row>
    <row r="25" spans="2:23" x14ac:dyDescent="0.3">
      <c r="B25">
        <v>1</v>
      </c>
      <c r="C25">
        <v>1</v>
      </c>
      <c r="D25">
        <v>404</v>
      </c>
      <c r="E25" s="64">
        <f t="shared" si="0"/>
        <v>40354</v>
      </c>
      <c r="I25" s="94">
        <f t="shared" si="1"/>
        <v>1.3717286434147435E-2</v>
      </c>
      <c r="J25" s="94"/>
      <c r="K25" s="94">
        <f t="shared" si="2"/>
        <v>8.7464844127138826E-6</v>
      </c>
      <c r="P25" s="60">
        <f t="shared" si="6"/>
        <v>2.6896640066955758E-4</v>
      </c>
      <c r="R25" s="8">
        <f t="shared" si="7"/>
        <v>1.7149969436693849E-5</v>
      </c>
      <c r="S25" s="8">
        <f t="shared" si="3"/>
        <v>1.7446926308089581E-5</v>
      </c>
      <c r="T25" s="60">
        <f t="shared" si="4"/>
        <v>0.28065450639100381</v>
      </c>
      <c r="U25" s="88">
        <f t="shared" si="5"/>
        <v>1.789523224794709E-2</v>
      </c>
      <c r="V25" s="61">
        <f t="shared" si="8"/>
        <v>15.402545493608995</v>
      </c>
      <c r="W25" s="85">
        <v>0.98210476775205291</v>
      </c>
    </row>
    <row r="26" spans="2:23" x14ac:dyDescent="0.3">
      <c r="B26">
        <v>1</v>
      </c>
      <c r="C26">
        <v>1</v>
      </c>
      <c r="D26">
        <v>441</v>
      </c>
      <c r="E26" s="64">
        <f t="shared" si="0"/>
        <v>40391</v>
      </c>
      <c r="I26" s="94">
        <f t="shared" si="1"/>
        <v>5.2970650726058055E-2</v>
      </c>
      <c r="J26" s="94"/>
      <c r="K26" s="94">
        <f t="shared" si="2"/>
        <v>3.3775409818186373E-5</v>
      </c>
      <c r="P26" s="60">
        <f t="shared" si="6"/>
        <v>1.4316392088123799E-3</v>
      </c>
      <c r="R26" s="8">
        <f t="shared" si="7"/>
        <v>9.1284891400503747E-5</v>
      </c>
      <c r="S26" s="8">
        <f t="shared" si="3"/>
        <v>9.2948221409663273E-5</v>
      </c>
      <c r="T26" s="60">
        <f t="shared" si="4"/>
        <v>0.33362515711706187</v>
      </c>
      <c r="U26" s="88">
        <f t="shared" si="5"/>
        <v>2.1272773229765729E-2</v>
      </c>
      <c r="V26" s="61">
        <f t="shared" si="8"/>
        <v>15.349574842882937</v>
      </c>
      <c r="W26" s="85">
        <v>0.97872722677023427</v>
      </c>
    </row>
    <row r="27" spans="2:23" x14ac:dyDescent="0.3">
      <c r="B27">
        <v>1</v>
      </c>
      <c r="C27">
        <v>1</v>
      </c>
      <c r="D27">
        <v>512</v>
      </c>
      <c r="E27" s="64">
        <f t="shared" si="0"/>
        <v>40462</v>
      </c>
      <c r="I27" s="94">
        <f t="shared" si="1"/>
        <v>1.3509400700982888E-2</v>
      </c>
      <c r="J27" s="94"/>
      <c r="K27" s="94">
        <f t="shared" si="2"/>
        <v>8.6139312774069634E-6</v>
      </c>
      <c r="P27" s="60">
        <f t="shared" si="6"/>
        <v>1.9027324930961814E-4</v>
      </c>
      <c r="R27" s="8">
        <f t="shared" si="7"/>
        <v>1.2132297573812605E-5</v>
      </c>
      <c r="S27" s="8">
        <f t="shared" si="3"/>
        <v>1.2395994759284222E-5</v>
      </c>
      <c r="T27" s="60">
        <f t="shared" si="4"/>
        <v>0.34713455781804475</v>
      </c>
      <c r="U27" s="88">
        <f t="shared" si="5"/>
        <v>2.2134166357506424E-2</v>
      </c>
      <c r="V27" s="61">
        <f t="shared" si="8"/>
        <v>15.336065442181955</v>
      </c>
      <c r="W27" s="85">
        <v>0.97786583364249358</v>
      </c>
    </row>
    <row r="28" spans="2:23" x14ac:dyDescent="0.3">
      <c r="B28">
        <v>1</v>
      </c>
      <c r="C28">
        <v>1</v>
      </c>
      <c r="D28">
        <v>568</v>
      </c>
      <c r="E28" s="64">
        <f t="shared" si="0"/>
        <v>40518</v>
      </c>
      <c r="I28" s="94">
        <f t="shared" si="1"/>
        <v>1.1297115741636943E-3</v>
      </c>
      <c r="J28" s="94"/>
      <c r="K28" s="94">
        <f t="shared" si="2"/>
        <v>7.2033231366283305E-7</v>
      </c>
      <c r="P28" s="60">
        <f t="shared" si="6"/>
        <v>2.0173420967208827E-5</v>
      </c>
      <c r="R28" s="8">
        <f t="shared" si="7"/>
        <v>1.2863077029693994E-6</v>
      </c>
      <c r="S28" s="8">
        <f t="shared" si="3"/>
        <v>1.3154235056745747E-6</v>
      </c>
      <c r="T28" s="60">
        <f t="shared" si="4"/>
        <v>0.34826426939220845</v>
      </c>
      <c r="U28" s="88">
        <f t="shared" si="5"/>
        <v>2.220619958887271E-2</v>
      </c>
      <c r="V28" s="61">
        <f>$V$9*W28/100</f>
        <v>15.334935730607789</v>
      </c>
      <c r="W28" s="85">
        <v>0.97779380041112729</v>
      </c>
    </row>
    <row r="29" spans="2:23" x14ac:dyDescent="0.3">
      <c r="B29">
        <v>3</v>
      </c>
      <c r="C29">
        <v>9</v>
      </c>
      <c r="D29">
        <v>0</v>
      </c>
      <c r="I29" s="94"/>
      <c r="J29" s="94"/>
      <c r="K29" s="94"/>
      <c r="P29" s="60"/>
      <c r="R29" s="73">
        <f t="shared" ref="R29:R84" si="9">IF(D29&gt;D28,(U29-U28)/1/(D29-D28),0)</f>
        <v>0</v>
      </c>
      <c r="S29" s="98">
        <v>0</v>
      </c>
      <c r="T29" s="60"/>
      <c r="U29" s="88">
        <f t="shared" si="5"/>
        <v>0</v>
      </c>
      <c r="V29" s="61"/>
      <c r="W29" s="85">
        <v>1</v>
      </c>
    </row>
    <row r="30" spans="2:23" x14ac:dyDescent="0.3">
      <c r="B30">
        <v>3</v>
      </c>
      <c r="C30">
        <v>9</v>
      </c>
      <c r="D30" s="61">
        <v>1</v>
      </c>
      <c r="E30"/>
      <c r="R30" s="73">
        <f t="shared" si="9"/>
        <v>1.2716000000001504E-4</v>
      </c>
      <c r="S30" s="98">
        <f t="shared" ref="S30" si="10">(U30-U29)/(D30-D29)/W29</f>
        <v>1.2716000000001504E-4</v>
      </c>
      <c r="U30" s="88">
        <f t="shared" si="5"/>
        <v>1.2716000000001504E-4</v>
      </c>
      <c r="W30" s="85">
        <v>0.99987283999999998</v>
      </c>
    </row>
    <row r="31" spans="2:23" x14ac:dyDescent="0.3">
      <c r="B31">
        <v>3</v>
      </c>
      <c r="C31">
        <v>9</v>
      </c>
      <c r="D31" s="61">
        <v>5.81</v>
      </c>
      <c r="E31"/>
      <c r="R31" s="73">
        <f t="shared" si="9"/>
        <v>3.1548856548857805E-5</v>
      </c>
      <c r="S31" s="98">
        <f t="shared" ref="S31:S40" si="11">(U31-U30)/(D31-D30)/W30</f>
        <v>3.1552868811655898E-5</v>
      </c>
      <c r="U31" s="88">
        <f t="shared" si="5"/>
        <v>2.7891000000002109E-4</v>
      </c>
      <c r="W31" s="85">
        <v>0.99972108999999998</v>
      </c>
    </row>
    <row r="32" spans="2:23" x14ac:dyDescent="0.3">
      <c r="B32">
        <v>3</v>
      </c>
      <c r="C32">
        <v>9</v>
      </c>
      <c r="D32" s="61">
        <v>12.752000000000001</v>
      </c>
      <c r="E32"/>
      <c r="R32" s="73">
        <f t="shared" si="9"/>
        <v>4.7817631806391492E-5</v>
      </c>
      <c r="S32" s="72">
        <f t="shared" si="11"/>
        <v>4.7830972342887651E-5</v>
      </c>
      <c r="U32" s="88">
        <f t="shared" si="5"/>
        <v>6.1085999999999085E-4</v>
      </c>
      <c r="W32" s="85">
        <v>0.99938914000000001</v>
      </c>
    </row>
    <row r="33" spans="2:23" x14ac:dyDescent="0.3">
      <c r="B33">
        <v>3</v>
      </c>
      <c r="C33">
        <v>9</v>
      </c>
      <c r="D33" s="61">
        <v>27.327000000000002</v>
      </c>
      <c r="E33"/>
      <c r="R33" s="73">
        <f t="shared" si="9"/>
        <v>4.4248370497430445E-5</v>
      </c>
      <c r="S33" s="72">
        <f t="shared" si="11"/>
        <v>4.4275416578401527E-5</v>
      </c>
      <c r="U33" s="88">
        <f t="shared" si="5"/>
        <v>1.2557800000000396E-3</v>
      </c>
      <c r="W33" s="85">
        <v>0.99874421999999996</v>
      </c>
    </row>
    <row r="34" spans="2:23" x14ac:dyDescent="0.3">
      <c r="B34">
        <v>3</v>
      </c>
      <c r="C34">
        <v>9</v>
      </c>
      <c r="D34" s="61">
        <v>41.9</v>
      </c>
      <c r="E34"/>
      <c r="R34" s="73">
        <f t="shared" si="9"/>
        <v>1.3231318191166641E-5</v>
      </c>
      <c r="S34" s="72">
        <f t="shared" si="11"/>
        <v>1.3247954707729514E-5</v>
      </c>
      <c r="U34" s="88">
        <f t="shared" si="5"/>
        <v>1.4485999999999111E-3</v>
      </c>
      <c r="W34" s="85">
        <v>0.99855140000000009</v>
      </c>
    </row>
    <row r="35" spans="2:23" x14ac:dyDescent="0.3">
      <c r="B35">
        <v>3</v>
      </c>
      <c r="C35">
        <v>9</v>
      </c>
      <c r="D35" s="61">
        <v>57.396000000000001</v>
      </c>
      <c r="E35"/>
      <c r="R35" s="73">
        <f t="shared" si="9"/>
        <v>4.078471863709408E-6</v>
      </c>
      <c r="S35" s="72">
        <f t="shared" si="11"/>
        <v>4.0843885089034052E-6</v>
      </c>
      <c r="U35" s="88">
        <f t="shared" si="5"/>
        <v>1.5117999999999521E-3</v>
      </c>
      <c r="W35" s="85">
        <v>0.99848820000000005</v>
      </c>
    </row>
    <row r="36" spans="2:23" x14ac:dyDescent="0.3">
      <c r="B36">
        <v>3</v>
      </c>
      <c r="C36">
        <v>9</v>
      </c>
      <c r="D36" s="61">
        <v>89.545000000000002</v>
      </c>
      <c r="E36"/>
      <c r="R36" s="73">
        <f t="shared" si="9"/>
        <v>2.2601014028448061E-6</v>
      </c>
      <c r="S36" s="72">
        <f t="shared" si="11"/>
        <v>2.2635233975171726E-6</v>
      </c>
      <c r="U36" s="88">
        <f t="shared" si="5"/>
        <v>1.5844600000000097E-3</v>
      </c>
      <c r="W36" s="85">
        <v>0.99841553999999999</v>
      </c>
    </row>
    <row r="37" spans="2:23" x14ac:dyDescent="0.3">
      <c r="B37">
        <v>3</v>
      </c>
      <c r="C37">
        <v>9</v>
      </c>
      <c r="D37" s="61">
        <v>149.679</v>
      </c>
      <c r="E37"/>
      <c r="R37" s="73">
        <f t="shared" si="9"/>
        <v>7.3419363421725748E-7</v>
      </c>
      <c r="S37" s="72">
        <f t="shared" si="11"/>
        <v>7.3535878079106975E-7</v>
      </c>
      <c r="U37" s="88">
        <f t="shared" si="5"/>
        <v>1.6286100000000303E-3</v>
      </c>
      <c r="W37" s="85">
        <v>0.99837138999999997</v>
      </c>
    </row>
    <row r="38" spans="2:23" x14ac:dyDescent="0.3">
      <c r="B38">
        <v>3</v>
      </c>
      <c r="C38">
        <v>9</v>
      </c>
      <c r="D38" s="61">
        <v>224.85</v>
      </c>
      <c r="E38"/>
      <c r="R38" s="73">
        <f t="shared" si="9"/>
        <v>7.3582897660003573E-6</v>
      </c>
      <c r="S38" s="72">
        <f t="shared" si="11"/>
        <v>7.3702930990443922E-6</v>
      </c>
      <c r="U38" s="88">
        <f t="shared" si="5"/>
        <v>2.1817400000000431E-3</v>
      </c>
      <c r="W38" s="85">
        <v>0.99781825999999996</v>
      </c>
    </row>
    <row r="39" spans="2:23" x14ac:dyDescent="0.3">
      <c r="B39">
        <v>3</v>
      </c>
      <c r="C39">
        <v>9</v>
      </c>
      <c r="D39" s="61">
        <v>299.78699999999998</v>
      </c>
      <c r="E39"/>
      <c r="R39" s="73">
        <f t="shared" si="9"/>
        <v>2.7404352989835772E-6</v>
      </c>
      <c r="S39" s="72">
        <f t="shared" si="11"/>
        <v>2.7464272892576423E-6</v>
      </c>
      <c r="U39" s="88">
        <f t="shared" si="5"/>
        <v>2.3870999999999754E-3</v>
      </c>
      <c r="W39" s="85">
        <v>0.99761290000000002</v>
      </c>
    </row>
    <row r="40" spans="2:23" x14ac:dyDescent="0.3">
      <c r="B40">
        <v>3</v>
      </c>
      <c r="C40">
        <v>9</v>
      </c>
      <c r="D40" s="61">
        <v>390.22</v>
      </c>
      <c r="E40"/>
      <c r="R40" s="73">
        <f t="shared" si="9"/>
        <v>1.8860371766935817E-6</v>
      </c>
      <c r="S40" s="72">
        <f t="shared" si="11"/>
        <v>1.8905501088584376E-6</v>
      </c>
      <c r="U40" s="88">
        <f t="shared" si="5"/>
        <v>2.5576599999999061E-3</v>
      </c>
      <c r="W40" s="85">
        <v>0.99744234000000009</v>
      </c>
    </row>
    <row r="41" spans="2:23" x14ac:dyDescent="0.3">
      <c r="B41">
        <v>4</v>
      </c>
      <c r="C41">
        <v>9</v>
      </c>
      <c r="D41" s="61">
        <v>0</v>
      </c>
      <c r="E41"/>
      <c r="R41" s="73">
        <f t="shared" si="9"/>
        <v>0</v>
      </c>
      <c r="S41" s="72">
        <v>0</v>
      </c>
      <c r="U41" s="88">
        <f t="shared" si="5"/>
        <v>0</v>
      </c>
      <c r="W41" s="85">
        <v>1</v>
      </c>
    </row>
    <row r="42" spans="2:23" x14ac:dyDescent="0.3">
      <c r="B42">
        <v>4</v>
      </c>
      <c r="C42">
        <v>9</v>
      </c>
      <c r="D42" s="61">
        <v>5.3879999999999999</v>
      </c>
      <c r="E42"/>
      <c r="R42" s="73">
        <f t="shared" si="9"/>
        <v>1.9710467706023802E-5</v>
      </c>
      <c r="S42" s="8">
        <f t="shared" ref="S42:S51" si="12">(U42-U41)/(D42-D41)/W41</f>
        <v>1.9710467706023802E-5</v>
      </c>
      <c r="U42" s="88">
        <f t="shared" si="5"/>
        <v>1.0620000000005625E-4</v>
      </c>
      <c r="W42" s="85">
        <v>0.99989379999999994</v>
      </c>
    </row>
    <row r="43" spans="2:23" x14ac:dyDescent="0.3">
      <c r="B43">
        <v>4</v>
      </c>
      <c r="C43">
        <v>9</v>
      </c>
      <c r="D43" s="61">
        <v>13.101000000000001</v>
      </c>
      <c r="E43"/>
      <c r="R43" s="73">
        <f t="shared" si="9"/>
        <v>4.7893167379743831E-5</v>
      </c>
      <c r="S43" s="8">
        <f t="shared" si="12"/>
        <v>4.7898254174337151E-5</v>
      </c>
      <c r="U43" s="88">
        <f t="shared" si="5"/>
        <v>4.7560000000002045E-4</v>
      </c>
      <c r="W43" s="85">
        <v>0.99952439999999998</v>
      </c>
    </row>
    <row r="44" spans="2:23" x14ac:dyDescent="0.3">
      <c r="B44">
        <v>4</v>
      </c>
      <c r="C44">
        <v>9</v>
      </c>
      <c r="D44" s="61">
        <v>27.885999999999999</v>
      </c>
      <c r="E44"/>
      <c r="R44" s="73">
        <f t="shared" si="9"/>
        <v>2.8366587757859909E-5</v>
      </c>
      <c r="S44" s="8">
        <f t="shared" si="12"/>
        <v>2.8380085326441163E-5</v>
      </c>
      <c r="U44" s="88">
        <f t="shared" si="5"/>
        <v>8.9499999999997915E-4</v>
      </c>
      <c r="W44" s="85">
        <v>0.99910500000000002</v>
      </c>
    </row>
    <row r="45" spans="2:23" x14ac:dyDescent="0.3">
      <c r="B45">
        <v>4</v>
      </c>
      <c r="C45">
        <v>9</v>
      </c>
      <c r="D45" s="61">
        <v>42.014000000000003</v>
      </c>
      <c r="E45"/>
      <c r="R45" s="73">
        <f t="shared" si="9"/>
        <v>1.2630945639859931E-5</v>
      </c>
      <c r="S45" s="8">
        <f t="shared" si="12"/>
        <v>1.2642260462974294E-5</v>
      </c>
      <c r="U45" s="88">
        <f t="shared" si="5"/>
        <v>1.0734499999999203E-3</v>
      </c>
      <c r="W45" s="85">
        <v>0.99892655000000008</v>
      </c>
    </row>
    <row r="46" spans="2:23" x14ac:dyDescent="0.3">
      <c r="B46">
        <v>4</v>
      </c>
      <c r="C46">
        <v>9</v>
      </c>
      <c r="D46" s="61">
        <v>57.795999999999999</v>
      </c>
      <c r="E46"/>
      <c r="R46" s="73">
        <f t="shared" si="9"/>
        <v>4.2250665314976982E-6</v>
      </c>
      <c r="S46" s="8">
        <f t="shared" si="12"/>
        <v>4.2296068029202929E-6</v>
      </c>
      <c r="U46" s="88">
        <f t="shared" si="5"/>
        <v>1.140130000000017E-3</v>
      </c>
      <c r="W46" s="85">
        <v>0.99885986999999998</v>
      </c>
    </row>
    <row r="47" spans="2:23" x14ac:dyDescent="0.3">
      <c r="B47">
        <v>4</v>
      </c>
      <c r="C47">
        <v>9</v>
      </c>
      <c r="D47" s="61">
        <v>89.903999999999996</v>
      </c>
      <c r="E47"/>
      <c r="R47" s="73">
        <f t="shared" si="9"/>
        <v>1.5379967609317872E-5</v>
      </c>
      <c r="S47" s="8">
        <f t="shared" si="12"/>
        <v>1.5397522786972985E-5</v>
      </c>
      <c r="U47" s="88">
        <f t="shared" si="5"/>
        <v>1.6339499999999951E-3</v>
      </c>
      <c r="W47" s="85">
        <v>0.99836605</v>
      </c>
    </row>
    <row r="48" spans="2:23" x14ac:dyDescent="0.3">
      <c r="B48">
        <v>4</v>
      </c>
      <c r="C48">
        <v>9</v>
      </c>
      <c r="D48" s="61">
        <v>149.96100000000001</v>
      </c>
      <c r="E48"/>
      <c r="R48" s="73">
        <f t="shared" si="9"/>
        <v>3.3867825565817608E-7</v>
      </c>
      <c r="S48" s="8">
        <f t="shared" si="12"/>
        <v>3.3923254467454704E-7</v>
      </c>
      <c r="U48" s="88">
        <f t="shared" si="5"/>
        <v>1.6542900000000582E-3</v>
      </c>
      <c r="W48" s="85">
        <v>0.99834570999999994</v>
      </c>
    </row>
    <row r="49" spans="2:23" x14ac:dyDescent="0.3">
      <c r="B49">
        <v>4</v>
      </c>
      <c r="C49">
        <v>9</v>
      </c>
      <c r="D49" s="61">
        <v>224.976</v>
      </c>
      <c r="E49"/>
      <c r="R49" s="73">
        <f t="shared" si="9"/>
        <v>-3.2660134641047887E-8</v>
      </c>
      <c r="S49" s="8">
        <f t="shared" si="12"/>
        <v>-3.2714253503476154E-8</v>
      </c>
      <c r="U49" s="88">
        <f t="shared" si="5"/>
        <v>1.65183999999996E-3</v>
      </c>
      <c r="W49" s="85">
        <v>0.99834816000000004</v>
      </c>
    </row>
    <row r="50" spans="2:23" x14ac:dyDescent="0.3">
      <c r="B50">
        <v>4</v>
      </c>
      <c r="C50">
        <v>9</v>
      </c>
      <c r="D50" s="61">
        <v>300.03100000000001</v>
      </c>
      <c r="E50"/>
      <c r="R50" s="73">
        <f t="shared" si="9"/>
        <v>2.2057158084066187E-6</v>
      </c>
      <c r="S50" s="8">
        <f t="shared" si="12"/>
        <v>2.2093653264274244E-6</v>
      </c>
      <c r="U50" s="88">
        <f t="shared" si="5"/>
        <v>1.8173899999999188E-3</v>
      </c>
      <c r="W50" s="85">
        <v>0.99818261000000008</v>
      </c>
    </row>
    <row r="51" spans="2:23" x14ac:dyDescent="0.3">
      <c r="B51">
        <v>4</v>
      </c>
      <c r="C51">
        <v>9</v>
      </c>
      <c r="D51" s="61">
        <v>390.048</v>
      </c>
      <c r="E51"/>
      <c r="R51" s="73">
        <f t="shared" si="9"/>
        <v>1.5130475354658646E-6</v>
      </c>
      <c r="S51" s="8">
        <f t="shared" si="12"/>
        <v>1.5158023394796113E-6</v>
      </c>
      <c r="U51" s="88">
        <f t="shared" si="5"/>
        <v>1.9535899999999495E-3</v>
      </c>
      <c r="W51" s="85">
        <v>0.99804641000000005</v>
      </c>
    </row>
    <row r="52" spans="2:23" x14ac:dyDescent="0.3">
      <c r="B52">
        <v>5</v>
      </c>
      <c r="C52">
        <v>9</v>
      </c>
      <c r="D52" s="61">
        <v>0</v>
      </c>
      <c r="E52"/>
      <c r="R52" s="73">
        <f t="shared" si="9"/>
        <v>0</v>
      </c>
      <c r="S52" s="8">
        <v>0</v>
      </c>
      <c r="U52" s="88">
        <f t="shared" si="5"/>
        <v>0</v>
      </c>
      <c r="W52" s="85">
        <v>1</v>
      </c>
    </row>
    <row r="53" spans="2:23" x14ac:dyDescent="0.3">
      <c r="B53">
        <v>5</v>
      </c>
      <c r="C53">
        <v>9</v>
      </c>
      <c r="D53" s="61">
        <v>6.0119999999999996</v>
      </c>
      <c r="E53"/>
      <c r="R53" s="73">
        <f t="shared" si="9"/>
        <v>4.9401197604789042E-5</v>
      </c>
      <c r="S53" s="8">
        <f t="shared" ref="S53:S62" si="13">(U53-U52)/(D53-D52)/W52</f>
        <v>4.9401197604789042E-5</v>
      </c>
      <c r="U53" s="88">
        <f>100%-W53</f>
        <v>2.9699999999999172E-4</v>
      </c>
      <c r="W53" s="85">
        <v>0.99970300000000001</v>
      </c>
    </row>
    <row r="54" spans="2:23" x14ac:dyDescent="0.3">
      <c r="B54">
        <v>5</v>
      </c>
      <c r="C54">
        <v>9</v>
      </c>
      <c r="D54" s="61">
        <v>13.119</v>
      </c>
      <c r="E54"/>
      <c r="R54" s="73">
        <f t="shared" si="9"/>
        <v>3.473336147460541E-5</v>
      </c>
      <c r="S54" s="8">
        <f t="shared" si="13"/>
        <v>3.4743680347668667E-5</v>
      </c>
      <c r="U54" s="88">
        <f t="shared" si="5"/>
        <v>5.4385000000001238E-4</v>
      </c>
      <c r="W54" s="85">
        <v>0.99945614999999999</v>
      </c>
    </row>
    <row r="55" spans="2:23" x14ac:dyDescent="0.3">
      <c r="B55">
        <v>5</v>
      </c>
      <c r="C55">
        <v>9</v>
      </c>
      <c r="D55" s="61">
        <v>27.66</v>
      </c>
      <c r="E55"/>
      <c r="R55" s="73">
        <f t="shared" si="9"/>
        <v>2.4998280723468885E-5</v>
      </c>
      <c r="S55" s="8">
        <f t="shared" si="13"/>
        <v>2.5011883436275704E-5</v>
      </c>
      <c r="U55" s="88">
        <f t="shared" si="5"/>
        <v>9.0734999999997346E-4</v>
      </c>
      <c r="W55" s="85">
        <v>0.99909265000000003</v>
      </c>
    </row>
    <row r="56" spans="2:23" x14ac:dyDescent="0.3">
      <c r="B56">
        <v>5</v>
      </c>
      <c r="C56">
        <v>9</v>
      </c>
      <c r="D56" s="61">
        <v>41.932000000000002</v>
      </c>
      <c r="E56"/>
      <c r="R56" s="73">
        <f t="shared" si="9"/>
        <v>1.2509809417036803E-5</v>
      </c>
      <c r="S56" s="8">
        <f t="shared" si="13"/>
        <v>1.2521170501090967E-5</v>
      </c>
      <c r="U56" s="88">
        <f t="shared" si="5"/>
        <v>1.0858899999999228E-3</v>
      </c>
      <c r="W56" s="85">
        <v>0.99891411000000008</v>
      </c>
    </row>
    <row r="57" spans="2:23" x14ac:dyDescent="0.3">
      <c r="B57">
        <v>5</v>
      </c>
      <c r="C57">
        <v>9</v>
      </c>
      <c r="D57" s="61">
        <v>57.88</v>
      </c>
      <c r="E57"/>
      <c r="R57" s="73">
        <f t="shared" si="9"/>
        <v>5.9449460747499211E-6</v>
      </c>
      <c r="S57" s="8">
        <f t="shared" si="13"/>
        <v>5.9514086498887483E-6</v>
      </c>
      <c r="U57" s="88">
        <f t="shared" si="5"/>
        <v>1.1807000000000345E-3</v>
      </c>
      <c r="W57" s="85">
        <v>0.99881929999999997</v>
      </c>
    </row>
    <row r="58" spans="2:23" x14ac:dyDescent="0.3">
      <c r="B58">
        <v>5</v>
      </c>
      <c r="C58">
        <v>9</v>
      </c>
      <c r="D58" s="61">
        <v>89.819000000000003</v>
      </c>
      <c r="E58"/>
      <c r="R58" s="73">
        <f t="shared" si="9"/>
        <v>1.2533266539330819E-6</v>
      </c>
      <c r="S58" s="8">
        <f t="shared" si="13"/>
        <v>1.2548082059818847E-6</v>
      </c>
      <c r="U58" s="88">
        <f t="shared" si="5"/>
        <v>1.2207300000000032E-3</v>
      </c>
      <c r="W58" s="85">
        <v>0.99877927</v>
      </c>
    </row>
    <row r="59" spans="2:23" x14ac:dyDescent="0.3">
      <c r="B59">
        <v>5</v>
      </c>
      <c r="C59">
        <v>9</v>
      </c>
      <c r="D59" s="61">
        <v>150.02600000000001</v>
      </c>
      <c r="E59"/>
      <c r="R59" s="73">
        <f t="shared" si="9"/>
        <v>3.0179215041506041E-7</v>
      </c>
      <c r="S59" s="8">
        <f t="shared" si="13"/>
        <v>3.0216100742165025E-7</v>
      </c>
      <c r="U59" s="88">
        <f t="shared" si="5"/>
        <v>1.2389000000000427E-3</v>
      </c>
      <c r="W59" s="85">
        <v>0.99876109999999996</v>
      </c>
    </row>
    <row r="60" spans="2:23" x14ac:dyDescent="0.3">
      <c r="B60">
        <v>5</v>
      </c>
      <c r="C60">
        <v>9</v>
      </c>
      <c r="D60" s="61">
        <v>224.82300000000001</v>
      </c>
      <c r="E60"/>
      <c r="R60" s="73">
        <f t="shared" si="9"/>
        <v>3.0534647111495946E-6</v>
      </c>
      <c r="S60" s="8">
        <f t="shared" si="13"/>
        <v>3.0572523410749524E-6</v>
      </c>
      <c r="U60" s="88">
        <f t="shared" si="5"/>
        <v>1.467289999999899E-3</v>
      </c>
      <c r="W60" s="85">
        <v>0.9985327100000001</v>
      </c>
    </row>
    <row r="61" spans="2:23" x14ac:dyDescent="0.3">
      <c r="B61">
        <v>5</v>
      </c>
      <c r="C61">
        <v>9</v>
      </c>
      <c r="D61" s="61">
        <v>299.57900000000001</v>
      </c>
      <c r="E61"/>
      <c r="R61" s="73">
        <f t="shared" si="9"/>
        <v>1.2911338220349451E-6</v>
      </c>
      <c r="S61" s="8">
        <f t="shared" si="13"/>
        <v>1.2930310735989259E-6</v>
      </c>
      <c r="U61" s="88">
        <f t="shared" si="5"/>
        <v>1.5638099999999433E-3</v>
      </c>
      <c r="W61" s="85">
        <v>0.99843619000000006</v>
      </c>
    </row>
    <row r="62" spans="2:23" x14ac:dyDescent="0.3">
      <c r="B62">
        <v>5</v>
      </c>
      <c r="C62">
        <v>9</v>
      </c>
      <c r="D62" s="61">
        <v>389.61599999999999</v>
      </c>
      <c r="E62"/>
      <c r="R62" s="73">
        <f t="shared" si="9"/>
        <v>1.1625220742586819E-6</v>
      </c>
      <c r="S62" s="8">
        <f t="shared" si="13"/>
        <v>1.1643428853061525E-6</v>
      </c>
      <c r="U62" s="88">
        <f t="shared" si="5"/>
        <v>1.6684799999999722E-3</v>
      </c>
      <c r="W62" s="85">
        <v>0.99833152000000003</v>
      </c>
    </row>
    <row r="63" spans="2:23" x14ac:dyDescent="0.3">
      <c r="B63">
        <v>6</v>
      </c>
      <c r="C63">
        <v>9</v>
      </c>
      <c r="D63" s="61">
        <v>0</v>
      </c>
      <c r="E63"/>
      <c r="R63" s="73">
        <f t="shared" si="9"/>
        <v>0</v>
      </c>
      <c r="S63" s="8">
        <v>0</v>
      </c>
      <c r="U63" s="88">
        <f t="shared" si="5"/>
        <v>0</v>
      </c>
      <c r="W63" s="85">
        <v>1</v>
      </c>
    </row>
    <row r="64" spans="2:23" x14ac:dyDescent="0.3">
      <c r="B64">
        <v>6</v>
      </c>
      <c r="C64">
        <v>9</v>
      </c>
      <c r="D64" s="61">
        <v>5.9210000000000003</v>
      </c>
      <c r="E64"/>
      <c r="R64" s="73">
        <f t="shared" si="9"/>
        <v>4.0933963857464494E-5</v>
      </c>
      <c r="S64" s="8">
        <f t="shared" ref="S64:S73" si="14">(U64-U63)/(D64-D63)/W63</f>
        <v>4.0933963857464494E-5</v>
      </c>
      <c r="U64" s="88">
        <f t="shared" si="5"/>
        <v>2.4237000000004727E-4</v>
      </c>
      <c r="W64" s="85">
        <v>0.99975762999999995</v>
      </c>
    </row>
    <row r="65" spans="2:23" x14ac:dyDescent="0.3">
      <c r="B65">
        <v>6</v>
      </c>
      <c r="C65">
        <v>9</v>
      </c>
      <c r="D65" s="61">
        <v>12.92</v>
      </c>
      <c r="E65"/>
      <c r="R65" s="73">
        <f t="shared" si="9"/>
        <v>5.9042720388624291E-5</v>
      </c>
      <c r="S65" s="8">
        <f t="shared" si="14"/>
        <v>5.9057034041965041E-5</v>
      </c>
      <c r="U65" s="88">
        <f t="shared" si="5"/>
        <v>6.5561000000002867E-4</v>
      </c>
      <c r="W65" s="85">
        <v>0.99934438999999997</v>
      </c>
    </row>
    <row r="66" spans="2:23" x14ac:dyDescent="0.3">
      <c r="B66">
        <v>6</v>
      </c>
      <c r="C66">
        <v>9</v>
      </c>
      <c r="D66" s="61">
        <v>28.001999999999999</v>
      </c>
      <c r="E66"/>
      <c r="R66" s="73">
        <f t="shared" si="9"/>
        <v>2.0099456305535778E-5</v>
      </c>
      <c r="S66" s="8">
        <f t="shared" si="14"/>
        <v>2.0112642354990132E-5</v>
      </c>
      <c r="U66" s="88">
        <f t="shared" si="5"/>
        <v>9.5875000000011923E-4</v>
      </c>
      <c r="W66" s="85">
        <v>0.99904124999999988</v>
      </c>
    </row>
    <row r="67" spans="2:23" x14ac:dyDescent="0.3">
      <c r="B67">
        <v>6</v>
      </c>
      <c r="C67">
        <v>9</v>
      </c>
      <c r="D67" s="61">
        <v>41.92</v>
      </c>
      <c r="E67"/>
      <c r="R67" s="73">
        <f t="shared" si="9"/>
        <v>1.771662595198837E-5</v>
      </c>
      <c r="S67" s="8">
        <f t="shared" si="14"/>
        <v>1.7733628067898468E-5</v>
      </c>
      <c r="U67" s="88">
        <f t="shared" si="5"/>
        <v>1.2053299999998934E-3</v>
      </c>
      <c r="W67" s="85">
        <v>0.99879467000000011</v>
      </c>
    </row>
    <row r="68" spans="2:23" x14ac:dyDescent="0.3">
      <c r="B68">
        <v>6</v>
      </c>
      <c r="C68">
        <v>9</v>
      </c>
      <c r="D68" s="61">
        <v>57.884</v>
      </c>
      <c r="E68"/>
      <c r="R68" s="73">
        <f t="shared" si="9"/>
        <v>8.3462791280471981E-6</v>
      </c>
      <c r="S68" s="8">
        <f t="shared" si="14"/>
        <v>8.3563512889463023E-6</v>
      </c>
      <c r="U68" s="88">
        <f t="shared" si="5"/>
        <v>1.3385700000000389E-3</v>
      </c>
      <c r="W68" s="85">
        <v>0.99866142999999996</v>
      </c>
    </row>
    <row r="69" spans="2:23" x14ac:dyDescent="0.3">
      <c r="B69">
        <v>6</v>
      </c>
      <c r="C69">
        <v>9</v>
      </c>
      <c r="D69" s="61">
        <v>90.182000000000002</v>
      </c>
      <c r="E69"/>
      <c r="R69" s="73">
        <f t="shared" si="9"/>
        <v>3.2735773112859946E-6</v>
      </c>
      <c r="S69" s="8">
        <f>(U69-U68)/(D69-D68)/W68</f>
        <v>3.2779650970259206E-6</v>
      </c>
      <c r="U69" s="88">
        <f t="shared" si="5"/>
        <v>1.444299999999954E-3</v>
      </c>
      <c r="W69" s="85">
        <v>0.99855570000000005</v>
      </c>
    </row>
    <row r="70" spans="2:23" x14ac:dyDescent="0.3">
      <c r="B70">
        <v>6</v>
      </c>
      <c r="C70">
        <v>9</v>
      </c>
      <c r="D70" s="61">
        <v>149.64099999999999</v>
      </c>
      <c r="E70"/>
      <c r="R70" s="73">
        <f t="shared" si="9"/>
        <v>2.5417514589885356E-6</v>
      </c>
      <c r="S70" s="8">
        <f t="shared" si="14"/>
        <v>2.5454278203895241E-6</v>
      </c>
      <c r="U70" s="88">
        <f t="shared" si="5"/>
        <v>1.5954299999999533E-3</v>
      </c>
      <c r="W70" s="85">
        <v>0.99840457000000005</v>
      </c>
    </row>
    <row r="71" spans="2:23" x14ac:dyDescent="0.3">
      <c r="B71">
        <v>6</v>
      </c>
      <c r="C71">
        <v>9</v>
      </c>
      <c r="D71" s="61">
        <v>224.97399999999999</v>
      </c>
      <c r="E71"/>
      <c r="R71" s="73">
        <f t="shared" si="9"/>
        <v>1.8408931012976737E-6</v>
      </c>
      <c r="S71" s="8">
        <f t="shared" si="14"/>
        <v>1.8438348106696603E-6</v>
      </c>
      <c r="U71" s="88">
        <f t="shared" si="5"/>
        <v>1.7341100000000109E-3</v>
      </c>
      <c r="W71" s="85">
        <v>0.99826588999999999</v>
      </c>
    </row>
    <row r="72" spans="2:23" x14ac:dyDescent="0.3">
      <c r="B72">
        <v>6</v>
      </c>
      <c r="C72">
        <v>9</v>
      </c>
      <c r="D72" s="61">
        <v>300.12200000000001</v>
      </c>
      <c r="E72"/>
      <c r="R72" s="73">
        <f t="shared" si="9"/>
        <v>3.2994890083567985E-6</v>
      </c>
      <c r="S72" s="8">
        <f t="shared" si="14"/>
        <v>3.3052206244939396E-6</v>
      </c>
      <c r="U72" s="88">
        <f t="shared" si="5"/>
        <v>1.9820600000000077E-3</v>
      </c>
      <c r="W72" s="85">
        <v>0.99801793999999999</v>
      </c>
    </row>
    <row r="73" spans="2:23" x14ac:dyDescent="0.3">
      <c r="B73">
        <v>6</v>
      </c>
      <c r="C73">
        <v>9</v>
      </c>
      <c r="D73" s="61">
        <v>390.15300000000002</v>
      </c>
      <c r="E73"/>
      <c r="R73" s="73">
        <f t="shared" si="9"/>
        <v>1.8429207717346423E-6</v>
      </c>
      <c r="S73" s="8">
        <f t="shared" si="14"/>
        <v>1.8465808056863609E-6</v>
      </c>
      <c r="U73" s="88">
        <f t="shared" si="5"/>
        <v>2.1479800000000493E-3</v>
      </c>
      <c r="W73" s="85">
        <v>0.99785201999999995</v>
      </c>
    </row>
    <row r="74" spans="2:23" x14ac:dyDescent="0.3">
      <c r="B74">
        <v>7</v>
      </c>
      <c r="C74">
        <v>9</v>
      </c>
      <c r="D74" s="61">
        <v>0</v>
      </c>
      <c r="E74"/>
      <c r="R74" s="73">
        <f t="shared" si="9"/>
        <v>0</v>
      </c>
      <c r="S74" s="8">
        <v>0</v>
      </c>
      <c r="U74" s="88">
        <f t="shared" si="5"/>
        <v>0</v>
      </c>
      <c r="W74" s="85">
        <v>1</v>
      </c>
    </row>
    <row r="75" spans="2:23" x14ac:dyDescent="0.3">
      <c r="B75">
        <v>7</v>
      </c>
      <c r="C75">
        <v>9</v>
      </c>
      <c r="D75" s="61">
        <v>5.7850000000000001</v>
      </c>
      <c r="E75"/>
      <c r="R75" s="73">
        <f t="shared" si="9"/>
        <v>1.9751080380299511E-5</v>
      </c>
      <c r="S75" s="72">
        <f t="shared" ref="S75:S84" si="15">(U75-U74)/(D75-D74)/W74</f>
        <v>1.9751080380299511E-5</v>
      </c>
      <c r="U75" s="88">
        <f t="shared" si="5"/>
        <v>1.1426000000003267E-4</v>
      </c>
      <c r="W75" s="85">
        <v>0.99988573999999997</v>
      </c>
    </row>
    <row r="76" spans="2:23" x14ac:dyDescent="0.3">
      <c r="B76">
        <v>7</v>
      </c>
      <c r="C76">
        <v>9</v>
      </c>
      <c r="D76" s="61">
        <v>12.807</v>
      </c>
      <c r="E76"/>
      <c r="R76" s="73">
        <f t="shared" si="9"/>
        <v>7.7010823127325438E-5</v>
      </c>
      <c r="S76" s="72">
        <f t="shared" si="15"/>
        <v>7.7019623389493918E-5</v>
      </c>
      <c r="U76" s="88">
        <f t="shared" si="5"/>
        <v>6.5503000000011191E-4</v>
      </c>
      <c r="W76" s="85">
        <v>0.99934496999999989</v>
      </c>
    </row>
    <row r="77" spans="2:23" x14ac:dyDescent="0.3">
      <c r="B77">
        <v>7</v>
      </c>
      <c r="C77">
        <v>9</v>
      </c>
      <c r="D77" s="61">
        <v>27.66</v>
      </c>
      <c r="E77"/>
      <c r="R77" s="73">
        <f t="shared" si="9"/>
        <v>1.4772773177126451E-5</v>
      </c>
      <c r="S77" s="8">
        <f t="shared" si="15"/>
        <v>1.478245612936487E-5</v>
      </c>
      <c r="U77" s="88">
        <f t="shared" si="5"/>
        <v>8.7444999999997108E-4</v>
      </c>
      <c r="W77" s="85">
        <v>0.99912555000000003</v>
      </c>
    </row>
    <row r="78" spans="2:23" x14ac:dyDescent="0.3">
      <c r="B78">
        <v>7</v>
      </c>
      <c r="C78">
        <v>9</v>
      </c>
      <c r="D78" s="61">
        <v>41.930999999999997</v>
      </c>
      <c r="E78"/>
      <c r="R78" s="73">
        <f t="shared" si="9"/>
        <v>1.7889426108897022E-5</v>
      </c>
      <c r="S78" s="8">
        <f t="shared" si="15"/>
        <v>1.7905083208909051E-5</v>
      </c>
      <c r="U78" s="88">
        <f t="shared" si="5"/>
        <v>1.1297500000000404E-3</v>
      </c>
      <c r="W78" s="85">
        <v>0.99887024999999996</v>
      </c>
    </row>
    <row r="79" spans="2:23" x14ac:dyDescent="0.3">
      <c r="B79">
        <v>7</v>
      </c>
      <c r="C79">
        <v>9</v>
      </c>
      <c r="D79" s="61">
        <v>57.805</v>
      </c>
      <c r="E79"/>
      <c r="R79" s="73">
        <f t="shared" si="9"/>
        <v>9.9288144135082649E-6</v>
      </c>
      <c r="S79" s="8">
        <f t="shared" si="15"/>
        <v>9.9400441784188337E-6</v>
      </c>
      <c r="U79" s="88">
        <f t="shared" ref="U79:U84" si="16">100%-W79</f>
        <v>1.2873600000000707E-3</v>
      </c>
      <c r="W79" s="85">
        <v>0.99871263999999993</v>
      </c>
    </row>
    <row r="80" spans="2:23" x14ac:dyDescent="0.3">
      <c r="B80">
        <v>7</v>
      </c>
      <c r="C80">
        <v>9</v>
      </c>
      <c r="D80" s="61">
        <v>90.141000000000005</v>
      </c>
      <c r="E80"/>
      <c r="R80" s="73">
        <f t="shared" si="9"/>
        <v>2.1650791687269208E-6</v>
      </c>
      <c r="S80" s="8">
        <f t="shared" si="15"/>
        <v>2.1678699978473497E-6</v>
      </c>
      <c r="U80" s="88">
        <f t="shared" si="16"/>
        <v>1.3573700000000244E-3</v>
      </c>
      <c r="W80" s="85">
        <v>0.99864262999999998</v>
      </c>
    </row>
    <row r="81" spans="2:23" x14ac:dyDescent="0.3">
      <c r="B81">
        <v>7</v>
      </c>
      <c r="C81">
        <v>9</v>
      </c>
      <c r="D81" s="61">
        <v>150.143</v>
      </c>
      <c r="E81"/>
      <c r="R81" s="73">
        <f t="shared" si="9"/>
        <v>1.0108329722341653E-5</v>
      </c>
      <c r="S81" s="8">
        <f t="shared" si="15"/>
        <v>1.0122069115296683E-5</v>
      </c>
      <c r="U81" s="88">
        <f t="shared" si="16"/>
        <v>1.9638899999999682E-3</v>
      </c>
      <c r="W81" s="85">
        <v>0.99803611000000003</v>
      </c>
    </row>
    <row r="82" spans="2:23" x14ac:dyDescent="0.3">
      <c r="B82">
        <v>7</v>
      </c>
      <c r="C82">
        <v>9</v>
      </c>
      <c r="D82" s="61">
        <v>224.69200000000001</v>
      </c>
      <c r="E82"/>
      <c r="R82" s="73">
        <f t="shared" si="9"/>
        <v>2.1741404981966813E-6</v>
      </c>
      <c r="S82" s="8">
        <f t="shared" si="15"/>
        <v>2.178418672844093E-6</v>
      </c>
      <c r="U82" s="88">
        <f t="shared" si="16"/>
        <v>2.1259700000000326E-3</v>
      </c>
      <c r="W82" s="85">
        <v>0.99787402999999997</v>
      </c>
    </row>
    <row r="83" spans="2:23" x14ac:dyDescent="0.3">
      <c r="B83">
        <v>7</v>
      </c>
      <c r="C83">
        <v>9</v>
      </c>
      <c r="D83" s="61">
        <v>299.92700000000002</v>
      </c>
      <c r="E83"/>
      <c r="R83" s="73">
        <f t="shared" si="9"/>
        <v>6.7180168804416668E-6</v>
      </c>
      <c r="S83" s="8">
        <f t="shared" si="15"/>
        <v>6.7323296112252437E-6</v>
      </c>
      <c r="U83" s="88">
        <f t="shared" si="16"/>
        <v>2.6314000000000615E-3</v>
      </c>
      <c r="W83" s="85">
        <v>0.99736859999999994</v>
      </c>
    </row>
    <row r="84" spans="2:23" x14ac:dyDescent="0.3">
      <c r="B84">
        <v>7</v>
      </c>
      <c r="C84">
        <v>9</v>
      </c>
      <c r="D84" s="61">
        <v>390.142</v>
      </c>
      <c r="E84"/>
      <c r="R84" s="73">
        <f t="shared" si="9"/>
        <v>1.7134622845426514E-6</v>
      </c>
      <c r="S84" s="8">
        <f t="shared" si="15"/>
        <v>1.7179829849692998E-6</v>
      </c>
      <c r="U84" s="88">
        <f t="shared" si="16"/>
        <v>2.7859800000000767E-3</v>
      </c>
      <c r="W84" s="85">
        <v>0.99721401999999992</v>
      </c>
    </row>
    <row r="85" spans="2:23" s="18" customFormat="1" x14ac:dyDescent="0.3">
      <c r="B85" s="18">
        <v>8</v>
      </c>
      <c r="C85" s="18">
        <v>5</v>
      </c>
      <c r="D85" s="70">
        <v>0</v>
      </c>
      <c r="I85" s="72">
        <f>P85*IF(D85&gt;D84,(D85-D84),(D85-0))</f>
        <v>0</v>
      </c>
      <c r="K85" s="75">
        <f>I85/(V85+T85)</f>
        <v>0</v>
      </c>
      <c r="R85" s="73">
        <f>P85/(T85+V85)</f>
        <v>0</v>
      </c>
      <c r="S85" s="71">
        <f>IF(D85&gt;D84,P85/V84,0)</f>
        <v>0</v>
      </c>
      <c r="T85" s="18">
        <f>IF(D85&gt;D84,T84+I85,I85)</f>
        <v>0</v>
      </c>
      <c r="U85" s="75">
        <f>T85/(T85+V85)</f>
        <v>0</v>
      </c>
      <c r="V85" s="60">
        <f>VLOOKUP(B85,metadata!$B$11:$BN$301,29,FALSE)*VLOOKUP(B85,metadata!$B$11:$BN$301,36,FALSE)*1000-T85</f>
        <v>13.48</v>
      </c>
      <c r="W85" s="76">
        <f t="shared" ref="W85:W148" si="17">100%-U85</f>
        <v>1</v>
      </c>
    </row>
    <row r="86" spans="2:23" x14ac:dyDescent="0.3">
      <c r="B86">
        <v>8</v>
      </c>
      <c r="C86">
        <v>5</v>
      </c>
      <c r="D86">
        <v>3</v>
      </c>
      <c r="E86"/>
      <c r="I86" s="72">
        <f>P86*IF(D86&gt;D85,(D86-D85),(D86-0))</f>
        <v>1.0243340252265755E-2</v>
      </c>
      <c r="K86" s="75">
        <f t="shared" ref="K86:K149" si="18">I86/(V86+T86)</f>
        <v>7.5989171010873555E-4</v>
      </c>
      <c r="P86" s="8">
        <v>3.4144467507552516E-3</v>
      </c>
      <c r="R86" s="73">
        <f>P86/(T86+V86)</f>
        <v>2.5329723670291181E-4</v>
      </c>
      <c r="S86" s="71">
        <f>IF(D86&gt;D85,P86/V85,0)</f>
        <v>2.5329723670291181E-4</v>
      </c>
      <c r="T86" s="18">
        <f>IF(D86&gt;D85,T85+I86,I86)</f>
        <v>1.0243340252265755E-2</v>
      </c>
      <c r="U86" s="75">
        <f t="shared" ref="U86:U149" si="19">T86/(T86+V86)</f>
        <v>7.5989171010873555E-4</v>
      </c>
      <c r="V86" s="60">
        <f>VLOOKUP(B86,metadata!$B$11:$BN$301,29,FALSE)*VLOOKUP(B86,metadata!$B$11:$BN$301,36,FALSE)*1000-T86</f>
        <v>13.469756659747734</v>
      </c>
      <c r="W86" s="76">
        <f t="shared" si="17"/>
        <v>0.99924010828989129</v>
      </c>
    </row>
    <row r="87" spans="2:23" x14ac:dyDescent="0.3">
      <c r="B87">
        <v>8</v>
      </c>
      <c r="C87">
        <v>5</v>
      </c>
      <c r="D87">
        <v>9</v>
      </c>
      <c r="E87"/>
      <c r="I87" s="72">
        <f t="shared" ref="I87:I150" si="20">P87*IF(D87&gt;D86,(D87-D86),(D87-0))</f>
        <v>1.4959940310842339E-2</v>
      </c>
      <c r="K87" s="75">
        <f t="shared" si="18"/>
        <v>1.1097878568874138E-3</v>
      </c>
      <c r="P87" s="8">
        <v>2.49332338514039E-3</v>
      </c>
      <c r="R87" s="73">
        <f t="shared" ref="R87:R149" si="21">P87/(T87+V87)</f>
        <v>1.8496464281456899E-4</v>
      </c>
      <c r="S87" s="71">
        <f t="shared" ref="S87:S149" si="22">IF(D87&gt;D86,P87/V86,0)</f>
        <v>1.8510530279966362E-4</v>
      </c>
      <c r="T87" s="18">
        <f>IF(D87&gt;D86,T86+I87,I87)</f>
        <v>2.5203280563108096E-2</v>
      </c>
      <c r="U87" s="75">
        <f t="shared" si="19"/>
        <v>1.8696795669961494E-3</v>
      </c>
      <c r="V87" s="60">
        <f>VLOOKUP(B87,metadata!$B$11:$BN$301,29,FALSE)*VLOOKUP(B87,metadata!$B$11:$BN$301,36,FALSE)*1000-T87</f>
        <v>13.454796719436892</v>
      </c>
      <c r="W87" s="76">
        <f t="shared" si="17"/>
        <v>0.99813032043300387</v>
      </c>
    </row>
    <row r="88" spans="2:23" x14ac:dyDescent="0.3">
      <c r="B88">
        <v>8</v>
      </c>
      <c r="C88">
        <v>5</v>
      </c>
      <c r="D88">
        <v>18</v>
      </c>
      <c r="E88"/>
      <c r="I88" s="72">
        <f t="shared" si="20"/>
        <v>8.1871019076267953E-3</v>
      </c>
      <c r="K88" s="75">
        <f t="shared" si="18"/>
        <v>6.0735177356281863E-4</v>
      </c>
      <c r="P88" s="8">
        <v>9.096779897363105E-4</v>
      </c>
      <c r="R88" s="73">
        <f t="shared" si="21"/>
        <v>6.7483530395868723E-5</v>
      </c>
      <c r="S88" s="71">
        <f t="shared" si="22"/>
        <v>6.7609939317937325E-5</v>
      </c>
      <c r="T88" s="18">
        <f t="shared" ref="T88:T149" si="23">IF(D88&gt;D87,T87+I88,I88)</f>
        <v>3.3390382470734892E-2</v>
      </c>
      <c r="U88" s="75">
        <f t="shared" si="19"/>
        <v>2.4770313405589679E-3</v>
      </c>
      <c r="V88" s="60">
        <f>VLOOKUP(B88,metadata!$B$11:$BN$301,29,FALSE)*VLOOKUP(B88,metadata!$B$11:$BN$301,36,FALSE)*1000-T88</f>
        <v>13.446609617529266</v>
      </c>
      <c r="W88" s="76">
        <f t="shared" si="17"/>
        <v>0.99752296865944101</v>
      </c>
    </row>
    <row r="89" spans="2:23" x14ac:dyDescent="0.3">
      <c r="B89">
        <v>8</v>
      </c>
      <c r="C89">
        <v>5</v>
      </c>
      <c r="D89">
        <v>38</v>
      </c>
      <c r="E89"/>
      <c r="I89" s="72">
        <f t="shared" si="20"/>
        <v>1.6832973291632657E-2</v>
      </c>
      <c r="K89" s="75">
        <f t="shared" si="18"/>
        <v>1.2487368910706717E-3</v>
      </c>
      <c r="P89" s="8">
        <v>8.4164866458163285E-4</v>
      </c>
      <c r="R89" s="73">
        <f t="shared" si="21"/>
        <v>6.243684455353359E-5</v>
      </c>
      <c r="S89" s="71">
        <f t="shared" si="22"/>
        <v>6.2591886618351962E-5</v>
      </c>
      <c r="T89" s="18">
        <f t="shared" si="23"/>
        <v>5.0223355762367548E-2</v>
      </c>
      <c r="U89" s="75">
        <f t="shared" si="19"/>
        <v>3.7257682316296399E-3</v>
      </c>
      <c r="V89" s="60">
        <f>VLOOKUP(B89,metadata!$B$11:$BN$301,29,FALSE)*VLOOKUP(B89,metadata!$B$11:$BN$301,36,FALSE)*1000-T89</f>
        <v>13.429776644237633</v>
      </c>
      <c r="W89" s="76">
        <f t="shared" si="17"/>
        <v>0.99627423176837038</v>
      </c>
    </row>
    <row r="90" spans="2:23" x14ac:dyDescent="0.3">
      <c r="B90">
        <v>8</v>
      </c>
      <c r="C90">
        <v>5</v>
      </c>
      <c r="D90">
        <v>94</v>
      </c>
      <c r="E90"/>
      <c r="I90" s="72">
        <f t="shared" si="20"/>
        <v>2.4810555047700647E-2</v>
      </c>
      <c r="K90" s="75">
        <f t="shared" si="18"/>
        <v>1.8405456266840242E-3</v>
      </c>
      <c r="P90" s="8">
        <v>4.4304562585179729E-4</v>
      </c>
      <c r="R90" s="73">
        <f t="shared" si="21"/>
        <v>3.2866886190786145E-5</v>
      </c>
      <c r="S90" s="71">
        <f t="shared" si="22"/>
        <v>3.298979853413248E-5</v>
      </c>
      <c r="T90" s="18">
        <f t="shared" si="23"/>
        <v>7.5033910810068188E-2</v>
      </c>
      <c r="U90" s="75">
        <f t="shared" si="19"/>
        <v>5.5663138583136639E-3</v>
      </c>
      <c r="V90" s="60">
        <f>VLOOKUP(B90,metadata!$B$11:$BN$301,29,FALSE)*VLOOKUP(B90,metadata!$B$11:$BN$301,36,FALSE)*1000-T90</f>
        <v>13.404966089189932</v>
      </c>
      <c r="W90" s="76">
        <f t="shared" si="17"/>
        <v>0.99443368614168637</v>
      </c>
    </row>
    <row r="91" spans="2:23" x14ac:dyDescent="0.3">
      <c r="B91">
        <v>8</v>
      </c>
      <c r="C91">
        <v>5</v>
      </c>
      <c r="D91">
        <v>183</v>
      </c>
      <c r="E91"/>
      <c r="I91" s="72">
        <f t="shared" si="20"/>
        <v>1.5980620700801616E-2</v>
      </c>
      <c r="K91" s="75">
        <f t="shared" si="18"/>
        <v>1.1855059867063513E-3</v>
      </c>
      <c r="P91" s="8">
        <v>1.7955753596406309E-4</v>
      </c>
      <c r="R91" s="73">
        <f t="shared" si="21"/>
        <v>1.332029198546462E-5</v>
      </c>
      <c r="S91" s="71">
        <f t="shared" si="22"/>
        <v>1.3394851935422825E-5</v>
      </c>
      <c r="T91" s="18">
        <f t="shared" si="23"/>
        <v>9.1014531510869801E-2</v>
      </c>
      <c r="U91" s="75">
        <f t="shared" si="19"/>
        <v>6.7518198450200149E-3</v>
      </c>
      <c r="V91" s="60">
        <f>VLOOKUP(B91,metadata!$B$11:$BN$301,29,FALSE)*VLOOKUP(B91,metadata!$B$11:$BN$301,36,FALSE)*1000-T91</f>
        <v>13.38898546848913</v>
      </c>
      <c r="W91" s="76">
        <f t="shared" si="17"/>
        <v>0.99324818015497995</v>
      </c>
    </row>
    <row r="92" spans="2:23" x14ac:dyDescent="0.3">
      <c r="B92">
        <v>8</v>
      </c>
      <c r="C92">
        <v>5</v>
      </c>
      <c r="D92">
        <v>276</v>
      </c>
      <c r="E92"/>
      <c r="I92" s="72">
        <f t="shared" si="20"/>
        <v>1.4698037188864319E-2</v>
      </c>
      <c r="K92" s="75">
        <f t="shared" si="18"/>
        <v>1.0903588419038813E-3</v>
      </c>
      <c r="P92" s="8">
        <v>1.5804341063294967E-4</v>
      </c>
      <c r="R92" s="73">
        <f t="shared" si="21"/>
        <v>1.1724288622622379E-5</v>
      </c>
      <c r="S92" s="71">
        <f t="shared" si="22"/>
        <v>1.1803987016410135E-5</v>
      </c>
      <c r="T92" s="18">
        <f t="shared" si="23"/>
        <v>0.10571256869973412</v>
      </c>
      <c r="U92" s="75">
        <f t="shared" si="19"/>
        <v>7.8421786869238962E-3</v>
      </c>
      <c r="V92" s="60">
        <f>VLOOKUP(B92,metadata!$B$11:$BN$301,29,FALSE)*VLOOKUP(B92,metadata!$B$11:$BN$301,36,FALSE)*1000-T92</f>
        <v>13.374287431300266</v>
      </c>
      <c r="W92" s="76">
        <f t="shared" si="17"/>
        <v>0.99215782131307606</v>
      </c>
    </row>
    <row r="93" spans="2:23" x14ac:dyDescent="0.3">
      <c r="B93">
        <v>8</v>
      </c>
      <c r="C93">
        <v>5</v>
      </c>
      <c r="D93">
        <v>365</v>
      </c>
      <c r="E93"/>
      <c r="I93" s="72">
        <f t="shared" si="20"/>
        <v>1.3263144179748852E-2</v>
      </c>
      <c r="K93" s="75">
        <f t="shared" si="18"/>
        <v>9.8391277297840154E-4</v>
      </c>
      <c r="P93" s="8">
        <v>1.4902409190729047E-4</v>
      </c>
      <c r="R93" s="73">
        <f t="shared" si="21"/>
        <v>1.1055199696386533E-5</v>
      </c>
      <c r="S93" s="71">
        <f t="shared" si="22"/>
        <v>1.1142581814005634E-5</v>
      </c>
      <c r="T93" s="18">
        <f t="shared" si="23"/>
        <v>0.11897571287948297</v>
      </c>
      <c r="U93" s="75">
        <f t="shared" si="19"/>
        <v>8.826091459902298E-3</v>
      </c>
      <c r="V93" s="60">
        <f>VLOOKUP(B93,metadata!$B$11:$BN$301,29,FALSE)*VLOOKUP(B93,metadata!$B$11:$BN$301,36,FALSE)*1000-T93</f>
        <v>13.361024287120518</v>
      </c>
      <c r="W93" s="76">
        <f t="shared" si="17"/>
        <v>0.99117390854009768</v>
      </c>
    </row>
    <row r="94" spans="2:23" x14ac:dyDescent="0.3">
      <c r="B94">
        <v>8</v>
      </c>
      <c r="C94">
        <v>5</v>
      </c>
      <c r="D94">
        <v>498</v>
      </c>
      <c r="E94"/>
      <c r="I94" s="72">
        <f t="shared" si="20"/>
        <v>1.3158205027998648E-2</v>
      </c>
      <c r="K94" s="75">
        <f t="shared" si="18"/>
        <v>9.7612796943610141E-4</v>
      </c>
      <c r="P94" s="8">
        <v>9.8933872390967283E-5</v>
      </c>
      <c r="R94" s="73">
        <f t="shared" si="21"/>
        <v>7.3393080408729434E-6</v>
      </c>
      <c r="S94" s="71">
        <f t="shared" si="22"/>
        <v>7.4046622672735875E-6</v>
      </c>
      <c r="T94" s="18">
        <f t="shared" si="23"/>
        <v>0.13213391790748161</v>
      </c>
      <c r="U94" s="75">
        <f t="shared" si="19"/>
        <v>9.8022194293383973E-3</v>
      </c>
      <c r="V94" s="60">
        <f>VLOOKUP(B94,metadata!$B$11:$BN$301,29,FALSE)*VLOOKUP(B94,metadata!$B$11:$BN$301,36,FALSE)*1000-T94</f>
        <v>13.347866082092519</v>
      </c>
      <c r="W94" s="76">
        <f t="shared" si="17"/>
        <v>0.99019778057066166</v>
      </c>
    </row>
    <row r="95" spans="2:23" x14ac:dyDescent="0.3">
      <c r="B95">
        <v>8</v>
      </c>
      <c r="C95">
        <v>5</v>
      </c>
      <c r="D95">
        <v>550</v>
      </c>
      <c r="E95"/>
      <c r="I95" s="72">
        <f t="shared" si="20"/>
        <v>4.4518006220678379E-3</v>
      </c>
      <c r="K95" s="75">
        <f t="shared" si="18"/>
        <v>3.3025227166675355E-4</v>
      </c>
      <c r="P95" s="8">
        <v>8.5611550424381493E-5</v>
      </c>
      <c r="R95" s="73">
        <f t="shared" si="21"/>
        <v>6.3510052243606448E-6</v>
      </c>
      <c r="S95" s="71">
        <f t="shared" si="22"/>
        <v>6.4138754388042482E-6</v>
      </c>
      <c r="T95" s="18">
        <f t="shared" si="23"/>
        <v>0.13658571852954945</v>
      </c>
      <c r="U95" s="75">
        <f t="shared" si="19"/>
        <v>1.0132471701005152E-2</v>
      </c>
      <c r="V95" s="60">
        <f>VLOOKUP(B95,metadata!$B$11:$BN$301,29,FALSE)*VLOOKUP(B95,metadata!$B$11:$BN$301,36,FALSE)*1000-T95</f>
        <v>13.343414281470451</v>
      </c>
      <c r="W95" s="76">
        <f t="shared" si="17"/>
        <v>0.98986752829899483</v>
      </c>
    </row>
    <row r="96" spans="2:23" x14ac:dyDescent="0.3">
      <c r="B96">
        <v>8</v>
      </c>
      <c r="C96">
        <v>5</v>
      </c>
      <c r="D96">
        <v>671</v>
      </c>
      <c r="E96"/>
      <c r="I96" s="72">
        <f t="shared" si="20"/>
        <v>9.9690504096293098E-3</v>
      </c>
      <c r="K96" s="75">
        <f t="shared" si="18"/>
        <v>7.3954379893392504E-4</v>
      </c>
      <c r="P96" s="8">
        <v>8.238884636057281E-5</v>
      </c>
      <c r="R96" s="73">
        <f t="shared" si="21"/>
        <v>6.1119322225944215E-6</v>
      </c>
      <c r="S96" s="71">
        <f t="shared" si="22"/>
        <v>6.1744951196623955E-6</v>
      </c>
      <c r="T96" s="18">
        <f t="shared" si="23"/>
        <v>0.14655476893917876</v>
      </c>
      <c r="U96" s="75">
        <f t="shared" si="19"/>
        <v>1.0872015499939077E-2</v>
      </c>
      <c r="V96" s="60">
        <f>VLOOKUP(B96,metadata!$B$11:$BN$301,29,FALSE)*VLOOKUP(B96,metadata!$B$11:$BN$301,36,FALSE)*1000-T96</f>
        <v>13.333445231060821</v>
      </c>
      <c r="W96" s="76">
        <f t="shared" si="17"/>
        <v>0.9891279845000609</v>
      </c>
    </row>
    <row r="97" spans="2:23" x14ac:dyDescent="0.3">
      <c r="B97">
        <v>8</v>
      </c>
      <c r="C97">
        <v>5</v>
      </c>
      <c r="D97">
        <v>730</v>
      </c>
      <c r="E97"/>
      <c r="I97" s="72">
        <f t="shared" si="20"/>
        <v>4.9102159284029239E-3</v>
      </c>
      <c r="K97" s="75">
        <f t="shared" si="18"/>
        <v>3.6425934186965311E-4</v>
      </c>
      <c r="P97" s="8">
        <v>8.322399878649024E-5</v>
      </c>
      <c r="R97" s="73">
        <f t="shared" si="21"/>
        <v>6.1738871503331038E-6</v>
      </c>
      <c r="S97" s="71">
        <f t="shared" si="22"/>
        <v>6.2417475261844877E-6</v>
      </c>
      <c r="T97" s="18">
        <f t="shared" si="23"/>
        <v>0.1514649848675817</v>
      </c>
      <c r="U97" s="75">
        <f t="shared" si="19"/>
        <v>1.1236274841808731E-2</v>
      </c>
      <c r="V97" s="60">
        <f>VLOOKUP(B97,metadata!$B$11:$BN$301,29,FALSE)*VLOOKUP(B97,metadata!$B$11:$BN$301,36,FALSE)*1000-T97</f>
        <v>13.328535015132418</v>
      </c>
      <c r="W97" s="76">
        <f t="shared" si="17"/>
        <v>0.98876372515819122</v>
      </c>
    </row>
    <row r="98" spans="2:23" x14ac:dyDescent="0.3">
      <c r="B98">
        <v>9</v>
      </c>
      <c r="C98">
        <v>5</v>
      </c>
      <c r="D98">
        <v>0</v>
      </c>
      <c r="E98"/>
      <c r="I98" s="72">
        <f t="shared" si="20"/>
        <v>0</v>
      </c>
      <c r="K98" s="75">
        <f t="shared" si="18"/>
        <v>0</v>
      </c>
      <c r="P98" s="8"/>
      <c r="R98" s="73">
        <f t="shared" si="21"/>
        <v>0</v>
      </c>
      <c r="S98" s="71">
        <f t="shared" si="22"/>
        <v>0</v>
      </c>
      <c r="T98" s="18">
        <f t="shared" si="23"/>
        <v>0</v>
      </c>
      <c r="U98" s="75">
        <f t="shared" si="19"/>
        <v>0</v>
      </c>
      <c r="V98" s="60">
        <f>VLOOKUP(B98,metadata!$B$11:$BN$301,29,FALSE)*VLOOKUP(B98,metadata!$B$11:$BN$301,36,FALSE)*1000-T98</f>
        <v>13.48</v>
      </c>
      <c r="W98" s="76">
        <f t="shared" si="17"/>
        <v>1</v>
      </c>
    </row>
    <row r="99" spans="2:23" x14ac:dyDescent="0.3">
      <c r="B99">
        <v>9</v>
      </c>
      <c r="C99">
        <v>5</v>
      </c>
      <c r="D99">
        <v>2</v>
      </c>
      <c r="E99"/>
      <c r="I99" s="72">
        <f t="shared" si="20"/>
        <v>1.7367193260581986E-2</v>
      </c>
      <c r="K99" s="75">
        <f t="shared" si="18"/>
        <v>1.2883674525654293E-3</v>
      </c>
      <c r="P99" s="8">
        <v>8.683596630290993E-3</v>
      </c>
      <c r="R99" s="73">
        <f t="shared" si="21"/>
        <v>6.4418372628271463E-4</v>
      </c>
      <c r="S99" s="71">
        <f t="shared" si="22"/>
        <v>6.4418372628271463E-4</v>
      </c>
      <c r="T99" s="18">
        <f t="shared" si="23"/>
        <v>1.7367193260581986E-2</v>
      </c>
      <c r="U99" s="75">
        <f t="shared" si="19"/>
        <v>1.2883674525654293E-3</v>
      </c>
      <c r="V99" s="60">
        <f>VLOOKUP(B99,metadata!$B$11:$BN$301,29,FALSE)*VLOOKUP(B99,metadata!$B$11:$BN$301,36,FALSE)*1000-T99</f>
        <v>13.462632806739418</v>
      </c>
      <c r="W99" s="76">
        <f t="shared" si="17"/>
        <v>0.99871163254743456</v>
      </c>
    </row>
    <row r="100" spans="2:23" x14ac:dyDescent="0.3">
      <c r="B100">
        <v>9</v>
      </c>
      <c r="C100">
        <v>5</v>
      </c>
      <c r="D100">
        <v>4</v>
      </c>
      <c r="E100"/>
      <c r="I100" s="72">
        <f t="shared" si="20"/>
        <v>9.2167449462101491E-3</v>
      </c>
      <c r="K100" s="75">
        <f t="shared" si="18"/>
        <v>6.8373478829452143E-4</v>
      </c>
      <c r="P100" s="8">
        <v>4.6083724731050746E-3</v>
      </c>
      <c r="R100" s="73">
        <f t="shared" si="21"/>
        <v>3.4186739414726071E-4</v>
      </c>
      <c r="S100" s="71">
        <f t="shared" si="22"/>
        <v>3.4230841316552251E-4</v>
      </c>
      <c r="T100" s="18">
        <f t="shared" si="23"/>
        <v>2.6583938206792133E-2</v>
      </c>
      <c r="U100" s="75">
        <f t="shared" si="19"/>
        <v>1.9721022408599504E-3</v>
      </c>
      <c r="V100" s="60">
        <f>VLOOKUP(B100,metadata!$B$11:$BN$301,29,FALSE)*VLOOKUP(B100,metadata!$B$11:$BN$301,36,FALSE)*1000-T100</f>
        <v>13.453416061793208</v>
      </c>
      <c r="W100" s="76">
        <f t="shared" si="17"/>
        <v>0.99802789775914003</v>
      </c>
    </row>
    <row r="101" spans="2:23" x14ac:dyDescent="0.3">
      <c r="B101">
        <v>9</v>
      </c>
      <c r="C101">
        <v>5</v>
      </c>
      <c r="D101">
        <v>8</v>
      </c>
      <c r="E101"/>
      <c r="I101" s="72">
        <f t="shared" si="20"/>
        <v>1.8313587684949381E-2</v>
      </c>
      <c r="K101" s="75">
        <f t="shared" si="18"/>
        <v>1.3585747540763636E-3</v>
      </c>
      <c r="P101" s="8">
        <v>4.5783969212373453E-3</v>
      </c>
      <c r="R101" s="73">
        <f t="shared" si="21"/>
        <v>3.396436885190909E-4</v>
      </c>
      <c r="S101" s="71">
        <f t="shared" si="22"/>
        <v>3.4031482414638783E-4</v>
      </c>
      <c r="T101" s="74">
        <f t="shared" si="23"/>
        <v>4.4897525891741515E-2</v>
      </c>
      <c r="U101" s="75">
        <f t="shared" si="19"/>
        <v>3.3306769949363142E-3</v>
      </c>
      <c r="V101" s="60">
        <f>VLOOKUP(B101,metadata!$B$11:$BN$301,29,FALSE)*VLOOKUP(B101,metadata!$B$11:$BN$301,36,FALSE)*1000-T101</f>
        <v>13.435102474108259</v>
      </c>
      <c r="W101" s="76">
        <f t="shared" si="17"/>
        <v>0.99666932300506372</v>
      </c>
    </row>
    <row r="102" spans="2:23" x14ac:dyDescent="0.3">
      <c r="B102">
        <v>9</v>
      </c>
      <c r="C102">
        <v>5</v>
      </c>
      <c r="D102">
        <v>16</v>
      </c>
      <c r="E102"/>
      <c r="I102" s="72">
        <f t="shared" si="20"/>
        <v>1.5280812390347851E-2</v>
      </c>
      <c r="K102" s="75">
        <f t="shared" si="18"/>
        <v>1.1335914236163093E-3</v>
      </c>
      <c r="P102" s="8">
        <v>1.9101015487934813E-3</v>
      </c>
      <c r="R102" s="73">
        <f t="shared" si="21"/>
        <v>1.4169892795203867E-4</v>
      </c>
      <c r="S102" s="71">
        <f t="shared" si="22"/>
        <v>1.42172458488841E-4</v>
      </c>
      <c r="T102" s="74">
        <f t="shared" si="23"/>
        <v>6.0178338282089364E-2</v>
      </c>
      <c r="U102" s="75">
        <f t="shared" si="19"/>
        <v>4.4642684185526235E-3</v>
      </c>
      <c r="V102" s="60">
        <f>VLOOKUP(B102,metadata!$B$11:$BN$301,29,FALSE)*VLOOKUP(B102,metadata!$B$11:$BN$301,36,FALSE)*1000-T102</f>
        <v>13.419821661717911</v>
      </c>
      <c r="W102" s="76">
        <f t="shared" si="17"/>
        <v>0.99553573158144737</v>
      </c>
    </row>
    <row r="103" spans="2:23" x14ac:dyDescent="0.3">
      <c r="B103">
        <v>9</v>
      </c>
      <c r="C103">
        <v>5</v>
      </c>
      <c r="D103">
        <v>30</v>
      </c>
      <c r="E103"/>
      <c r="I103" s="72">
        <f t="shared" si="20"/>
        <v>1.3168510410689768E-2</v>
      </c>
      <c r="K103" s="75">
        <f t="shared" si="18"/>
        <v>9.7689246370102141E-4</v>
      </c>
      <c r="P103" s="8">
        <v>9.4060788647784056E-4</v>
      </c>
      <c r="R103" s="73">
        <f t="shared" si="21"/>
        <v>6.9778033121501522E-5</v>
      </c>
      <c r="S103" s="71">
        <f t="shared" si="22"/>
        <v>7.009093788191448E-5</v>
      </c>
      <c r="T103" s="74">
        <f t="shared" si="23"/>
        <v>7.3346848692779132E-2</v>
      </c>
      <c r="U103" s="75">
        <f t="shared" si="19"/>
        <v>5.4411608822536447E-3</v>
      </c>
      <c r="V103" s="60">
        <f>VLOOKUP(B103,metadata!$B$11:$BN$301,29,FALSE)*VLOOKUP(B103,metadata!$B$11:$BN$301,36,FALSE)*1000-T103</f>
        <v>13.406653151307221</v>
      </c>
      <c r="W103" s="76">
        <f t="shared" si="17"/>
        <v>0.99455883911774634</v>
      </c>
    </row>
    <row r="104" spans="2:23" x14ac:dyDescent="0.3">
      <c r="B104">
        <v>9</v>
      </c>
      <c r="C104">
        <v>5</v>
      </c>
      <c r="D104">
        <v>51</v>
      </c>
      <c r="E104"/>
      <c r="I104" s="72">
        <f>P104*IF(D104&gt;D103,(D104-D103),(D104-0))</f>
        <v>1.3900340286736359E-2</v>
      </c>
      <c r="K104" s="75">
        <f t="shared" si="18"/>
        <v>1.0311825138528455E-3</v>
      </c>
      <c r="P104" s="8">
        <v>6.6192096603506475E-4</v>
      </c>
      <c r="R104" s="73">
        <f t="shared" si="21"/>
        <v>4.910392923108789E-5</v>
      </c>
      <c r="S104" s="71">
        <f t="shared" si="22"/>
        <v>4.9372573345833437E-5</v>
      </c>
      <c r="T104" s="74">
        <f>IF(D104&gt;D103,T103+I104,I104)</f>
        <v>8.7247188979515486E-2</v>
      </c>
      <c r="U104" s="75">
        <f t="shared" si="19"/>
        <v>6.4723433961064898E-3</v>
      </c>
      <c r="V104" s="60">
        <f>VLOOKUP(B104,metadata!$B$11:$BN$301,29,FALSE)*VLOOKUP(B104,metadata!$B$11:$BN$301,36,FALSE)*1000-T104</f>
        <v>13.392752811020484</v>
      </c>
      <c r="W104" s="76">
        <f t="shared" si="17"/>
        <v>0.99352765660389353</v>
      </c>
    </row>
    <row r="105" spans="2:23" x14ac:dyDescent="0.3">
      <c r="B105">
        <v>9</v>
      </c>
      <c r="C105">
        <v>5</v>
      </c>
      <c r="D105">
        <v>80</v>
      </c>
      <c r="E105"/>
      <c r="I105" s="72">
        <f t="shared" si="20"/>
        <v>1.5690819094152021E-2</v>
      </c>
      <c r="K105" s="75">
        <f t="shared" si="18"/>
        <v>1.1640073511982212E-3</v>
      </c>
      <c r="P105" s="8">
        <v>5.4106272738455247E-4</v>
      </c>
      <c r="R105" s="73">
        <f>P105/(T105+V105)</f>
        <v>4.0138184524076589E-5</v>
      </c>
      <c r="S105" s="71">
        <f t="shared" si="22"/>
        <v>4.0399665029233468E-5</v>
      </c>
      <c r="T105" s="74">
        <f t="shared" si="23"/>
        <v>0.10293800807366751</v>
      </c>
      <c r="U105" s="75">
        <f t="shared" si="19"/>
        <v>7.6363507473047113E-3</v>
      </c>
      <c r="V105" s="60">
        <f>VLOOKUP(B105,metadata!$B$11:$BN$301,29,FALSE)*VLOOKUP(B105,metadata!$B$11:$BN$301,36,FALSE)*1000-T105</f>
        <v>13.377061991926332</v>
      </c>
      <c r="W105" s="76">
        <f t="shared" si="17"/>
        <v>0.99236364925269527</v>
      </c>
    </row>
    <row r="106" spans="2:23" x14ac:dyDescent="0.3">
      <c r="B106">
        <v>9</v>
      </c>
      <c r="C106">
        <v>5</v>
      </c>
      <c r="D106">
        <v>183</v>
      </c>
      <c r="E106"/>
      <c r="I106" s="72">
        <f t="shared" si="20"/>
        <v>3.7049748036299561E-2</v>
      </c>
      <c r="K106" s="75">
        <f t="shared" si="18"/>
        <v>2.7484976288056052E-3</v>
      </c>
      <c r="P106" s="8">
        <v>3.5970629161455884E-4</v>
      </c>
      <c r="R106" s="73">
        <f t="shared" si="21"/>
        <v>2.6684442998112671E-5</v>
      </c>
      <c r="S106" s="71">
        <f t="shared" si="22"/>
        <v>2.6889782811177672E-5</v>
      </c>
      <c r="T106" s="74">
        <f t="shared" si="23"/>
        <v>0.13998775610996708</v>
      </c>
      <c r="U106" s="75">
        <f t="shared" si="19"/>
        <v>1.0384848376110317E-2</v>
      </c>
      <c r="V106" s="60">
        <f>VLOOKUP(B106,metadata!$B$11:$BN$301,29,FALSE)*VLOOKUP(B106,metadata!$B$11:$BN$301,36,FALSE)*1000-T106</f>
        <v>13.340012243890033</v>
      </c>
      <c r="W106" s="76">
        <f t="shared" si="17"/>
        <v>0.98961515162388969</v>
      </c>
    </row>
    <row r="107" spans="2:23" x14ac:dyDescent="0.3">
      <c r="B107">
        <v>9</v>
      </c>
      <c r="C107">
        <v>5</v>
      </c>
      <c r="D107">
        <v>246</v>
      </c>
      <c r="E107"/>
      <c r="I107" s="72">
        <f t="shared" si="20"/>
        <v>1.8937303123812047E-2</v>
      </c>
      <c r="K107" s="75">
        <f t="shared" si="18"/>
        <v>1.4048444453866502E-3</v>
      </c>
      <c r="P107" s="8">
        <v>3.0059211307638167E-4</v>
      </c>
      <c r="R107" s="73">
        <f t="shared" si="21"/>
        <v>2.229911818074048E-5</v>
      </c>
      <c r="S107" s="71">
        <f t="shared" si="22"/>
        <v>2.2533121228135175E-5</v>
      </c>
      <c r="T107" s="74">
        <f t="shared" si="23"/>
        <v>0.15892505923377914</v>
      </c>
      <c r="U107" s="75">
        <f t="shared" si="19"/>
        <v>1.1789692821496969E-2</v>
      </c>
      <c r="V107" s="60">
        <f>VLOOKUP(B107,metadata!$B$11:$BN$301,29,FALSE)*VLOOKUP(B107,metadata!$B$11:$BN$301,36,FALSE)*1000-T107</f>
        <v>13.321074940766222</v>
      </c>
      <c r="W107" s="76">
        <f t="shared" si="17"/>
        <v>0.988210307178503</v>
      </c>
    </row>
    <row r="108" spans="2:23" x14ac:dyDescent="0.3">
      <c r="B108">
        <v>9</v>
      </c>
      <c r="C108">
        <v>5</v>
      </c>
      <c r="D108">
        <v>313</v>
      </c>
      <c r="E108"/>
      <c r="I108" s="72">
        <f t="shared" si="20"/>
        <v>2.551802777333996E-2</v>
      </c>
      <c r="K108" s="75">
        <f t="shared" si="18"/>
        <v>1.8930287665682463E-3</v>
      </c>
      <c r="P108" s="8">
        <v>3.8086608616925315E-4</v>
      </c>
      <c r="R108" s="73">
        <f t="shared" si="21"/>
        <v>2.8254160695048452E-5</v>
      </c>
      <c r="S108" s="71">
        <f t="shared" si="22"/>
        <v>2.8591242663435232E-5</v>
      </c>
      <c r="T108" s="74">
        <f t="shared" si="23"/>
        <v>0.18444308700711909</v>
      </c>
      <c r="U108" s="75">
        <f t="shared" si="19"/>
        <v>1.3682721588065215E-2</v>
      </c>
      <c r="V108" s="60">
        <f>VLOOKUP(B108,metadata!$B$11:$BN$301,29,FALSE)*VLOOKUP(B108,metadata!$B$11:$BN$301,36,FALSE)*1000-T108</f>
        <v>13.295556912992881</v>
      </c>
      <c r="W108" s="76">
        <f t="shared" si="17"/>
        <v>0.98631727841193484</v>
      </c>
    </row>
    <row r="109" spans="2:23" x14ac:dyDescent="0.3">
      <c r="B109">
        <v>9</v>
      </c>
      <c r="C109">
        <v>5</v>
      </c>
      <c r="D109">
        <v>365</v>
      </c>
      <c r="E109"/>
      <c r="I109" s="72">
        <f t="shared" si="20"/>
        <v>1.7371279354666529E-2</v>
      </c>
      <c r="K109" s="75">
        <f t="shared" si="18"/>
        <v>1.2886705752719976E-3</v>
      </c>
      <c r="P109" s="8">
        <v>3.3406306451281783E-4</v>
      </c>
      <c r="R109" s="73">
        <f t="shared" si="21"/>
        <v>2.4782126447538415E-5</v>
      </c>
      <c r="S109" s="71">
        <f t="shared" si="22"/>
        <v>2.5125917379689436E-5</v>
      </c>
      <c r="T109" s="74">
        <f t="shared" si="23"/>
        <v>0.20181436636178562</v>
      </c>
      <c r="U109" s="75">
        <f t="shared" si="19"/>
        <v>1.4971392163337212E-2</v>
      </c>
      <c r="V109" s="60">
        <f>VLOOKUP(B109,metadata!$B$11:$BN$301,29,FALSE)*VLOOKUP(B109,metadata!$B$11:$BN$301,36,FALSE)*1000-T109</f>
        <v>13.278185633638214</v>
      </c>
      <c r="W109" s="76">
        <f t="shared" si="17"/>
        <v>0.9850286078366628</v>
      </c>
    </row>
    <row r="110" spans="2:23" x14ac:dyDescent="0.3">
      <c r="B110">
        <v>9</v>
      </c>
      <c r="C110">
        <v>5</v>
      </c>
      <c r="D110">
        <v>428</v>
      </c>
      <c r="E110"/>
      <c r="I110" s="72">
        <f t="shared" si="20"/>
        <v>2.3201975317472059E-2</v>
      </c>
      <c r="K110" s="75">
        <f t="shared" si="18"/>
        <v>1.7212147861626157E-3</v>
      </c>
      <c r="P110" s="8">
        <v>3.6828532249955651E-4</v>
      </c>
      <c r="R110" s="73">
        <f t="shared" si="21"/>
        <v>2.732086962162882E-5</v>
      </c>
      <c r="S110" s="71">
        <f t="shared" si="22"/>
        <v>2.7736117920099192E-5</v>
      </c>
      <c r="T110" s="74">
        <f t="shared" si="23"/>
        <v>0.22501634167925769</v>
      </c>
      <c r="U110" s="75">
        <f t="shared" si="19"/>
        <v>1.6692606949499828E-2</v>
      </c>
      <c r="V110" s="60">
        <f>VLOOKUP(B110,metadata!$B$11:$BN$301,29,FALSE)*VLOOKUP(B110,metadata!$B$11:$BN$301,36,FALSE)*1000-T110</f>
        <v>13.254983658320743</v>
      </c>
      <c r="W110" s="76">
        <f t="shared" si="17"/>
        <v>0.98330739305050019</v>
      </c>
    </row>
    <row r="111" spans="2:23" x14ac:dyDescent="0.3">
      <c r="B111">
        <v>9</v>
      </c>
      <c r="C111">
        <v>5</v>
      </c>
      <c r="D111">
        <v>469</v>
      </c>
      <c r="E111"/>
      <c r="I111" s="72">
        <f t="shared" si="20"/>
        <v>2.0081053456528459E-2</v>
      </c>
      <c r="K111" s="75">
        <f t="shared" si="18"/>
        <v>1.4896923929175413E-3</v>
      </c>
      <c r="P111" s="8">
        <v>4.8978179162264537E-4</v>
      </c>
      <c r="R111" s="73">
        <f t="shared" si="21"/>
        <v>3.6333960802866866E-5</v>
      </c>
      <c r="S111" s="71">
        <f t="shared" si="22"/>
        <v>3.6950765406277025E-5</v>
      </c>
      <c r="T111" s="74">
        <f t="shared" si="23"/>
        <v>0.24509739513578616</v>
      </c>
      <c r="U111" s="75">
        <f t="shared" si="19"/>
        <v>1.8182299342417371E-2</v>
      </c>
      <c r="V111" s="60">
        <f>VLOOKUP(B111,metadata!$B$11:$BN$301,29,FALSE)*VLOOKUP(B111,metadata!$B$11:$BN$301,36,FALSE)*1000-T111</f>
        <v>13.234902604864214</v>
      </c>
      <c r="W111" s="76">
        <f t="shared" si="17"/>
        <v>0.98181770065758267</v>
      </c>
    </row>
    <row r="112" spans="2:23" x14ac:dyDescent="0.3">
      <c r="B112">
        <v>9</v>
      </c>
      <c r="C112">
        <v>5</v>
      </c>
      <c r="D112">
        <v>550</v>
      </c>
      <c r="E112"/>
      <c r="I112" s="72">
        <f t="shared" si="20"/>
        <v>3.3113515042346026E-2</v>
      </c>
      <c r="K112" s="75">
        <f t="shared" si="18"/>
        <v>2.4564922138238889E-3</v>
      </c>
      <c r="P112" s="8">
        <v>4.088088276832843E-4</v>
      </c>
      <c r="R112" s="73">
        <f t="shared" si="21"/>
        <v>3.0327064368196164E-5</v>
      </c>
      <c r="S112" s="71">
        <f t="shared" si="22"/>
        <v>3.0888691808962397E-5</v>
      </c>
      <c r="T112" s="74">
        <f t="shared" si="23"/>
        <v>0.27821091017813215</v>
      </c>
      <c r="U112" s="75">
        <f t="shared" si="19"/>
        <v>2.0638791556241258E-2</v>
      </c>
      <c r="V112" s="60">
        <f>VLOOKUP(B112,metadata!$B$11:$BN$301,29,FALSE)*VLOOKUP(B112,metadata!$B$11:$BN$301,36,FALSE)*1000-T112</f>
        <v>13.201789089821869</v>
      </c>
      <c r="W112" s="76">
        <f t="shared" si="17"/>
        <v>0.97936120844375874</v>
      </c>
    </row>
    <row r="113" spans="2:23" x14ac:dyDescent="0.3">
      <c r="B113">
        <v>9</v>
      </c>
      <c r="C113">
        <v>5</v>
      </c>
      <c r="D113">
        <v>659</v>
      </c>
      <c r="E113"/>
      <c r="I113" s="72">
        <f t="shared" si="20"/>
        <v>9.660107560850395E-2</v>
      </c>
      <c r="K113" s="75">
        <f t="shared" si="18"/>
        <v>7.1662518997406485E-3</v>
      </c>
      <c r="P113" s="8">
        <v>8.8624840007801788E-4</v>
      </c>
      <c r="R113" s="73">
        <f t="shared" si="21"/>
        <v>6.5745430272849984E-5</v>
      </c>
      <c r="S113" s="71">
        <f t="shared" si="22"/>
        <v>6.7130931576636486E-5</v>
      </c>
      <c r="T113" s="74">
        <f t="shared" si="23"/>
        <v>0.3748119857866361</v>
      </c>
      <c r="U113" s="75">
        <f t="shared" si="19"/>
        <v>2.7805043455981907E-2</v>
      </c>
      <c r="V113" s="60">
        <f>VLOOKUP(B113,metadata!$B$11:$BN$301,29,FALSE)*VLOOKUP(B113,metadata!$B$11:$BN$301,36,FALSE)*1000-T113</f>
        <v>13.105188014213365</v>
      </c>
      <c r="W113" s="76">
        <f t="shared" si="17"/>
        <v>0.97219495654401811</v>
      </c>
    </row>
    <row r="114" spans="2:23" x14ac:dyDescent="0.3">
      <c r="B114">
        <v>9</v>
      </c>
      <c r="C114">
        <v>5</v>
      </c>
      <c r="D114">
        <v>730</v>
      </c>
      <c r="E114"/>
      <c r="I114" s="72">
        <f t="shared" si="20"/>
        <v>2.9255001208293434E-2</v>
      </c>
      <c r="K114" s="75">
        <f t="shared" si="18"/>
        <v>2.1702523151552991E-3</v>
      </c>
      <c r="P114" s="8">
        <v>4.1204227053934412E-4</v>
      </c>
      <c r="R114" s="73">
        <f t="shared" si="21"/>
        <v>3.0566934016271821E-5</v>
      </c>
      <c r="S114" s="71">
        <f t="shared" si="22"/>
        <v>3.1441156745897843E-5</v>
      </c>
      <c r="T114" s="74">
        <f t="shared" si="23"/>
        <v>0.40406698699492954</v>
      </c>
      <c r="U114" s="75">
        <f t="shared" si="19"/>
        <v>2.9975295771137205E-2</v>
      </c>
      <c r="V114" s="60">
        <f>VLOOKUP(B114,metadata!$B$11:$BN$301,29,FALSE)*VLOOKUP(B114,metadata!$B$11:$BN$301,36,FALSE)*1000-T114</f>
        <v>13.075933013005072</v>
      </c>
      <c r="W114" s="76">
        <f t="shared" si="17"/>
        <v>0.97002470422886278</v>
      </c>
    </row>
    <row r="115" spans="2:23" x14ac:dyDescent="0.3">
      <c r="B115">
        <v>10</v>
      </c>
      <c r="C115">
        <v>5</v>
      </c>
      <c r="D115">
        <v>0</v>
      </c>
      <c r="E115"/>
      <c r="I115" s="72">
        <f t="shared" si="20"/>
        <v>0</v>
      </c>
      <c r="K115" s="75">
        <f t="shared" si="18"/>
        <v>0</v>
      </c>
      <c r="P115" s="8"/>
      <c r="R115" s="73">
        <f t="shared" si="21"/>
        <v>0</v>
      </c>
      <c r="S115" s="71">
        <f t="shared" si="22"/>
        <v>0</v>
      </c>
      <c r="T115" s="74">
        <f t="shared" si="23"/>
        <v>0</v>
      </c>
      <c r="U115" s="75">
        <f t="shared" si="19"/>
        <v>0</v>
      </c>
      <c r="V115" s="60">
        <f>VLOOKUP(B115,metadata!$B$11:$BN$301,29,FALSE)*VLOOKUP(B115,metadata!$B$11:$BN$301,36,FALSE)*1000-T115</f>
        <v>13.48</v>
      </c>
      <c r="W115" s="76">
        <f t="shared" si="17"/>
        <v>1</v>
      </c>
    </row>
    <row r="116" spans="2:23" x14ac:dyDescent="0.3">
      <c r="B116">
        <v>10</v>
      </c>
      <c r="C116">
        <v>5</v>
      </c>
      <c r="D116">
        <v>2</v>
      </c>
      <c r="E116"/>
      <c r="I116" s="72">
        <f t="shared" si="20"/>
        <v>4.2939924713980858E-2</v>
      </c>
      <c r="K116" s="75">
        <f t="shared" si="18"/>
        <v>3.1854543556365622E-3</v>
      </c>
      <c r="P116" s="8">
        <v>2.1469962356990429E-2</v>
      </c>
      <c r="R116" s="73">
        <f t="shared" si="21"/>
        <v>1.5927271778182811E-3</v>
      </c>
      <c r="S116" s="71">
        <f t="shared" si="22"/>
        <v>1.5927271778182811E-3</v>
      </c>
      <c r="T116" s="74">
        <f t="shared" si="23"/>
        <v>4.2939924713980858E-2</v>
      </c>
      <c r="U116" s="75">
        <f t="shared" si="19"/>
        <v>3.1854543556365622E-3</v>
      </c>
      <c r="V116" s="60">
        <f>VLOOKUP(B116,metadata!$B$11:$BN$301,29,FALSE)*VLOOKUP(B116,metadata!$B$11:$BN$301,36,FALSE)*1000-T116</f>
        <v>13.43706007528602</v>
      </c>
      <c r="W116" s="76">
        <f t="shared" si="17"/>
        <v>0.99681454564436345</v>
      </c>
    </row>
    <row r="117" spans="2:23" x14ac:dyDescent="0.3">
      <c r="B117">
        <v>10</v>
      </c>
      <c r="C117">
        <v>5</v>
      </c>
      <c r="D117">
        <v>4</v>
      </c>
      <c r="E117"/>
      <c r="I117" s="72">
        <f t="shared" si="20"/>
        <v>1.0946946332418866E-2</v>
      </c>
      <c r="K117" s="75">
        <f t="shared" si="18"/>
        <v>8.1208800685599893E-4</v>
      </c>
      <c r="P117" s="8">
        <v>5.4734731662094329E-3</v>
      </c>
      <c r="R117" s="73">
        <f t="shared" si="21"/>
        <v>4.0604400342799947E-4</v>
      </c>
      <c r="S117" s="71">
        <f t="shared" si="22"/>
        <v>4.0734157141088207E-4</v>
      </c>
      <c r="T117" s="74">
        <f t="shared" si="23"/>
        <v>5.388687104639972E-2</v>
      </c>
      <c r="U117" s="75">
        <f t="shared" si="19"/>
        <v>3.9975423624925609E-3</v>
      </c>
      <c r="V117" s="60">
        <f>VLOOKUP(B117,metadata!$B$11:$BN$301,29,FALSE)*VLOOKUP(B117,metadata!$B$11:$BN$301,36,FALSE)*1000-T117</f>
        <v>13.426113128953601</v>
      </c>
      <c r="W117" s="76">
        <f t="shared" si="17"/>
        <v>0.99600245763750739</v>
      </c>
    </row>
    <row r="118" spans="2:23" x14ac:dyDescent="0.3">
      <c r="B118">
        <v>10</v>
      </c>
      <c r="C118">
        <v>5</v>
      </c>
      <c r="D118">
        <v>8</v>
      </c>
      <c r="E118"/>
      <c r="I118" s="72">
        <f t="shared" si="20"/>
        <v>6.3167525032405778E-3</v>
      </c>
      <c r="K118" s="75">
        <f t="shared" si="18"/>
        <v>4.6860181774781735E-4</v>
      </c>
      <c r="P118" s="8">
        <v>1.5791881258101445E-3</v>
      </c>
      <c r="R118" s="73">
        <f t="shared" si="21"/>
        <v>1.1715045443695434E-4</v>
      </c>
      <c r="S118" s="71">
        <f t="shared" si="22"/>
        <v>1.1762064795987777E-4</v>
      </c>
      <c r="T118" s="74">
        <f t="shared" si="23"/>
        <v>6.0203623549640296E-2</v>
      </c>
      <c r="U118" s="75">
        <f t="shared" si="19"/>
        <v>4.4661441802403782E-3</v>
      </c>
      <c r="V118" s="60">
        <f>VLOOKUP(B118,metadata!$B$11:$BN$301,29,FALSE)*VLOOKUP(B118,metadata!$B$11:$BN$301,36,FALSE)*1000-T118</f>
        <v>13.41979637645036</v>
      </c>
      <c r="W118" s="76">
        <f t="shared" si="17"/>
        <v>0.99553385581975962</v>
      </c>
    </row>
    <row r="119" spans="2:23" x14ac:dyDescent="0.3">
      <c r="B119">
        <v>10</v>
      </c>
      <c r="C119">
        <v>5</v>
      </c>
      <c r="D119">
        <v>16</v>
      </c>
      <c r="E119"/>
      <c r="I119" s="72">
        <f t="shared" si="20"/>
        <v>1.7382815836942109E-2</v>
      </c>
      <c r="K119" s="75">
        <f t="shared" si="18"/>
        <v>1.2895263973992661E-3</v>
      </c>
      <c r="P119" s="8">
        <v>2.1728519796177636E-3</v>
      </c>
      <c r="R119" s="73">
        <f t="shared" si="21"/>
        <v>1.6119079967490826E-4</v>
      </c>
      <c r="S119" s="71">
        <f t="shared" si="22"/>
        <v>1.6191393063390874E-4</v>
      </c>
      <c r="T119" s="74">
        <f t="shared" si="23"/>
        <v>7.7586439386582412E-2</v>
      </c>
      <c r="U119" s="75">
        <f t="shared" si="19"/>
        <v>5.7556705776396445E-3</v>
      </c>
      <c r="V119" s="60">
        <f>VLOOKUP(B119,metadata!$B$11:$BN$301,29,FALSE)*VLOOKUP(B119,metadata!$B$11:$BN$301,36,FALSE)*1000-T119</f>
        <v>13.402413560613418</v>
      </c>
      <c r="W119" s="76">
        <f t="shared" si="17"/>
        <v>0.99424432942236041</v>
      </c>
    </row>
    <row r="120" spans="2:23" x14ac:dyDescent="0.3">
      <c r="B120">
        <v>10</v>
      </c>
      <c r="C120">
        <v>5</v>
      </c>
      <c r="D120">
        <v>30</v>
      </c>
      <c r="E120"/>
      <c r="I120" s="72">
        <f t="shared" si="20"/>
        <v>1.8249076605004917E-2</v>
      </c>
      <c r="K120" s="75">
        <f t="shared" si="18"/>
        <v>1.3537890656531836E-3</v>
      </c>
      <c r="P120" s="8">
        <v>1.3035054717860655E-3</v>
      </c>
      <c r="R120" s="73">
        <f t="shared" si="21"/>
        <v>9.6699218975227399E-5</v>
      </c>
      <c r="S120" s="71">
        <f t="shared" si="22"/>
        <v>9.7259009796322457E-5</v>
      </c>
      <c r="T120" s="74">
        <f t="shared" si="23"/>
        <v>9.5835515991587322E-2</v>
      </c>
      <c r="U120" s="75">
        <f t="shared" si="19"/>
        <v>7.1094596432928281E-3</v>
      </c>
      <c r="V120" s="60">
        <f>VLOOKUP(B120,metadata!$B$11:$BN$301,29,FALSE)*VLOOKUP(B120,metadata!$B$11:$BN$301,36,FALSE)*1000-T120</f>
        <v>13.384164484008414</v>
      </c>
      <c r="W120" s="76">
        <f t="shared" si="17"/>
        <v>0.99289054035670721</v>
      </c>
    </row>
    <row r="121" spans="2:23" x14ac:dyDescent="0.3">
      <c r="B121">
        <v>10</v>
      </c>
      <c r="C121">
        <v>5</v>
      </c>
      <c r="D121">
        <v>51</v>
      </c>
      <c r="E121"/>
      <c r="I121" s="72">
        <f t="shared" si="20"/>
        <v>8.540789734205162E-3</v>
      </c>
      <c r="K121" s="75">
        <f t="shared" si="18"/>
        <v>6.3358974289355803E-4</v>
      </c>
      <c r="P121" s="8">
        <v>4.0670427305738863E-4</v>
      </c>
      <c r="R121" s="73">
        <f t="shared" si="21"/>
        <v>3.0170940137788475E-5</v>
      </c>
      <c r="S121" s="71">
        <f t="shared" si="22"/>
        <v>3.0386975111022025E-5</v>
      </c>
      <c r="T121" s="74">
        <f t="shared" si="23"/>
        <v>0.10437630572579248</v>
      </c>
      <c r="U121" s="75">
        <f t="shared" si="19"/>
        <v>7.7430493861863859E-3</v>
      </c>
      <c r="V121" s="60">
        <f>VLOOKUP(B121,metadata!$B$11:$BN$301,29,FALSE)*VLOOKUP(B121,metadata!$B$11:$BN$301,36,FALSE)*1000-T121</f>
        <v>13.375623694274207</v>
      </c>
      <c r="W121" s="76">
        <f t="shared" si="17"/>
        <v>0.99225695061381358</v>
      </c>
    </row>
    <row r="122" spans="2:23" x14ac:dyDescent="0.3">
      <c r="B122">
        <v>10</v>
      </c>
      <c r="C122">
        <v>5</v>
      </c>
      <c r="D122">
        <v>80</v>
      </c>
      <c r="E122"/>
      <c r="I122" s="72">
        <f t="shared" si="20"/>
        <v>2.044458062103555E-2</v>
      </c>
      <c r="K122" s="75">
        <f t="shared" si="18"/>
        <v>1.5166602834596106E-3</v>
      </c>
      <c r="P122" s="8">
        <v>7.0498553865639823E-4</v>
      </c>
      <c r="R122" s="73">
        <f t="shared" si="21"/>
        <v>5.2298630464124497E-5</v>
      </c>
      <c r="S122" s="71">
        <f t="shared" si="22"/>
        <v>5.2706741365502537E-5</v>
      </c>
      <c r="T122" s="74">
        <f t="shared" si="23"/>
        <v>0.12482088634682803</v>
      </c>
      <c r="U122" s="75">
        <f t="shared" si="19"/>
        <v>9.2597096696459963E-3</v>
      </c>
      <c r="V122" s="60">
        <f>VLOOKUP(B122,metadata!$B$11:$BN$301,29,FALSE)*VLOOKUP(B122,metadata!$B$11:$BN$301,36,FALSE)*1000-T122</f>
        <v>13.355179113653172</v>
      </c>
      <c r="W122" s="76">
        <f t="shared" si="17"/>
        <v>0.99074029033035405</v>
      </c>
    </row>
    <row r="123" spans="2:23" x14ac:dyDescent="0.3">
      <c r="B123">
        <v>10</v>
      </c>
      <c r="C123">
        <v>5</v>
      </c>
      <c r="D123">
        <v>183</v>
      </c>
      <c r="E123"/>
      <c r="I123" s="72">
        <f t="shared" si="20"/>
        <v>9.768649420275112E-2</v>
      </c>
      <c r="K123" s="75">
        <f t="shared" si="18"/>
        <v>7.2467725669696677E-3</v>
      </c>
      <c r="P123" s="8">
        <v>9.4841256507525356E-4</v>
      </c>
      <c r="R123" s="73">
        <f t="shared" si="21"/>
        <v>7.0357015213297735E-5</v>
      </c>
      <c r="S123" s="71">
        <f t="shared" si="22"/>
        <v>7.1014589696193523E-5</v>
      </c>
      <c r="T123" s="74">
        <f t="shared" si="23"/>
        <v>0.22250738054957914</v>
      </c>
      <c r="U123" s="75">
        <f t="shared" si="19"/>
        <v>1.6506482236615664E-2</v>
      </c>
      <c r="V123" s="60">
        <f>VLOOKUP(B123,metadata!$B$11:$BN$301,29,FALSE)*VLOOKUP(B123,metadata!$B$11:$BN$301,36,FALSE)*1000-T123</f>
        <v>13.257492619450421</v>
      </c>
      <c r="W123" s="76">
        <f t="shared" si="17"/>
        <v>0.98349351776338434</v>
      </c>
    </row>
    <row r="124" spans="2:23" x14ac:dyDescent="0.3">
      <c r="B124">
        <v>10</v>
      </c>
      <c r="C124">
        <v>5</v>
      </c>
      <c r="D124">
        <v>231</v>
      </c>
      <c r="E124"/>
      <c r="I124" s="72">
        <f t="shared" si="20"/>
        <v>2.4220638665848577E-2</v>
      </c>
      <c r="K124" s="75">
        <f t="shared" si="18"/>
        <v>1.79678328381666E-3</v>
      </c>
      <c r="P124" s="8">
        <v>5.0459663887184535E-4</v>
      </c>
      <c r="R124" s="73">
        <f t="shared" si="21"/>
        <v>3.7432985079513752E-5</v>
      </c>
      <c r="S124" s="71">
        <f t="shared" si="22"/>
        <v>3.8061242299432864E-5</v>
      </c>
      <c r="T124" s="74">
        <f t="shared" si="23"/>
        <v>0.24672801921542772</v>
      </c>
      <c r="U124" s="75">
        <f t="shared" si="19"/>
        <v>1.8303265520432325E-2</v>
      </c>
      <c r="V124" s="60">
        <f>VLOOKUP(B124,metadata!$B$11:$BN$301,29,FALSE)*VLOOKUP(B124,metadata!$B$11:$BN$301,36,FALSE)*1000-T124</f>
        <v>13.233271980784572</v>
      </c>
      <c r="W124" s="76">
        <f t="shared" si="17"/>
        <v>0.98169673447956762</v>
      </c>
    </row>
    <row r="125" spans="2:23" x14ac:dyDescent="0.3">
      <c r="B125">
        <v>10</v>
      </c>
      <c r="C125">
        <v>5</v>
      </c>
      <c r="D125">
        <v>263</v>
      </c>
      <c r="E125"/>
      <c r="I125" s="72">
        <f t="shared" si="20"/>
        <v>2.1265050439047146E-2</v>
      </c>
      <c r="K125" s="75">
        <f t="shared" si="18"/>
        <v>1.5775259969619544E-3</v>
      </c>
      <c r="P125" s="8">
        <v>6.6453282622022333E-4</v>
      </c>
      <c r="R125" s="73">
        <f t="shared" si="21"/>
        <v>4.9297687405061074E-5</v>
      </c>
      <c r="S125" s="71">
        <f t="shared" si="22"/>
        <v>5.0216819180106102E-5</v>
      </c>
      <c r="T125" s="74">
        <f t="shared" si="23"/>
        <v>0.26799306965447489</v>
      </c>
      <c r="U125" s="75">
        <f t="shared" si="19"/>
        <v>1.9880791517394279E-2</v>
      </c>
      <c r="V125" s="60">
        <f>VLOOKUP(B125,metadata!$B$11:$BN$301,29,FALSE)*VLOOKUP(B125,metadata!$B$11:$BN$301,36,FALSE)*1000-T125</f>
        <v>13.212006930345526</v>
      </c>
      <c r="W125" s="76">
        <f t="shared" si="17"/>
        <v>0.9801192084826057</v>
      </c>
    </row>
    <row r="126" spans="2:23" x14ac:dyDescent="0.3">
      <c r="B126">
        <v>10</v>
      </c>
      <c r="C126">
        <v>5</v>
      </c>
      <c r="D126">
        <v>365</v>
      </c>
      <c r="E126"/>
      <c r="I126" s="72">
        <f t="shared" si="20"/>
        <v>4.0956656371334679E-2</v>
      </c>
      <c r="K126" s="75">
        <f t="shared" si="18"/>
        <v>3.0383276239862519E-3</v>
      </c>
      <c r="P126" s="8">
        <v>4.0153584677779096E-4</v>
      </c>
      <c r="R126" s="73">
        <f t="shared" si="21"/>
        <v>2.9787525725355412E-5</v>
      </c>
      <c r="S126" s="71">
        <f t="shared" si="22"/>
        <v>3.0391737522899548E-5</v>
      </c>
      <c r="T126" s="74">
        <f t="shared" si="23"/>
        <v>0.30894972602580956</v>
      </c>
      <c r="U126" s="75">
        <f t="shared" si="19"/>
        <v>2.291911914138053E-2</v>
      </c>
      <c r="V126" s="60">
        <f>VLOOKUP(B126,metadata!$B$11:$BN$301,29,FALSE)*VLOOKUP(B126,metadata!$B$11:$BN$301,36,FALSE)*1000-T126</f>
        <v>13.17105027397419</v>
      </c>
      <c r="W126" s="76">
        <f t="shared" si="17"/>
        <v>0.97708088085861944</v>
      </c>
    </row>
    <row r="127" spans="2:23" x14ac:dyDescent="0.3">
      <c r="B127">
        <v>10</v>
      </c>
      <c r="C127">
        <v>5</v>
      </c>
      <c r="D127">
        <v>423</v>
      </c>
      <c r="E127"/>
      <c r="I127" s="72">
        <f t="shared" si="20"/>
        <v>2.4511788458861025E-2</v>
      </c>
      <c r="K127" s="75">
        <f t="shared" si="18"/>
        <v>1.8183819331499275E-3</v>
      </c>
      <c r="P127" s="8">
        <v>4.2261704239415559E-4</v>
      </c>
      <c r="R127" s="73">
        <f t="shared" si="21"/>
        <v>3.1351412640515993E-5</v>
      </c>
      <c r="S127" s="71">
        <f t="shared" si="22"/>
        <v>3.2086814157048729E-5</v>
      </c>
      <c r="T127" s="74">
        <f t="shared" si="23"/>
        <v>0.3334615144846706</v>
      </c>
      <c r="U127" s="75">
        <f t="shared" si="19"/>
        <v>2.473750107453046E-2</v>
      </c>
      <c r="V127" s="60">
        <f>VLOOKUP(B127,metadata!$B$11:$BN$301,29,FALSE)*VLOOKUP(B127,metadata!$B$11:$BN$301,36,FALSE)*1000-T127</f>
        <v>13.146538485515331</v>
      </c>
      <c r="W127" s="76">
        <f t="shared" si="17"/>
        <v>0.97526249892546957</v>
      </c>
    </row>
    <row r="128" spans="2:23" x14ac:dyDescent="0.3">
      <c r="B128">
        <v>10</v>
      </c>
      <c r="C128">
        <v>5</v>
      </c>
      <c r="D128">
        <v>463</v>
      </c>
      <c r="E128"/>
      <c r="I128" s="72">
        <f t="shared" si="20"/>
        <v>3.9465711000049891E-2</v>
      </c>
      <c r="K128" s="75">
        <f t="shared" si="18"/>
        <v>2.9277233679562233E-3</v>
      </c>
      <c r="P128" s="8">
        <v>9.8664277500124724E-4</v>
      </c>
      <c r="R128" s="73">
        <f t="shared" si="21"/>
        <v>7.3193084198905581E-5</v>
      </c>
      <c r="S128" s="71">
        <f t="shared" si="22"/>
        <v>7.5049624362208818E-5</v>
      </c>
      <c r="T128" s="74">
        <f t="shared" si="23"/>
        <v>0.37292722548472046</v>
      </c>
      <c r="U128" s="75">
        <f t="shared" si="19"/>
        <v>2.7665224442486681E-2</v>
      </c>
      <c r="V128" s="60">
        <f>VLOOKUP(B128,metadata!$B$11:$BN$301,29,FALSE)*VLOOKUP(B128,metadata!$B$11:$BN$301,36,FALSE)*1000-T128</f>
        <v>13.107072774515281</v>
      </c>
      <c r="W128" s="76">
        <f t="shared" si="17"/>
        <v>0.97233477555751335</v>
      </c>
    </row>
    <row r="129" spans="2:23" x14ac:dyDescent="0.3">
      <c r="B129">
        <v>10</v>
      </c>
      <c r="C129">
        <v>5</v>
      </c>
      <c r="D129">
        <v>550</v>
      </c>
      <c r="E129"/>
      <c r="I129" s="72">
        <f t="shared" si="20"/>
        <v>9.0602139120776956E-2</v>
      </c>
      <c r="K129" s="75">
        <f t="shared" si="18"/>
        <v>6.721226937743097E-3</v>
      </c>
      <c r="P129" s="8">
        <v>1.041403897939965E-3</v>
      </c>
      <c r="R129" s="73">
        <f t="shared" si="21"/>
        <v>7.7255482043024114E-5</v>
      </c>
      <c r="S129" s="71">
        <f t="shared" si="22"/>
        <v>7.9453583256577109E-5</v>
      </c>
      <c r="T129" s="74">
        <f t="shared" si="23"/>
        <v>0.46352936460549743</v>
      </c>
      <c r="U129" s="75">
        <f t="shared" si="19"/>
        <v>3.4386451380229777E-2</v>
      </c>
      <c r="V129" s="60">
        <f>VLOOKUP(B129,metadata!$B$11:$BN$301,29,FALSE)*VLOOKUP(B129,metadata!$B$11:$BN$301,36,FALSE)*1000-T129</f>
        <v>13.016470635394503</v>
      </c>
      <c r="W129" s="76">
        <f t="shared" si="17"/>
        <v>0.96561354861977022</v>
      </c>
    </row>
    <row r="130" spans="2:23" x14ac:dyDescent="0.3">
      <c r="B130">
        <v>10</v>
      </c>
      <c r="C130">
        <v>5</v>
      </c>
      <c r="D130">
        <v>640</v>
      </c>
      <c r="E130"/>
      <c r="I130" s="72">
        <f t="shared" si="20"/>
        <v>0.12482344087914297</v>
      </c>
      <c r="K130" s="75">
        <f t="shared" si="18"/>
        <v>9.259899175010607E-3</v>
      </c>
      <c r="P130" s="8">
        <v>1.3869271208793665E-3</v>
      </c>
      <c r="R130" s="73">
        <f t="shared" si="21"/>
        <v>1.0288776861122896E-4</v>
      </c>
      <c r="S130" s="71">
        <f t="shared" si="22"/>
        <v>1.0655170358607208E-4</v>
      </c>
      <c r="T130" s="74">
        <f t="shared" si="23"/>
        <v>0.58835280548464042</v>
      </c>
      <c r="U130" s="75">
        <f t="shared" si="19"/>
        <v>4.3646350555240389E-2</v>
      </c>
      <c r="V130" s="60">
        <f>VLOOKUP(B130,metadata!$B$11:$BN$301,29,FALSE)*VLOOKUP(B130,metadata!$B$11:$BN$301,36,FALSE)*1000-T130</f>
        <v>12.891647194515359</v>
      </c>
      <c r="W130" s="76">
        <f t="shared" si="17"/>
        <v>0.95635364944475965</v>
      </c>
    </row>
    <row r="131" spans="2:23" x14ac:dyDescent="0.3">
      <c r="B131">
        <v>10</v>
      </c>
      <c r="C131">
        <v>5</v>
      </c>
      <c r="D131">
        <v>730</v>
      </c>
      <c r="E131"/>
      <c r="I131" s="72">
        <f t="shared" si="20"/>
        <v>0.11232779926002739</v>
      </c>
      <c r="K131" s="75">
        <f t="shared" si="18"/>
        <v>8.3329227937705783E-3</v>
      </c>
      <c r="P131" s="8">
        <v>1.2480866584447488E-3</v>
      </c>
      <c r="R131" s="73">
        <f t="shared" si="21"/>
        <v>9.2588031041895307E-5</v>
      </c>
      <c r="S131" s="71">
        <f t="shared" si="22"/>
        <v>9.6813590971969558E-5</v>
      </c>
      <c r="T131" s="74">
        <f t="shared" si="23"/>
        <v>0.70068060474466787</v>
      </c>
      <c r="U131" s="75">
        <f t="shared" si="19"/>
        <v>5.1979273349010965E-2</v>
      </c>
      <c r="V131" s="60">
        <f>VLOOKUP(B131,metadata!$B$11:$BN$301,29,FALSE)*VLOOKUP(B131,metadata!$B$11:$BN$301,36,FALSE)*1000-T131</f>
        <v>12.779319395255332</v>
      </c>
      <c r="W131" s="76">
        <f t="shared" si="17"/>
        <v>0.94802072665098902</v>
      </c>
    </row>
    <row r="132" spans="2:23" x14ac:dyDescent="0.3">
      <c r="B132">
        <v>11</v>
      </c>
      <c r="C132">
        <v>5</v>
      </c>
      <c r="D132">
        <v>0</v>
      </c>
      <c r="E132"/>
      <c r="I132" s="72">
        <f t="shared" si="20"/>
        <v>0</v>
      </c>
      <c r="K132" s="75">
        <f t="shared" si="18"/>
        <v>0</v>
      </c>
      <c r="P132" s="8"/>
      <c r="R132" s="73">
        <f t="shared" si="21"/>
        <v>0</v>
      </c>
      <c r="S132" s="71">
        <f t="shared" si="22"/>
        <v>0</v>
      </c>
      <c r="T132" s="74">
        <f t="shared" si="23"/>
        <v>0</v>
      </c>
      <c r="U132" s="75">
        <f t="shared" si="19"/>
        <v>0</v>
      </c>
      <c r="V132" s="60">
        <f>VLOOKUP(B132,metadata!$B$11:$BN$301,29,FALSE)*VLOOKUP(B132,metadata!$B$11:$BN$301,36,FALSE)*1000-T132</f>
        <v>14.64</v>
      </c>
      <c r="W132" s="76">
        <f t="shared" si="17"/>
        <v>1</v>
      </c>
    </row>
    <row r="133" spans="2:23" x14ac:dyDescent="0.3">
      <c r="B133">
        <v>11</v>
      </c>
      <c r="C133">
        <v>5</v>
      </c>
      <c r="D133">
        <v>3</v>
      </c>
      <c r="E133"/>
      <c r="I133" s="72">
        <f t="shared" si="20"/>
        <v>9.0834628948645232E-3</v>
      </c>
      <c r="K133" s="75">
        <f t="shared" si="18"/>
        <v>6.2045511576943463E-4</v>
      </c>
      <c r="P133" s="8">
        <v>3.0278209649548414E-3</v>
      </c>
      <c r="R133" s="73">
        <f t="shared" si="21"/>
        <v>2.0681837192314489E-4</v>
      </c>
      <c r="S133" s="71">
        <f t="shared" si="22"/>
        <v>2.0681837192314489E-4</v>
      </c>
      <c r="T133" s="74">
        <f t="shared" si="23"/>
        <v>9.0834628948645232E-3</v>
      </c>
      <c r="U133" s="75">
        <f t="shared" si="19"/>
        <v>6.2045511576943463E-4</v>
      </c>
      <c r="V133" s="60">
        <f>VLOOKUP(B133,metadata!$B$11:$BN$301,29,FALSE)*VLOOKUP(B133,metadata!$B$11:$BN$301,36,FALSE)*1000-T133</f>
        <v>14.630916537105136</v>
      </c>
      <c r="W133" s="76">
        <f t="shared" si="17"/>
        <v>0.99937954488423053</v>
      </c>
    </row>
    <row r="134" spans="2:23" x14ac:dyDescent="0.3">
      <c r="B134">
        <v>11</v>
      </c>
      <c r="C134">
        <v>5</v>
      </c>
      <c r="D134">
        <v>9</v>
      </c>
      <c r="E134"/>
      <c r="I134" s="72">
        <f t="shared" si="20"/>
        <v>6.2611088325468765E-3</v>
      </c>
      <c r="K134" s="75">
        <f t="shared" si="18"/>
        <v>4.2767136834336586E-4</v>
      </c>
      <c r="P134" s="8">
        <v>1.0435181387578128E-3</v>
      </c>
      <c r="R134" s="73">
        <f t="shared" si="21"/>
        <v>7.1278561390560982E-5</v>
      </c>
      <c r="S134" s="71">
        <f t="shared" si="22"/>
        <v>7.1322813995375477E-5</v>
      </c>
      <c r="T134" s="74">
        <f t="shared" si="23"/>
        <v>1.53445717274114E-2</v>
      </c>
      <c r="U134" s="75">
        <f t="shared" si="19"/>
        <v>1.0481264841128005E-3</v>
      </c>
      <c r="V134" s="60">
        <f>VLOOKUP(B134,metadata!$B$11:$BN$301,29,FALSE)*VLOOKUP(B134,metadata!$B$11:$BN$301,36,FALSE)*1000-T134</f>
        <v>14.62465542827259</v>
      </c>
      <c r="W134" s="76">
        <f t="shared" si="17"/>
        <v>0.99895187351588721</v>
      </c>
    </row>
    <row r="135" spans="2:23" x14ac:dyDescent="0.3">
      <c r="B135">
        <v>11</v>
      </c>
      <c r="C135">
        <v>5</v>
      </c>
      <c r="D135">
        <v>18</v>
      </c>
      <c r="E135"/>
      <c r="I135" s="72">
        <f t="shared" si="20"/>
        <v>3.953216212574202E-3</v>
      </c>
      <c r="K135" s="75">
        <f t="shared" si="18"/>
        <v>2.700284298206422E-4</v>
      </c>
      <c r="P135" s="8">
        <v>4.3924624584157801E-4</v>
      </c>
      <c r="R135" s="73">
        <f t="shared" si="21"/>
        <v>3.0003158868960244E-5</v>
      </c>
      <c r="S135" s="71">
        <f t="shared" si="22"/>
        <v>3.0034638969504949E-5</v>
      </c>
      <c r="T135" s="74">
        <f t="shared" si="23"/>
        <v>1.92977879399856E-2</v>
      </c>
      <c r="U135" s="75">
        <f t="shared" si="19"/>
        <v>1.3181549139334426E-3</v>
      </c>
      <c r="V135" s="60">
        <f>VLOOKUP(B135,metadata!$B$11:$BN$301,29,FALSE)*VLOOKUP(B135,metadata!$B$11:$BN$301,36,FALSE)*1000-T135</f>
        <v>14.620702212060015</v>
      </c>
      <c r="W135" s="76">
        <f t="shared" si="17"/>
        <v>0.99868184508606661</v>
      </c>
    </row>
    <row r="136" spans="2:23" x14ac:dyDescent="0.3">
      <c r="B136">
        <v>11</v>
      </c>
      <c r="C136">
        <v>5</v>
      </c>
      <c r="D136">
        <v>38</v>
      </c>
      <c r="E136"/>
      <c r="I136" s="72">
        <f t="shared" si="20"/>
        <v>5.0389564016223897E-3</v>
      </c>
      <c r="K136" s="75">
        <f t="shared" si="18"/>
        <v>3.4419101103978073E-4</v>
      </c>
      <c r="P136" s="8">
        <v>2.5194782008111947E-4</v>
      </c>
      <c r="R136" s="73">
        <f t="shared" si="21"/>
        <v>1.7209550551989036E-5</v>
      </c>
      <c r="S136" s="71">
        <f t="shared" si="22"/>
        <v>1.7232265347234698E-5</v>
      </c>
      <c r="T136" s="74">
        <f t="shared" si="23"/>
        <v>2.4336744341607989E-2</v>
      </c>
      <c r="U136" s="75">
        <f t="shared" si="19"/>
        <v>1.6623459249732232E-3</v>
      </c>
      <c r="V136" s="60">
        <f>VLOOKUP(B136,metadata!$B$11:$BN$301,29,FALSE)*VLOOKUP(B136,metadata!$B$11:$BN$301,36,FALSE)*1000-T136</f>
        <v>14.615663255658392</v>
      </c>
      <c r="W136" s="76">
        <f t="shared" si="17"/>
        <v>0.99833765407502673</v>
      </c>
    </row>
    <row r="137" spans="2:23" x14ac:dyDescent="0.3">
      <c r="B137">
        <v>11</v>
      </c>
      <c r="C137">
        <v>5</v>
      </c>
      <c r="D137">
        <v>94</v>
      </c>
      <c r="E137"/>
      <c r="I137" s="72">
        <f t="shared" si="20"/>
        <v>9.9947981685759527E-3</v>
      </c>
      <c r="K137" s="75">
        <f t="shared" si="18"/>
        <v>6.8270479293551587E-4</v>
      </c>
      <c r="P137" s="8">
        <v>1.7847853872457058E-4</v>
      </c>
      <c r="R137" s="73">
        <f t="shared" si="21"/>
        <v>1.219115701670564E-5</v>
      </c>
      <c r="S137" s="71">
        <f t="shared" si="22"/>
        <v>1.2211456681958882E-5</v>
      </c>
      <c r="T137" s="74">
        <f t="shared" si="23"/>
        <v>3.4331542510183943E-2</v>
      </c>
      <c r="U137" s="75">
        <f t="shared" si="19"/>
        <v>2.3450507179087394E-3</v>
      </c>
      <c r="V137" s="60">
        <f>VLOOKUP(B137,metadata!$B$11:$BN$301,29,FALSE)*VLOOKUP(B137,metadata!$B$11:$BN$301,36,FALSE)*1000-T137</f>
        <v>14.605668457489816</v>
      </c>
      <c r="W137" s="76">
        <f t="shared" si="17"/>
        <v>0.99765494928209131</v>
      </c>
    </row>
    <row r="138" spans="2:23" x14ac:dyDescent="0.3">
      <c r="B138">
        <v>11</v>
      </c>
      <c r="C138">
        <v>5</v>
      </c>
      <c r="D138">
        <v>183</v>
      </c>
      <c r="E138"/>
      <c r="I138" s="72">
        <f t="shared" si="20"/>
        <v>5.858075265576101E-3</v>
      </c>
      <c r="K138" s="75">
        <f t="shared" si="18"/>
        <v>4.0014175311312163E-4</v>
      </c>
      <c r="P138" s="8">
        <v>6.5821070399731474E-5</v>
      </c>
      <c r="R138" s="73">
        <f t="shared" si="21"/>
        <v>4.4959747540800187E-6</v>
      </c>
      <c r="S138" s="71">
        <f t="shared" si="22"/>
        <v>4.5065428255684046E-6</v>
      </c>
      <c r="T138" s="74">
        <f t="shared" si="23"/>
        <v>4.0189617775760043E-2</v>
      </c>
      <c r="U138" s="75">
        <f t="shared" si="19"/>
        <v>2.7451924710218609E-3</v>
      </c>
      <c r="V138" s="60">
        <f>VLOOKUP(B138,metadata!$B$11:$BN$301,29,FALSE)*VLOOKUP(B138,metadata!$B$11:$BN$301,36,FALSE)*1000-T138</f>
        <v>14.599810382224241</v>
      </c>
      <c r="W138" s="76">
        <f t="shared" si="17"/>
        <v>0.9972548075289781</v>
      </c>
    </row>
    <row r="139" spans="2:23" x14ac:dyDescent="0.3">
      <c r="B139">
        <v>11</v>
      </c>
      <c r="C139">
        <v>5</v>
      </c>
      <c r="D139">
        <v>276</v>
      </c>
      <c r="E139"/>
      <c r="I139" s="72">
        <f t="shared" si="20"/>
        <v>5.8458603245341856E-3</v>
      </c>
      <c r="K139" s="75">
        <f t="shared" si="18"/>
        <v>3.9930739921681591E-4</v>
      </c>
      <c r="P139" s="8">
        <v>6.2858713167034257E-5</v>
      </c>
      <c r="R139" s="73">
        <f t="shared" si="21"/>
        <v>4.2936279485679136E-6</v>
      </c>
      <c r="S139" s="71">
        <f t="shared" si="22"/>
        <v>4.3054472298877833E-6</v>
      </c>
      <c r="T139" s="74">
        <f t="shared" si="23"/>
        <v>4.6035478100294229E-2</v>
      </c>
      <c r="U139" s="75">
        <f t="shared" si="19"/>
        <v>3.1444998702386765E-3</v>
      </c>
      <c r="V139" s="60">
        <f>VLOOKUP(B139,metadata!$B$11:$BN$301,29,FALSE)*VLOOKUP(B139,metadata!$B$11:$BN$301,36,FALSE)*1000-T139</f>
        <v>14.593964521899707</v>
      </c>
      <c r="W139" s="76">
        <f t="shared" si="17"/>
        <v>0.99685550012976132</v>
      </c>
    </row>
    <row r="140" spans="2:23" x14ac:dyDescent="0.3">
      <c r="B140">
        <v>11</v>
      </c>
      <c r="C140">
        <v>5</v>
      </c>
      <c r="D140">
        <v>365</v>
      </c>
      <c r="E140"/>
      <c r="I140" s="72">
        <f t="shared" si="20"/>
        <v>4.9281024018487099E-3</v>
      </c>
      <c r="K140" s="75">
        <f t="shared" si="18"/>
        <v>3.3661901651972062E-4</v>
      </c>
      <c r="P140" s="8">
        <v>5.5371937099423703E-5</v>
      </c>
      <c r="R140" s="73">
        <f t="shared" si="21"/>
        <v>3.782236140671018E-6</v>
      </c>
      <c r="S140" s="71">
        <f t="shared" si="22"/>
        <v>3.7941668979894091E-6</v>
      </c>
      <c r="T140" s="74">
        <f t="shared" si="23"/>
        <v>5.096358050214294E-2</v>
      </c>
      <c r="U140" s="75">
        <f t="shared" si="19"/>
        <v>3.4811188867583972E-3</v>
      </c>
      <c r="V140" s="60">
        <f>VLOOKUP(B140,metadata!$B$11:$BN$301,29,FALSE)*VLOOKUP(B140,metadata!$B$11:$BN$301,36,FALSE)*1000-T140</f>
        <v>14.589036419497857</v>
      </c>
      <c r="W140" s="76">
        <f t="shared" si="17"/>
        <v>0.99651888111324161</v>
      </c>
    </row>
    <row r="141" spans="2:23" x14ac:dyDescent="0.3">
      <c r="B141">
        <v>11</v>
      </c>
      <c r="C141">
        <v>5</v>
      </c>
      <c r="D141">
        <v>498</v>
      </c>
      <c r="E141"/>
      <c r="I141" s="72">
        <f t="shared" si="20"/>
        <v>9.8765946029880439E-3</v>
      </c>
      <c r="K141" s="75">
        <f t="shared" si="18"/>
        <v>6.7463077889262592E-4</v>
      </c>
      <c r="P141" s="8">
        <v>7.4260109796902592E-5</v>
      </c>
      <c r="R141" s="73">
        <f t="shared" si="21"/>
        <v>5.0724118713731276E-6</v>
      </c>
      <c r="S141" s="71">
        <f t="shared" si="22"/>
        <v>5.0901312233106731E-6</v>
      </c>
      <c r="T141" s="74">
        <f t="shared" si="23"/>
        <v>6.0840175105130984E-2</v>
      </c>
      <c r="U141" s="75">
        <f t="shared" si="19"/>
        <v>4.1557496656510233E-3</v>
      </c>
      <c r="V141" s="60">
        <f>VLOOKUP(B141,metadata!$B$11:$BN$301,29,FALSE)*VLOOKUP(B141,metadata!$B$11:$BN$301,36,FALSE)*1000-T141</f>
        <v>14.57915982489487</v>
      </c>
      <c r="W141" s="76">
        <f t="shared" si="17"/>
        <v>0.99584425033434898</v>
      </c>
    </row>
    <row r="142" spans="2:23" x14ac:dyDescent="0.3">
      <c r="B142">
        <v>11</v>
      </c>
      <c r="C142">
        <v>5</v>
      </c>
      <c r="D142">
        <v>550</v>
      </c>
      <c r="E142"/>
      <c r="I142" s="72">
        <f t="shared" si="20"/>
        <v>1.7439490669822753E-3</v>
      </c>
      <c r="K142" s="75">
        <f t="shared" si="18"/>
        <v>1.1912220402884394E-4</v>
      </c>
      <c r="P142" s="8">
        <v>3.3537482057351448E-5</v>
      </c>
      <c r="R142" s="73">
        <f t="shared" si="21"/>
        <v>2.2908116159393066E-6</v>
      </c>
      <c r="S142" s="71">
        <f t="shared" si="22"/>
        <v>2.3003713835473566E-6</v>
      </c>
      <c r="T142" s="74">
        <f t="shared" si="23"/>
        <v>6.2584124172113259E-2</v>
      </c>
      <c r="U142" s="75">
        <f t="shared" si="19"/>
        <v>4.2748718696798676E-3</v>
      </c>
      <c r="V142" s="60">
        <f>VLOOKUP(B142,metadata!$B$11:$BN$301,29,FALSE)*VLOOKUP(B142,metadata!$B$11:$BN$301,36,FALSE)*1000-T142</f>
        <v>14.577415875827887</v>
      </c>
      <c r="W142" s="76">
        <f t="shared" si="17"/>
        <v>0.9957251281303201</v>
      </c>
    </row>
    <row r="143" spans="2:23" x14ac:dyDescent="0.3">
      <c r="B143">
        <v>11</v>
      </c>
      <c r="C143">
        <v>5</v>
      </c>
      <c r="D143">
        <v>671</v>
      </c>
      <c r="E143"/>
      <c r="I143" s="72">
        <f t="shared" si="20"/>
        <v>4.8730323378351897E-3</v>
      </c>
      <c r="K143" s="75">
        <f t="shared" si="18"/>
        <v>3.328574001253545E-4</v>
      </c>
      <c r="P143" s="8">
        <v>4.027299452756355E-5</v>
      </c>
      <c r="R143" s="73">
        <f t="shared" si="21"/>
        <v>2.7508876043417724E-6</v>
      </c>
      <c r="S143" s="71">
        <f t="shared" si="22"/>
        <v>2.7626977833803724E-6</v>
      </c>
      <c r="T143" s="74">
        <f t="shared" si="23"/>
        <v>6.7457156509948449E-2</v>
      </c>
      <c r="U143" s="75">
        <f t="shared" si="19"/>
        <v>4.6077292698052221E-3</v>
      </c>
      <c r="V143" s="60">
        <f>VLOOKUP(B143,metadata!$B$11:$BN$301,29,FALSE)*VLOOKUP(B143,metadata!$B$11:$BN$301,36,FALSE)*1000-T143</f>
        <v>14.572542843490051</v>
      </c>
      <c r="W143" s="76">
        <f t="shared" si="17"/>
        <v>0.99539227073019476</v>
      </c>
    </row>
    <row r="144" spans="2:23" x14ac:dyDescent="0.3">
      <c r="B144">
        <v>11</v>
      </c>
      <c r="C144">
        <v>5</v>
      </c>
      <c r="D144">
        <v>730</v>
      </c>
      <c r="E144"/>
      <c r="I144" s="72">
        <f t="shared" si="20"/>
        <v>1.9069109812273237E-3</v>
      </c>
      <c r="K144" s="75">
        <f t="shared" si="18"/>
        <v>1.3025348232427073E-4</v>
      </c>
      <c r="P144" s="8">
        <v>3.2320525105547859E-5</v>
      </c>
      <c r="R144" s="73">
        <f t="shared" si="21"/>
        <v>2.2076861410893345E-6</v>
      </c>
      <c r="S144" s="71">
        <f t="shared" si="22"/>
        <v>2.2179056498699067E-6</v>
      </c>
      <c r="T144" s="74">
        <f t="shared" si="23"/>
        <v>6.9364067491175768E-2</v>
      </c>
      <c r="U144" s="75">
        <f t="shared" si="19"/>
        <v>4.7379827521294923E-3</v>
      </c>
      <c r="V144" s="60">
        <f>VLOOKUP(B144,metadata!$B$11:$BN$301,29,FALSE)*VLOOKUP(B144,metadata!$B$11:$BN$301,36,FALSE)*1000-T144</f>
        <v>14.570635932508825</v>
      </c>
      <c r="W144" s="76">
        <f t="shared" si="17"/>
        <v>0.99526201724787056</v>
      </c>
    </row>
    <row r="145" spans="2:23" x14ac:dyDescent="0.3">
      <c r="B145">
        <v>12</v>
      </c>
      <c r="C145">
        <v>5</v>
      </c>
      <c r="D145">
        <v>0</v>
      </c>
      <c r="E145"/>
      <c r="I145" s="72">
        <f t="shared" si="20"/>
        <v>0</v>
      </c>
      <c r="K145" s="75">
        <f t="shared" si="18"/>
        <v>0</v>
      </c>
      <c r="P145" s="8"/>
      <c r="R145" s="73">
        <f t="shared" si="21"/>
        <v>0</v>
      </c>
      <c r="S145" s="71">
        <f t="shared" si="22"/>
        <v>0</v>
      </c>
      <c r="T145" s="74">
        <f t="shared" si="23"/>
        <v>0</v>
      </c>
      <c r="U145" s="75">
        <f t="shared" si="19"/>
        <v>0</v>
      </c>
      <c r="V145" s="60">
        <f>VLOOKUP(B145,metadata!$B$11:$BN$301,29,FALSE)*VLOOKUP(B145,metadata!$B$11:$BN$301,36,FALSE)*1000-T145</f>
        <v>14.64</v>
      </c>
      <c r="W145" s="76">
        <f t="shared" si="17"/>
        <v>1</v>
      </c>
    </row>
    <row r="146" spans="2:23" x14ac:dyDescent="0.3">
      <c r="B146">
        <v>12</v>
      </c>
      <c r="C146">
        <v>5</v>
      </c>
      <c r="D146">
        <v>2</v>
      </c>
      <c r="E146"/>
      <c r="I146" s="72">
        <f t="shared" si="20"/>
        <v>1.2369690145149506E-2</v>
      </c>
      <c r="K146" s="75">
        <f t="shared" si="18"/>
        <v>8.4492419024245259E-4</v>
      </c>
      <c r="P146" s="8">
        <v>6.1848450725747531E-3</v>
      </c>
      <c r="R146" s="73">
        <f t="shared" si="21"/>
        <v>4.2246209512122629E-4</v>
      </c>
      <c r="S146" s="71">
        <f t="shared" si="22"/>
        <v>4.2246209512122629E-4</v>
      </c>
      <c r="T146" s="74">
        <f t="shared" si="23"/>
        <v>1.2369690145149506E-2</v>
      </c>
      <c r="U146" s="75">
        <f t="shared" si="19"/>
        <v>8.4492419024245259E-4</v>
      </c>
      <c r="V146" s="60">
        <f>VLOOKUP(B146,metadata!$B$11:$BN$301,29,FALSE)*VLOOKUP(B146,metadata!$B$11:$BN$301,36,FALSE)*1000-T146</f>
        <v>14.627630309854851</v>
      </c>
      <c r="W146" s="76">
        <f t="shared" si="17"/>
        <v>0.9991550758097576</v>
      </c>
    </row>
    <row r="147" spans="2:23" x14ac:dyDescent="0.3">
      <c r="B147">
        <v>12</v>
      </c>
      <c r="C147">
        <v>5</v>
      </c>
      <c r="D147">
        <v>4</v>
      </c>
      <c r="E147"/>
      <c r="I147" s="72">
        <f t="shared" si="20"/>
        <v>3.5883384142573818E-3</v>
      </c>
      <c r="K147" s="75">
        <f t="shared" si="18"/>
        <v>2.4510508294107796E-4</v>
      </c>
      <c r="P147" s="8">
        <v>1.7941692071286909E-3</v>
      </c>
      <c r="R147" s="73">
        <f t="shared" si="21"/>
        <v>1.2255254147053898E-4</v>
      </c>
      <c r="S147" s="71">
        <f t="shared" si="22"/>
        <v>1.2265617664126584E-4</v>
      </c>
      <c r="T147" s="74">
        <f t="shared" si="23"/>
        <v>1.5958028559406888E-2</v>
      </c>
      <c r="U147" s="75">
        <f t="shared" si="19"/>
        <v>1.0900292731835307E-3</v>
      </c>
      <c r="V147" s="60">
        <f>VLOOKUP(B147,metadata!$B$11:$BN$301,29,FALSE)*VLOOKUP(B147,metadata!$B$11:$BN$301,36,FALSE)*1000-T147</f>
        <v>14.624041971440594</v>
      </c>
      <c r="W147" s="76">
        <f t="shared" si="17"/>
        <v>0.99890997072681642</v>
      </c>
    </row>
    <row r="148" spans="2:23" x14ac:dyDescent="0.3">
      <c r="B148">
        <v>12</v>
      </c>
      <c r="C148">
        <v>5</v>
      </c>
      <c r="D148">
        <v>8</v>
      </c>
      <c r="E148"/>
      <c r="I148" s="72">
        <f t="shared" si="20"/>
        <v>8.5157578761023301E-3</v>
      </c>
      <c r="K148" s="75">
        <f t="shared" si="18"/>
        <v>5.8167745055343783E-4</v>
      </c>
      <c r="P148" s="8">
        <v>2.1289394690255825E-3</v>
      </c>
      <c r="R148" s="73">
        <f t="shared" si="21"/>
        <v>1.4541936263835946E-4</v>
      </c>
      <c r="S148" s="71">
        <f t="shared" si="22"/>
        <v>1.4557804697109083E-4</v>
      </c>
      <c r="T148" s="74">
        <f t="shared" si="23"/>
        <v>2.4473786435509216E-2</v>
      </c>
      <c r="U148" s="75">
        <f t="shared" si="19"/>
        <v>1.6717067237369682E-3</v>
      </c>
      <c r="V148" s="60">
        <f>VLOOKUP(B148,metadata!$B$11:$BN$301,29,FALSE)*VLOOKUP(B148,metadata!$B$11:$BN$301,36,FALSE)*1000-T148</f>
        <v>14.615526213564491</v>
      </c>
      <c r="W148" s="76">
        <f t="shared" si="17"/>
        <v>0.99832829327626305</v>
      </c>
    </row>
    <row r="149" spans="2:23" x14ac:dyDescent="0.3">
      <c r="B149">
        <v>12</v>
      </c>
      <c r="C149">
        <v>5</v>
      </c>
      <c r="D149">
        <v>16</v>
      </c>
      <c r="E149"/>
      <c r="I149" s="72">
        <f t="shared" si="20"/>
        <v>1.4528177142881024E-2</v>
      </c>
      <c r="K149" s="75">
        <f t="shared" si="18"/>
        <v>9.9236182669952349E-4</v>
      </c>
      <c r="P149" s="8">
        <v>1.8160221428601281E-3</v>
      </c>
      <c r="R149" s="73">
        <f t="shared" si="21"/>
        <v>1.2404522833744044E-4</v>
      </c>
      <c r="S149" s="71">
        <f t="shared" si="22"/>
        <v>1.2425294281739237E-4</v>
      </c>
      <c r="T149" s="74">
        <f t="shared" si="23"/>
        <v>3.9001963578390239E-2</v>
      </c>
      <c r="U149" s="75">
        <f t="shared" si="19"/>
        <v>2.6640685504364914E-3</v>
      </c>
      <c r="V149" s="60">
        <f>VLOOKUP(B149,metadata!$B$11:$BN$301,29,FALSE)*VLOOKUP(B149,metadata!$B$11:$BN$301,36,FALSE)*1000-T149</f>
        <v>14.600998036421611</v>
      </c>
      <c r="W149" s="76">
        <f t="shared" ref="W149:W212" si="24">100%-U149</f>
        <v>0.99733593144956356</v>
      </c>
    </row>
    <row r="150" spans="2:23" x14ac:dyDescent="0.3">
      <c r="B150">
        <v>12</v>
      </c>
      <c r="C150">
        <v>5</v>
      </c>
      <c r="D150">
        <v>30</v>
      </c>
      <c r="E150"/>
      <c r="I150" s="72">
        <f t="shared" si="20"/>
        <v>8.2228765473239696E-3</v>
      </c>
      <c r="K150" s="75">
        <f t="shared" ref="K150:K213" si="25">I150/(V150+T150)</f>
        <v>5.6167189530901434E-4</v>
      </c>
      <c r="P150" s="8">
        <v>5.8734832480885496E-4</v>
      </c>
      <c r="R150" s="73">
        <f t="shared" ref="R150:R213" si="26">P150/(T150+V150)</f>
        <v>4.0119421093501018E-5</v>
      </c>
      <c r="S150" s="71">
        <f t="shared" ref="S150:S213" si="27">IF(D150&gt;D149,P150/V149,0)</f>
        <v>4.0226587480098129E-5</v>
      </c>
      <c r="T150" s="74">
        <f t="shared" ref="T150:T213" si="28">IF(D150&gt;D149,T149+I150,I150)</f>
        <v>4.7224840125714207E-2</v>
      </c>
      <c r="U150" s="75">
        <f t="shared" ref="U150:U213" si="29">T150/(T150+V150)</f>
        <v>3.225740445745506E-3</v>
      </c>
      <c r="V150" s="60">
        <f>VLOOKUP(B150,metadata!$B$11:$BN$301,29,FALSE)*VLOOKUP(B150,metadata!$B$11:$BN$301,36,FALSE)*1000-T150</f>
        <v>14.592775159874286</v>
      </c>
      <c r="W150" s="76">
        <f t="shared" si="24"/>
        <v>0.99677425955425447</v>
      </c>
    </row>
    <row r="151" spans="2:23" x14ac:dyDescent="0.3">
      <c r="B151">
        <v>12</v>
      </c>
      <c r="C151">
        <v>5</v>
      </c>
      <c r="D151">
        <v>51</v>
      </c>
      <c r="E151"/>
      <c r="I151" s="72">
        <f t="shared" ref="I151:I214" si="30">P151*IF(D151&gt;D150,(D151-D150),(D151-0))</f>
        <v>5.6536028136988364E-3</v>
      </c>
      <c r="K151" s="75">
        <f t="shared" si="25"/>
        <v>3.8617505558052157E-4</v>
      </c>
      <c r="P151" s="8">
        <v>2.6921918160470649E-4</v>
      </c>
      <c r="R151" s="73">
        <f t="shared" si="26"/>
        <v>1.838928836097722E-5</v>
      </c>
      <c r="S151" s="71">
        <f t="shared" si="27"/>
        <v>1.8448799399375231E-5</v>
      </c>
      <c r="T151" s="74">
        <f t="shared" si="28"/>
        <v>5.2878442939413045E-2</v>
      </c>
      <c r="U151" s="75">
        <f t="shared" si="29"/>
        <v>3.6119155013260274E-3</v>
      </c>
      <c r="V151" s="60">
        <f>VLOOKUP(B151,metadata!$B$11:$BN$301,29,FALSE)*VLOOKUP(B151,metadata!$B$11:$BN$301,36,FALSE)*1000-T151</f>
        <v>14.587121557060588</v>
      </c>
      <c r="W151" s="76">
        <f t="shared" si="24"/>
        <v>0.996388084498674</v>
      </c>
    </row>
    <row r="152" spans="2:23" x14ac:dyDescent="0.3">
      <c r="B152">
        <v>12</v>
      </c>
      <c r="C152">
        <v>5</v>
      </c>
      <c r="D152">
        <v>80</v>
      </c>
      <c r="E152"/>
      <c r="I152" s="72">
        <f t="shared" si="30"/>
        <v>2.3117061246423602E-2</v>
      </c>
      <c r="K152" s="75">
        <f t="shared" si="25"/>
        <v>1.5790342381436886E-3</v>
      </c>
      <c r="P152" s="8">
        <v>7.9714004298012424E-4</v>
      </c>
      <c r="R152" s="73">
        <f t="shared" si="26"/>
        <v>5.44494564877134E-5</v>
      </c>
      <c r="S152" s="71">
        <f t="shared" si="27"/>
        <v>5.4646836242636605E-5</v>
      </c>
      <c r="T152" s="74">
        <f t="shared" si="28"/>
        <v>7.5995504185836643E-2</v>
      </c>
      <c r="U152" s="75">
        <f t="shared" si="29"/>
        <v>5.1909497394697158E-3</v>
      </c>
      <c r="V152" s="60">
        <f>VLOOKUP(B152,metadata!$B$11:$BN$301,29,FALSE)*VLOOKUP(B152,metadata!$B$11:$BN$301,36,FALSE)*1000-T152</f>
        <v>14.564004495814164</v>
      </c>
      <c r="W152" s="76">
        <f t="shared" si="24"/>
        <v>0.99480905026053024</v>
      </c>
    </row>
    <row r="153" spans="2:23" x14ac:dyDescent="0.3">
      <c r="B153">
        <v>12</v>
      </c>
      <c r="C153">
        <v>5</v>
      </c>
      <c r="D153">
        <v>183</v>
      </c>
      <c r="E153"/>
      <c r="I153" s="72">
        <f t="shared" si="30"/>
        <v>3.5292091112386202E-2</v>
      </c>
      <c r="K153" s="75">
        <f t="shared" si="25"/>
        <v>2.4106619612285656E-3</v>
      </c>
      <c r="P153" s="8">
        <v>3.4264166128530291E-4</v>
      </c>
      <c r="R153" s="73">
        <f t="shared" si="26"/>
        <v>2.340448506047151E-5</v>
      </c>
      <c r="S153" s="71">
        <f t="shared" si="27"/>
        <v>2.3526610513185536E-5</v>
      </c>
      <c r="T153" s="74">
        <f t="shared" si="28"/>
        <v>0.11128759529822285</v>
      </c>
      <c r="U153" s="75">
        <f t="shared" si="29"/>
        <v>7.6016117006982818E-3</v>
      </c>
      <c r="V153" s="60">
        <f>VLOOKUP(B153,metadata!$B$11:$BN$301,29,FALSE)*VLOOKUP(B153,metadata!$B$11:$BN$301,36,FALSE)*1000-T153</f>
        <v>14.528712404701778</v>
      </c>
      <c r="W153" s="76">
        <f t="shared" si="24"/>
        <v>0.99239838829930171</v>
      </c>
    </row>
    <row r="154" spans="2:23" x14ac:dyDescent="0.3">
      <c r="B154">
        <v>12</v>
      </c>
      <c r="C154">
        <v>5</v>
      </c>
      <c r="D154">
        <v>246</v>
      </c>
      <c r="E154"/>
      <c r="I154" s="72">
        <f t="shared" si="30"/>
        <v>9.4201209668608316E-3</v>
      </c>
      <c r="K154" s="75">
        <f t="shared" si="25"/>
        <v>6.4345088571453768E-4</v>
      </c>
      <c r="P154" s="8">
        <v>1.4952572963271161E-4</v>
      </c>
      <c r="R154" s="73">
        <f t="shared" si="26"/>
        <v>1.0213506122452978E-5</v>
      </c>
      <c r="S154" s="71">
        <f t="shared" si="27"/>
        <v>1.0291739933149349E-5</v>
      </c>
      <c r="T154" s="74">
        <f t="shared" si="28"/>
        <v>0.12070771626508368</v>
      </c>
      <c r="U154" s="75">
        <f t="shared" si="29"/>
        <v>8.2450625864128203E-3</v>
      </c>
      <c r="V154" s="60">
        <f>VLOOKUP(B154,metadata!$B$11:$BN$301,29,FALSE)*VLOOKUP(B154,metadata!$B$11:$BN$301,36,FALSE)*1000-T154</f>
        <v>14.519292283734917</v>
      </c>
      <c r="W154" s="76">
        <f t="shared" si="24"/>
        <v>0.99175493741358722</v>
      </c>
    </row>
    <row r="155" spans="2:23" x14ac:dyDescent="0.3">
      <c r="B155">
        <v>12</v>
      </c>
      <c r="C155">
        <v>5</v>
      </c>
      <c r="D155">
        <v>313</v>
      </c>
      <c r="E155"/>
      <c r="I155" s="72">
        <f t="shared" si="30"/>
        <v>1.3433503130675869E-2</v>
      </c>
      <c r="K155" s="75">
        <f t="shared" si="25"/>
        <v>9.1758901165818777E-4</v>
      </c>
      <c r="P155" s="8">
        <v>2.005000467265055E-4</v>
      </c>
      <c r="R155" s="73">
        <f t="shared" si="26"/>
        <v>1.3695358382958025E-5</v>
      </c>
      <c r="S155" s="71">
        <f t="shared" si="27"/>
        <v>1.3809216235085614E-5</v>
      </c>
      <c r="T155" s="74">
        <f t="shared" si="28"/>
        <v>0.13414121939575954</v>
      </c>
      <c r="U155" s="75">
        <f t="shared" si="29"/>
        <v>9.1626515980710067E-3</v>
      </c>
      <c r="V155" s="60">
        <f>VLOOKUP(B155,metadata!$B$11:$BN$301,29,FALSE)*VLOOKUP(B155,metadata!$B$11:$BN$301,36,FALSE)*1000-T155</f>
        <v>14.505858780604241</v>
      </c>
      <c r="W155" s="76">
        <f t="shared" si="24"/>
        <v>0.99083734840192894</v>
      </c>
    </row>
    <row r="156" spans="2:23" x14ac:dyDescent="0.3">
      <c r="B156">
        <v>12</v>
      </c>
      <c r="C156">
        <v>5</v>
      </c>
      <c r="D156">
        <v>365</v>
      </c>
      <c r="E156"/>
      <c r="I156" s="72">
        <f t="shared" si="30"/>
        <v>1.0019843601565931E-2</v>
      </c>
      <c r="K156" s="75">
        <f t="shared" si="25"/>
        <v>6.8441554655504987E-4</v>
      </c>
      <c r="P156" s="8">
        <v>1.9268930003011407E-4</v>
      </c>
      <c r="R156" s="73">
        <f t="shared" si="26"/>
        <v>1.316183743375096E-5</v>
      </c>
      <c r="S156" s="71">
        <f t="shared" si="27"/>
        <v>1.328354997414966E-5</v>
      </c>
      <c r="T156" s="74">
        <f t="shared" si="28"/>
        <v>0.14416106299732548</v>
      </c>
      <c r="U156" s="75">
        <f t="shared" si="29"/>
        <v>9.8470671446260569E-3</v>
      </c>
      <c r="V156" s="60">
        <f>VLOOKUP(B156,metadata!$B$11:$BN$301,29,FALSE)*VLOOKUP(B156,metadata!$B$11:$BN$301,36,FALSE)*1000-T156</f>
        <v>14.495838937002675</v>
      </c>
      <c r="W156" s="76">
        <f t="shared" si="24"/>
        <v>0.99015293285537398</v>
      </c>
    </row>
    <row r="157" spans="2:23" x14ac:dyDescent="0.3">
      <c r="B157">
        <v>12</v>
      </c>
      <c r="C157">
        <v>5</v>
      </c>
      <c r="D157">
        <v>428</v>
      </c>
      <c r="E157"/>
      <c r="I157" s="72">
        <f t="shared" si="30"/>
        <v>1.1597137233471892E-2</v>
      </c>
      <c r="K157" s="75">
        <f t="shared" si="25"/>
        <v>7.9215418261420023E-4</v>
      </c>
      <c r="P157" s="8">
        <v>1.8408154338844272E-4</v>
      </c>
      <c r="R157" s="73">
        <f t="shared" si="26"/>
        <v>1.2573875914511114E-5</v>
      </c>
      <c r="S157" s="71">
        <f t="shared" si="27"/>
        <v>1.2698923062572708E-5</v>
      </c>
      <c r="T157" s="74">
        <f t="shared" si="28"/>
        <v>0.15575820023079737</v>
      </c>
      <c r="U157" s="75">
        <f t="shared" si="29"/>
        <v>1.0639221327240257E-2</v>
      </c>
      <c r="V157" s="60">
        <f>VLOOKUP(B157,metadata!$B$11:$BN$301,29,FALSE)*VLOOKUP(B157,metadata!$B$11:$BN$301,36,FALSE)*1000-T157</f>
        <v>14.484241799769203</v>
      </c>
      <c r="W157" s="76">
        <f t="shared" si="24"/>
        <v>0.98936077867275973</v>
      </c>
    </row>
    <row r="158" spans="2:23" x14ac:dyDescent="0.3">
      <c r="B158">
        <v>12</v>
      </c>
      <c r="C158">
        <v>5</v>
      </c>
      <c r="D158">
        <v>469</v>
      </c>
      <c r="E158"/>
      <c r="I158" s="72">
        <f t="shared" si="30"/>
        <v>6.0092095908901716E-3</v>
      </c>
      <c r="K158" s="75">
        <f t="shared" si="25"/>
        <v>4.1046513598976583E-4</v>
      </c>
      <c r="P158" s="8">
        <v>1.4656608758268711E-4</v>
      </c>
      <c r="R158" s="73">
        <f t="shared" si="26"/>
        <v>1.0011344780238189E-5</v>
      </c>
      <c r="S158" s="71">
        <f t="shared" si="27"/>
        <v>1.0119003093763771E-5</v>
      </c>
      <c r="T158" s="74">
        <f t="shared" si="28"/>
        <v>0.16176740982168752</v>
      </c>
      <c r="U158" s="75">
        <f t="shared" si="29"/>
        <v>1.1049686463230022E-2</v>
      </c>
      <c r="V158" s="60">
        <f>VLOOKUP(B158,metadata!$B$11:$BN$301,29,FALSE)*VLOOKUP(B158,metadata!$B$11:$BN$301,36,FALSE)*1000-T158</f>
        <v>14.478232590178314</v>
      </c>
      <c r="W158" s="76">
        <f t="shared" si="24"/>
        <v>0.98895031353676999</v>
      </c>
    </row>
    <row r="159" spans="2:23" x14ac:dyDescent="0.3">
      <c r="B159">
        <v>12</v>
      </c>
      <c r="C159">
        <v>5</v>
      </c>
      <c r="D159">
        <v>550</v>
      </c>
      <c r="E159"/>
      <c r="I159" s="72">
        <f t="shared" si="30"/>
        <v>1.156958196674103E-2</v>
      </c>
      <c r="K159" s="75">
        <f t="shared" si="25"/>
        <v>7.9027199226373152E-4</v>
      </c>
      <c r="P159" s="8">
        <v>1.4283434526840777E-4</v>
      </c>
      <c r="R159" s="73">
        <f t="shared" si="26"/>
        <v>9.7564443489349573E-6</v>
      </c>
      <c r="S159" s="71">
        <f t="shared" si="27"/>
        <v>9.8654545282898124E-6</v>
      </c>
      <c r="T159" s="74">
        <f t="shared" si="28"/>
        <v>0.17333699178842854</v>
      </c>
      <c r="U159" s="75">
        <f t="shared" si="29"/>
        <v>1.1839958455493751E-2</v>
      </c>
      <c r="V159" s="60">
        <f>VLOOKUP(B159,metadata!$B$11:$BN$301,29,FALSE)*VLOOKUP(B159,metadata!$B$11:$BN$301,36,FALSE)*1000-T159</f>
        <v>14.466663008211572</v>
      </c>
      <c r="W159" s="76">
        <f t="shared" si="24"/>
        <v>0.98816004154450621</v>
      </c>
    </row>
    <row r="160" spans="2:23" x14ac:dyDescent="0.3">
      <c r="B160">
        <v>12</v>
      </c>
      <c r="C160">
        <v>5</v>
      </c>
      <c r="D160">
        <v>659</v>
      </c>
      <c r="E160"/>
      <c r="I160" s="72">
        <f t="shared" si="30"/>
        <v>4.3138488855052538E-2</v>
      </c>
      <c r="K160" s="75">
        <f t="shared" si="25"/>
        <v>2.9466180911921131E-3</v>
      </c>
      <c r="P160" s="8">
        <v>3.9576595279864713E-4</v>
      </c>
      <c r="R160" s="73">
        <f t="shared" si="26"/>
        <v>2.7033193497175348E-5</v>
      </c>
      <c r="S160" s="71">
        <f t="shared" si="27"/>
        <v>2.7357100429726075E-5</v>
      </c>
      <c r="T160" s="74">
        <f t="shared" si="28"/>
        <v>0.21647548064348107</v>
      </c>
      <c r="U160" s="75">
        <f t="shared" si="29"/>
        <v>1.4786576546685864E-2</v>
      </c>
      <c r="V160" s="60">
        <f>VLOOKUP(B160,metadata!$B$11:$BN$301,29,FALSE)*VLOOKUP(B160,metadata!$B$11:$BN$301,36,FALSE)*1000-T160</f>
        <v>14.423524519356519</v>
      </c>
      <c r="W160" s="76">
        <f t="shared" si="24"/>
        <v>0.98521342345331409</v>
      </c>
    </row>
    <row r="161" spans="2:23" x14ac:dyDescent="0.3">
      <c r="B161">
        <v>12</v>
      </c>
      <c r="C161">
        <v>5</v>
      </c>
      <c r="D161">
        <v>730</v>
      </c>
      <c r="E161"/>
      <c r="I161" s="72">
        <f t="shared" si="30"/>
        <v>1.3126212985446957E-2</v>
      </c>
      <c r="K161" s="75">
        <f t="shared" si="25"/>
        <v>8.9659924763981944E-4</v>
      </c>
      <c r="P161" s="8">
        <v>1.8487623923164727E-4</v>
      </c>
      <c r="R161" s="73">
        <f t="shared" si="26"/>
        <v>1.2628158417462245E-5</v>
      </c>
      <c r="S161" s="71">
        <f t="shared" si="27"/>
        <v>1.2817688144360377E-5</v>
      </c>
      <c r="T161" s="74">
        <f t="shared" si="28"/>
        <v>0.22960169362892802</v>
      </c>
      <c r="U161" s="75">
        <f t="shared" si="29"/>
        <v>1.5683175794325682E-2</v>
      </c>
      <c r="V161" s="60">
        <f>VLOOKUP(B161,metadata!$B$11:$BN$301,29,FALSE)*VLOOKUP(B161,metadata!$B$11:$BN$301,36,FALSE)*1000-T161</f>
        <v>14.410398306371073</v>
      </c>
      <c r="W161" s="76">
        <f t="shared" si="24"/>
        <v>0.98431682420567435</v>
      </c>
    </row>
    <row r="162" spans="2:23" x14ac:dyDescent="0.3">
      <c r="B162">
        <v>13</v>
      </c>
      <c r="C162">
        <v>5</v>
      </c>
      <c r="D162">
        <v>0</v>
      </c>
      <c r="E162"/>
      <c r="I162" s="72">
        <f t="shared" si="30"/>
        <v>0</v>
      </c>
      <c r="K162" s="75">
        <f t="shared" si="25"/>
        <v>0</v>
      </c>
      <c r="P162" s="8"/>
      <c r="R162" s="73">
        <f t="shared" si="26"/>
        <v>0</v>
      </c>
      <c r="S162" s="71">
        <f t="shared" si="27"/>
        <v>0</v>
      </c>
      <c r="T162" s="74">
        <f t="shared" si="28"/>
        <v>0</v>
      </c>
      <c r="U162" s="75">
        <f t="shared" si="29"/>
        <v>0</v>
      </c>
      <c r="V162" s="60">
        <f>VLOOKUP(B162,metadata!$B$11:$BN$301,29,FALSE)*VLOOKUP(B162,metadata!$B$11:$BN$301,36,FALSE)*1000-T162</f>
        <v>14.64</v>
      </c>
      <c r="W162" s="76">
        <f t="shared" si="24"/>
        <v>1</v>
      </c>
    </row>
    <row r="163" spans="2:23" x14ac:dyDescent="0.3">
      <c r="B163">
        <v>13</v>
      </c>
      <c r="C163">
        <v>5</v>
      </c>
      <c r="D163">
        <v>2</v>
      </c>
      <c r="E163"/>
      <c r="I163" s="72">
        <f t="shared" si="30"/>
        <v>2.6213819610920484E-2</v>
      </c>
      <c r="K163" s="75">
        <f t="shared" si="25"/>
        <v>1.7905614488333663E-3</v>
      </c>
      <c r="P163" s="8">
        <v>1.3106909805460242E-2</v>
      </c>
      <c r="R163" s="73">
        <f t="shared" si="26"/>
        <v>8.9528072441668314E-4</v>
      </c>
      <c r="S163" s="71">
        <f t="shared" si="27"/>
        <v>8.9528072441668314E-4</v>
      </c>
      <c r="T163" s="74">
        <f t="shared" si="28"/>
        <v>2.6213819610920484E-2</v>
      </c>
      <c r="U163" s="75">
        <f t="shared" si="29"/>
        <v>1.7905614488333663E-3</v>
      </c>
      <c r="V163" s="60">
        <f>VLOOKUP(B163,metadata!$B$11:$BN$301,29,FALSE)*VLOOKUP(B163,metadata!$B$11:$BN$301,36,FALSE)*1000-T163</f>
        <v>14.613786180389081</v>
      </c>
      <c r="W163" s="76">
        <f t="shared" si="24"/>
        <v>0.99820943855116662</v>
      </c>
    </row>
    <row r="164" spans="2:23" x14ac:dyDescent="0.3">
      <c r="B164">
        <v>13</v>
      </c>
      <c r="C164">
        <v>5</v>
      </c>
      <c r="D164">
        <v>4</v>
      </c>
      <c r="E164"/>
      <c r="I164" s="72">
        <f t="shared" si="30"/>
        <v>4.0306302856121723E-3</v>
      </c>
      <c r="K164" s="75">
        <f t="shared" si="25"/>
        <v>2.7531627633962924E-4</v>
      </c>
      <c r="P164" s="8">
        <v>2.0153151428060861E-3</v>
      </c>
      <c r="R164" s="73">
        <f t="shared" si="26"/>
        <v>1.3765813816981462E-4</v>
      </c>
      <c r="S164" s="71">
        <f t="shared" si="27"/>
        <v>1.379050656639914E-4</v>
      </c>
      <c r="T164" s="74">
        <f t="shared" si="28"/>
        <v>3.0244449896532657E-2</v>
      </c>
      <c r="U164" s="75">
        <f t="shared" si="29"/>
        <v>2.0658777251729957E-3</v>
      </c>
      <c r="V164" s="60">
        <f>VLOOKUP(B164,metadata!$B$11:$BN$301,29,FALSE)*VLOOKUP(B164,metadata!$B$11:$BN$301,36,FALSE)*1000-T164</f>
        <v>14.609755550103468</v>
      </c>
      <c r="W164" s="76">
        <f t="shared" si="24"/>
        <v>0.99793412227482703</v>
      </c>
    </row>
    <row r="165" spans="2:23" x14ac:dyDescent="0.3">
      <c r="B165">
        <v>13</v>
      </c>
      <c r="C165">
        <v>5</v>
      </c>
      <c r="D165">
        <v>8</v>
      </c>
      <c r="E165"/>
      <c r="I165" s="72">
        <f t="shared" si="30"/>
        <v>6.5296606884383572E-3</v>
      </c>
      <c r="K165" s="75">
        <f t="shared" si="25"/>
        <v>4.4601507434688229E-4</v>
      </c>
      <c r="P165" s="8">
        <v>1.6324151721095893E-3</v>
      </c>
      <c r="R165" s="73">
        <f t="shared" si="26"/>
        <v>1.1150376858672057E-4</v>
      </c>
      <c r="S165" s="71">
        <f t="shared" si="27"/>
        <v>1.1173459860511002E-4</v>
      </c>
      <c r="T165" s="74">
        <f t="shared" si="28"/>
        <v>3.6774110584971015E-2</v>
      </c>
      <c r="U165" s="75">
        <f t="shared" si="29"/>
        <v>2.5118927995198778E-3</v>
      </c>
      <c r="V165" s="60">
        <f>VLOOKUP(B165,metadata!$B$11:$BN$301,29,FALSE)*VLOOKUP(B165,metadata!$B$11:$BN$301,36,FALSE)*1000-T165</f>
        <v>14.603225889415029</v>
      </c>
      <c r="W165" s="76">
        <f t="shared" si="24"/>
        <v>0.99748810720048009</v>
      </c>
    </row>
    <row r="166" spans="2:23" x14ac:dyDescent="0.3">
      <c r="B166">
        <v>13</v>
      </c>
      <c r="C166">
        <v>5</v>
      </c>
      <c r="D166">
        <v>16</v>
      </c>
      <c r="E166"/>
      <c r="I166" s="72">
        <f t="shared" si="30"/>
        <v>5.858819072136796E-3</v>
      </c>
      <c r="K166" s="75">
        <f t="shared" si="25"/>
        <v>4.0019255957218552E-4</v>
      </c>
      <c r="P166" s="8">
        <v>7.323523840170995E-4</v>
      </c>
      <c r="R166" s="73">
        <f t="shared" si="26"/>
        <v>5.002406994652319E-5</v>
      </c>
      <c r="S166" s="71">
        <f t="shared" si="27"/>
        <v>5.015004147459886E-5</v>
      </c>
      <c r="T166" s="74">
        <f t="shared" si="28"/>
        <v>4.2632929657107813E-2</v>
      </c>
      <c r="U166" s="75">
        <f t="shared" si="29"/>
        <v>2.9120853590920634E-3</v>
      </c>
      <c r="V166" s="60">
        <f>VLOOKUP(B166,metadata!$B$11:$BN$301,29,FALSE)*VLOOKUP(B166,metadata!$B$11:$BN$301,36,FALSE)*1000-T166</f>
        <v>14.597367070342893</v>
      </c>
      <c r="W166" s="76">
        <f t="shared" si="24"/>
        <v>0.99708791464090796</v>
      </c>
    </row>
    <row r="167" spans="2:23" x14ac:dyDescent="0.3">
      <c r="B167">
        <v>13</v>
      </c>
      <c r="C167">
        <v>5</v>
      </c>
      <c r="D167">
        <v>30</v>
      </c>
      <c r="E167"/>
      <c r="I167" s="72">
        <f t="shared" si="30"/>
        <v>1.7061316752507619E-2</v>
      </c>
      <c r="K167" s="75">
        <f t="shared" si="25"/>
        <v>1.1653904885592634E-3</v>
      </c>
      <c r="P167" s="8">
        <v>1.2186654823219728E-3</v>
      </c>
      <c r="R167" s="73">
        <f t="shared" si="26"/>
        <v>8.3242177754233113E-5</v>
      </c>
      <c r="S167" s="71">
        <f t="shared" si="27"/>
        <v>8.3485294056755282E-5</v>
      </c>
      <c r="T167" s="74">
        <f t="shared" si="28"/>
        <v>5.9694246409615431E-2</v>
      </c>
      <c r="U167" s="75">
        <f t="shared" si="29"/>
        <v>4.0774758476513273E-3</v>
      </c>
      <c r="V167" s="60">
        <f>VLOOKUP(B167,metadata!$B$11:$BN$301,29,FALSE)*VLOOKUP(B167,metadata!$B$11:$BN$301,36,FALSE)*1000-T167</f>
        <v>14.580305753590386</v>
      </c>
      <c r="W167" s="76">
        <f t="shared" si="24"/>
        <v>0.99592252415234872</v>
      </c>
    </row>
    <row r="168" spans="2:23" x14ac:dyDescent="0.3">
      <c r="B168">
        <v>13</v>
      </c>
      <c r="C168">
        <v>5</v>
      </c>
      <c r="D168">
        <v>51</v>
      </c>
      <c r="E168"/>
      <c r="I168" s="72">
        <f t="shared" si="30"/>
        <v>6.9674315091714225E-3</v>
      </c>
      <c r="K168" s="75">
        <f t="shared" si="25"/>
        <v>4.7591745281225565E-4</v>
      </c>
      <c r="P168" s="8">
        <v>3.3178245281768681E-4</v>
      </c>
      <c r="R168" s="73">
        <f t="shared" si="26"/>
        <v>2.266273584820265E-5</v>
      </c>
      <c r="S168" s="71">
        <f t="shared" si="27"/>
        <v>2.2755520935216718E-5</v>
      </c>
      <c r="T168" s="74">
        <f t="shared" si="28"/>
        <v>6.6661677918786855E-2</v>
      </c>
      <c r="U168" s="75">
        <f t="shared" si="29"/>
        <v>4.553393300463583E-3</v>
      </c>
      <c r="V168" s="60">
        <f>VLOOKUP(B168,metadata!$B$11:$BN$301,29,FALSE)*VLOOKUP(B168,metadata!$B$11:$BN$301,36,FALSE)*1000-T168</f>
        <v>14.573338322081213</v>
      </c>
      <c r="W168" s="76">
        <f t="shared" si="24"/>
        <v>0.99544660669953644</v>
      </c>
    </row>
    <row r="169" spans="2:23" x14ac:dyDescent="0.3">
      <c r="B169">
        <v>13</v>
      </c>
      <c r="C169">
        <v>5</v>
      </c>
      <c r="D169">
        <v>80</v>
      </c>
      <c r="E169"/>
      <c r="I169" s="72">
        <f t="shared" si="30"/>
        <v>5.832669494417542E-3</v>
      </c>
      <c r="K169" s="75">
        <f t="shared" si="25"/>
        <v>3.984063862307064E-4</v>
      </c>
      <c r="P169" s="8">
        <v>2.0112653429026008E-4</v>
      </c>
      <c r="R169" s="73">
        <f t="shared" si="26"/>
        <v>1.3738151249334705E-5</v>
      </c>
      <c r="S169" s="71">
        <f t="shared" si="27"/>
        <v>1.3800992596563645E-5</v>
      </c>
      <c r="T169" s="74">
        <f t="shared" si="28"/>
        <v>7.2494347413204402E-2</v>
      </c>
      <c r="U169" s="75">
        <f t="shared" si="29"/>
        <v>4.9517996866942898E-3</v>
      </c>
      <c r="V169" s="60">
        <f>VLOOKUP(B169,metadata!$B$11:$BN$301,29,FALSE)*VLOOKUP(B169,metadata!$B$11:$BN$301,36,FALSE)*1000-T169</f>
        <v>14.567505652586796</v>
      </c>
      <c r="W169" s="76">
        <f t="shared" si="24"/>
        <v>0.99504820031330576</v>
      </c>
    </row>
    <row r="170" spans="2:23" x14ac:dyDescent="0.3">
      <c r="B170">
        <v>13</v>
      </c>
      <c r="C170">
        <v>5</v>
      </c>
      <c r="D170">
        <v>183</v>
      </c>
      <c r="E170"/>
      <c r="I170" s="72">
        <f t="shared" si="30"/>
        <v>5.8663826582568114E-2</v>
      </c>
      <c r="K170" s="75">
        <f t="shared" si="25"/>
        <v>4.0070919796836146E-3</v>
      </c>
      <c r="P170" s="8">
        <v>5.695517143938652E-4</v>
      </c>
      <c r="R170" s="73">
        <f t="shared" si="26"/>
        <v>3.8903805627996257E-5</v>
      </c>
      <c r="S170" s="71">
        <f t="shared" si="27"/>
        <v>3.9097408161480832E-5</v>
      </c>
      <c r="T170" s="74">
        <f t="shared" si="28"/>
        <v>0.13115817399577251</v>
      </c>
      <c r="U170" s="75">
        <f t="shared" si="29"/>
        <v>8.9588916663779026E-3</v>
      </c>
      <c r="V170" s="60">
        <f>VLOOKUP(B170,metadata!$B$11:$BN$301,29,FALSE)*VLOOKUP(B170,metadata!$B$11:$BN$301,36,FALSE)*1000-T170</f>
        <v>14.508841826004229</v>
      </c>
      <c r="W170" s="76">
        <f t="shared" si="24"/>
        <v>0.99104110833362213</v>
      </c>
    </row>
    <row r="171" spans="2:23" x14ac:dyDescent="0.3">
      <c r="B171">
        <v>13</v>
      </c>
      <c r="C171">
        <v>5</v>
      </c>
      <c r="D171">
        <v>231</v>
      </c>
      <c r="E171"/>
      <c r="I171" s="72">
        <f t="shared" si="30"/>
        <v>1.5317352016898749E-2</v>
      </c>
      <c r="K171" s="75">
        <f t="shared" si="25"/>
        <v>1.0462672142690403E-3</v>
      </c>
      <c r="P171" s="8">
        <v>3.1911150035205727E-4</v>
      </c>
      <c r="R171" s="73">
        <f t="shared" si="26"/>
        <v>2.1797233630605003E-5</v>
      </c>
      <c r="S171" s="71">
        <f t="shared" si="27"/>
        <v>2.1994277984346967E-5</v>
      </c>
      <c r="T171" s="74">
        <f t="shared" si="28"/>
        <v>0.14647552601267125</v>
      </c>
      <c r="U171" s="75">
        <f t="shared" si="29"/>
        <v>1.0005158880646943E-2</v>
      </c>
      <c r="V171" s="60">
        <f>VLOOKUP(B171,metadata!$B$11:$BN$301,29,FALSE)*VLOOKUP(B171,metadata!$B$11:$BN$301,36,FALSE)*1000-T171</f>
        <v>14.49352447398733</v>
      </c>
      <c r="W171" s="76">
        <f t="shared" si="24"/>
        <v>0.9899948411193531</v>
      </c>
    </row>
    <row r="172" spans="2:23" x14ac:dyDescent="0.3">
      <c r="B172">
        <v>13</v>
      </c>
      <c r="C172">
        <v>5</v>
      </c>
      <c r="D172">
        <v>263</v>
      </c>
      <c r="E172"/>
      <c r="I172" s="72">
        <f t="shared" si="30"/>
        <v>1.3028605867720582E-2</v>
      </c>
      <c r="K172" s="75">
        <f t="shared" si="25"/>
        <v>8.8993209478965721E-4</v>
      </c>
      <c r="P172" s="8">
        <v>4.0714393336626817E-4</v>
      </c>
      <c r="R172" s="73">
        <f t="shared" si="26"/>
        <v>2.7810377962176788E-5</v>
      </c>
      <c r="S172" s="71">
        <f t="shared" si="27"/>
        <v>2.8091437255099782E-5</v>
      </c>
      <c r="T172" s="74">
        <f t="shared" si="28"/>
        <v>0.15950413188039184</v>
      </c>
      <c r="U172" s="75">
        <f t="shared" si="29"/>
        <v>1.0895090975436601E-2</v>
      </c>
      <c r="V172" s="60">
        <f>VLOOKUP(B172,metadata!$B$11:$BN$301,29,FALSE)*VLOOKUP(B172,metadata!$B$11:$BN$301,36,FALSE)*1000-T172</f>
        <v>14.480495868119609</v>
      </c>
      <c r="W172" s="76">
        <f t="shared" si="24"/>
        <v>0.98910490902456338</v>
      </c>
    </row>
    <row r="173" spans="2:23" x14ac:dyDescent="0.3">
      <c r="B173">
        <v>13</v>
      </c>
      <c r="C173">
        <v>5</v>
      </c>
      <c r="D173">
        <v>365</v>
      </c>
      <c r="E173"/>
      <c r="I173" s="72">
        <f t="shared" si="30"/>
        <v>1.598956058312475E-2</v>
      </c>
      <c r="K173" s="75">
        <f t="shared" si="25"/>
        <v>1.092183099940215E-3</v>
      </c>
      <c r="P173" s="8">
        <v>1.5676039787377205E-4</v>
      </c>
      <c r="R173" s="73">
        <f t="shared" si="26"/>
        <v>1.0707677450394265E-5</v>
      </c>
      <c r="S173" s="71">
        <f t="shared" si="27"/>
        <v>1.0825623604430368E-5</v>
      </c>
      <c r="T173" s="74">
        <f t="shared" si="28"/>
        <v>0.17549369246351659</v>
      </c>
      <c r="U173" s="75">
        <f t="shared" si="29"/>
        <v>1.1987274075376817E-2</v>
      </c>
      <c r="V173" s="60">
        <f>VLOOKUP(B173,metadata!$B$11:$BN$301,29,FALSE)*VLOOKUP(B173,metadata!$B$11:$BN$301,36,FALSE)*1000-T173</f>
        <v>14.464506307536483</v>
      </c>
      <c r="W173" s="76">
        <f t="shared" si="24"/>
        <v>0.98801272592462319</v>
      </c>
    </row>
    <row r="174" spans="2:23" x14ac:dyDescent="0.3">
      <c r="B174">
        <v>13</v>
      </c>
      <c r="C174">
        <v>5</v>
      </c>
      <c r="D174">
        <v>423</v>
      </c>
      <c r="E174"/>
      <c r="I174" s="72">
        <f t="shared" si="30"/>
        <v>2.4411808692831872E-2</v>
      </c>
      <c r="K174" s="75">
        <f t="shared" si="25"/>
        <v>1.6674732713682972E-3</v>
      </c>
      <c r="P174" s="8">
        <v>4.2089325332468744E-4</v>
      </c>
      <c r="R174" s="73">
        <f t="shared" si="26"/>
        <v>2.8749539161522366E-5</v>
      </c>
      <c r="S174" s="71">
        <f t="shared" si="27"/>
        <v>2.9098349046685969E-5</v>
      </c>
      <c r="T174" s="74">
        <f t="shared" si="28"/>
        <v>0.19990550115634848</v>
      </c>
      <c r="U174" s="75">
        <f t="shared" si="29"/>
        <v>1.3654747346745114E-2</v>
      </c>
      <c r="V174" s="60">
        <f>VLOOKUP(B174,metadata!$B$11:$BN$301,29,FALSE)*VLOOKUP(B174,metadata!$B$11:$BN$301,36,FALSE)*1000-T174</f>
        <v>14.440094498843653</v>
      </c>
      <c r="W174" s="76">
        <f t="shared" si="24"/>
        <v>0.9863452526532549</v>
      </c>
    </row>
    <row r="175" spans="2:23" x14ac:dyDescent="0.3">
      <c r="B175">
        <v>13</v>
      </c>
      <c r="C175">
        <v>5</v>
      </c>
      <c r="D175">
        <v>463</v>
      </c>
      <c r="E175"/>
      <c r="I175" s="72">
        <f t="shared" si="30"/>
        <v>1.0832892743515305E-2</v>
      </c>
      <c r="K175" s="75">
        <f t="shared" si="25"/>
        <v>7.3995169013082681E-4</v>
      </c>
      <c r="P175" s="8">
        <v>2.7082231858788263E-4</v>
      </c>
      <c r="R175" s="73">
        <f t="shared" si="26"/>
        <v>1.8498792253270669E-5</v>
      </c>
      <c r="S175" s="71">
        <f t="shared" si="27"/>
        <v>1.8754885475962072E-5</v>
      </c>
      <c r="T175" s="74">
        <f t="shared" si="28"/>
        <v>0.21073839389986379</v>
      </c>
      <c r="U175" s="75">
        <f t="shared" si="29"/>
        <v>1.4394699036875942E-2</v>
      </c>
      <c r="V175" s="60">
        <f>VLOOKUP(B175,metadata!$B$11:$BN$301,29,FALSE)*VLOOKUP(B175,metadata!$B$11:$BN$301,36,FALSE)*1000-T175</f>
        <v>14.429261606100138</v>
      </c>
      <c r="W175" s="76">
        <f t="shared" si="24"/>
        <v>0.98560530096312404</v>
      </c>
    </row>
    <row r="176" spans="2:23" x14ac:dyDescent="0.3">
      <c r="B176">
        <v>13</v>
      </c>
      <c r="C176">
        <v>5</v>
      </c>
      <c r="D176">
        <v>550</v>
      </c>
      <c r="E176"/>
      <c r="I176" s="72">
        <f t="shared" si="30"/>
        <v>5.0207279551685462E-2</v>
      </c>
      <c r="K176" s="75">
        <f t="shared" si="25"/>
        <v>3.4294589857708649E-3</v>
      </c>
      <c r="P176" s="8">
        <v>5.7709516726075247E-4</v>
      </c>
      <c r="R176" s="73">
        <f t="shared" si="26"/>
        <v>3.9419068801963967E-5</v>
      </c>
      <c r="S176" s="71">
        <f t="shared" si="27"/>
        <v>3.999478164681544E-5</v>
      </c>
      <c r="T176" s="74">
        <f t="shared" si="28"/>
        <v>0.26094567345154923</v>
      </c>
      <c r="U176" s="75">
        <f t="shared" si="29"/>
        <v>1.7824158022646804E-2</v>
      </c>
      <c r="V176" s="60">
        <f>VLOOKUP(B176,metadata!$B$11:$BN$301,29,FALSE)*VLOOKUP(B176,metadata!$B$11:$BN$301,36,FALSE)*1000-T176</f>
        <v>14.379054326548451</v>
      </c>
      <c r="W176" s="76">
        <f t="shared" si="24"/>
        <v>0.98217584197735319</v>
      </c>
    </row>
    <row r="177" spans="2:23" x14ac:dyDescent="0.3">
      <c r="B177">
        <v>13</v>
      </c>
      <c r="C177">
        <v>5</v>
      </c>
      <c r="D177">
        <v>640</v>
      </c>
      <c r="E177"/>
      <c r="I177" s="72">
        <f t="shared" si="30"/>
        <v>5.2517851583560912E-2</v>
      </c>
      <c r="K177" s="75">
        <f t="shared" si="25"/>
        <v>3.5872849442323026E-3</v>
      </c>
      <c r="P177" s="8">
        <v>5.8353168426178794E-4</v>
      </c>
      <c r="R177" s="73">
        <f t="shared" si="26"/>
        <v>3.9858721602581145E-5</v>
      </c>
      <c r="S177" s="71">
        <f t="shared" si="27"/>
        <v>4.0582062701049612E-5</v>
      </c>
      <c r="T177" s="74">
        <f t="shared" si="28"/>
        <v>0.31346352503511016</v>
      </c>
      <c r="U177" s="75">
        <f t="shared" si="29"/>
        <v>2.1411442966879107E-2</v>
      </c>
      <c r="V177" s="60">
        <f>VLOOKUP(B177,metadata!$B$11:$BN$301,29,FALSE)*VLOOKUP(B177,metadata!$B$11:$BN$301,36,FALSE)*1000-T177</f>
        <v>14.32653647496489</v>
      </c>
      <c r="W177" s="76">
        <f t="shared" si="24"/>
        <v>0.97858855703312086</v>
      </c>
    </row>
    <row r="178" spans="2:23" x14ac:dyDescent="0.3">
      <c r="B178">
        <v>13</v>
      </c>
      <c r="C178">
        <v>5</v>
      </c>
      <c r="D178">
        <v>730</v>
      </c>
      <c r="E178"/>
      <c r="I178" s="72">
        <f t="shared" si="30"/>
        <v>5.2921736140180503E-2</v>
      </c>
      <c r="K178" s="75">
        <f t="shared" si="25"/>
        <v>3.6148726871707993E-3</v>
      </c>
      <c r="P178" s="8">
        <v>5.8801929044645005E-4</v>
      </c>
      <c r="R178" s="73">
        <f t="shared" si="26"/>
        <v>4.0165252079675546E-5</v>
      </c>
      <c r="S178" s="71">
        <f t="shared" si="27"/>
        <v>4.1044064730787708E-5</v>
      </c>
      <c r="T178" s="74">
        <f t="shared" si="28"/>
        <v>0.36638526117529069</v>
      </c>
      <c r="U178" s="75">
        <f t="shared" si="29"/>
        <v>2.5026315654049908E-2</v>
      </c>
      <c r="V178" s="60">
        <f>VLOOKUP(B178,metadata!$B$11:$BN$301,29,FALSE)*VLOOKUP(B178,metadata!$B$11:$BN$301,36,FALSE)*1000-T178</f>
        <v>14.27361473882471</v>
      </c>
      <c r="W178" s="76">
        <f t="shared" si="24"/>
        <v>0.97497368434595011</v>
      </c>
    </row>
    <row r="179" spans="2:23" x14ac:dyDescent="0.3">
      <c r="B179">
        <v>14</v>
      </c>
      <c r="C179">
        <v>5</v>
      </c>
      <c r="D179">
        <v>0</v>
      </c>
      <c r="E179"/>
      <c r="I179" s="72">
        <f t="shared" si="30"/>
        <v>0</v>
      </c>
      <c r="K179" s="75">
        <f t="shared" si="25"/>
        <v>0</v>
      </c>
      <c r="P179" s="8"/>
      <c r="R179" s="73">
        <f t="shared" si="26"/>
        <v>0</v>
      </c>
      <c r="S179" s="71">
        <f t="shared" si="27"/>
        <v>0</v>
      </c>
      <c r="T179" s="74">
        <f t="shared" si="28"/>
        <v>0</v>
      </c>
      <c r="U179" s="75">
        <f t="shared" si="29"/>
        <v>0</v>
      </c>
      <c r="V179" s="60">
        <f>VLOOKUP(B179,metadata!$B$11:$BN$301,29,FALSE)*VLOOKUP(B179,metadata!$B$11:$BN$301,36,FALSE)*1000-T179</f>
        <v>33.700000000000003</v>
      </c>
      <c r="W179" s="76">
        <f t="shared" si="24"/>
        <v>1</v>
      </c>
    </row>
    <row r="180" spans="2:23" x14ac:dyDescent="0.3">
      <c r="B180">
        <v>14</v>
      </c>
      <c r="C180">
        <v>5</v>
      </c>
      <c r="D180">
        <v>3</v>
      </c>
      <c r="E180"/>
      <c r="I180" s="72">
        <f t="shared" si="30"/>
        <v>2.4579840997861438E-2</v>
      </c>
      <c r="K180" s="75">
        <f t="shared" si="25"/>
        <v>7.2937213643505742E-4</v>
      </c>
      <c r="P180" s="8">
        <v>8.1932803326204787E-3</v>
      </c>
      <c r="R180" s="73">
        <f t="shared" si="26"/>
        <v>2.4312404547835247E-4</v>
      </c>
      <c r="S180" s="71">
        <f t="shared" si="27"/>
        <v>2.4312404547835247E-4</v>
      </c>
      <c r="T180" s="74">
        <f t="shared" si="28"/>
        <v>2.4579840997861438E-2</v>
      </c>
      <c r="U180" s="75">
        <f t="shared" si="29"/>
        <v>7.2937213643505742E-4</v>
      </c>
      <c r="V180" s="60">
        <f>VLOOKUP(B180,metadata!$B$11:$BN$301,29,FALSE)*VLOOKUP(B180,metadata!$B$11:$BN$301,36,FALSE)*1000-T180</f>
        <v>33.675420159002144</v>
      </c>
      <c r="W180" s="76">
        <f t="shared" si="24"/>
        <v>0.99927062786356491</v>
      </c>
    </row>
    <row r="181" spans="2:23" x14ac:dyDescent="0.3">
      <c r="B181">
        <v>14</v>
      </c>
      <c r="C181">
        <v>5</v>
      </c>
      <c r="D181">
        <v>9</v>
      </c>
      <c r="E181"/>
      <c r="I181" s="72">
        <f t="shared" si="30"/>
        <v>3.3402628456992427E-2</v>
      </c>
      <c r="K181" s="75">
        <f t="shared" si="25"/>
        <v>9.9117591860511641E-4</v>
      </c>
      <c r="P181" s="8">
        <v>5.5671047428320708E-3</v>
      </c>
      <c r="R181" s="73">
        <f t="shared" si="26"/>
        <v>1.6519598643418608E-4</v>
      </c>
      <c r="S181" s="71">
        <f t="shared" si="27"/>
        <v>1.6531656372946151E-4</v>
      </c>
      <c r="T181" s="74">
        <f t="shared" si="28"/>
        <v>5.7982469454853865E-2</v>
      </c>
      <c r="U181" s="75">
        <f t="shared" si="29"/>
        <v>1.7205480550401739E-3</v>
      </c>
      <c r="V181" s="60">
        <f>VLOOKUP(B181,metadata!$B$11:$BN$301,29,FALSE)*VLOOKUP(B181,metadata!$B$11:$BN$301,36,FALSE)*1000-T181</f>
        <v>33.642017530545147</v>
      </c>
      <c r="W181" s="76">
        <f t="shared" si="24"/>
        <v>0.99827945194495982</v>
      </c>
    </row>
    <row r="182" spans="2:23" x14ac:dyDescent="0.3">
      <c r="B182">
        <v>14</v>
      </c>
      <c r="C182">
        <v>5</v>
      </c>
      <c r="D182">
        <v>18</v>
      </c>
      <c r="E182"/>
      <c r="I182" s="72">
        <f t="shared" si="30"/>
        <v>2.4655033628243461E-2</v>
      </c>
      <c r="K182" s="75">
        <f t="shared" si="25"/>
        <v>7.3160337175796615E-4</v>
      </c>
      <c r="P182" s="8">
        <v>2.73944818091594E-3</v>
      </c>
      <c r="R182" s="73">
        <f t="shared" si="26"/>
        <v>8.1289263528662895E-5</v>
      </c>
      <c r="S182" s="71">
        <f t="shared" si="27"/>
        <v>8.1429366667105148E-5</v>
      </c>
      <c r="T182" s="74">
        <f t="shared" si="28"/>
        <v>8.2637503083097322E-2</v>
      </c>
      <c r="U182" s="75">
        <f t="shared" si="29"/>
        <v>2.4521514267981399E-3</v>
      </c>
      <c r="V182" s="60">
        <f>VLOOKUP(B182,metadata!$B$11:$BN$301,29,FALSE)*VLOOKUP(B182,metadata!$B$11:$BN$301,36,FALSE)*1000-T182</f>
        <v>33.617362496916904</v>
      </c>
      <c r="W182" s="76">
        <f t="shared" si="24"/>
        <v>0.99754784857320189</v>
      </c>
    </row>
    <row r="183" spans="2:23" x14ac:dyDescent="0.3">
      <c r="B183">
        <v>14</v>
      </c>
      <c r="C183">
        <v>5</v>
      </c>
      <c r="D183">
        <v>38</v>
      </c>
      <c r="E183"/>
      <c r="I183" s="72">
        <f t="shared" si="30"/>
        <v>2.664945039538166E-2</v>
      </c>
      <c r="K183" s="75">
        <f t="shared" si="25"/>
        <v>7.9078487820123612E-4</v>
      </c>
      <c r="P183" s="8">
        <v>1.3324725197690829E-3</v>
      </c>
      <c r="R183" s="73">
        <f t="shared" si="26"/>
        <v>3.9539243910061807E-5</v>
      </c>
      <c r="S183" s="71">
        <f t="shared" si="27"/>
        <v>3.9636438459182689E-5</v>
      </c>
      <c r="T183" s="74">
        <f t="shared" si="28"/>
        <v>0.10928695347847898</v>
      </c>
      <c r="U183" s="75">
        <f t="shared" si="29"/>
        <v>3.2429363049993761E-3</v>
      </c>
      <c r="V183" s="60">
        <f>VLOOKUP(B183,metadata!$B$11:$BN$301,29,FALSE)*VLOOKUP(B183,metadata!$B$11:$BN$301,36,FALSE)*1000-T183</f>
        <v>33.590713046521522</v>
      </c>
      <c r="W183" s="76">
        <f t="shared" si="24"/>
        <v>0.99675706369500061</v>
      </c>
    </row>
    <row r="184" spans="2:23" x14ac:dyDescent="0.3">
      <c r="B184">
        <v>14</v>
      </c>
      <c r="C184">
        <v>5</v>
      </c>
      <c r="D184">
        <v>94</v>
      </c>
      <c r="E184"/>
      <c r="I184" s="72">
        <f t="shared" si="30"/>
        <v>5.1550464244614506E-2</v>
      </c>
      <c r="K184" s="75">
        <f t="shared" si="25"/>
        <v>1.5296873663090357E-3</v>
      </c>
      <c r="P184" s="8">
        <v>9.2054400436811614E-4</v>
      </c>
      <c r="R184" s="73">
        <f t="shared" si="26"/>
        <v>2.7315845826947065E-5</v>
      </c>
      <c r="S184" s="71">
        <f t="shared" si="27"/>
        <v>2.740471758051718E-5</v>
      </c>
      <c r="T184" s="74">
        <f t="shared" si="28"/>
        <v>0.16083741772309348</v>
      </c>
      <c r="U184" s="75">
        <f t="shared" si="29"/>
        <v>4.7726236713084118E-3</v>
      </c>
      <c r="V184" s="60">
        <f>VLOOKUP(B184,metadata!$B$11:$BN$301,29,FALSE)*VLOOKUP(B184,metadata!$B$11:$BN$301,36,FALSE)*1000-T184</f>
        <v>33.539162582276909</v>
      </c>
      <c r="W184" s="76">
        <f t="shared" si="24"/>
        <v>0.99522737632869163</v>
      </c>
    </row>
    <row r="185" spans="2:23" x14ac:dyDescent="0.3">
      <c r="B185">
        <v>14</v>
      </c>
      <c r="C185">
        <v>5</v>
      </c>
      <c r="D185">
        <v>183</v>
      </c>
      <c r="E185"/>
      <c r="I185" s="72">
        <f t="shared" si="30"/>
        <v>4.8112890614732992E-2</v>
      </c>
      <c r="K185" s="75">
        <f t="shared" si="25"/>
        <v>1.4276822140870324E-3</v>
      </c>
      <c r="P185" s="8">
        <v>5.4059427657003362E-4</v>
      </c>
      <c r="R185" s="73">
        <f t="shared" si="26"/>
        <v>1.6041373191989126E-5</v>
      </c>
      <c r="S185" s="71">
        <f t="shared" si="27"/>
        <v>1.6118299771017529E-5</v>
      </c>
      <c r="T185" s="74">
        <f t="shared" si="28"/>
        <v>0.20895030833782646</v>
      </c>
      <c r="U185" s="75">
        <f t="shared" si="29"/>
        <v>6.2003058853954433E-3</v>
      </c>
      <c r="V185" s="60">
        <f>VLOOKUP(B185,metadata!$B$11:$BN$301,29,FALSE)*VLOOKUP(B185,metadata!$B$11:$BN$301,36,FALSE)*1000-T185</f>
        <v>33.491049691662177</v>
      </c>
      <c r="W185" s="76">
        <f t="shared" si="24"/>
        <v>0.99379969411460456</v>
      </c>
    </row>
    <row r="186" spans="2:23" x14ac:dyDescent="0.3">
      <c r="B186">
        <v>14</v>
      </c>
      <c r="C186">
        <v>5</v>
      </c>
      <c r="D186">
        <v>276</v>
      </c>
      <c r="E186"/>
      <c r="I186" s="72">
        <f t="shared" si="30"/>
        <v>2.8213782981599864E-2</v>
      </c>
      <c r="K186" s="75">
        <f t="shared" si="25"/>
        <v>8.372042427774439E-4</v>
      </c>
      <c r="P186" s="8">
        <v>3.0337401055483725E-4</v>
      </c>
      <c r="R186" s="73">
        <f t="shared" si="26"/>
        <v>9.0021961588972474E-6</v>
      </c>
      <c r="S186" s="71">
        <f t="shared" si="27"/>
        <v>9.0583607664696244E-6</v>
      </c>
      <c r="T186" s="74">
        <f t="shared" si="28"/>
        <v>0.23716409131942634</v>
      </c>
      <c r="U186" s="75">
        <f t="shared" si="29"/>
        <v>7.0375101281728875E-3</v>
      </c>
      <c r="V186" s="60">
        <f>VLOOKUP(B186,metadata!$B$11:$BN$301,29,FALSE)*VLOOKUP(B186,metadata!$B$11:$BN$301,36,FALSE)*1000-T186</f>
        <v>33.462835908680574</v>
      </c>
      <c r="W186" s="76">
        <f t="shared" si="24"/>
        <v>0.99296248987182711</v>
      </c>
    </row>
    <row r="187" spans="2:23" x14ac:dyDescent="0.3">
      <c r="B187">
        <v>14</v>
      </c>
      <c r="C187">
        <v>5</v>
      </c>
      <c r="D187">
        <v>365</v>
      </c>
      <c r="E187"/>
      <c r="I187" s="72">
        <f t="shared" si="30"/>
        <v>2.8932383097866051E-2</v>
      </c>
      <c r="K187" s="75">
        <f t="shared" si="25"/>
        <v>8.5852768836397768E-4</v>
      </c>
      <c r="P187" s="8">
        <v>3.2508295615579834E-4</v>
      </c>
      <c r="R187" s="73">
        <f t="shared" si="26"/>
        <v>9.6463785209435698E-6</v>
      </c>
      <c r="S187" s="71">
        <f t="shared" si="27"/>
        <v>9.7147461453339871E-6</v>
      </c>
      <c r="T187" s="74">
        <f t="shared" si="28"/>
        <v>0.26609647441729239</v>
      </c>
      <c r="U187" s="75">
        <f t="shared" si="29"/>
        <v>7.8960378165368657E-3</v>
      </c>
      <c r="V187" s="60">
        <f>VLOOKUP(B187,metadata!$B$11:$BN$301,29,FALSE)*VLOOKUP(B187,metadata!$B$11:$BN$301,36,FALSE)*1000-T187</f>
        <v>33.433903525582707</v>
      </c>
      <c r="W187" s="76">
        <f t="shared" si="24"/>
        <v>0.99210396218346308</v>
      </c>
    </row>
    <row r="188" spans="2:23" x14ac:dyDescent="0.3">
      <c r="B188">
        <v>14</v>
      </c>
      <c r="C188">
        <v>5</v>
      </c>
      <c r="D188">
        <v>498</v>
      </c>
      <c r="E188"/>
      <c r="I188" s="72">
        <f t="shared" si="30"/>
        <v>3.6300216133822547E-2</v>
      </c>
      <c r="K188" s="75">
        <f t="shared" si="25"/>
        <v>1.077157748778117E-3</v>
      </c>
      <c r="P188" s="8">
        <v>2.7293395589340262E-4</v>
      </c>
      <c r="R188" s="73">
        <f t="shared" si="26"/>
        <v>8.0989304419407295E-6</v>
      </c>
      <c r="S188" s="71">
        <f t="shared" si="27"/>
        <v>8.163388869162736E-6</v>
      </c>
      <c r="T188" s="74">
        <f t="shared" si="28"/>
        <v>0.30239669055111495</v>
      </c>
      <c r="U188" s="75">
        <f t="shared" si="29"/>
        <v>8.9731955653149838E-3</v>
      </c>
      <c r="V188" s="60">
        <f>VLOOKUP(B188,metadata!$B$11:$BN$301,29,FALSE)*VLOOKUP(B188,metadata!$B$11:$BN$301,36,FALSE)*1000-T188</f>
        <v>33.39760330944889</v>
      </c>
      <c r="W188" s="76">
        <f t="shared" si="24"/>
        <v>0.99102680443468505</v>
      </c>
    </row>
    <row r="189" spans="2:23" x14ac:dyDescent="0.3">
      <c r="B189">
        <v>14</v>
      </c>
      <c r="C189">
        <v>5</v>
      </c>
      <c r="D189">
        <v>550</v>
      </c>
      <c r="E189"/>
      <c r="I189" s="72">
        <f t="shared" si="30"/>
        <v>1.1427797811093017E-2</v>
      </c>
      <c r="K189" s="75">
        <f t="shared" si="25"/>
        <v>3.3910379261403609E-4</v>
      </c>
      <c r="P189" s="8">
        <v>2.1976534252101957E-4</v>
      </c>
      <c r="R189" s="73">
        <f t="shared" si="26"/>
        <v>6.5212267810391558E-6</v>
      </c>
      <c r="S189" s="71">
        <f t="shared" si="27"/>
        <v>6.5802728562514334E-6</v>
      </c>
      <c r="T189" s="74">
        <f t="shared" si="28"/>
        <v>0.313824488362208</v>
      </c>
      <c r="U189" s="75">
        <f t="shared" si="29"/>
        <v>9.3122993579290193E-3</v>
      </c>
      <c r="V189" s="60">
        <f>VLOOKUP(B189,metadata!$B$11:$BN$301,29,FALSE)*VLOOKUP(B189,metadata!$B$11:$BN$301,36,FALSE)*1000-T189</f>
        <v>33.386175511637795</v>
      </c>
      <c r="W189" s="76">
        <f t="shared" si="24"/>
        <v>0.99068770064207101</v>
      </c>
    </row>
    <row r="190" spans="2:23" x14ac:dyDescent="0.3">
      <c r="B190">
        <v>14</v>
      </c>
      <c r="C190">
        <v>5</v>
      </c>
      <c r="D190">
        <v>671</v>
      </c>
      <c r="E190"/>
      <c r="I190" s="72">
        <f t="shared" si="30"/>
        <v>2.4420307515448939E-2</v>
      </c>
      <c r="K190" s="75">
        <f t="shared" si="25"/>
        <v>7.246382052061999E-4</v>
      </c>
      <c r="P190" s="8">
        <v>2.0182072326817304E-4</v>
      </c>
      <c r="R190" s="73">
        <f t="shared" si="26"/>
        <v>5.9887454975718998E-6</v>
      </c>
      <c r="S190" s="71">
        <f t="shared" si="27"/>
        <v>6.0450387076477842E-6</v>
      </c>
      <c r="T190" s="74">
        <f t="shared" si="28"/>
        <v>0.33824479587765693</v>
      </c>
      <c r="U190" s="75">
        <f t="shared" si="29"/>
        <v>1.003693756313522E-2</v>
      </c>
      <c r="V190" s="60">
        <f>VLOOKUP(B190,metadata!$B$11:$BN$301,29,FALSE)*VLOOKUP(B190,metadata!$B$11:$BN$301,36,FALSE)*1000-T190</f>
        <v>33.361755204122346</v>
      </c>
      <c r="W190" s="76">
        <f t="shared" si="24"/>
        <v>0.98996306243686483</v>
      </c>
    </row>
    <row r="191" spans="2:23" x14ac:dyDescent="0.3">
      <c r="B191">
        <v>14</v>
      </c>
      <c r="C191">
        <v>5</v>
      </c>
      <c r="D191">
        <v>730</v>
      </c>
      <c r="E191"/>
      <c r="I191" s="72">
        <f t="shared" si="30"/>
        <v>1.4400711460913361E-2</v>
      </c>
      <c r="K191" s="75">
        <f t="shared" si="25"/>
        <v>4.2732081486389795E-4</v>
      </c>
      <c r="P191" s="8">
        <v>2.44079855269718E-4</v>
      </c>
      <c r="R191" s="73">
        <f t="shared" si="26"/>
        <v>7.2427256756592874E-6</v>
      </c>
      <c r="S191" s="71">
        <f t="shared" si="27"/>
        <v>7.3161574916045863E-6</v>
      </c>
      <c r="T191" s="74">
        <f t="shared" si="28"/>
        <v>0.35264550733857031</v>
      </c>
      <c r="U191" s="75">
        <f t="shared" si="29"/>
        <v>1.0464258377999119E-2</v>
      </c>
      <c r="V191" s="60">
        <f>VLOOKUP(B191,metadata!$B$11:$BN$301,29,FALSE)*VLOOKUP(B191,metadata!$B$11:$BN$301,36,FALSE)*1000-T191</f>
        <v>33.347354492661431</v>
      </c>
      <c r="W191" s="76">
        <f t="shared" si="24"/>
        <v>0.98953574162200086</v>
      </c>
    </row>
    <row r="192" spans="2:23" x14ac:dyDescent="0.3">
      <c r="B192">
        <v>15</v>
      </c>
      <c r="C192">
        <v>5</v>
      </c>
      <c r="D192">
        <v>0</v>
      </c>
      <c r="E192"/>
      <c r="I192" s="72">
        <f t="shared" si="30"/>
        <v>0</v>
      </c>
      <c r="K192" s="75">
        <f t="shared" si="25"/>
        <v>0</v>
      </c>
      <c r="P192" s="8"/>
      <c r="R192" s="73">
        <f t="shared" si="26"/>
        <v>0</v>
      </c>
      <c r="S192" s="71">
        <f t="shared" si="27"/>
        <v>0</v>
      </c>
      <c r="T192" s="74">
        <f t="shared" si="28"/>
        <v>0</v>
      </c>
      <c r="U192" s="75">
        <f t="shared" si="29"/>
        <v>0</v>
      </c>
      <c r="V192" s="60">
        <f>VLOOKUP(B192,metadata!$B$11:$BN$301,29,FALSE)*VLOOKUP(B192,metadata!$B$11:$BN$301,36,FALSE)*1000-T192</f>
        <v>33.700000000000003</v>
      </c>
      <c r="W192" s="76">
        <f t="shared" si="24"/>
        <v>1</v>
      </c>
    </row>
    <row r="193" spans="2:23" x14ac:dyDescent="0.3">
      <c r="B193">
        <v>15</v>
      </c>
      <c r="C193">
        <v>5</v>
      </c>
      <c r="D193">
        <v>2</v>
      </c>
      <c r="E193"/>
      <c r="I193" s="72">
        <f t="shared" si="30"/>
        <v>4.5863969347502941E-2</v>
      </c>
      <c r="K193" s="75">
        <f t="shared" si="25"/>
        <v>1.3609486453264967E-3</v>
      </c>
      <c r="P193" s="8">
        <v>2.293198467375147E-2</v>
      </c>
      <c r="R193" s="73">
        <f t="shared" si="26"/>
        <v>6.8047432266324836E-4</v>
      </c>
      <c r="S193" s="71">
        <f t="shared" si="27"/>
        <v>6.8047432266324836E-4</v>
      </c>
      <c r="T193" s="74">
        <f t="shared" si="28"/>
        <v>4.5863969347502941E-2</v>
      </c>
      <c r="U193" s="75">
        <f t="shared" si="29"/>
        <v>1.3609486453264967E-3</v>
      </c>
      <c r="V193" s="60">
        <f>VLOOKUP(B193,metadata!$B$11:$BN$301,29,FALSE)*VLOOKUP(B193,metadata!$B$11:$BN$301,36,FALSE)*1000-T193</f>
        <v>33.654136030652502</v>
      </c>
      <c r="W193" s="76">
        <f t="shared" si="24"/>
        <v>0.99863905135467346</v>
      </c>
    </row>
    <row r="194" spans="2:23" x14ac:dyDescent="0.3">
      <c r="B194">
        <v>15</v>
      </c>
      <c r="C194">
        <v>5</v>
      </c>
      <c r="D194">
        <v>4</v>
      </c>
      <c r="E194"/>
      <c r="I194" s="72">
        <f t="shared" si="30"/>
        <v>2.3829015999959239E-2</v>
      </c>
      <c r="K194" s="75">
        <f t="shared" si="25"/>
        <v>7.0709246290680228E-4</v>
      </c>
      <c r="P194" s="8">
        <v>1.1914507999979619E-2</v>
      </c>
      <c r="R194" s="73">
        <f t="shared" si="26"/>
        <v>3.5354623145340114E-4</v>
      </c>
      <c r="S194" s="71">
        <f t="shared" si="27"/>
        <v>3.5402804544225336E-4</v>
      </c>
      <c r="T194" s="74">
        <f t="shared" si="28"/>
        <v>6.9692985347462183E-2</v>
      </c>
      <c r="U194" s="75">
        <f t="shared" si="29"/>
        <v>2.0680411082332991E-3</v>
      </c>
      <c r="V194" s="60">
        <f>VLOOKUP(B194,metadata!$B$11:$BN$301,29,FALSE)*VLOOKUP(B194,metadata!$B$11:$BN$301,36,FALSE)*1000-T194</f>
        <v>33.630307014652537</v>
      </c>
      <c r="W194" s="76">
        <f t="shared" si="24"/>
        <v>0.99793195889176667</v>
      </c>
    </row>
    <row r="195" spans="2:23" x14ac:dyDescent="0.3">
      <c r="B195">
        <v>15</v>
      </c>
      <c r="C195">
        <v>5</v>
      </c>
      <c r="D195">
        <v>8</v>
      </c>
      <c r="E195"/>
      <c r="I195" s="72">
        <f t="shared" si="30"/>
        <v>4.3830974275492179E-2</v>
      </c>
      <c r="K195" s="75">
        <f t="shared" si="25"/>
        <v>1.3006223820620825E-3</v>
      </c>
      <c r="P195" s="8">
        <v>1.0957743568873045E-2</v>
      </c>
      <c r="R195" s="73">
        <f t="shared" si="26"/>
        <v>3.2515559551552062E-4</v>
      </c>
      <c r="S195" s="71">
        <f t="shared" si="27"/>
        <v>3.2582942415895332E-4</v>
      </c>
      <c r="T195" s="74">
        <f t="shared" si="28"/>
        <v>0.11352395962295436</v>
      </c>
      <c r="U195" s="75">
        <f t="shared" si="29"/>
        <v>3.3686634902953816E-3</v>
      </c>
      <c r="V195" s="60">
        <f>VLOOKUP(B195,metadata!$B$11:$BN$301,29,FALSE)*VLOOKUP(B195,metadata!$B$11:$BN$301,36,FALSE)*1000-T195</f>
        <v>33.58647604037705</v>
      </c>
      <c r="W195" s="76">
        <f t="shared" si="24"/>
        <v>0.99663133650970459</v>
      </c>
    </row>
    <row r="196" spans="2:23" x14ac:dyDescent="0.3">
      <c r="B196">
        <v>15</v>
      </c>
      <c r="C196">
        <v>5</v>
      </c>
      <c r="D196">
        <v>16</v>
      </c>
      <c r="E196"/>
      <c r="I196" s="72">
        <f t="shared" si="30"/>
        <v>3.7243801847408727E-2</v>
      </c>
      <c r="K196" s="75">
        <f t="shared" si="25"/>
        <v>1.1051573248489236E-3</v>
      </c>
      <c r="P196" s="8">
        <v>4.6554752309260908E-3</v>
      </c>
      <c r="R196" s="73">
        <f t="shared" si="26"/>
        <v>1.3814466560611546E-4</v>
      </c>
      <c r="S196" s="71">
        <f t="shared" si="27"/>
        <v>1.3861160144724213E-4</v>
      </c>
      <c r="T196" s="74">
        <f t="shared" si="28"/>
        <v>0.15076776147036308</v>
      </c>
      <c r="U196" s="75">
        <f t="shared" si="29"/>
        <v>4.4738208151443044E-3</v>
      </c>
      <c r="V196" s="60">
        <f>VLOOKUP(B196,metadata!$B$11:$BN$301,29,FALSE)*VLOOKUP(B196,metadata!$B$11:$BN$301,36,FALSE)*1000-T196</f>
        <v>33.54923223852964</v>
      </c>
      <c r="W196" s="76">
        <f t="shared" si="24"/>
        <v>0.99552617918485564</v>
      </c>
    </row>
    <row r="197" spans="2:23" x14ac:dyDescent="0.3">
      <c r="B197">
        <v>15</v>
      </c>
      <c r="C197">
        <v>5</v>
      </c>
      <c r="D197">
        <v>30</v>
      </c>
      <c r="E197"/>
      <c r="I197" s="72">
        <f t="shared" si="30"/>
        <v>2.6447068590741054E-2</v>
      </c>
      <c r="K197" s="75">
        <f t="shared" si="25"/>
        <v>7.8477948340477898E-4</v>
      </c>
      <c r="P197" s="8">
        <v>1.8890763279100753E-3</v>
      </c>
      <c r="R197" s="73">
        <f t="shared" si="26"/>
        <v>5.6055677386055645E-5</v>
      </c>
      <c r="S197" s="71">
        <f t="shared" si="27"/>
        <v>5.6307587442807832E-5</v>
      </c>
      <c r="T197" s="74">
        <f t="shared" si="28"/>
        <v>0.17721483006110414</v>
      </c>
      <c r="U197" s="75">
        <f t="shared" si="29"/>
        <v>5.2586002985490835E-3</v>
      </c>
      <c r="V197" s="60">
        <f>VLOOKUP(B197,metadata!$B$11:$BN$301,29,FALSE)*VLOOKUP(B197,metadata!$B$11:$BN$301,36,FALSE)*1000-T197</f>
        <v>33.522785169938899</v>
      </c>
      <c r="W197" s="76">
        <f t="shared" si="24"/>
        <v>0.99474139970145092</v>
      </c>
    </row>
    <row r="198" spans="2:23" x14ac:dyDescent="0.3">
      <c r="B198">
        <v>15</v>
      </c>
      <c r="C198">
        <v>5</v>
      </c>
      <c r="D198">
        <v>51</v>
      </c>
      <c r="E198"/>
      <c r="I198" s="72">
        <f t="shared" si="30"/>
        <v>2.6662415235549783E-2</v>
      </c>
      <c r="K198" s="75">
        <f t="shared" si="25"/>
        <v>7.9116959155934067E-4</v>
      </c>
      <c r="P198" s="8">
        <v>1.2696388207404658E-3</v>
      </c>
      <c r="R198" s="73">
        <f t="shared" si="26"/>
        <v>3.7674742455206695E-5</v>
      </c>
      <c r="S198" s="71">
        <f t="shared" si="27"/>
        <v>3.7873906189602558E-5</v>
      </c>
      <c r="T198" s="74">
        <f t="shared" si="28"/>
        <v>0.20387724529665391</v>
      </c>
      <c r="U198" s="75">
        <f t="shared" si="29"/>
        <v>6.0497698901084244E-3</v>
      </c>
      <c r="V198" s="60">
        <f>VLOOKUP(B198,metadata!$B$11:$BN$301,29,FALSE)*VLOOKUP(B198,metadata!$B$11:$BN$301,36,FALSE)*1000-T198</f>
        <v>33.49612275470335</v>
      </c>
      <c r="W198" s="76">
        <f t="shared" si="24"/>
        <v>0.99395023010989159</v>
      </c>
    </row>
    <row r="199" spans="2:23" x14ac:dyDescent="0.3">
      <c r="B199">
        <v>15</v>
      </c>
      <c r="C199">
        <v>5</v>
      </c>
      <c r="D199">
        <v>80</v>
      </c>
      <c r="E199"/>
      <c r="I199" s="72">
        <f t="shared" si="30"/>
        <v>2.9450473909055398E-2</v>
      </c>
      <c r="K199" s="75">
        <f t="shared" si="25"/>
        <v>8.7390130293932928E-4</v>
      </c>
      <c r="P199" s="8">
        <v>1.0155335830708758E-3</v>
      </c>
      <c r="R199" s="73">
        <f t="shared" si="26"/>
        <v>3.0134527687563076E-5</v>
      </c>
      <c r="S199" s="71">
        <f t="shared" si="27"/>
        <v>3.0317944273961674E-5</v>
      </c>
      <c r="T199" s="74">
        <f t="shared" si="28"/>
        <v>0.2333277192057093</v>
      </c>
      <c r="U199" s="75">
        <f t="shared" si="29"/>
        <v>6.9236711930477533E-3</v>
      </c>
      <c r="V199" s="60">
        <f>VLOOKUP(B199,metadata!$B$11:$BN$301,29,FALSE)*VLOOKUP(B199,metadata!$B$11:$BN$301,36,FALSE)*1000-T199</f>
        <v>33.466672280794292</v>
      </c>
      <c r="W199" s="76">
        <f t="shared" si="24"/>
        <v>0.99307632880695229</v>
      </c>
    </row>
    <row r="200" spans="2:23" x14ac:dyDescent="0.3">
      <c r="B200">
        <v>15</v>
      </c>
      <c r="C200">
        <v>5</v>
      </c>
      <c r="D200">
        <v>183</v>
      </c>
      <c r="E200"/>
      <c r="I200" s="72">
        <f t="shared" si="30"/>
        <v>4.2777996701371966E-2</v>
      </c>
      <c r="K200" s="75">
        <f t="shared" si="25"/>
        <v>1.2693767567172689E-3</v>
      </c>
      <c r="P200" s="8">
        <v>4.1532035632399966E-4</v>
      </c>
      <c r="R200" s="73">
        <f t="shared" si="26"/>
        <v>1.2324046181721058E-5</v>
      </c>
      <c r="S200" s="71">
        <f t="shared" si="27"/>
        <v>1.2409968724686796E-5</v>
      </c>
      <c r="T200" s="74">
        <f t="shared" si="28"/>
        <v>0.27610571590708127</v>
      </c>
      <c r="U200" s="75">
        <f t="shared" si="29"/>
        <v>8.193047949765022E-3</v>
      </c>
      <c r="V200" s="60">
        <f>VLOOKUP(B200,metadata!$B$11:$BN$301,29,FALSE)*VLOOKUP(B200,metadata!$B$11:$BN$301,36,FALSE)*1000-T200</f>
        <v>33.423894284092924</v>
      </c>
      <c r="W200" s="76">
        <f t="shared" si="24"/>
        <v>0.99180695205023495</v>
      </c>
    </row>
    <row r="201" spans="2:23" x14ac:dyDescent="0.3">
      <c r="B201">
        <v>15</v>
      </c>
      <c r="C201">
        <v>5</v>
      </c>
      <c r="D201">
        <v>246</v>
      </c>
      <c r="E201"/>
      <c r="I201" s="72">
        <f t="shared" si="30"/>
        <v>1.9016708112121406E-2</v>
      </c>
      <c r="K201" s="75">
        <f t="shared" si="25"/>
        <v>5.642940092617627E-4</v>
      </c>
      <c r="P201" s="8">
        <v>3.0185250971621278E-4</v>
      </c>
      <c r="R201" s="73">
        <f t="shared" si="26"/>
        <v>8.9570477660597258E-6</v>
      </c>
      <c r="S201" s="71">
        <f t="shared" si="27"/>
        <v>9.0310395057666936E-6</v>
      </c>
      <c r="T201" s="74">
        <f t="shared" si="28"/>
        <v>0.29512242401920269</v>
      </c>
      <c r="U201" s="75">
        <f t="shared" si="29"/>
        <v>8.7573419590267852E-3</v>
      </c>
      <c r="V201" s="60">
        <f>VLOOKUP(B201,metadata!$B$11:$BN$301,29,FALSE)*VLOOKUP(B201,metadata!$B$11:$BN$301,36,FALSE)*1000-T201</f>
        <v>33.404877575980798</v>
      </c>
      <c r="W201" s="76">
        <f t="shared" si="24"/>
        <v>0.99124265804097322</v>
      </c>
    </row>
    <row r="202" spans="2:23" x14ac:dyDescent="0.3">
      <c r="B202">
        <v>15</v>
      </c>
      <c r="C202">
        <v>5</v>
      </c>
      <c r="D202">
        <v>313</v>
      </c>
      <c r="E202"/>
      <c r="I202" s="72">
        <f t="shared" si="30"/>
        <v>3.1773678065793107E-2</v>
      </c>
      <c r="K202" s="75">
        <f t="shared" si="25"/>
        <v>9.4283911174460251E-4</v>
      </c>
      <c r="P202" s="8">
        <v>4.7423400098198671E-4</v>
      </c>
      <c r="R202" s="73">
        <f t="shared" si="26"/>
        <v>1.4072225548426903E-5</v>
      </c>
      <c r="S202" s="71">
        <f t="shared" si="27"/>
        <v>1.4196549587805599E-5</v>
      </c>
      <c r="T202" s="74">
        <f t="shared" si="28"/>
        <v>0.32689610208499581</v>
      </c>
      <c r="U202" s="75">
        <f t="shared" si="29"/>
        <v>9.7001810707713874E-3</v>
      </c>
      <c r="V202" s="60">
        <f>VLOOKUP(B202,metadata!$B$11:$BN$301,29,FALSE)*VLOOKUP(B202,metadata!$B$11:$BN$301,36,FALSE)*1000-T202</f>
        <v>33.373103897915009</v>
      </c>
      <c r="W202" s="76">
        <f t="shared" si="24"/>
        <v>0.99029981892922858</v>
      </c>
    </row>
    <row r="203" spans="2:23" x14ac:dyDescent="0.3">
      <c r="B203">
        <v>15</v>
      </c>
      <c r="C203">
        <v>5</v>
      </c>
      <c r="D203">
        <v>365</v>
      </c>
      <c r="E203"/>
      <c r="I203" s="72">
        <f t="shared" si="30"/>
        <v>3.0069685800599901E-2</v>
      </c>
      <c r="K203" s="75">
        <f t="shared" si="25"/>
        <v>8.9227554304450736E-4</v>
      </c>
      <c r="P203" s="8">
        <v>5.7826318847307501E-4</v>
      </c>
      <c r="R203" s="73">
        <f t="shared" si="26"/>
        <v>1.7159145058548218E-5</v>
      </c>
      <c r="S203" s="71">
        <f t="shared" si="27"/>
        <v>1.7327222251844609E-5</v>
      </c>
      <c r="T203" s="74">
        <f t="shared" si="28"/>
        <v>0.35696578788559569</v>
      </c>
      <c r="U203" s="75">
        <f t="shared" si="29"/>
        <v>1.0592456613815894E-2</v>
      </c>
      <c r="V203" s="60">
        <f>VLOOKUP(B203,metadata!$B$11:$BN$301,29,FALSE)*VLOOKUP(B203,metadata!$B$11:$BN$301,36,FALSE)*1000-T203</f>
        <v>33.343034212114404</v>
      </c>
      <c r="W203" s="76">
        <f t="shared" si="24"/>
        <v>0.98940754338618409</v>
      </c>
    </row>
    <row r="204" spans="2:23" x14ac:dyDescent="0.3">
      <c r="B204">
        <v>15</v>
      </c>
      <c r="C204">
        <v>5</v>
      </c>
      <c r="D204">
        <v>428</v>
      </c>
      <c r="E204"/>
      <c r="I204" s="72">
        <f t="shared" si="30"/>
        <v>4.2811964348388569E-2</v>
      </c>
      <c r="K204" s="75">
        <f t="shared" si="25"/>
        <v>1.2703846987652393E-3</v>
      </c>
      <c r="P204" s="8">
        <v>6.7955498965696138E-4</v>
      </c>
      <c r="R204" s="73">
        <f t="shared" si="26"/>
        <v>2.0164836488337133E-5</v>
      </c>
      <c r="S204" s="71">
        <f t="shared" si="27"/>
        <v>2.038071836335942E-5</v>
      </c>
      <c r="T204" s="74">
        <f t="shared" si="28"/>
        <v>0.39977775223398426</v>
      </c>
      <c r="U204" s="75">
        <f t="shared" si="29"/>
        <v>1.1862841312581134E-2</v>
      </c>
      <c r="V204" s="60">
        <f>VLOOKUP(B204,metadata!$B$11:$BN$301,29,FALSE)*VLOOKUP(B204,metadata!$B$11:$BN$301,36,FALSE)*1000-T204</f>
        <v>33.300222247766015</v>
      </c>
      <c r="W204" s="76">
        <f t="shared" si="24"/>
        <v>0.98813715868741892</v>
      </c>
    </row>
    <row r="205" spans="2:23" x14ac:dyDescent="0.3">
      <c r="B205">
        <v>15</v>
      </c>
      <c r="C205">
        <v>5</v>
      </c>
      <c r="D205">
        <v>469</v>
      </c>
      <c r="E205"/>
      <c r="I205" s="72">
        <f t="shared" si="30"/>
        <v>3.5788385270734371E-2</v>
      </c>
      <c r="K205" s="75">
        <f t="shared" si="25"/>
        <v>1.0619698893392987E-3</v>
      </c>
      <c r="P205" s="8">
        <v>8.7288744562766761E-4</v>
      </c>
      <c r="R205" s="73">
        <f t="shared" si="26"/>
        <v>2.5901704618031678E-5</v>
      </c>
      <c r="S205" s="71">
        <f t="shared" si="27"/>
        <v>2.6212661258926771E-5</v>
      </c>
      <c r="T205" s="74">
        <f t="shared" si="28"/>
        <v>0.43556613750471862</v>
      </c>
      <c r="U205" s="75">
        <f t="shared" si="29"/>
        <v>1.2924811201920433E-2</v>
      </c>
      <c r="V205" s="60">
        <f>VLOOKUP(B205,metadata!$B$11:$BN$301,29,FALSE)*VLOOKUP(B205,metadata!$B$11:$BN$301,36,FALSE)*1000-T205</f>
        <v>33.264433862495281</v>
      </c>
      <c r="W205" s="76">
        <f t="shared" si="24"/>
        <v>0.98707518879807954</v>
      </c>
    </row>
    <row r="206" spans="2:23" x14ac:dyDescent="0.3">
      <c r="B206">
        <v>15</v>
      </c>
      <c r="C206">
        <v>5</v>
      </c>
      <c r="D206">
        <v>550</v>
      </c>
      <c r="E206"/>
      <c r="I206" s="72">
        <f t="shared" si="30"/>
        <v>5.1310691059503442E-2</v>
      </c>
      <c r="K206" s="75">
        <f t="shared" si="25"/>
        <v>1.5225724350001019E-3</v>
      </c>
      <c r="P206" s="8">
        <v>6.3346532172226476E-4</v>
      </c>
      <c r="R206" s="73">
        <f t="shared" si="26"/>
        <v>1.8797190555556817E-5</v>
      </c>
      <c r="S206" s="71">
        <f t="shared" si="27"/>
        <v>1.9043321895716351E-5</v>
      </c>
      <c r="T206" s="74">
        <f t="shared" si="28"/>
        <v>0.48687682856422204</v>
      </c>
      <c r="U206" s="75">
        <f t="shared" si="29"/>
        <v>1.4447383636920535E-2</v>
      </c>
      <c r="V206" s="60">
        <f>VLOOKUP(B206,metadata!$B$11:$BN$301,29,FALSE)*VLOOKUP(B206,metadata!$B$11:$BN$301,36,FALSE)*1000-T206</f>
        <v>33.213123171435782</v>
      </c>
      <c r="W206" s="76">
        <f t="shared" si="24"/>
        <v>0.98555261636307945</v>
      </c>
    </row>
    <row r="207" spans="2:23" x14ac:dyDescent="0.3">
      <c r="B207">
        <v>15</v>
      </c>
      <c r="C207">
        <v>5</v>
      </c>
      <c r="D207">
        <v>659</v>
      </c>
      <c r="E207"/>
      <c r="I207" s="72">
        <f t="shared" si="30"/>
        <v>0.18815158700273221</v>
      </c>
      <c r="K207" s="75">
        <f t="shared" si="25"/>
        <v>5.5831331454816672E-3</v>
      </c>
      <c r="P207" s="8">
        <v>1.7261613486489193E-3</v>
      </c>
      <c r="R207" s="73">
        <f t="shared" si="26"/>
        <v>5.1221405004418968E-5</v>
      </c>
      <c r="S207" s="71">
        <f t="shared" si="27"/>
        <v>5.1972268303074449E-5</v>
      </c>
      <c r="T207" s="74">
        <f t="shared" si="28"/>
        <v>0.67502841556695425</v>
      </c>
      <c r="U207" s="75">
        <f t="shared" si="29"/>
        <v>2.00305167824022E-2</v>
      </c>
      <c r="V207" s="60">
        <f>VLOOKUP(B207,metadata!$B$11:$BN$301,29,FALSE)*VLOOKUP(B207,metadata!$B$11:$BN$301,36,FALSE)*1000-T207</f>
        <v>33.024971584433047</v>
      </c>
      <c r="W207" s="76">
        <f t="shared" si="24"/>
        <v>0.9799694832175978</v>
      </c>
    </row>
    <row r="208" spans="2:23" x14ac:dyDescent="0.3">
      <c r="B208">
        <v>15</v>
      </c>
      <c r="C208">
        <v>5</v>
      </c>
      <c r="D208">
        <v>730</v>
      </c>
      <c r="E208"/>
      <c r="I208" s="72">
        <f t="shared" si="30"/>
        <v>5.7350277100621676E-2</v>
      </c>
      <c r="K208" s="75">
        <f t="shared" si="25"/>
        <v>1.7017886380006431E-3</v>
      </c>
      <c r="P208" s="8">
        <v>8.0775038169889686E-4</v>
      </c>
      <c r="R208" s="73">
        <f t="shared" si="26"/>
        <v>2.3968854056347086E-5</v>
      </c>
      <c r="S208" s="71">
        <f t="shared" si="27"/>
        <v>2.4458775979072924E-5</v>
      </c>
      <c r="T208" s="74">
        <f t="shared" si="28"/>
        <v>0.73237869266757594</v>
      </c>
      <c r="U208" s="75">
        <f t="shared" si="29"/>
        <v>2.1732305420402845E-2</v>
      </c>
      <c r="V208" s="60">
        <f>VLOOKUP(B208,metadata!$B$11:$BN$301,29,FALSE)*VLOOKUP(B208,metadata!$B$11:$BN$301,36,FALSE)*1000-T208</f>
        <v>32.967621307332429</v>
      </c>
      <c r="W208" s="76">
        <f t="shared" si="24"/>
        <v>0.97826769457959717</v>
      </c>
    </row>
    <row r="209" spans="2:23" x14ac:dyDescent="0.3">
      <c r="B209">
        <v>16</v>
      </c>
      <c r="C209">
        <v>5</v>
      </c>
      <c r="D209">
        <v>0</v>
      </c>
      <c r="E209"/>
      <c r="I209" s="72">
        <f t="shared" si="30"/>
        <v>0</v>
      </c>
      <c r="K209" s="75">
        <f t="shared" si="25"/>
        <v>0</v>
      </c>
      <c r="P209" s="8"/>
      <c r="R209" s="73">
        <f t="shared" si="26"/>
        <v>0</v>
      </c>
      <c r="S209" s="71">
        <f t="shared" si="27"/>
        <v>0</v>
      </c>
      <c r="T209" s="74">
        <f t="shared" si="28"/>
        <v>0</v>
      </c>
      <c r="U209" s="75">
        <f t="shared" si="29"/>
        <v>0</v>
      </c>
      <c r="V209" s="60">
        <f>VLOOKUP(B209,metadata!$B$11:$BN$301,29,FALSE)*VLOOKUP(B209,metadata!$B$11:$BN$301,36,FALSE)*1000-T209</f>
        <v>33.700000000000003</v>
      </c>
      <c r="W209" s="76">
        <f t="shared" si="24"/>
        <v>1</v>
      </c>
    </row>
    <row r="210" spans="2:23" x14ac:dyDescent="0.3">
      <c r="B210">
        <v>16</v>
      </c>
      <c r="C210">
        <v>5</v>
      </c>
      <c r="D210">
        <v>2</v>
      </c>
      <c r="E210"/>
      <c r="I210" s="72">
        <f t="shared" si="30"/>
        <v>7.0474221771109832E-2</v>
      </c>
      <c r="K210" s="75">
        <f t="shared" si="25"/>
        <v>2.0912231979557812E-3</v>
      </c>
      <c r="P210" s="8">
        <v>3.5237110885554916E-2</v>
      </c>
      <c r="R210" s="73">
        <f t="shared" si="26"/>
        <v>1.0456115989778906E-3</v>
      </c>
      <c r="S210" s="71">
        <f t="shared" si="27"/>
        <v>1.0456115989778906E-3</v>
      </c>
      <c r="T210" s="74">
        <f t="shared" si="28"/>
        <v>7.0474221771109832E-2</v>
      </c>
      <c r="U210" s="75">
        <f t="shared" si="29"/>
        <v>2.0912231979557812E-3</v>
      </c>
      <c r="V210" s="60">
        <f>VLOOKUP(B210,metadata!$B$11:$BN$301,29,FALSE)*VLOOKUP(B210,metadata!$B$11:$BN$301,36,FALSE)*1000-T210</f>
        <v>33.629525778228896</v>
      </c>
      <c r="W210" s="76">
        <f t="shared" si="24"/>
        <v>0.99790877680204426</v>
      </c>
    </row>
    <row r="211" spans="2:23" x14ac:dyDescent="0.3">
      <c r="B211">
        <v>16</v>
      </c>
      <c r="C211">
        <v>5</v>
      </c>
      <c r="D211">
        <v>4</v>
      </c>
      <c r="E211"/>
      <c r="I211" s="72">
        <f t="shared" si="30"/>
        <v>2.2202542467915712E-2</v>
      </c>
      <c r="K211" s="75">
        <f t="shared" si="25"/>
        <v>6.5882915335061453E-4</v>
      </c>
      <c r="P211" s="8">
        <v>1.1101271233957856E-2</v>
      </c>
      <c r="R211" s="73">
        <f t="shared" si="26"/>
        <v>3.2941457667530727E-4</v>
      </c>
      <c r="S211" s="71">
        <f t="shared" si="27"/>
        <v>3.3010489969931734E-4</v>
      </c>
      <c r="T211" s="74">
        <f t="shared" si="28"/>
        <v>9.2676764239025544E-2</v>
      </c>
      <c r="U211" s="75">
        <f t="shared" si="29"/>
        <v>2.7500523513063957E-3</v>
      </c>
      <c r="V211" s="60">
        <f>VLOOKUP(B211,metadata!$B$11:$BN$301,29,FALSE)*VLOOKUP(B211,metadata!$B$11:$BN$301,36,FALSE)*1000-T211</f>
        <v>33.60732323576098</v>
      </c>
      <c r="W211" s="76">
        <f t="shared" si="24"/>
        <v>0.99724994764869357</v>
      </c>
    </row>
    <row r="212" spans="2:23" x14ac:dyDescent="0.3">
      <c r="B212">
        <v>16</v>
      </c>
      <c r="C212">
        <v>5</v>
      </c>
      <c r="D212">
        <v>8</v>
      </c>
      <c r="E212"/>
      <c r="I212" s="72">
        <f t="shared" si="30"/>
        <v>1.6938489831942162E-2</v>
      </c>
      <c r="K212" s="75">
        <f t="shared" si="25"/>
        <v>5.0262581103685934E-4</v>
      </c>
      <c r="P212" s="8">
        <v>4.2346224579855405E-3</v>
      </c>
      <c r="R212" s="73">
        <f t="shared" si="26"/>
        <v>1.2565645275921484E-4</v>
      </c>
      <c r="S212" s="71">
        <f t="shared" si="27"/>
        <v>1.2600296751630463E-4</v>
      </c>
      <c r="T212" s="74">
        <f t="shared" si="28"/>
        <v>0.1096152540709677</v>
      </c>
      <c r="U212" s="75">
        <f t="shared" si="29"/>
        <v>3.2526781623432549E-3</v>
      </c>
      <c r="V212" s="60">
        <f>VLOOKUP(B212,metadata!$B$11:$BN$301,29,FALSE)*VLOOKUP(B212,metadata!$B$11:$BN$301,36,FALSE)*1000-T212</f>
        <v>33.590384745929036</v>
      </c>
      <c r="W212" s="76">
        <f t="shared" si="24"/>
        <v>0.9967473218376568</v>
      </c>
    </row>
    <row r="213" spans="2:23" x14ac:dyDescent="0.3">
      <c r="B213">
        <v>16</v>
      </c>
      <c r="C213">
        <v>5</v>
      </c>
      <c r="D213">
        <v>16</v>
      </c>
      <c r="E213"/>
      <c r="I213" s="72">
        <f t="shared" si="30"/>
        <v>4.0043136859477781E-2</v>
      </c>
      <c r="K213" s="75">
        <f t="shared" si="25"/>
        <v>1.1882236456818331E-3</v>
      </c>
      <c r="P213" s="8">
        <v>5.0053921074347226E-3</v>
      </c>
      <c r="R213" s="73">
        <f t="shared" si="26"/>
        <v>1.4852795571022913E-4</v>
      </c>
      <c r="S213" s="71">
        <f t="shared" si="27"/>
        <v>1.4901264588942668E-4</v>
      </c>
      <c r="T213" s="74">
        <f t="shared" si="28"/>
        <v>0.14965839093044547</v>
      </c>
      <c r="U213" s="75">
        <f t="shared" si="29"/>
        <v>4.4409018080250875E-3</v>
      </c>
      <c r="V213" s="60">
        <f>VLOOKUP(B213,metadata!$B$11:$BN$301,29,FALSE)*VLOOKUP(B213,metadata!$B$11:$BN$301,36,FALSE)*1000-T213</f>
        <v>33.550341609069555</v>
      </c>
      <c r="W213" s="76">
        <f t="shared" ref="W213:W276" si="31">100%-U213</f>
        <v>0.99555909819197497</v>
      </c>
    </row>
    <row r="214" spans="2:23" x14ac:dyDescent="0.3">
      <c r="B214">
        <v>16</v>
      </c>
      <c r="C214">
        <v>5</v>
      </c>
      <c r="D214">
        <v>30</v>
      </c>
      <c r="E214"/>
      <c r="I214" s="72">
        <f t="shared" si="30"/>
        <v>4.2004415674133058E-2</v>
      </c>
      <c r="K214" s="75">
        <f t="shared" ref="K214:K277" si="32">I214/(V214+T214)</f>
        <v>1.2464218300929689E-3</v>
      </c>
      <c r="P214" s="8">
        <v>3.0003154052952183E-3</v>
      </c>
      <c r="R214" s="73">
        <f t="shared" ref="R214:R277" si="33">P214/(T214+V214)</f>
        <v>8.9030130720926359E-5</v>
      </c>
      <c r="S214" s="71">
        <f t="shared" ref="S214:S277" si="34">IF(D214&gt;D213,P214/V213,0)</f>
        <v>8.9427268439023962E-5</v>
      </c>
      <c r="T214" s="74">
        <f t="shared" ref="T214:T277" si="35">IF(D214&gt;D213,T213+I214,I214)</f>
        <v>0.19166280660457852</v>
      </c>
      <c r="U214" s="75">
        <f t="shared" ref="U214:U277" si="36">T214/(T214+V214)</f>
        <v>5.687323638118056E-3</v>
      </c>
      <c r="V214" s="60">
        <f>VLOOKUP(B214,metadata!$B$11:$BN$301,29,FALSE)*VLOOKUP(B214,metadata!$B$11:$BN$301,36,FALSE)*1000-T214</f>
        <v>33.508337193395427</v>
      </c>
      <c r="W214" s="76">
        <f t="shared" si="31"/>
        <v>0.99431267636188192</v>
      </c>
    </row>
    <row r="215" spans="2:23" x14ac:dyDescent="0.3">
      <c r="B215">
        <v>16</v>
      </c>
      <c r="C215">
        <v>5</v>
      </c>
      <c r="D215">
        <v>51</v>
      </c>
      <c r="E215"/>
      <c r="I215" s="72">
        <f t="shared" ref="I215:I278" si="37">P215*IF(D215&gt;D214,(D215-D214),(D215-0))</f>
        <v>3.3676768179305504E-2</v>
      </c>
      <c r="K215" s="75">
        <f t="shared" si="32"/>
        <v>9.9931062846603854E-4</v>
      </c>
      <c r="P215" s="8">
        <v>1.6036556275859763E-3</v>
      </c>
      <c r="R215" s="73">
        <f t="shared" si="33"/>
        <v>4.7586220403144691E-5</v>
      </c>
      <c r="S215" s="71">
        <f t="shared" si="34"/>
        <v>4.7858406650571148E-5</v>
      </c>
      <c r="T215" s="74">
        <f t="shared" si="35"/>
        <v>0.22533957478388403</v>
      </c>
      <c r="U215" s="75">
        <f t="shared" si="36"/>
        <v>6.6866342665840954E-3</v>
      </c>
      <c r="V215" s="60">
        <f>VLOOKUP(B215,metadata!$B$11:$BN$301,29,FALSE)*VLOOKUP(B215,metadata!$B$11:$BN$301,36,FALSE)*1000-T215</f>
        <v>33.474660425216122</v>
      </c>
      <c r="W215" s="76">
        <f t="shared" si="31"/>
        <v>0.99331336573341589</v>
      </c>
    </row>
    <row r="216" spans="2:23" x14ac:dyDescent="0.3">
      <c r="B216">
        <v>16</v>
      </c>
      <c r="C216">
        <v>5</v>
      </c>
      <c r="D216">
        <v>80</v>
      </c>
      <c r="E216"/>
      <c r="I216" s="72">
        <f t="shared" si="37"/>
        <v>3.7156565887248034E-2</v>
      </c>
      <c r="K216" s="75">
        <f t="shared" si="32"/>
        <v>1.1025687206898526E-3</v>
      </c>
      <c r="P216" s="8">
        <v>1.2812608926637253E-3</v>
      </c>
      <c r="R216" s="73">
        <f t="shared" si="33"/>
        <v>3.8019611058270779E-5</v>
      </c>
      <c r="S216" s="71">
        <f t="shared" si="34"/>
        <v>3.8275545633274431E-5</v>
      </c>
      <c r="T216" s="74">
        <f t="shared" si="35"/>
        <v>0.26249614067113208</v>
      </c>
      <c r="U216" s="75">
        <f t="shared" si="36"/>
        <v>7.7892029872739486E-3</v>
      </c>
      <c r="V216" s="60">
        <f>VLOOKUP(B216,metadata!$B$11:$BN$301,29,FALSE)*VLOOKUP(B216,metadata!$B$11:$BN$301,36,FALSE)*1000-T216</f>
        <v>33.437503859328871</v>
      </c>
      <c r="W216" s="76">
        <f t="shared" si="31"/>
        <v>0.99221079701272608</v>
      </c>
    </row>
    <row r="217" spans="2:23" x14ac:dyDescent="0.3">
      <c r="B217">
        <v>16</v>
      </c>
      <c r="C217">
        <v>5</v>
      </c>
      <c r="D217">
        <v>183</v>
      </c>
      <c r="E217"/>
      <c r="I217" s="72">
        <f t="shared" si="37"/>
        <v>0.15124774471502705</v>
      </c>
      <c r="K217" s="75">
        <f t="shared" si="32"/>
        <v>4.4880636413954615E-3</v>
      </c>
      <c r="P217" s="8">
        <v>1.4684247059711364E-3</v>
      </c>
      <c r="R217" s="73">
        <f t="shared" si="33"/>
        <v>4.357343341160642E-5</v>
      </c>
      <c r="S217" s="71">
        <f t="shared" si="34"/>
        <v>4.3915500156613949E-5</v>
      </c>
      <c r="T217" s="74">
        <f t="shared" si="35"/>
        <v>0.41374388538615914</v>
      </c>
      <c r="U217" s="75">
        <f t="shared" si="36"/>
        <v>1.227726662866941E-2</v>
      </c>
      <c r="V217" s="60">
        <f>VLOOKUP(B217,metadata!$B$11:$BN$301,29,FALSE)*VLOOKUP(B217,metadata!$B$11:$BN$301,36,FALSE)*1000-T217</f>
        <v>33.286256114613842</v>
      </c>
      <c r="W217" s="76">
        <f t="shared" si="31"/>
        <v>0.98772273337133054</v>
      </c>
    </row>
    <row r="218" spans="2:23" x14ac:dyDescent="0.3">
      <c r="B218">
        <v>16</v>
      </c>
      <c r="C218">
        <v>5</v>
      </c>
      <c r="D218">
        <v>231</v>
      </c>
      <c r="E218"/>
      <c r="I218" s="72">
        <f t="shared" si="37"/>
        <v>4.9862165441747056E-2</v>
      </c>
      <c r="K218" s="75">
        <f t="shared" si="32"/>
        <v>1.4795894789835921E-3</v>
      </c>
      <c r="P218" s="8">
        <v>1.0387951133697304E-3</v>
      </c>
      <c r="R218" s="73">
        <f t="shared" si="33"/>
        <v>3.082478081215817E-5</v>
      </c>
      <c r="S218" s="71">
        <f t="shared" si="34"/>
        <v>3.1207928875896096E-5</v>
      </c>
      <c r="T218" s="74">
        <f t="shared" si="35"/>
        <v>0.46360605082790618</v>
      </c>
      <c r="U218" s="75">
        <f t="shared" si="36"/>
        <v>1.3756856107653001E-2</v>
      </c>
      <c r="V218" s="60">
        <f>VLOOKUP(B218,metadata!$B$11:$BN$301,29,FALSE)*VLOOKUP(B218,metadata!$B$11:$BN$301,36,FALSE)*1000-T218</f>
        <v>33.236393949172097</v>
      </c>
      <c r="W218" s="76">
        <f t="shared" si="31"/>
        <v>0.98624314389234702</v>
      </c>
    </row>
    <row r="219" spans="2:23" x14ac:dyDescent="0.3">
      <c r="B219">
        <v>16</v>
      </c>
      <c r="C219">
        <v>5</v>
      </c>
      <c r="D219">
        <v>263</v>
      </c>
      <c r="E219"/>
      <c r="I219" s="72">
        <f t="shared" si="37"/>
        <v>3.112947217625496E-2</v>
      </c>
      <c r="K219" s="75">
        <f t="shared" si="32"/>
        <v>9.2372320997789195E-4</v>
      </c>
      <c r="P219" s="8">
        <v>9.7279600550796751E-4</v>
      </c>
      <c r="R219" s="73">
        <f t="shared" si="33"/>
        <v>2.8866350311809123E-5</v>
      </c>
      <c r="S219" s="71">
        <f t="shared" si="34"/>
        <v>2.9268999729502827E-5</v>
      </c>
      <c r="T219" s="74">
        <f t="shared" si="35"/>
        <v>0.49473552300416113</v>
      </c>
      <c r="U219" s="75">
        <f t="shared" si="36"/>
        <v>1.4680579317630893E-2</v>
      </c>
      <c r="V219" s="60">
        <f>VLOOKUP(B219,metadata!$B$11:$BN$301,29,FALSE)*VLOOKUP(B219,metadata!$B$11:$BN$301,36,FALSE)*1000-T219</f>
        <v>33.205264476995843</v>
      </c>
      <c r="W219" s="76">
        <f t="shared" si="31"/>
        <v>0.98531942068236911</v>
      </c>
    </row>
    <row r="220" spans="2:23" x14ac:dyDescent="0.3">
      <c r="B220">
        <v>16</v>
      </c>
      <c r="C220">
        <v>5</v>
      </c>
      <c r="D220">
        <v>365</v>
      </c>
      <c r="E220"/>
      <c r="I220" s="72">
        <f t="shared" si="37"/>
        <v>8.4151264854701105E-2</v>
      </c>
      <c r="K220" s="75">
        <f t="shared" si="32"/>
        <v>2.4970701737300027E-3</v>
      </c>
      <c r="P220" s="8">
        <v>8.2501240053628531E-4</v>
      </c>
      <c r="R220" s="73">
        <f t="shared" si="33"/>
        <v>2.4481080134607871E-5</v>
      </c>
      <c r="S220" s="71">
        <f t="shared" si="34"/>
        <v>2.4845831332192603E-5</v>
      </c>
      <c r="T220" s="74">
        <f t="shared" si="35"/>
        <v>0.57888678785886227</v>
      </c>
      <c r="U220" s="75">
        <f t="shared" si="36"/>
        <v>1.7177649491360896E-2</v>
      </c>
      <c r="V220" s="60">
        <f>VLOOKUP(B220,metadata!$B$11:$BN$301,29,FALSE)*VLOOKUP(B220,metadata!$B$11:$BN$301,36,FALSE)*1000-T220</f>
        <v>33.12111321214114</v>
      </c>
      <c r="W220" s="76">
        <f t="shared" si="31"/>
        <v>0.98282235050863909</v>
      </c>
    </row>
    <row r="221" spans="2:23" x14ac:dyDescent="0.3">
      <c r="B221">
        <v>16</v>
      </c>
      <c r="C221">
        <v>5</v>
      </c>
      <c r="D221">
        <v>423</v>
      </c>
      <c r="E221"/>
      <c r="I221" s="72">
        <f t="shared" si="37"/>
        <v>3.858017178116975E-2</v>
      </c>
      <c r="K221" s="75">
        <f t="shared" si="32"/>
        <v>1.1448122190258086E-3</v>
      </c>
      <c r="P221" s="8">
        <v>6.6517537553740949E-4</v>
      </c>
      <c r="R221" s="73">
        <f t="shared" si="33"/>
        <v>1.9738141707341526E-5</v>
      </c>
      <c r="S221" s="71">
        <f t="shared" si="34"/>
        <v>2.0083122547148492E-5</v>
      </c>
      <c r="T221" s="74">
        <f t="shared" si="35"/>
        <v>0.61746695964003206</v>
      </c>
      <c r="U221" s="75">
        <f t="shared" si="36"/>
        <v>1.8322461710386706E-2</v>
      </c>
      <c r="V221" s="60">
        <f>VLOOKUP(B221,metadata!$B$11:$BN$301,29,FALSE)*VLOOKUP(B221,metadata!$B$11:$BN$301,36,FALSE)*1000-T221</f>
        <v>33.082533040359969</v>
      </c>
      <c r="W221" s="76">
        <f t="shared" si="31"/>
        <v>0.98167753828961324</v>
      </c>
    </row>
    <row r="222" spans="2:23" x14ac:dyDescent="0.3">
      <c r="B222">
        <v>16</v>
      </c>
      <c r="C222">
        <v>5</v>
      </c>
      <c r="D222">
        <v>463</v>
      </c>
      <c r="E222"/>
      <c r="I222" s="72">
        <f t="shared" si="37"/>
        <v>5.4617490559808024E-2</v>
      </c>
      <c r="K222" s="75">
        <f t="shared" si="32"/>
        <v>1.6206970492524636E-3</v>
      </c>
      <c r="P222" s="8">
        <v>1.3654372639952006E-3</v>
      </c>
      <c r="R222" s="73">
        <f t="shared" si="33"/>
        <v>4.051742623131159E-5</v>
      </c>
      <c r="S222" s="71">
        <f t="shared" si="34"/>
        <v>4.1273661310317348E-5</v>
      </c>
      <c r="T222" s="74">
        <f t="shared" si="35"/>
        <v>0.67208445019984009</v>
      </c>
      <c r="U222" s="75">
        <f t="shared" si="36"/>
        <v>1.994315875963917E-2</v>
      </c>
      <c r="V222" s="60">
        <f>VLOOKUP(B222,metadata!$B$11:$BN$301,29,FALSE)*VLOOKUP(B222,metadata!$B$11:$BN$301,36,FALSE)*1000-T222</f>
        <v>33.027915549800163</v>
      </c>
      <c r="W222" s="76">
        <f t="shared" si="31"/>
        <v>0.98005684124036085</v>
      </c>
    </row>
    <row r="223" spans="2:23" x14ac:dyDescent="0.3">
      <c r="B223">
        <v>16</v>
      </c>
      <c r="C223">
        <v>5</v>
      </c>
      <c r="D223">
        <v>550</v>
      </c>
      <c r="E223"/>
      <c r="I223" s="72">
        <f t="shared" si="37"/>
        <v>0.17350873753372423</v>
      </c>
      <c r="K223" s="75">
        <f t="shared" si="32"/>
        <v>5.1486272265200061E-3</v>
      </c>
      <c r="P223" s="8">
        <v>1.994353304985336E-3</v>
      </c>
      <c r="R223" s="73">
        <f t="shared" si="33"/>
        <v>5.9179623293333406E-5</v>
      </c>
      <c r="S223" s="71">
        <f t="shared" si="34"/>
        <v>6.0383868366691488E-5</v>
      </c>
      <c r="T223" s="74">
        <f t="shared" si="35"/>
        <v>0.84559318773356429</v>
      </c>
      <c r="U223" s="75">
        <f t="shared" si="36"/>
        <v>2.5091785986159177E-2</v>
      </c>
      <c r="V223" s="60">
        <f>VLOOKUP(B223,metadata!$B$11:$BN$301,29,FALSE)*VLOOKUP(B223,metadata!$B$11:$BN$301,36,FALSE)*1000-T223</f>
        <v>32.85440681226644</v>
      </c>
      <c r="W223" s="76">
        <f t="shared" si="31"/>
        <v>0.97490821401384087</v>
      </c>
    </row>
    <row r="224" spans="2:23" x14ac:dyDescent="0.3">
      <c r="B224">
        <v>16</v>
      </c>
      <c r="C224">
        <v>5</v>
      </c>
      <c r="D224">
        <v>640</v>
      </c>
      <c r="E224"/>
      <c r="I224" s="72">
        <f t="shared" si="37"/>
        <v>0.21919355594819892</v>
      </c>
      <c r="K224" s="75">
        <f t="shared" si="32"/>
        <v>6.5042598204213325E-3</v>
      </c>
      <c r="P224" s="8">
        <v>2.4354839549799879E-3</v>
      </c>
      <c r="R224" s="73">
        <f t="shared" si="33"/>
        <v>7.2269553560237019E-5</v>
      </c>
      <c r="S224" s="71">
        <f t="shared" si="34"/>
        <v>7.4129597557387084E-5</v>
      </c>
      <c r="T224" s="74">
        <f t="shared" si="35"/>
        <v>1.0647867436817633</v>
      </c>
      <c r="U224" s="75">
        <f t="shared" si="36"/>
        <v>3.1596045806580514E-2</v>
      </c>
      <c r="V224" s="60">
        <f>VLOOKUP(B224,metadata!$B$11:$BN$301,29,FALSE)*VLOOKUP(B224,metadata!$B$11:$BN$301,36,FALSE)*1000-T224</f>
        <v>32.635213256318238</v>
      </c>
      <c r="W224" s="76">
        <f t="shared" si="31"/>
        <v>0.96840395419341951</v>
      </c>
    </row>
    <row r="225" spans="2:23" x14ac:dyDescent="0.3">
      <c r="B225">
        <v>16</v>
      </c>
      <c r="C225">
        <v>5</v>
      </c>
      <c r="D225">
        <v>730</v>
      </c>
      <c r="E225"/>
      <c r="I225" s="72">
        <f t="shared" si="37"/>
        <v>0.16615633806304442</v>
      </c>
      <c r="K225" s="75">
        <f t="shared" si="32"/>
        <v>4.9304551354019113E-3</v>
      </c>
      <c r="P225" s="8">
        <v>1.8461815340338268E-3</v>
      </c>
      <c r="R225" s="73">
        <f t="shared" si="33"/>
        <v>5.4782834837799014E-5</v>
      </c>
      <c r="S225" s="71">
        <f t="shared" si="34"/>
        <v>5.6570230429746087E-5</v>
      </c>
      <c r="T225" s="74">
        <f t="shared" si="35"/>
        <v>1.2309430817448077</v>
      </c>
      <c r="U225" s="75">
        <f t="shared" si="36"/>
        <v>3.6526500941982419E-2</v>
      </c>
      <c r="V225" s="60">
        <f>VLOOKUP(B225,metadata!$B$11:$BN$301,29,FALSE)*VLOOKUP(B225,metadata!$B$11:$BN$301,36,FALSE)*1000-T225</f>
        <v>32.469056918255198</v>
      </c>
      <c r="W225" s="76">
        <f t="shared" si="31"/>
        <v>0.9634734990580176</v>
      </c>
    </row>
    <row r="226" spans="2:23" x14ac:dyDescent="0.3">
      <c r="B226">
        <v>17</v>
      </c>
      <c r="C226">
        <v>5</v>
      </c>
      <c r="D226">
        <v>0</v>
      </c>
      <c r="E226"/>
      <c r="I226" s="72">
        <f t="shared" si="37"/>
        <v>0</v>
      </c>
      <c r="K226" s="75">
        <f t="shared" si="32"/>
        <v>0</v>
      </c>
      <c r="P226" s="8"/>
      <c r="R226" s="73">
        <f t="shared" si="33"/>
        <v>0</v>
      </c>
      <c r="S226" s="71">
        <f t="shared" si="34"/>
        <v>0</v>
      </c>
      <c r="T226" s="74">
        <f t="shared" si="35"/>
        <v>0</v>
      </c>
      <c r="U226" s="75">
        <f t="shared" si="36"/>
        <v>0</v>
      </c>
      <c r="V226" s="60">
        <f>VLOOKUP(B226,metadata!$B$11:$BN$301,29,FALSE)*VLOOKUP(B226,metadata!$B$11:$BN$301,36,FALSE)*1000-T226</f>
        <v>36.6</v>
      </c>
      <c r="W226" s="76">
        <f t="shared" si="31"/>
        <v>1</v>
      </c>
    </row>
    <row r="227" spans="2:23" x14ac:dyDescent="0.3">
      <c r="B227">
        <v>17</v>
      </c>
      <c r="C227">
        <v>5</v>
      </c>
      <c r="D227">
        <v>3</v>
      </c>
      <c r="E227"/>
      <c r="I227" s="72">
        <f t="shared" si="37"/>
        <v>2.449875929152507E-2</v>
      </c>
      <c r="K227" s="75">
        <f t="shared" si="32"/>
        <v>6.6936500796516585E-4</v>
      </c>
      <c r="P227" s="8">
        <v>8.1662530971750233E-3</v>
      </c>
      <c r="R227" s="73">
        <f t="shared" si="33"/>
        <v>2.2312166932172194E-4</v>
      </c>
      <c r="S227" s="71">
        <f t="shared" si="34"/>
        <v>2.2312166932172194E-4</v>
      </c>
      <c r="T227" s="74">
        <f t="shared" si="35"/>
        <v>2.449875929152507E-2</v>
      </c>
      <c r="U227" s="75">
        <f t="shared" si="36"/>
        <v>6.6936500796516585E-4</v>
      </c>
      <c r="V227" s="60">
        <f>VLOOKUP(B227,metadata!$B$11:$BN$301,29,FALSE)*VLOOKUP(B227,metadata!$B$11:$BN$301,36,FALSE)*1000-T227</f>
        <v>36.575501240708476</v>
      </c>
      <c r="W227" s="76">
        <f t="shared" si="31"/>
        <v>0.99933063499203478</v>
      </c>
    </row>
    <row r="228" spans="2:23" x14ac:dyDescent="0.3">
      <c r="B228">
        <v>17</v>
      </c>
      <c r="C228">
        <v>5</v>
      </c>
      <c r="D228">
        <v>9</v>
      </c>
      <c r="E228"/>
      <c r="I228" s="72">
        <f t="shared" si="37"/>
        <v>1.2052468287450175E-2</v>
      </c>
      <c r="K228" s="75">
        <f t="shared" si="32"/>
        <v>3.2930241222541462E-4</v>
      </c>
      <c r="P228" s="8">
        <v>2.0087447145750292E-3</v>
      </c>
      <c r="R228" s="73">
        <f t="shared" si="33"/>
        <v>5.4883735370902433E-5</v>
      </c>
      <c r="S228" s="71">
        <f t="shared" si="34"/>
        <v>5.4920497229968221E-5</v>
      </c>
      <c r="T228" s="74">
        <f t="shared" si="35"/>
        <v>3.6551227578975248E-2</v>
      </c>
      <c r="U228" s="75">
        <f t="shared" si="36"/>
        <v>9.9866742019058042E-4</v>
      </c>
      <c r="V228" s="60">
        <f>VLOOKUP(B228,metadata!$B$11:$BN$301,29,FALSE)*VLOOKUP(B228,metadata!$B$11:$BN$301,36,FALSE)*1000-T228</f>
        <v>36.563448772421026</v>
      </c>
      <c r="W228" s="76">
        <f t="shared" si="31"/>
        <v>0.99900133257980939</v>
      </c>
    </row>
    <row r="229" spans="2:23" x14ac:dyDescent="0.3">
      <c r="B229">
        <v>17</v>
      </c>
      <c r="C229">
        <v>5</v>
      </c>
      <c r="D229">
        <v>18</v>
      </c>
      <c r="E229"/>
      <c r="I229" s="72">
        <f t="shared" si="37"/>
        <v>6.2797717432095659E-3</v>
      </c>
      <c r="K229" s="75">
        <f t="shared" si="32"/>
        <v>1.7157846292922312E-4</v>
      </c>
      <c r="P229" s="8">
        <v>6.97752415912174E-4</v>
      </c>
      <c r="R229" s="73">
        <f t="shared" si="33"/>
        <v>1.9064273658802568E-5</v>
      </c>
      <c r="S229" s="71">
        <f t="shared" si="34"/>
        <v>1.9083331560300533E-5</v>
      </c>
      <c r="T229" s="74">
        <f t="shared" si="35"/>
        <v>4.2830999322184815E-2</v>
      </c>
      <c r="U229" s="75">
        <f t="shared" si="36"/>
        <v>1.1702458831198037E-3</v>
      </c>
      <c r="V229" s="60">
        <f>VLOOKUP(B229,metadata!$B$11:$BN$301,29,FALSE)*VLOOKUP(B229,metadata!$B$11:$BN$301,36,FALSE)*1000-T229</f>
        <v>36.557169000677817</v>
      </c>
      <c r="W229" s="76">
        <f t="shared" si="31"/>
        <v>0.99882975411688024</v>
      </c>
    </row>
    <row r="230" spans="2:23" x14ac:dyDescent="0.3">
      <c r="B230">
        <v>17</v>
      </c>
      <c r="C230">
        <v>5</v>
      </c>
      <c r="D230">
        <v>38</v>
      </c>
      <c r="E230"/>
      <c r="I230" s="72">
        <f t="shared" si="37"/>
        <v>1.1689775366245469E-2</v>
      </c>
      <c r="K230" s="75">
        <f t="shared" si="32"/>
        <v>3.1939276956954833E-4</v>
      </c>
      <c r="P230" s="8">
        <v>5.8448876831227348E-4</v>
      </c>
      <c r="R230" s="73">
        <f t="shared" si="33"/>
        <v>1.5969638478477417E-5</v>
      </c>
      <c r="S230" s="71">
        <f t="shared" si="34"/>
        <v>1.5988348777812536E-5</v>
      </c>
      <c r="T230" s="74">
        <f t="shared" si="35"/>
        <v>5.4520774688430286E-2</v>
      </c>
      <c r="U230" s="75">
        <f t="shared" si="36"/>
        <v>1.4896386526893519E-3</v>
      </c>
      <c r="V230" s="60">
        <f>VLOOKUP(B230,metadata!$B$11:$BN$301,29,FALSE)*VLOOKUP(B230,metadata!$B$11:$BN$301,36,FALSE)*1000-T230</f>
        <v>36.545479225311574</v>
      </c>
      <c r="W230" s="76">
        <f t="shared" si="31"/>
        <v>0.99851036134731064</v>
      </c>
    </row>
    <row r="231" spans="2:23" x14ac:dyDescent="0.3">
      <c r="B231">
        <v>17</v>
      </c>
      <c r="C231">
        <v>5</v>
      </c>
      <c r="D231">
        <v>94</v>
      </c>
      <c r="E231"/>
      <c r="I231" s="72">
        <f t="shared" si="37"/>
        <v>2.0934873415430582E-2</v>
      </c>
      <c r="K231" s="75">
        <f t="shared" si="32"/>
        <v>5.7199107692433278E-4</v>
      </c>
      <c r="P231" s="8">
        <v>3.7383702527554611E-4</v>
      </c>
      <c r="R231" s="73">
        <f t="shared" si="33"/>
        <v>1.02141263736488E-5</v>
      </c>
      <c r="S231" s="71">
        <f t="shared" si="34"/>
        <v>1.0229364430296615E-5</v>
      </c>
      <c r="T231" s="74">
        <f t="shared" si="35"/>
        <v>7.5455648103860865E-2</v>
      </c>
      <c r="U231" s="75">
        <f t="shared" si="36"/>
        <v>2.0616297296136847E-3</v>
      </c>
      <c r="V231" s="60">
        <f>VLOOKUP(B231,metadata!$B$11:$BN$301,29,FALSE)*VLOOKUP(B231,metadata!$B$11:$BN$301,36,FALSE)*1000-T231</f>
        <v>36.524544351896139</v>
      </c>
      <c r="W231" s="76">
        <f t="shared" si="31"/>
        <v>0.99793837027038634</v>
      </c>
    </row>
    <row r="232" spans="2:23" x14ac:dyDescent="0.3">
      <c r="B232">
        <v>17</v>
      </c>
      <c r="C232">
        <v>5</v>
      </c>
      <c r="D232">
        <v>183</v>
      </c>
      <c r="E232"/>
      <c r="I232" s="72">
        <f t="shared" si="37"/>
        <v>1.9578640553542217E-2</v>
      </c>
      <c r="K232" s="75">
        <f t="shared" si="32"/>
        <v>5.3493553424978737E-4</v>
      </c>
      <c r="P232" s="8">
        <v>2.1998472532069906E-4</v>
      </c>
      <c r="R232" s="73">
        <f t="shared" si="33"/>
        <v>6.0105116207841269E-6</v>
      </c>
      <c r="S232" s="71">
        <f t="shared" si="34"/>
        <v>6.0229286695886939E-6</v>
      </c>
      <c r="T232" s="74">
        <f t="shared" si="35"/>
        <v>9.5034288657403085E-2</v>
      </c>
      <c r="U232" s="75">
        <f t="shared" si="36"/>
        <v>2.5965652638634722E-3</v>
      </c>
      <c r="V232" s="60">
        <f>VLOOKUP(B232,metadata!$B$11:$BN$301,29,FALSE)*VLOOKUP(B232,metadata!$B$11:$BN$301,36,FALSE)*1000-T232</f>
        <v>36.504965711342599</v>
      </c>
      <c r="W232" s="76">
        <f t="shared" si="31"/>
        <v>0.99740343473613657</v>
      </c>
    </row>
    <row r="233" spans="2:23" x14ac:dyDescent="0.3">
      <c r="B233">
        <v>17</v>
      </c>
      <c r="C233">
        <v>5</v>
      </c>
      <c r="D233">
        <v>276</v>
      </c>
      <c r="E233"/>
      <c r="I233" s="72">
        <f t="shared" si="37"/>
        <v>1.4868315646636897E-2</v>
      </c>
      <c r="K233" s="75">
        <f t="shared" si="32"/>
        <v>4.062381324217731E-4</v>
      </c>
      <c r="P233" s="8">
        <v>1.5987436179179458E-4</v>
      </c>
      <c r="R233" s="73">
        <f t="shared" si="33"/>
        <v>4.3681519615244418E-6</v>
      </c>
      <c r="S233" s="71">
        <f t="shared" si="34"/>
        <v>4.3795236805857179E-6</v>
      </c>
      <c r="T233" s="74">
        <f t="shared" si="35"/>
        <v>0.10990260430403997</v>
      </c>
      <c r="U233" s="75">
        <f t="shared" si="36"/>
        <v>3.0028033962852451E-3</v>
      </c>
      <c r="V233" s="60">
        <f>VLOOKUP(B233,metadata!$B$11:$BN$301,29,FALSE)*VLOOKUP(B233,metadata!$B$11:$BN$301,36,FALSE)*1000-T233</f>
        <v>36.490097395695962</v>
      </c>
      <c r="W233" s="76">
        <f t="shared" si="31"/>
        <v>0.99699719660371477</v>
      </c>
    </row>
    <row r="234" spans="2:23" x14ac:dyDescent="0.3">
      <c r="B234">
        <v>17</v>
      </c>
      <c r="C234">
        <v>5</v>
      </c>
      <c r="D234">
        <v>365</v>
      </c>
      <c r="E234"/>
      <c r="I234" s="72">
        <f t="shared" si="37"/>
        <v>1.0966463987245175E-2</v>
      </c>
      <c r="K234" s="75">
        <f t="shared" si="32"/>
        <v>2.9963016358593376E-4</v>
      </c>
      <c r="P234" s="8">
        <v>1.2321869648590085E-4</v>
      </c>
      <c r="R234" s="73">
        <f t="shared" si="33"/>
        <v>3.3666310515273455E-6</v>
      </c>
      <c r="S234" s="71">
        <f t="shared" si="34"/>
        <v>3.3767708304454841E-6</v>
      </c>
      <c r="T234" s="74">
        <f t="shared" si="35"/>
        <v>0.12086906829128514</v>
      </c>
      <c r="U234" s="75">
        <f t="shared" si="36"/>
        <v>3.3024335598711785E-3</v>
      </c>
      <c r="V234" s="60">
        <f>VLOOKUP(B234,metadata!$B$11:$BN$301,29,FALSE)*VLOOKUP(B234,metadata!$B$11:$BN$301,36,FALSE)*1000-T234</f>
        <v>36.479130931708717</v>
      </c>
      <c r="W234" s="76">
        <f t="shared" si="31"/>
        <v>0.99669756644012886</v>
      </c>
    </row>
    <row r="235" spans="2:23" x14ac:dyDescent="0.3">
      <c r="B235">
        <v>17</v>
      </c>
      <c r="C235">
        <v>5</v>
      </c>
      <c r="D235">
        <v>498</v>
      </c>
      <c r="E235"/>
      <c r="I235" s="72">
        <f t="shared" si="37"/>
        <v>1.2727607739018465E-2</v>
      </c>
      <c r="K235" s="75">
        <f t="shared" si="32"/>
        <v>3.4774884532837332E-4</v>
      </c>
      <c r="P235" s="8">
        <v>9.5696298789612518E-5</v>
      </c>
      <c r="R235" s="73">
        <f t="shared" si="33"/>
        <v>2.6146529723937846E-6</v>
      </c>
      <c r="S235" s="71">
        <f t="shared" si="34"/>
        <v>2.6233163001816617E-6</v>
      </c>
      <c r="T235" s="74">
        <f t="shared" si="35"/>
        <v>0.13359667603030362</v>
      </c>
      <c r="U235" s="75">
        <f t="shared" si="36"/>
        <v>3.6501824051995524E-3</v>
      </c>
      <c r="V235" s="60">
        <f>VLOOKUP(B235,metadata!$B$11:$BN$301,29,FALSE)*VLOOKUP(B235,metadata!$B$11:$BN$301,36,FALSE)*1000-T235</f>
        <v>36.466403323969701</v>
      </c>
      <c r="W235" s="76">
        <f t="shared" si="31"/>
        <v>0.99634981759480046</v>
      </c>
    </row>
    <row r="236" spans="2:23" x14ac:dyDescent="0.3">
      <c r="B236">
        <v>17</v>
      </c>
      <c r="C236">
        <v>5</v>
      </c>
      <c r="D236">
        <v>550</v>
      </c>
      <c r="E236"/>
      <c r="I236" s="72">
        <f t="shared" si="37"/>
        <v>3.3180143336394722E-3</v>
      </c>
      <c r="K236" s="75">
        <f t="shared" si="32"/>
        <v>9.0656129334411799E-5</v>
      </c>
      <c r="P236" s="8">
        <v>6.380796795460523E-5</v>
      </c>
      <c r="R236" s="73">
        <f t="shared" si="33"/>
        <v>1.7433871025848423E-6</v>
      </c>
      <c r="S236" s="71">
        <f t="shared" si="34"/>
        <v>1.7497740972075431E-6</v>
      </c>
      <c r="T236" s="74">
        <f t="shared" si="35"/>
        <v>0.1369146903639431</v>
      </c>
      <c r="U236" s="75">
        <f t="shared" si="36"/>
        <v>3.7408385345339646E-3</v>
      </c>
      <c r="V236" s="60">
        <f>VLOOKUP(B236,metadata!$B$11:$BN$301,29,FALSE)*VLOOKUP(B236,metadata!$B$11:$BN$301,36,FALSE)*1000-T236</f>
        <v>36.463085309636057</v>
      </c>
      <c r="W236" s="76">
        <f t="shared" si="31"/>
        <v>0.996259161465466</v>
      </c>
    </row>
    <row r="237" spans="2:23" x14ac:dyDescent="0.3">
      <c r="B237">
        <v>17</v>
      </c>
      <c r="C237">
        <v>5</v>
      </c>
      <c r="D237">
        <v>671</v>
      </c>
      <c r="E237"/>
      <c r="I237" s="72">
        <f t="shared" si="37"/>
        <v>1.1062859035478278E-2</v>
      </c>
      <c r="K237" s="75">
        <f t="shared" si="32"/>
        <v>3.0226390807317697E-4</v>
      </c>
      <c r="P237" s="8">
        <v>9.1428587070068414E-5</v>
      </c>
      <c r="R237" s="73">
        <f t="shared" si="33"/>
        <v>2.4980488270510497E-6</v>
      </c>
      <c r="S237" s="71">
        <f t="shared" si="34"/>
        <v>2.507428713003249E-6</v>
      </c>
      <c r="T237" s="74">
        <f t="shared" si="35"/>
        <v>0.14797754939942137</v>
      </c>
      <c r="U237" s="75">
        <f t="shared" si="36"/>
        <v>4.0431024426071408E-3</v>
      </c>
      <c r="V237" s="60">
        <f>VLOOKUP(B237,metadata!$B$11:$BN$301,29,FALSE)*VLOOKUP(B237,metadata!$B$11:$BN$301,36,FALSE)*1000-T237</f>
        <v>36.45202245060058</v>
      </c>
      <c r="W237" s="76">
        <f t="shared" si="31"/>
        <v>0.99595689755739281</v>
      </c>
    </row>
    <row r="238" spans="2:23" x14ac:dyDescent="0.3">
      <c r="B238">
        <v>17</v>
      </c>
      <c r="C238">
        <v>5</v>
      </c>
      <c r="D238">
        <v>730</v>
      </c>
      <c r="E238"/>
      <c r="I238" s="72">
        <f t="shared" si="37"/>
        <v>8.9600367274502487E-3</v>
      </c>
      <c r="K238" s="75">
        <f t="shared" si="32"/>
        <v>2.4480974665164613E-4</v>
      </c>
      <c r="P238" s="8">
        <v>1.5186502927881778E-4</v>
      </c>
      <c r="R238" s="73">
        <f t="shared" si="33"/>
        <v>4.1493177398584089E-6</v>
      </c>
      <c r="S238" s="71">
        <f t="shared" si="34"/>
        <v>4.1661619594529701E-6</v>
      </c>
      <c r="T238" s="74">
        <f t="shared" si="35"/>
        <v>0.15693758612687161</v>
      </c>
      <c r="U238" s="75">
        <f t="shared" si="36"/>
        <v>4.2879121892587871E-3</v>
      </c>
      <c r="V238" s="60">
        <f>VLOOKUP(B238,metadata!$B$11:$BN$301,29,FALSE)*VLOOKUP(B238,metadata!$B$11:$BN$301,36,FALSE)*1000-T238</f>
        <v>36.443062413873129</v>
      </c>
      <c r="W238" s="76">
        <f t="shared" si="31"/>
        <v>0.99571208781074116</v>
      </c>
    </row>
    <row r="239" spans="2:23" x14ac:dyDescent="0.3">
      <c r="B239">
        <v>18</v>
      </c>
      <c r="C239">
        <v>5</v>
      </c>
      <c r="D239">
        <v>0</v>
      </c>
      <c r="E239"/>
      <c r="I239" s="72">
        <f t="shared" si="37"/>
        <v>0</v>
      </c>
      <c r="K239" s="75">
        <f t="shared" si="32"/>
        <v>0</v>
      </c>
      <c r="P239" s="8"/>
      <c r="R239" s="73">
        <f t="shared" si="33"/>
        <v>0</v>
      </c>
      <c r="S239" s="71">
        <f t="shared" si="34"/>
        <v>0</v>
      </c>
      <c r="T239" s="74">
        <f t="shared" si="35"/>
        <v>0</v>
      </c>
      <c r="U239" s="75">
        <f t="shared" si="36"/>
        <v>0</v>
      </c>
      <c r="V239" s="60">
        <f>VLOOKUP(B239,metadata!$B$11:$BN$301,29,FALSE)*VLOOKUP(B239,metadata!$B$11:$BN$301,36,FALSE)*1000-T239</f>
        <v>36.6</v>
      </c>
      <c r="W239" s="76">
        <f t="shared" si="31"/>
        <v>1</v>
      </c>
    </row>
    <row r="240" spans="2:23" x14ac:dyDescent="0.3">
      <c r="B240">
        <v>18</v>
      </c>
      <c r="C240">
        <v>5</v>
      </c>
      <c r="D240">
        <v>2</v>
      </c>
      <c r="E240"/>
      <c r="I240" s="72">
        <f t="shared" si="37"/>
        <v>2.788871366208158E-2</v>
      </c>
      <c r="K240" s="75">
        <f t="shared" si="32"/>
        <v>7.6198671207873168E-4</v>
      </c>
      <c r="P240" s="8">
        <v>1.394435683104079E-2</v>
      </c>
      <c r="R240" s="73">
        <f t="shared" si="33"/>
        <v>3.8099335603936584E-4</v>
      </c>
      <c r="S240" s="71">
        <f t="shared" si="34"/>
        <v>3.8099335603936584E-4</v>
      </c>
      <c r="T240" s="74">
        <f t="shared" si="35"/>
        <v>2.788871366208158E-2</v>
      </c>
      <c r="U240" s="75">
        <f t="shared" si="36"/>
        <v>7.6198671207873168E-4</v>
      </c>
      <c r="V240" s="60">
        <f>VLOOKUP(B240,metadata!$B$11:$BN$301,29,FALSE)*VLOOKUP(B240,metadata!$B$11:$BN$301,36,FALSE)*1000-T240</f>
        <v>36.572111286337922</v>
      </c>
      <c r="W240" s="76">
        <f t="shared" si="31"/>
        <v>0.99923801328792128</v>
      </c>
    </row>
    <row r="241" spans="2:23" x14ac:dyDescent="0.3">
      <c r="B241">
        <v>18</v>
      </c>
      <c r="C241">
        <v>5</v>
      </c>
      <c r="D241">
        <v>4</v>
      </c>
      <c r="E241"/>
      <c r="I241" s="72">
        <f t="shared" si="37"/>
        <v>1.0564588594336607E-2</v>
      </c>
      <c r="K241" s="75">
        <f t="shared" si="32"/>
        <v>2.8864996159389634E-4</v>
      </c>
      <c r="P241" s="8">
        <v>5.2822942971683037E-3</v>
      </c>
      <c r="R241" s="73">
        <f t="shared" si="33"/>
        <v>1.4432498079694817E-4</v>
      </c>
      <c r="S241" s="71">
        <f t="shared" si="34"/>
        <v>1.4443503837695E-4</v>
      </c>
      <c r="T241" s="74">
        <f t="shared" si="35"/>
        <v>3.8453302256418187E-2</v>
      </c>
      <c r="U241" s="75">
        <f t="shared" si="36"/>
        <v>1.0506366736726281E-3</v>
      </c>
      <c r="V241" s="60">
        <f>VLOOKUP(B241,metadata!$B$11:$BN$301,29,FALSE)*VLOOKUP(B241,metadata!$B$11:$BN$301,36,FALSE)*1000-T241</f>
        <v>36.56154669774358</v>
      </c>
      <c r="W241" s="76">
        <f t="shared" si="31"/>
        <v>0.99894936332632733</v>
      </c>
    </row>
    <row r="242" spans="2:23" x14ac:dyDescent="0.3">
      <c r="B242">
        <v>18</v>
      </c>
      <c r="C242">
        <v>5</v>
      </c>
      <c r="D242">
        <v>8</v>
      </c>
      <c r="E242"/>
      <c r="I242" s="72">
        <f t="shared" si="37"/>
        <v>2.7334685944094359E-2</v>
      </c>
      <c r="K242" s="75">
        <f t="shared" si="32"/>
        <v>7.4684934273481856E-4</v>
      </c>
      <c r="P242" s="8">
        <v>6.8336714860235898E-3</v>
      </c>
      <c r="R242" s="73">
        <f t="shared" si="33"/>
        <v>1.8671233568370464E-4</v>
      </c>
      <c r="S242" s="71">
        <f t="shared" si="34"/>
        <v>1.8690870882782796E-4</v>
      </c>
      <c r="T242" s="74">
        <f t="shared" si="35"/>
        <v>6.5787988200512543E-2</v>
      </c>
      <c r="U242" s="75">
        <f t="shared" si="36"/>
        <v>1.7974860164074464E-3</v>
      </c>
      <c r="V242" s="60">
        <f>VLOOKUP(B242,metadata!$B$11:$BN$301,29,FALSE)*VLOOKUP(B242,metadata!$B$11:$BN$301,36,FALSE)*1000-T242</f>
        <v>36.53421201179949</v>
      </c>
      <c r="W242" s="76">
        <f t="shared" si="31"/>
        <v>0.9982025139835925</v>
      </c>
    </row>
    <row r="243" spans="2:23" x14ac:dyDescent="0.3">
      <c r="B243">
        <v>18</v>
      </c>
      <c r="C243">
        <v>5</v>
      </c>
      <c r="D243">
        <v>16</v>
      </c>
      <c r="E243"/>
      <c r="I243" s="72">
        <f t="shared" si="37"/>
        <v>2.1134792247307944E-2</v>
      </c>
      <c r="K243" s="75">
        <f t="shared" si="32"/>
        <v>5.77453340090381E-4</v>
      </c>
      <c r="P243" s="8">
        <v>2.6418490309134931E-3</v>
      </c>
      <c r="R243" s="73">
        <f t="shared" si="33"/>
        <v>7.2181667511297625E-5</v>
      </c>
      <c r="S243" s="71">
        <f t="shared" si="34"/>
        <v>7.2311646685037367E-5</v>
      </c>
      <c r="T243" s="74">
        <f t="shared" si="35"/>
        <v>8.692278044782048E-2</v>
      </c>
      <c r="U243" s="75">
        <f t="shared" si="36"/>
        <v>2.3749393564978273E-3</v>
      </c>
      <c r="V243" s="60">
        <f>VLOOKUP(B243,metadata!$B$11:$BN$301,29,FALSE)*VLOOKUP(B243,metadata!$B$11:$BN$301,36,FALSE)*1000-T243</f>
        <v>36.51307721955218</v>
      </c>
      <c r="W243" s="76">
        <f t="shared" si="31"/>
        <v>0.9976250606435022</v>
      </c>
    </row>
    <row r="244" spans="2:23" x14ac:dyDescent="0.3">
      <c r="B244">
        <v>18</v>
      </c>
      <c r="C244">
        <v>5</v>
      </c>
      <c r="D244">
        <v>30</v>
      </c>
      <c r="E244"/>
      <c r="I244" s="72">
        <f t="shared" si="37"/>
        <v>1.8880373107472707E-2</v>
      </c>
      <c r="K244" s="75">
        <f t="shared" si="32"/>
        <v>5.1585718872876243E-4</v>
      </c>
      <c r="P244" s="8">
        <v>1.3485980791051934E-3</v>
      </c>
      <c r="R244" s="73">
        <f t="shared" si="33"/>
        <v>3.6846942052054467E-5</v>
      </c>
      <c r="S244" s="71">
        <f t="shared" si="34"/>
        <v>3.6934659628825813E-5</v>
      </c>
      <c r="T244" s="74">
        <f t="shared" si="35"/>
        <v>0.10580315355529318</v>
      </c>
      <c r="U244" s="75">
        <f t="shared" si="36"/>
        <v>2.8907965452265897E-3</v>
      </c>
      <c r="V244" s="60">
        <f>VLOOKUP(B244,metadata!$B$11:$BN$301,29,FALSE)*VLOOKUP(B244,metadata!$B$11:$BN$301,36,FALSE)*1000-T244</f>
        <v>36.494196846444709</v>
      </c>
      <c r="W244" s="76">
        <f t="shared" si="31"/>
        <v>0.99710920345477339</v>
      </c>
    </row>
    <row r="245" spans="2:23" x14ac:dyDescent="0.3">
      <c r="B245">
        <v>18</v>
      </c>
      <c r="C245">
        <v>5</v>
      </c>
      <c r="D245">
        <v>51</v>
      </c>
      <c r="E245"/>
      <c r="I245" s="72">
        <f t="shared" si="37"/>
        <v>2.1173971542997272E-2</v>
      </c>
      <c r="K245" s="75">
        <f t="shared" si="32"/>
        <v>5.7852381265019871E-4</v>
      </c>
      <c r="P245" s="8">
        <v>1.0082843591903462E-3</v>
      </c>
      <c r="R245" s="73">
        <f t="shared" si="33"/>
        <v>2.7548752983342793E-5</v>
      </c>
      <c r="S245" s="71">
        <f t="shared" si="34"/>
        <v>2.7628621707524275E-5</v>
      </c>
      <c r="T245" s="74">
        <f t="shared" si="35"/>
        <v>0.12697712509829046</v>
      </c>
      <c r="U245" s="75">
        <f t="shared" si="36"/>
        <v>3.4693203578767882E-3</v>
      </c>
      <c r="V245" s="60">
        <f>VLOOKUP(B245,metadata!$B$11:$BN$301,29,FALSE)*VLOOKUP(B245,metadata!$B$11:$BN$301,36,FALSE)*1000-T245</f>
        <v>36.473022874901709</v>
      </c>
      <c r="W245" s="76">
        <f t="shared" si="31"/>
        <v>0.99653067964212316</v>
      </c>
    </row>
    <row r="246" spans="2:23" x14ac:dyDescent="0.3">
      <c r="B246">
        <v>18</v>
      </c>
      <c r="C246">
        <v>5</v>
      </c>
      <c r="D246">
        <v>80</v>
      </c>
      <c r="E246"/>
      <c r="I246" s="72">
        <f t="shared" si="37"/>
        <v>1.8373649626283836E-2</v>
      </c>
      <c r="K246" s="75">
        <f t="shared" si="32"/>
        <v>5.0201228487114309E-4</v>
      </c>
      <c r="P246" s="8">
        <v>6.3357412504427022E-4</v>
      </c>
      <c r="R246" s="73">
        <f t="shared" si="33"/>
        <v>1.7310768443832518E-5</v>
      </c>
      <c r="S246" s="71">
        <f t="shared" si="34"/>
        <v>1.7371034126163792E-5</v>
      </c>
      <c r="T246" s="74">
        <f t="shared" si="35"/>
        <v>0.14535077472457431</v>
      </c>
      <c r="U246" s="75">
        <f t="shared" si="36"/>
        <v>3.9713326427479314E-3</v>
      </c>
      <c r="V246" s="60">
        <f>VLOOKUP(B246,metadata!$B$11:$BN$301,29,FALSE)*VLOOKUP(B246,metadata!$B$11:$BN$301,36,FALSE)*1000-T246</f>
        <v>36.454649225275425</v>
      </c>
      <c r="W246" s="76">
        <f t="shared" si="31"/>
        <v>0.99602866735725204</v>
      </c>
    </row>
    <row r="247" spans="2:23" x14ac:dyDescent="0.3">
      <c r="B247">
        <v>18</v>
      </c>
      <c r="C247">
        <v>5</v>
      </c>
      <c r="D247">
        <v>183</v>
      </c>
      <c r="E247"/>
      <c r="I247" s="72">
        <f t="shared" si="37"/>
        <v>2.4703750335724136E-2</v>
      </c>
      <c r="K247" s="75">
        <f t="shared" si="32"/>
        <v>6.7496585616732608E-4</v>
      </c>
      <c r="P247" s="8">
        <v>2.3984223626916635E-4</v>
      </c>
      <c r="R247" s="73">
        <f t="shared" si="33"/>
        <v>6.5530665647313209E-6</v>
      </c>
      <c r="S247" s="71">
        <f t="shared" si="34"/>
        <v>6.5791947355475972E-6</v>
      </c>
      <c r="T247" s="74">
        <f t="shared" si="35"/>
        <v>0.17005452506029844</v>
      </c>
      <c r="U247" s="75">
        <f t="shared" si="36"/>
        <v>4.6462984989152582E-3</v>
      </c>
      <c r="V247" s="60">
        <f>VLOOKUP(B247,metadata!$B$11:$BN$301,29,FALSE)*VLOOKUP(B247,metadata!$B$11:$BN$301,36,FALSE)*1000-T247</f>
        <v>36.4299454749397</v>
      </c>
      <c r="W247" s="76">
        <f t="shared" si="31"/>
        <v>0.99535370150108471</v>
      </c>
    </row>
    <row r="248" spans="2:23" x14ac:dyDescent="0.3">
      <c r="B248">
        <v>18</v>
      </c>
      <c r="C248">
        <v>5</v>
      </c>
      <c r="D248">
        <v>246</v>
      </c>
      <c r="E248"/>
      <c r="I248" s="72">
        <f t="shared" si="37"/>
        <v>8.610308999033478E-3</v>
      </c>
      <c r="K248" s="75">
        <f t="shared" si="32"/>
        <v>2.3525434423588736E-4</v>
      </c>
      <c r="P248" s="8">
        <v>1.3667157141322982E-4</v>
      </c>
      <c r="R248" s="73">
        <f t="shared" si="33"/>
        <v>3.7341959402521806E-6</v>
      </c>
      <c r="S248" s="71">
        <f t="shared" si="34"/>
        <v>3.7516271197069655E-6</v>
      </c>
      <c r="T248" s="74">
        <f t="shared" si="35"/>
        <v>0.17866483405933192</v>
      </c>
      <c r="U248" s="75">
        <f t="shared" si="36"/>
        <v>4.8815528431511452E-3</v>
      </c>
      <c r="V248" s="60">
        <f>VLOOKUP(B248,metadata!$B$11:$BN$301,29,FALSE)*VLOOKUP(B248,metadata!$B$11:$BN$301,36,FALSE)*1000-T248</f>
        <v>36.421335165940668</v>
      </c>
      <c r="W248" s="76">
        <f t="shared" si="31"/>
        <v>0.99511844715684883</v>
      </c>
    </row>
    <row r="249" spans="2:23" x14ac:dyDescent="0.3">
      <c r="B249">
        <v>18</v>
      </c>
      <c r="C249">
        <v>5</v>
      </c>
      <c r="D249">
        <v>313</v>
      </c>
      <c r="E249"/>
      <c r="I249" s="72">
        <f t="shared" si="37"/>
        <v>1.4895637671495585E-2</v>
      </c>
      <c r="K249" s="75">
        <f t="shared" si="32"/>
        <v>4.0698463583321268E-4</v>
      </c>
      <c r="P249" s="8">
        <v>2.2232295032082963E-4</v>
      </c>
      <c r="R249" s="73">
        <f t="shared" si="33"/>
        <v>6.074397549749443E-6</v>
      </c>
      <c r="S249" s="71">
        <f t="shared" si="34"/>
        <v>6.1041955026606068E-6</v>
      </c>
      <c r="T249" s="74">
        <f t="shared" si="35"/>
        <v>0.19356047173082752</v>
      </c>
      <c r="U249" s="75">
        <f t="shared" si="36"/>
        <v>5.2885374789843585E-3</v>
      </c>
      <c r="V249" s="60">
        <f>VLOOKUP(B249,metadata!$B$11:$BN$301,29,FALSE)*VLOOKUP(B249,metadata!$B$11:$BN$301,36,FALSE)*1000-T249</f>
        <v>36.406439528269175</v>
      </c>
      <c r="W249" s="76">
        <f t="shared" si="31"/>
        <v>0.99471146252101561</v>
      </c>
    </row>
    <row r="250" spans="2:23" x14ac:dyDescent="0.3">
      <c r="B250">
        <v>18</v>
      </c>
      <c r="C250">
        <v>5</v>
      </c>
      <c r="D250">
        <v>365</v>
      </c>
      <c r="E250"/>
      <c r="I250" s="72">
        <f t="shared" si="37"/>
        <v>1.2586825688918852E-2</v>
      </c>
      <c r="K250" s="75">
        <f t="shared" si="32"/>
        <v>3.4390234122729104E-4</v>
      </c>
      <c r="P250" s="8">
        <v>2.420543401715164E-4</v>
      </c>
      <c r="R250" s="73">
        <f t="shared" si="33"/>
        <v>6.6135065620632896E-6</v>
      </c>
      <c r="S250" s="71">
        <f t="shared" si="34"/>
        <v>6.6486682935188988E-6</v>
      </c>
      <c r="T250" s="74">
        <f t="shared" si="35"/>
        <v>0.20614729741974638</v>
      </c>
      <c r="U250" s="75">
        <f t="shared" si="36"/>
        <v>5.6324398202116498E-3</v>
      </c>
      <c r="V250" s="60">
        <f>VLOOKUP(B250,metadata!$B$11:$BN$301,29,FALSE)*VLOOKUP(B250,metadata!$B$11:$BN$301,36,FALSE)*1000-T250</f>
        <v>36.393852702580254</v>
      </c>
      <c r="W250" s="76">
        <f t="shared" si="31"/>
        <v>0.99436756017978833</v>
      </c>
    </row>
    <row r="251" spans="2:23" x14ac:dyDescent="0.3">
      <c r="B251">
        <v>18</v>
      </c>
      <c r="C251">
        <v>5</v>
      </c>
      <c r="D251">
        <v>428</v>
      </c>
      <c r="E251"/>
      <c r="I251" s="72">
        <f t="shared" si="37"/>
        <v>2.1077978607707423E-2</v>
      </c>
      <c r="K251" s="75">
        <f t="shared" si="32"/>
        <v>5.7590105485539407E-4</v>
      </c>
      <c r="P251" s="8">
        <v>3.3457108901122892E-4</v>
      </c>
      <c r="R251" s="73">
        <f t="shared" si="33"/>
        <v>9.1412865850062545E-6</v>
      </c>
      <c r="S251" s="71">
        <f t="shared" si="34"/>
        <v>9.1930659758786265E-6</v>
      </c>
      <c r="T251" s="74">
        <f t="shared" si="35"/>
        <v>0.22722527602745379</v>
      </c>
      <c r="U251" s="75">
        <f t="shared" si="36"/>
        <v>6.2083408750670437E-3</v>
      </c>
      <c r="V251" s="60">
        <f>VLOOKUP(B251,metadata!$B$11:$BN$301,29,FALSE)*VLOOKUP(B251,metadata!$B$11:$BN$301,36,FALSE)*1000-T251</f>
        <v>36.372774723972547</v>
      </c>
      <c r="W251" s="76">
        <f t="shared" si="31"/>
        <v>0.99379165912493295</v>
      </c>
    </row>
    <row r="252" spans="2:23" x14ac:dyDescent="0.3">
      <c r="B252">
        <v>18</v>
      </c>
      <c r="C252">
        <v>5</v>
      </c>
      <c r="D252">
        <v>469</v>
      </c>
      <c r="E252"/>
      <c r="I252" s="72">
        <f t="shared" si="37"/>
        <v>1.4548428954786856E-2</v>
      </c>
      <c r="K252" s="75">
        <f t="shared" si="32"/>
        <v>3.9749805887395777E-4</v>
      </c>
      <c r="P252" s="8">
        <v>3.5483973060455745E-4</v>
      </c>
      <c r="R252" s="73">
        <f t="shared" si="33"/>
        <v>9.6950746066818972E-6</v>
      </c>
      <c r="S252" s="71">
        <f t="shared" si="34"/>
        <v>9.7556409511614718E-6</v>
      </c>
      <c r="T252" s="74">
        <f t="shared" si="35"/>
        <v>0.24177370498224066</v>
      </c>
      <c r="U252" s="75">
        <f t="shared" si="36"/>
        <v>6.6058389339410011E-3</v>
      </c>
      <c r="V252" s="60">
        <f>VLOOKUP(B252,metadata!$B$11:$BN$301,29,FALSE)*VLOOKUP(B252,metadata!$B$11:$BN$301,36,FALSE)*1000-T252</f>
        <v>36.358226295017758</v>
      </c>
      <c r="W252" s="76">
        <f t="shared" si="31"/>
        <v>0.99339416106605904</v>
      </c>
    </row>
    <row r="253" spans="2:23" x14ac:dyDescent="0.3">
      <c r="B253">
        <v>18</v>
      </c>
      <c r="C253">
        <v>5</v>
      </c>
      <c r="D253">
        <v>550</v>
      </c>
      <c r="E253"/>
      <c r="I253" s="72">
        <f t="shared" si="37"/>
        <v>3.4294330735456895E-2</v>
      </c>
      <c r="K253" s="75">
        <f t="shared" si="32"/>
        <v>9.3700357200701895E-4</v>
      </c>
      <c r="P253" s="8">
        <v>4.2338679920317151E-4</v>
      </c>
      <c r="R253" s="73">
        <f t="shared" si="33"/>
        <v>1.1567945333419986E-5</v>
      </c>
      <c r="S253" s="71">
        <f t="shared" si="34"/>
        <v>1.1644869465515953E-5</v>
      </c>
      <c r="T253" s="74">
        <f t="shared" si="35"/>
        <v>0.27606803571769756</v>
      </c>
      <c r="U253" s="75">
        <f t="shared" si="36"/>
        <v>7.5428425059480206E-3</v>
      </c>
      <c r="V253" s="60">
        <f>VLOOKUP(B253,metadata!$B$11:$BN$301,29,FALSE)*VLOOKUP(B253,metadata!$B$11:$BN$301,36,FALSE)*1000-T253</f>
        <v>36.323931964282302</v>
      </c>
      <c r="W253" s="76">
        <f t="shared" si="31"/>
        <v>0.99245715749405194</v>
      </c>
    </row>
    <row r="254" spans="2:23" x14ac:dyDescent="0.3">
      <c r="B254">
        <v>18</v>
      </c>
      <c r="C254">
        <v>5</v>
      </c>
      <c r="D254">
        <v>659</v>
      </c>
      <c r="E254"/>
      <c r="I254" s="72">
        <f t="shared" si="37"/>
        <v>0.10065962068727789</v>
      </c>
      <c r="K254" s="75">
        <f t="shared" si="32"/>
        <v>2.7502628603081392E-3</v>
      </c>
      <c r="P254" s="8">
        <v>9.2348275859887978E-4</v>
      </c>
      <c r="R254" s="73">
        <f t="shared" si="33"/>
        <v>2.5231769360625131E-5</v>
      </c>
      <c r="S254" s="71">
        <f t="shared" si="34"/>
        <v>2.5423535081690768E-5</v>
      </c>
      <c r="T254" s="74">
        <f t="shared" si="35"/>
        <v>0.37672765640497546</v>
      </c>
      <c r="U254" s="75">
        <f t="shared" si="36"/>
        <v>1.0293105366256159E-2</v>
      </c>
      <c r="V254" s="60">
        <f>VLOOKUP(B254,metadata!$B$11:$BN$301,29,FALSE)*VLOOKUP(B254,metadata!$B$11:$BN$301,36,FALSE)*1000-T254</f>
        <v>36.223272343595028</v>
      </c>
      <c r="W254" s="76">
        <f t="shared" si="31"/>
        <v>0.98970689463374384</v>
      </c>
    </row>
    <row r="255" spans="2:23" x14ac:dyDescent="0.3">
      <c r="B255">
        <v>18</v>
      </c>
      <c r="C255">
        <v>5</v>
      </c>
      <c r="D255">
        <v>730</v>
      </c>
      <c r="E255"/>
      <c r="I255" s="72">
        <f t="shared" si="37"/>
        <v>3.19498284968689E-2</v>
      </c>
      <c r="K255" s="75">
        <f t="shared" si="32"/>
        <v>8.7294613379423219E-4</v>
      </c>
      <c r="P255" s="8">
        <v>4.4999758446294229E-4</v>
      </c>
      <c r="R255" s="73">
        <f t="shared" si="33"/>
        <v>1.229501596893285E-5</v>
      </c>
      <c r="S255" s="71">
        <f t="shared" si="34"/>
        <v>1.2422886043936076E-5</v>
      </c>
      <c r="T255" s="74">
        <f t="shared" si="35"/>
        <v>0.40867748490184436</v>
      </c>
      <c r="U255" s="75">
        <f t="shared" si="36"/>
        <v>1.1166051500050391E-2</v>
      </c>
      <c r="V255" s="60">
        <f>VLOOKUP(B255,metadata!$B$11:$BN$301,29,FALSE)*VLOOKUP(B255,metadata!$B$11:$BN$301,36,FALSE)*1000-T255</f>
        <v>36.191322515098157</v>
      </c>
      <c r="W255" s="76">
        <f t="shared" si="31"/>
        <v>0.98883394849994966</v>
      </c>
    </row>
    <row r="256" spans="2:23" x14ac:dyDescent="0.3">
      <c r="B256">
        <v>19</v>
      </c>
      <c r="C256">
        <v>5</v>
      </c>
      <c r="D256">
        <v>0</v>
      </c>
      <c r="E256"/>
      <c r="I256" s="72">
        <f t="shared" si="37"/>
        <v>0</v>
      </c>
      <c r="K256" s="75">
        <f t="shared" si="32"/>
        <v>0</v>
      </c>
      <c r="P256" s="8"/>
      <c r="R256" s="73">
        <f t="shared" si="33"/>
        <v>0</v>
      </c>
      <c r="S256" s="71">
        <f t="shared" si="34"/>
        <v>0</v>
      </c>
      <c r="T256" s="74">
        <f t="shared" si="35"/>
        <v>0</v>
      </c>
      <c r="U256" s="75">
        <f t="shared" si="36"/>
        <v>0</v>
      </c>
      <c r="V256" s="60">
        <f>VLOOKUP(B256,metadata!$B$11:$BN$301,29,FALSE)*VLOOKUP(B256,metadata!$B$11:$BN$301,36,FALSE)*1000-T256</f>
        <v>36.6</v>
      </c>
      <c r="W256" s="76">
        <f t="shared" si="31"/>
        <v>1</v>
      </c>
    </row>
    <row r="257" spans="2:23" x14ac:dyDescent="0.3">
      <c r="B257">
        <v>19</v>
      </c>
      <c r="C257">
        <v>5</v>
      </c>
      <c r="D257">
        <v>2</v>
      </c>
      <c r="E257"/>
      <c r="I257" s="72">
        <f t="shared" si="37"/>
        <v>4.7222026015284378E-2</v>
      </c>
      <c r="K257" s="75">
        <f t="shared" si="32"/>
        <v>1.2902192900350923E-3</v>
      </c>
      <c r="P257" s="8">
        <v>2.3611013007642189E-2</v>
      </c>
      <c r="R257" s="73">
        <f t="shared" si="33"/>
        <v>6.4510964501754615E-4</v>
      </c>
      <c r="S257" s="71">
        <f t="shared" si="34"/>
        <v>6.4510964501754615E-4</v>
      </c>
      <c r="T257" s="74">
        <f t="shared" si="35"/>
        <v>4.7222026015284378E-2</v>
      </c>
      <c r="U257" s="75">
        <f t="shared" si="36"/>
        <v>1.2902192900350923E-3</v>
      </c>
      <c r="V257" s="60">
        <f>VLOOKUP(B257,metadata!$B$11:$BN$301,29,FALSE)*VLOOKUP(B257,metadata!$B$11:$BN$301,36,FALSE)*1000-T257</f>
        <v>36.552777973984718</v>
      </c>
      <c r="W257" s="76">
        <f t="shared" si="31"/>
        <v>0.99870978070996486</v>
      </c>
    </row>
    <row r="258" spans="2:23" x14ac:dyDescent="0.3">
      <c r="B258">
        <v>19</v>
      </c>
      <c r="C258">
        <v>5</v>
      </c>
      <c r="D258">
        <v>4</v>
      </c>
      <c r="E258"/>
      <c r="I258" s="72">
        <f t="shared" si="37"/>
        <v>1.4355320457437986E-2</v>
      </c>
      <c r="K258" s="75">
        <f t="shared" si="32"/>
        <v>3.9222187042180288E-4</v>
      </c>
      <c r="P258" s="8">
        <v>7.1776602287189932E-3</v>
      </c>
      <c r="R258" s="73">
        <f t="shared" si="33"/>
        <v>1.9611093521090144E-4</v>
      </c>
      <c r="S258" s="71">
        <f t="shared" si="34"/>
        <v>1.9636428820341551E-4</v>
      </c>
      <c r="T258" s="74">
        <f t="shared" si="35"/>
        <v>6.1577346472722366E-2</v>
      </c>
      <c r="U258" s="75">
        <f t="shared" si="36"/>
        <v>1.6824411604568952E-3</v>
      </c>
      <c r="V258" s="60">
        <f>VLOOKUP(B258,metadata!$B$11:$BN$301,29,FALSE)*VLOOKUP(B258,metadata!$B$11:$BN$301,36,FALSE)*1000-T258</f>
        <v>36.538422653527277</v>
      </c>
      <c r="W258" s="76">
        <f t="shared" si="31"/>
        <v>0.9983175588395431</v>
      </c>
    </row>
    <row r="259" spans="2:23" x14ac:dyDescent="0.3">
      <c r="B259">
        <v>19</v>
      </c>
      <c r="C259">
        <v>5</v>
      </c>
      <c r="D259">
        <v>8</v>
      </c>
      <c r="E259"/>
      <c r="I259" s="72">
        <f t="shared" si="37"/>
        <v>8.3928700506900808E-3</v>
      </c>
      <c r="K259" s="75">
        <f t="shared" si="32"/>
        <v>2.2931338936311695E-4</v>
      </c>
      <c r="P259" s="8">
        <v>2.0982175126725202E-3</v>
      </c>
      <c r="R259" s="73">
        <f t="shared" si="33"/>
        <v>5.7328347340779237E-5</v>
      </c>
      <c r="S259" s="71">
        <f t="shared" si="34"/>
        <v>5.7424961459576482E-5</v>
      </c>
      <c r="T259" s="74">
        <f t="shared" si="35"/>
        <v>6.9970216523412454E-2</v>
      </c>
      <c r="U259" s="75">
        <f t="shared" si="36"/>
        <v>1.9117545498200123E-3</v>
      </c>
      <c r="V259" s="60">
        <f>VLOOKUP(B259,metadata!$B$11:$BN$301,29,FALSE)*VLOOKUP(B259,metadata!$B$11:$BN$301,36,FALSE)*1000-T259</f>
        <v>36.530029783476586</v>
      </c>
      <c r="W259" s="76">
        <f t="shared" si="31"/>
        <v>0.99808824545017993</v>
      </c>
    </row>
    <row r="260" spans="2:23" x14ac:dyDescent="0.3">
      <c r="B260">
        <v>19</v>
      </c>
      <c r="C260">
        <v>5</v>
      </c>
      <c r="D260">
        <v>16</v>
      </c>
      <c r="E260"/>
      <c r="I260" s="72">
        <f t="shared" si="37"/>
        <v>1.7220050370566446E-2</v>
      </c>
      <c r="K260" s="75">
        <f t="shared" si="32"/>
        <v>4.7049317952367338E-4</v>
      </c>
      <c r="P260" s="8">
        <v>2.1525062963208058E-3</v>
      </c>
      <c r="R260" s="73">
        <f t="shared" si="33"/>
        <v>5.8811647440459172E-5</v>
      </c>
      <c r="S260" s="71">
        <f t="shared" si="34"/>
        <v>5.8924296231875408E-5</v>
      </c>
      <c r="T260" s="74">
        <f t="shared" si="35"/>
        <v>8.7190266893978907E-2</v>
      </c>
      <c r="U260" s="75">
        <f t="shared" si="36"/>
        <v>2.3822477293436858E-3</v>
      </c>
      <c r="V260" s="60">
        <f>VLOOKUP(B260,metadata!$B$11:$BN$301,29,FALSE)*VLOOKUP(B260,metadata!$B$11:$BN$301,36,FALSE)*1000-T260</f>
        <v>36.512809733106025</v>
      </c>
      <c r="W260" s="76">
        <f t="shared" si="31"/>
        <v>0.9976177522706563</v>
      </c>
    </row>
    <row r="261" spans="2:23" x14ac:dyDescent="0.3">
      <c r="B261">
        <v>19</v>
      </c>
      <c r="C261">
        <v>5</v>
      </c>
      <c r="D261">
        <v>30</v>
      </c>
      <c r="E261"/>
      <c r="I261" s="72">
        <f t="shared" si="37"/>
        <v>1.8615145061408142E-2</v>
      </c>
      <c r="K261" s="75">
        <f t="shared" si="32"/>
        <v>5.0861052080350118E-4</v>
      </c>
      <c r="P261" s="8">
        <v>1.3296532186720101E-3</v>
      </c>
      <c r="R261" s="73">
        <f t="shared" si="33"/>
        <v>3.6329322914535793E-5</v>
      </c>
      <c r="S261" s="71">
        <f t="shared" si="34"/>
        <v>3.6416075026579471E-5</v>
      </c>
      <c r="T261" s="74">
        <f t="shared" si="35"/>
        <v>0.10580541195538705</v>
      </c>
      <c r="U261" s="75">
        <f t="shared" si="36"/>
        <v>2.8908582501471869E-3</v>
      </c>
      <c r="V261" s="60">
        <f>VLOOKUP(B261,metadata!$B$11:$BN$301,29,FALSE)*VLOOKUP(B261,metadata!$B$11:$BN$301,36,FALSE)*1000-T261</f>
        <v>36.494194588044614</v>
      </c>
      <c r="W261" s="76">
        <f t="shared" si="31"/>
        <v>0.99710914174985277</v>
      </c>
    </row>
    <row r="262" spans="2:23" x14ac:dyDescent="0.3">
      <c r="B262">
        <v>19</v>
      </c>
      <c r="C262">
        <v>5</v>
      </c>
      <c r="D262">
        <v>51</v>
      </c>
      <c r="E262"/>
      <c r="I262" s="72">
        <f t="shared" si="37"/>
        <v>1.416016266167412E-2</v>
      </c>
      <c r="K262" s="75">
        <f t="shared" si="32"/>
        <v>3.868896902096754E-4</v>
      </c>
      <c r="P262" s="8">
        <v>6.7429346007972005E-4</v>
      </c>
      <c r="R262" s="73">
        <f t="shared" si="33"/>
        <v>1.8423318581413115E-5</v>
      </c>
      <c r="S262" s="71">
        <f t="shared" si="34"/>
        <v>1.8476732195115123E-5</v>
      </c>
      <c r="T262" s="74">
        <f t="shared" si="35"/>
        <v>0.11996557461706117</v>
      </c>
      <c r="U262" s="75">
        <f t="shared" si="36"/>
        <v>3.2777479403568624E-3</v>
      </c>
      <c r="V262" s="60">
        <f>VLOOKUP(B262,metadata!$B$11:$BN$301,29,FALSE)*VLOOKUP(B262,metadata!$B$11:$BN$301,36,FALSE)*1000-T262</f>
        <v>36.480034425382939</v>
      </c>
      <c r="W262" s="76">
        <f t="shared" si="31"/>
        <v>0.99672225205964315</v>
      </c>
    </row>
    <row r="263" spans="2:23" x14ac:dyDescent="0.3">
      <c r="B263">
        <v>19</v>
      </c>
      <c r="C263">
        <v>5</v>
      </c>
      <c r="D263">
        <v>80</v>
      </c>
      <c r="E263"/>
      <c r="I263" s="72">
        <f t="shared" si="37"/>
        <v>1.7759738065404495E-2</v>
      </c>
      <c r="K263" s="75">
        <f t="shared" si="32"/>
        <v>4.8523874495640692E-4</v>
      </c>
      <c r="P263" s="8">
        <v>6.1240476087601702E-4</v>
      </c>
      <c r="R263" s="73">
        <f t="shared" si="33"/>
        <v>1.6732370515738169E-5</v>
      </c>
      <c r="S263" s="71">
        <f t="shared" si="34"/>
        <v>1.6787395366324095E-5</v>
      </c>
      <c r="T263" s="74">
        <f t="shared" si="35"/>
        <v>0.13772531268246566</v>
      </c>
      <c r="U263" s="75">
        <f t="shared" si="36"/>
        <v>3.7629866853132691E-3</v>
      </c>
      <c r="V263" s="60">
        <f>VLOOKUP(B263,metadata!$B$11:$BN$301,29,FALSE)*VLOOKUP(B263,metadata!$B$11:$BN$301,36,FALSE)*1000-T263</f>
        <v>36.462274687317539</v>
      </c>
      <c r="W263" s="76">
        <f t="shared" si="31"/>
        <v>0.99623701331468673</v>
      </c>
    </row>
    <row r="264" spans="2:23" x14ac:dyDescent="0.3">
      <c r="B264">
        <v>19</v>
      </c>
      <c r="C264">
        <v>5</v>
      </c>
      <c r="D264">
        <v>183</v>
      </c>
      <c r="E264"/>
      <c r="I264" s="72">
        <f t="shared" si="37"/>
        <v>8.3164887369642254E-2</v>
      </c>
      <c r="K264" s="75">
        <f t="shared" si="32"/>
        <v>2.2722646822306626E-3</v>
      </c>
      <c r="P264" s="8">
        <v>8.0742609096740058E-4</v>
      </c>
      <c r="R264" s="73">
        <f t="shared" si="33"/>
        <v>2.2060822157579249E-5</v>
      </c>
      <c r="S264" s="71">
        <f t="shared" si="34"/>
        <v>2.2144150300316918E-5</v>
      </c>
      <c r="T264" s="74">
        <f t="shared" si="35"/>
        <v>0.22089020005210791</v>
      </c>
      <c r="U264" s="75">
        <f t="shared" si="36"/>
        <v>6.0352513675439321E-3</v>
      </c>
      <c r="V264" s="60">
        <f>VLOOKUP(B264,metadata!$B$11:$BN$301,29,FALSE)*VLOOKUP(B264,metadata!$B$11:$BN$301,36,FALSE)*1000-T264</f>
        <v>36.379109799947891</v>
      </c>
      <c r="W264" s="76">
        <f t="shared" si="31"/>
        <v>0.9939647486324561</v>
      </c>
    </row>
    <row r="265" spans="2:23" x14ac:dyDescent="0.3">
      <c r="B265">
        <v>19</v>
      </c>
      <c r="C265">
        <v>5</v>
      </c>
      <c r="D265">
        <v>231</v>
      </c>
      <c r="E265"/>
      <c r="I265" s="72">
        <f t="shared" si="37"/>
        <v>1.7012077786310982E-2</v>
      </c>
      <c r="K265" s="75">
        <f t="shared" si="32"/>
        <v>4.6481086847844212E-4</v>
      </c>
      <c r="P265" s="8">
        <v>3.5441828721481216E-4</v>
      </c>
      <c r="R265" s="73">
        <f t="shared" si="33"/>
        <v>9.6835597599675447E-6</v>
      </c>
      <c r="S265" s="71">
        <f t="shared" si="34"/>
        <v>9.7423573353991152E-6</v>
      </c>
      <c r="T265" s="74">
        <f t="shared" si="35"/>
        <v>0.23790227783841889</v>
      </c>
      <c r="U265" s="75">
        <f t="shared" si="36"/>
        <v>6.5000622360223735E-3</v>
      </c>
      <c r="V265" s="60">
        <f>VLOOKUP(B265,metadata!$B$11:$BN$301,29,FALSE)*VLOOKUP(B265,metadata!$B$11:$BN$301,36,FALSE)*1000-T265</f>
        <v>36.362097722161586</v>
      </c>
      <c r="W265" s="76">
        <f t="shared" si="31"/>
        <v>0.9934999377639776</v>
      </c>
    </row>
    <row r="266" spans="2:23" x14ac:dyDescent="0.3">
      <c r="B266">
        <v>19</v>
      </c>
      <c r="C266">
        <v>5</v>
      </c>
      <c r="D266">
        <v>263</v>
      </c>
      <c r="E266"/>
      <c r="I266" s="72">
        <f t="shared" si="37"/>
        <v>8.8469933006157069E-3</v>
      </c>
      <c r="K266" s="75">
        <f t="shared" si="32"/>
        <v>2.4172112843212312E-4</v>
      </c>
      <c r="P266" s="8">
        <v>2.7646854064424084E-4</v>
      </c>
      <c r="R266" s="73">
        <f t="shared" si="33"/>
        <v>7.5537852635038474E-6</v>
      </c>
      <c r="S266" s="71">
        <f t="shared" si="34"/>
        <v>7.6032065794636961E-6</v>
      </c>
      <c r="T266" s="74">
        <f t="shared" si="35"/>
        <v>0.24674927113903458</v>
      </c>
      <c r="U266" s="75">
        <f t="shared" si="36"/>
        <v>6.7417833644544964E-3</v>
      </c>
      <c r="V266" s="60">
        <f>VLOOKUP(B266,metadata!$B$11:$BN$301,29,FALSE)*VLOOKUP(B266,metadata!$B$11:$BN$301,36,FALSE)*1000-T266</f>
        <v>36.353250728860964</v>
      </c>
      <c r="W266" s="76">
        <f t="shared" si="31"/>
        <v>0.99325821663554548</v>
      </c>
    </row>
    <row r="267" spans="2:23" x14ac:dyDescent="0.3">
      <c r="B267">
        <v>19</v>
      </c>
      <c r="C267">
        <v>5</v>
      </c>
      <c r="D267">
        <v>365</v>
      </c>
      <c r="E267"/>
      <c r="I267" s="72">
        <f t="shared" si="37"/>
        <v>3.3304207850388338E-2</v>
      </c>
      <c r="K267" s="75">
        <f t="shared" si="32"/>
        <v>9.0995103416361572E-4</v>
      </c>
      <c r="P267" s="8">
        <v>3.2651184167047391E-4</v>
      </c>
      <c r="R267" s="73">
        <f t="shared" si="33"/>
        <v>8.921088570231527E-6</v>
      </c>
      <c r="S267" s="71">
        <f t="shared" si="34"/>
        <v>8.9816408470798762E-6</v>
      </c>
      <c r="T267" s="74">
        <f t="shared" si="35"/>
        <v>0.2800534789894229</v>
      </c>
      <c r="U267" s="75">
        <f t="shared" si="36"/>
        <v>7.6517343986181119E-3</v>
      </c>
      <c r="V267" s="60">
        <f>VLOOKUP(B267,metadata!$B$11:$BN$301,29,FALSE)*VLOOKUP(B267,metadata!$B$11:$BN$301,36,FALSE)*1000-T267</f>
        <v>36.319946521010579</v>
      </c>
      <c r="W267" s="76">
        <f t="shared" si="31"/>
        <v>0.9923482656013819</v>
      </c>
    </row>
    <row r="268" spans="2:23" x14ac:dyDescent="0.3">
      <c r="B268">
        <v>19</v>
      </c>
      <c r="C268">
        <v>5</v>
      </c>
      <c r="D268">
        <v>423</v>
      </c>
      <c r="E268"/>
      <c r="I268" s="72">
        <f t="shared" si="37"/>
        <v>1.8214563288674018E-2</v>
      </c>
      <c r="K268" s="75">
        <f t="shared" si="32"/>
        <v>4.9766566362497312E-4</v>
      </c>
      <c r="P268" s="8">
        <v>3.1404419463231068E-4</v>
      </c>
      <c r="R268" s="73">
        <f t="shared" si="33"/>
        <v>8.5804424762926418E-6</v>
      </c>
      <c r="S268" s="71">
        <f t="shared" si="34"/>
        <v>8.6466039935009403E-6</v>
      </c>
      <c r="T268" s="74">
        <f t="shared" si="35"/>
        <v>0.29826804227809689</v>
      </c>
      <c r="U268" s="75">
        <f t="shared" si="36"/>
        <v>8.1494000622430833E-3</v>
      </c>
      <c r="V268" s="60">
        <f>VLOOKUP(B268,metadata!$B$11:$BN$301,29,FALSE)*VLOOKUP(B268,metadata!$B$11:$BN$301,36,FALSE)*1000-T268</f>
        <v>36.301731957721906</v>
      </c>
      <c r="W268" s="76">
        <f t="shared" si="31"/>
        <v>0.99185059993775693</v>
      </c>
    </row>
    <row r="269" spans="2:23" x14ac:dyDescent="0.3">
      <c r="B269">
        <v>19</v>
      </c>
      <c r="C269">
        <v>5</v>
      </c>
      <c r="D269">
        <v>463</v>
      </c>
      <c r="E269"/>
      <c r="I269" s="72">
        <f t="shared" si="37"/>
        <v>2.2303347591789431E-2</v>
      </c>
      <c r="K269" s="75">
        <f t="shared" si="32"/>
        <v>6.0938108174288057E-4</v>
      </c>
      <c r="P269" s="8">
        <v>5.5758368979473582E-4</v>
      </c>
      <c r="R269" s="73">
        <f t="shared" si="33"/>
        <v>1.5234527043572017E-5</v>
      </c>
      <c r="S269" s="71">
        <f t="shared" si="34"/>
        <v>1.5359699378644377E-5</v>
      </c>
      <c r="T269" s="74">
        <f t="shared" si="35"/>
        <v>0.32057138986988631</v>
      </c>
      <c r="U269" s="75">
        <f t="shared" si="36"/>
        <v>8.758781143985964E-3</v>
      </c>
      <c r="V269" s="60">
        <f>VLOOKUP(B269,metadata!$B$11:$BN$301,29,FALSE)*VLOOKUP(B269,metadata!$B$11:$BN$301,36,FALSE)*1000-T269</f>
        <v>36.279428610130118</v>
      </c>
      <c r="W269" s="76">
        <f t="shared" si="31"/>
        <v>0.99124121885601402</v>
      </c>
    </row>
    <row r="270" spans="2:23" x14ac:dyDescent="0.3">
      <c r="B270">
        <v>19</v>
      </c>
      <c r="C270">
        <v>5</v>
      </c>
      <c r="D270">
        <v>550</v>
      </c>
      <c r="E270"/>
      <c r="I270" s="72">
        <f t="shared" si="37"/>
        <v>3.5877724139609275E-2</v>
      </c>
      <c r="K270" s="75">
        <f t="shared" si="32"/>
        <v>9.8026568687457037E-4</v>
      </c>
      <c r="P270" s="8">
        <v>4.1238763378861237E-4</v>
      </c>
      <c r="R270" s="73">
        <f t="shared" si="33"/>
        <v>1.1267421688213452E-5</v>
      </c>
      <c r="S270" s="71">
        <f t="shared" si="34"/>
        <v>1.1366982601083842E-5</v>
      </c>
      <c r="T270" s="74">
        <f t="shared" si="35"/>
        <v>0.35644911400949558</v>
      </c>
      <c r="U270" s="75">
        <f t="shared" si="36"/>
        <v>9.7390468308605344E-3</v>
      </c>
      <c r="V270" s="60">
        <f>VLOOKUP(B270,metadata!$B$11:$BN$301,29,FALSE)*VLOOKUP(B270,metadata!$B$11:$BN$301,36,FALSE)*1000-T270</f>
        <v>36.243550885990508</v>
      </c>
      <c r="W270" s="76">
        <f t="shared" si="31"/>
        <v>0.99026095316913942</v>
      </c>
    </row>
    <row r="271" spans="2:23" x14ac:dyDescent="0.3">
      <c r="B271">
        <v>19</v>
      </c>
      <c r="C271">
        <v>5</v>
      </c>
      <c r="D271">
        <v>640</v>
      </c>
      <c r="E271"/>
      <c r="I271" s="72">
        <f t="shared" si="37"/>
        <v>7.5215160440566323E-2</v>
      </c>
      <c r="K271" s="75">
        <f t="shared" si="32"/>
        <v>2.0550590284307739E-3</v>
      </c>
      <c r="P271" s="8">
        <v>8.357240048951813E-4</v>
      </c>
      <c r="R271" s="73">
        <f t="shared" si="33"/>
        <v>2.2833989204786375E-5</v>
      </c>
      <c r="S271" s="71">
        <f t="shared" si="34"/>
        <v>2.3058557576879699E-5</v>
      </c>
      <c r="T271" s="74">
        <f t="shared" si="35"/>
        <v>0.43166427445006189</v>
      </c>
      <c r="U271" s="75">
        <f t="shared" si="36"/>
        <v>1.1794105859291307E-2</v>
      </c>
      <c r="V271" s="60">
        <f>VLOOKUP(B271,metadata!$B$11:$BN$301,29,FALSE)*VLOOKUP(B271,metadata!$B$11:$BN$301,36,FALSE)*1000-T271</f>
        <v>36.168335725549937</v>
      </c>
      <c r="W271" s="76">
        <f t="shared" si="31"/>
        <v>0.9882058941407087</v>
      </c>
    </row>
    <row r="272" spans="2:23" x14ac:dyDescent="0.3">
      <c r="B272">
        <v>19</v>
      </c>
      <c r="C272">
        <v>5</v>
      </c>
      <c r="D272">
        <v>730</v>
      </c>
      <c r="E272"/>
      <c r="I272" s="72">
        <f t="shared" si="37"/>
        <v>4.7288649785865937E-2</v>
      </c>
      <c r="K272" s="75">
        <f t="shared" si="32"/>
        <v>1.2920396116356814E-3</v>
      </c>
      <c r="P272" s="8">
        <v>5.2542944206517711E-4</v>
      </c>
      <c r="R272" s="73">
        <f t="shared" si="33"/>
        <v>1.4355995684840904E-5</v>
      </c>
      <c r="S272" s="71">
        <f t="shared" si="34"/>
        <v>1.4527332583180063E-5</v>
      </c>
      <c r="T272" s="74">
        <f t="shared" si="35"/>
        <v>0.47895292423592783</v>
      </c>
      <c r="U272" s="75">
        <f t="shared" si="36"/>
        <v>1.3086145470926989E-2</v>
      </c>
      <c r="V272" s="60">
        <f>VLOOKUP(B272,metadata!$B$11:$BN$301,29,FALSE)*VLOOKUP(B272,metadata!$B$11:$BN$301,36,FALSE)*1000-T272</f>
        <v>36.121047075764075</v>
      </c>
      <c r="W272" s="76">
        <f t="shared" si="31"/>
        <v>0.98691385452907299</v>
      </c>
    </row>
    <row r="273" spans="2:23" x14ac:dyDescent="0.3">
      <c r="B273">
        <v>20</v>
      </c>
      <c r="C273">
        <v>5</v>
      </c>
      <c r="D273">
        <v>0</v>
      </c>
      <c r="E273"/>
      <c r="I273" s="72">
        <f t="shared" si="37"/>
        <v>0</v>
      </c>
      <c r="K273" s="75">
        <f t="shared" si="32"/>
        <v>0</v>
      </c>
      <c r="P273" s="8"/>
      <c r="R273" s="73">
        <f t="shared" si="33"/>
        <v>0</v>
      </c>
      <c r="S273" s="71">
        <f t="shared" si="34"/>
        <v>0</v>
      </c>
      <c r="T273" s="74">
        <f t="shared" si="35"/>
        <v>0</v>
      </c>
      <c r="U273" s="75">
        <f t="shared" si="36"/>
        <v>0</v>
      </c>
      <c r="V273" s="60">
        <f>VLOOKUP(B273,metadata!$B$11:$BN$301,29,FALSE)*VLOOKUP(B273,metadata!$B$11:$BN$301,36,FALSE)*1000-T273</f>
        <v>13.48</v>
      </c>
      <c r="W273" s="76">
        <f t="shared" si="31"/>
        <v>1</v>
      </c>
    </row>
    <row r="274" spans="2:23" x14ac:dyDescent="0.3">
      <c r="B274">
        <v>20</v>
      </c>
      <c r="C274">
        <v>5</v>
      </c>
      <c r="D274">
        <v>3</v>
      </c>
      <c r="E274"/>
      <c r="I274" s="72">
        <f t="shared" si="37"/>
        <v>1.1957612303333406E-2</v>
      </c>
      <c r="K274" s="75">
        <f t="shared" si="32"/>
        <v>8.8706322725025269E-4</v>
      </c>
      <c r="P274" s="8">
        <v>3.9858707677778021E-3</v>
      </c>
      <c r="R274" s="73">
        <f t="shared" si="33"/>
        <v>2.956877424167509E-4</v>
      </c>
      <c r="S274" s="71">
        <f t="shared" si="34"/>
        <v>2.956877424167509E-4</v>
      </c>
      <c r="T274" s="74">
        <f t="shared" si="35"/>
        <v>1.1957612303333406E-2</v>
      </c>
      <c r="U274" s="75">
        <f t="shared" si="36"/>
        <v>8.8706322725025269E-4</v>
      </c>
      <c r="V274" s="60">
        <f>VLOOKUP(B274,metadata!$B$11:$BN$301,29,FALSE)*VLOOKUP(B274,metadata!$B$11:$BN$301,36,FALSE)*1000-T274</f>
        <v>13.468042387696666</v>
      </c>
      <c r="W274" s="76">
        <f t="shared" si="31"/>
        <v>0.9991129367727497</v>
      </c>
    </row>
    <row r="275" spans="2:23" x14ac:dyDescent="0.3">
      <c r="B275">
        <v>20</v>
      </c>
      <c r="C275">
        <v>5</v>
      </c>
      <c r="D275">
        <v>9</v>
      </c>
      <c r="E275"/>
      <c r="I275" s="72">
        <f t="shared" si="37"/>
        <v>1.2671883797956904E-2</v>
      </c>
      <c r="K275" s="75">
        <f t="shared" si="32"/>
        <v>9.4005072685140231E-4</v>
      </c>
      <c r="P275" s="8">
        <v>2.1119806329928173E-3</v>
      </c>
      <c r="R275" s="73">
        <f t="shared" si="33"/>
        <v>1.5667512114190038E-4</v>
      </c>
      <c r="S275" s="71">
        <f t="shared" si="34"/>
        <v>1.5681422527465128E-4</v>
      </c>
      <c r="T275" s="74">
        <f t="shared" si="35"/>
        <v>2.462949610129031E-2</v>
      </c>
      <c r="U275" s="75">
        <f t="shared" si="36"/>
        <v>1.8271139541016551E-3</v>
      </c>
      <c r="V275" s="60">
        <f>VLOOKUP(B275,metadata!$B$11:$BN$301,29,FALSE)*VLOOKUP(B275,metadata!$B$11:$BN$301,36,FALSE)*1000-T275</f>
        <v>13.45537050389871</v>
      </c>
      <c r="W275" s="76">
        <f t="shared" si="31"/>
        <v>0.99817288604589838</v>
      </c>
    </row>
    <row r="276" spans="2:23" x14ac:dyDescent="0.3">
      <c r="B276">
        <v>20</v>
      </c>
      <c r="C276">
        <v>5</v>
      </c>
      <c r="D276">
        <v>18</v>
      </c>
      <c r="E276"/>
      <c r="I276" s="72">
        <f t="shared" si="37"/>
        <v>5.9452023468076747E-3</v>
      </c>
      <c r="K276" s="75">
        <f t="shared" si="32"/>
        <v>4.4103874976318062E-4</v>
      </c>
      <c r="P276" s="8">
        <v>6.6057803853418603E-4</v>
      </c>
      <c r="R276" s="73">
        <f t="shared" si="33"/>
        <v>4.9004305529242287E-5</v>
      </c>
      <c r="S276" s="71">
        <f t="shared" si="34"/>
        <v>4.9094005872434559E-5</v>
      </c>
      <c r="T276" s="74">
        <f t="shared" si="35"/>
        <v>3.0574698448097987E-2</v>
      </c>
      <c r="U276" s="75">
        <f t="shared" si="36"/>
        <v>2.2681527038648356E-3</v>
      </c>
      <c r="V276" s="60">
        <f>VLOOKUP(B276,metadata!$B$11:$BN$301,29,FALSE)*VLOOKUP(B276,metadata!$B$11:$BN$301,36,FALSE)*1000-T276</f>
        <v>13.449425301551903</v>
      </c>
      <c r="W276" s="76">
        <f t="shared" si="31"/>
        <v>0.99773184729613518</v>
      </c>
    </row>
    <row r="277" spans="2:23" x14ac:dyDescent="0.3">
      <c r="B277">
        <v>20</v>
      </c>
      <c r="C277">
        <v>5</v>
      </c>
      <c r="D277">
        <v>38</v>
      </c>
      <c r="E277"/>
      <c r="I277" s="72">
        <f t="shared" si="37"/>
        <v>5.8211715182931211E-3</v>
      </c>
      <c r="K277" s="75">
        <f t="shared" si="32"/>
        <v>4.3183764972500895E-4</v>
      </c>
      <c r="P277" s="8">
        <v>2.9105857591465604E-4</v>
      </c>
      <c r="R277" s="73">
        <f t="shared" si="33"/>
        <v>2.1591882486250447E-5</v>
      </c>
      <c r="S277" s="71">
        <f t="shared" si="34"/>
        <v>2.1640967505211644E-5</v>
      </c>
      <c r="T277" s="74">
        <f t="shared" si="35"/>
        <v>3.639586996639111E-2</v>
      </c>
      <c r="U277" s="75">
        <f t="shared" si="36"/>
        <v>2.6999903535898451E-3</v>
      </c>
      <c r="V277" s="60">
        <f>VLOOKUP(B277,metadata!$B$11:$BN$301,29,FALSE)*VLOOKUP(B277,metadata!$B$11:$BN$301,36,FALSE)*1000-T277</f>
        <v>13.443604130033609</v>
      </c>
      <c r="W277" s="76">
        <f t="shared" ref="W277:W340" si="38">100%-U277</f>
        <v>0.99730000964641019</v>
      </c>
    </row>
    <row r="278" spans="2:23" x14ac:dyDescent="0.3">
      <c r="B278">
        <v>20</v>
      </c>
      <c r="C278">
        <v>5</v>
      </c>
      <c r="D278">
        <v>94</v>
      </c>
      <c r="E278"/>
      <c r="I278" s="72">
        <f t="shared" si="37"/>
        <v>2.2416551609411743E-2</v>
      </c>
      <c r="K278" s="75">
        <f t="shared" ref="K278:K341" si="39">I278/(V278+T278)</f>
        <v>1.6629489324489423E-3</v>
      </c>
      <c r="P278" s="8">
        <v>4.0029556445378114E-4</v>
      </c>
      <c r="R278" s="73">
        <f t="shared" ref="R278:R341" si="40">P278/(T278+V278)</f>
        <v>2.9695516650873972E-5</v>
      </c>
      <c r="S278" s="71">
        <f t="shared" ref="S278:S341" si="41">IF(D278&gt;D277,P278/V277,0)</f>
        <v>2.9775911324218707E-5</v>
      </c>
      <c r="T278" s="74">
        <f t="shared" ref="T278:T341" si="42">IF(D278&gt;D277,T277+I278,I278)</f>
        <v>5.8812421575802853E-2</v>
      </c>
      <c r="U278" s="75">
        <f t="shared" ref="U278:U341" si="43">T278/(T278+V278)</f>
        <v>4.362939286038787E-3</v>
      </c>
      <c r="V278" s="60">
        <f>VLOOKUP(B278,metadata!$B$11:$BN$301,29,FALSE)*VLOOKUP(B278,metadata!$B$11:$BN$301,36,FALSE)*1000-T278</f>
        <v>13.421187578424197</v>
      </c>
      <c r="W278" s="76">
        <f t="shared" si="38"/>
        <v>0.99563706071396119</v>
      </c>
    </row>
    <row r="279" spans="2:23" x14ac:dyDescent="0.3">
      <c r="B279">
        <v>20</v>
      </c>
      <c r="C279">
        <v>5</v>
      </c>
      <c r="D279">
        <v>183</v>
      </c>
      <c r="E279"/>
      <c r="I279" s="72">
        <f t="shared" ref="I279:I342" si="44">P279*IF(D279&gt;D278,(D279-D278),(D279-0))</f>
        <v>2.4443664736211429E-2</v>
      </c>
      <c r="K279" s="75">
        <f t="shared" si="39"/>
        <v>1.8133282445260703E-3</v>
      </c>
      <c r="P279" s="8">
        <v>2.7464791838439809E-4</v>
      </c>
      <c r="R279" s="73">
        <f t="shared" si="40"/>
        <v>2.0374474657596297E-5</v>
      </c>
      <c r="S279" s="71">
        <f t="shared" si="41"/>
        <v>2.0463756786017957E-5</v>
      </c>
      <c r="T279" s="74">
        <f t="shared" si="42"/>
        <v>8.3256086312014282E-2</v>
      </c>
      <c r="U279" s="75">
        <f t="shared" si="43"/>
        <v>6.1762675305648577E-3</v>
      </c>
      <c r="V279" s="60">
        <f>VLOOKUP(B279,metadata!$B$11:$BN$301,29,FALSE)*VLOOKUP(B279,metadata!$B$11:$BN$301,36,FALSE)*1000-T279</f>
        <v>13.396743913687986</v>
      </c>
      <c r="W279" s="76">
        <f t="shared" si="38"/>
        <v>0.99382373246943512</v>
      </c>
    </row>
    <row r="280" spans="2:23" x14ac:dyDescent="0.3">
      <c r="B280">
        <v>20</v>
      </c>
      <c r="C280">
        <v>5</v>
      </c>
      <c r="D280">
        <v>276</v>
      </c>
      <c r="E280"/>
      <c r="I280" s="72">
        <f t="shared" si="44"/>
        <v>1.5639075045476854E-2</v>
      </c>
      <c r="K280" s="75">
        <f t="shared" si="39"/>
        <v>1.1601687719196478E-3</v>
      </c>
      <c r="P280" s="8">
        <v>1.6816209726319199E-4</v>
      </c>
      <c r="R280" s="73">
        <f t="shared" si="40"/>
        <v>1.2474933031394063E-5</v>
      </c>
      <c r="S280" s="71">
        <f t="shared" si="41"/>
        <v>1.2552460384898012E-5</v>
      </c>
      <c r="T280" s="74">
        <f t="shared" si="42"/>
        <v>9.8895161357491129E-2</v>
      </c>
      <c r="U280" s="75">
        <f t="shared" si="43"/>
        <v>7.3364363024845053E-3</v>
      </c>
      <c r="V280" s="60">
        <f>VLOOKUP(B280,metadata!$B$11:$BN$301,29,FALSE)*VLOOKUP(B280,metadata!$B$11:$BN$301,36,FALSE)*1000-T280</f>
        <v>13.381104838642509</v>
      </c>
      <c r="W280" s="76">
        <f t="shared" si="38"/>
        <v>0.99266356369751552</v>
      </c>
    </row>
    <row r="281" spans="2:23" x14ac:dyDescent="0.3">
      <c r="B281">
        <v>20</v>
      </c>
      <c r="C281">
        <v>5</v>
      </c>
      <c r="D281">
        <v>365</v>
      </c>
      <c r="E281"/>
      <c r="I281" s="72">
        <f t="shared" si="44"/>
        <v>6.3158264708721105E-3</v>
      </c>
      <c r="K281" s="75">
        <f t="shared" si="39"/>
        <v>4.6853312098457791E-4</v>
      </c>
      <c r="P281" s="8">
        <v>7.0964342369349553E-5</v>
      </c>
      <c r="R281" s="73">
        <f t="shared" si="40"/>
        <v>5.2644170897143584E-6</v>
      </c>
      <c r="S281" s="71">
        <f t="shared" si="41"/>
        <v>5.3033245927806933E-6</v>
      </c>
      <c r="T281" s="74">
        <f t="shared" si="42"/>
        <v>0.10521098782836324</v>
      </c>
      <c r="U281" s="75">
        <f t="shared" si="43"/>
        <v>7.8049694234690829E-3</v>
      </c>
      <c r="V281" s="60">
        <f>VLOOKUP(B281,metadata!$B$11:$BN$301,29,FALSE)*VLOOKUP(B281,metadata!$B$11:$BN$301,36,FALSE)*1000-T281</f>
        <v>13.374789012171638</v>
      </c>
      <c r="W281" s="76">
        <f t="shared" si="38"/>
        <v>0.99219503057653091</v>
      </c>
    </row>
    <row r="282" spans="2:23" x14ac:dyDescent="0.3">
      <c r="B282">
        <v>20</v>
      </c>
      <c r="C282">
        <v>5</v>
      </c>
      <c r="D282">
        <v>498</v>
      </c>
      <c r="E282"/>
      <c r="I282" s="72">
        <f t="shared" si="44"/>
        <v>1.534907101729583E-2</v>
      </c>
      <c r="K282" s="75">
        <f t="shared" si="39"/>
        <v>1.1386551199774355E-3</v>
      </c>
      <c r="P282" s="8">
        <v>1.1540654900222428E-4</v>
      </c>
      <c r="R282" s="73">
        <f t="shared" si="40"/>
        <v>8.5613166915596645E-6</v>
      </c>
      <c r="S282" s="71">
        <f t="shared" si="41"/>
        <v>8.6286631435605697E-6</v>
      </c>
      <c r="T282" s="74">
        <f t="shared" si="42"/>
        <v>0.12056005884565907</v>
      </c>
      <c r="U282" s="75">
        <f t="shared" si="43"/>
        <v>8.9436245434465177E-3</v>
      </c>
      <c r="V282" s="60">
        <f>VLOOKUP(B282,metadata!$B$11:$BN$301,29,FALSE)*VLOOKUP(B282,metadata!$B$11:$BN$301,36,FALSE)*1000-T282</f>
        <v>13.359439941154342</v>
      </c>
      <c r="W282" s="76">
        <f t="shared" si="38"/>
        <v>0.99105637545655345</v>
      </c>
    </row>
    <row r="283" spans="2:23" x14ac:dyDescent="0.3">
      <c r="B283">
        <v>20</v>
      </c>
      <c r="C283">
        <v>5</v>
      </c>
      <c r="D283">
        <v>550</v>
      </c>
      <c r="E283"/>
      <c r="I283" s="72">
        <f t="shared" si="44"/>
        <v>2.8337199715735241E-3</v>
      </c>
      <c r="K283" s="75">
        <f t="shared" si="39"/>
        <v>2.1021661510189346E-4</v>
      </c>
      <c r="P283" s="8">
        <v>5.4494614837952385E-5</v>
      </c>
      <c r="R283" s="73">
        <f t="shared" si="40"/>
        <v>4.0426272134979516E-6</v>
      </c>
      <c r="S283" s="71">
        <f t="shared" si="41"/>
        <v>4.0791092349672031E-6</v>
      </c>
      <c r="T283" s="74">
        <f t="shared" si="42"/>
        <v>0.1233937788172326</v>
      </c>
      <c r="U283" s="75">
        <f t="shared" si="43"/>
        <v>9.1538411585484116E-3</v>
      </c>
      <c r="V283" s="60">
        <f>VLOOKUP(B283,metadata!$B$11:$BN$301,29,FALSE)*VLOOKUP(B283,metadata!$B$11:$BN$301,36,FALSE)*1000-T283</f>
        <v>13.356606221182767</v>
      </c>
      <c r="W283" s="76">
        <f t="shared" si="38"/>
        <v>0.99084615884145155</v>
      </c>
    </row>
    <row r="284" spans="2:23" x14ac:dyDescent="0.3">
      <c r="B284">
        <v>20</v>
      </c>
      <c r="C284">
        <v>5</v>
      </c>
      <c r="D284">
        <v>671</v>
      </c>
      <c r="E284"/>
      <c r="I284" s="72">
        <f t="shared" si="44"/>
        <v>1.5111743937514155E-2</v>
      </c>
      <c r="K284" s="75">
        <f t="shared" si="39"/>
        <v>1.1210492535247889E-3</v>
      </c>
      <c r="P284" s="8">
        <v>1.2489044576457979E-4</v>
      </c>
      <c r="R284" s="73">
        <f t="shared" si="40"/>
        <v>9.2648698638412304E-6</v>
      </c>
      <c r="S284" s="71">
        <f t="shared" si="41"/>
        <v>9.3504625124390604E-6</v>
      </c>
      <c r="T284" s="74">
        <f t="shared" si="42"/>
        <v>0.13850552275474676</v>
      </c>
      <c r="U284" s="75">
        <f t="shared" si="43"/>
        <v>1.0274890412073202E-2</v>
      </c>
      <c r="V284" s="60">
        <f>VLOOKUP(B284,metadata!$B$11:$BN$301,29,FALSE)*VLOOKUP(B284,metadata!$B$11:$BN$301,36,FALSE)*1000-T284</f>
        <v>13.341494477245254</v>
      </c>
      <c r="W284" s="76">
        <f t="shared" si="38"/>
        <v>0.98972510958792681</v>
      </c>
    </row>
    <row r="285" spans="2:23" x14ac:dyDescent="0.3">
      <c r="B285">
        <v>20</v>
      </c>
      <c r="C285">
        <v>5</v>
      </c>
      <c r="D285">
        <v>730</v>
      </c>
      <c r="E285"/>
      <c r="I285" s="72">
        <f t="shared" si="44"/>
        <v>8.5892793574481163E-3</v>
      </c>
      <c r="K285" s="75">
        <f t="shared" si="39"/>
        <v>6.3718689595312428E-4</v>
      </c>
      <c r="P285" s="8">
        <v>1.4558100605844266E-4</v>
      </c>
      <c r="R285" s="73">
        <f t="shared" si="40"/>
        <v>1.0799777897510583E-5</v>
      </c>
      <c r="S285" s="71">
        <f t="shared" si="41"/>
        <v>1.0911896437594761E-5</v>
      </c>
      <c r="T285" s="74">
        <f t="shared" si="42"/>
        <v>0.14709480211219486</v>
      </c>
      <c r="U285" s="75">
        <f t="shared" si="43"/>
        <v>1.0912077308026324E-2</v>
      </c>
      <c r="V285" s="60">
        <f>VLOOKUP(B285,metadata!$B$11:$BN$301,29,FALSE)*VLOOKUP(B285,metadata!$B$11:$BN$301,36,FALSE)*1000-T285</f>
        <v>13.332905197887806</v>
      </c>
      <c r="W285" s="76">
        <f t="shared" si="38"/>
        <v>0.98908792269197365</v>
      </c>
    </row>
    <row r="286" spans="2:23" x14ac:dyDescent="0.3">
      <c r="B286">
        <v>21</v>
      </c>
      <c r="C286">
        <v>5</v>
      </c>
      <c r="D286">
        <v>0</v>
      </c>
      <c r="E286"/>
      <c r="I286" s="72">
        <f t="shared" si="44"/>
        <v>0</v>
      </c>
      <c r="K286" s="75">
        <f t="shared" si="39"/>
        <v>0</v>
      </c>
      <c r="P286" s="8"/>
      <c r="R286" s="73">
        <f t="shared" si="40"/>
        <v>0</v>
      </c>
      <c r="S286" s="71">
        <f t="shared" si="41"/>
        <v>0</v>
      </c>
      <c r="T286" s="74">
        <f t="shared" si="42"/>
        <v>0</v>
      </c>
      <c r="U286" s="75">
        <f t="shared" si="43"/>
        <v>0</v>
      </c>
      <c r="V286" s="60">
        <f>VLOOKUP(B286,metadata!$B$11:$BN$301,29,FALSE)*VLOOKUP(B286,metadata!$B$11:$BN$301,36,FALSE)*1000-T286</f>
        <v>13.48</v>
      </c>
      <c r="W286" s="76">
        <f t="shared" si="38"/>
        <v>1</v>
      </c>
    </row>
    <row r="287" spans="2:23" x14ac:dyDescent="0.3">
      <c r="B287">
        <v>21</v>
      </c>
      <c r="C287">
        <v>5</v>
      </c>
      <c r="D287">
        <v>2</v>
      </c>
      <c r="E287"/>
      <c r="I287" s="72">
        <f t="shared" si="44"/>
        <v>1.2120599151305563E-2</v>
      </c>
      <c r="K287" s="75">
        <f t="shared" si="39"/>
        <v>8.9915423971109515E-4</v>
      </c>
      <c r="P287" s="8">
        <v>6.0602995756527814E-3</v>
      </c>
      <c r="R287" s="73">
        <f t="shared" si="40"/>
        <v>4.4957711985554757E-4</v>
      </c>
      <c r="S287" s="71">
        <f t="shared" si="41"/>
        <v>4.4957711985554757E-4</v>
      </c>
      <c r="T287" s="74">
        <f t="shared" si="42"/>
        <v>1.2120599151305563E-2</v>
      </c>
      <c r="U287" s="75">
        <f t="shared" si="43"/>
        <v>8.9915423971109515E-4</v>
      </c>
      <c r="V287" s="60">
        <f>VLOOKUP(B287,metadata!$B$11:$BN$301,29,FALSE)*VLOOKUP(B287,metadata!$B$11:$BN$301,36,FALSE)*1000-T287</f>
        <v>13.467879400848695</v>
      </c>
      <c r="W287" s="76">
        <f t="shared" si="38"/>
        <v>0.9991008457602889</v>
      </c>
    </row>
    <row r="288" spans="2:23" x14ac:dyDescent="0.3">
      <c r="B288">
        <v>21</v>
      </c>
      <c r="C288">
        <v>5</v>
      </c>
      <c r="D288">
        <v>4</v>
      </c>
      <c r="E288"/>
      <c r="I288" s="72">
        <f t="shared" si="44"/>
        <v>6.7273010963759504E-3</v>
      </c>
      <c r="K288" s="75">
        <f t="shared" si="39"/>
        <v>4.9905794483501114E-4</v>
      </c>
      <c r="P288" s="8">
        <v>3.3636505481879752E-3</v>
      </c>
      <c r="R288" s="73">
        <f t="shared" si="40"/>
        <v>2.4952897241750557E-4</v>
      </c>
      <c r="S288" s="71">
        <f t="shared" si="41"/>
        <v>2.4975353937131412E-4</v>
      </c>
      <c r="T288" s="74">
        <f t="shared" si="42"/>
        <v>1.8847900247681515E-2</v>
      </c>
      <c r="U288" s="75">
        <f t="shared" si="43"/>
        <v>1.3982121845461065E-3</v>
      </c>
      <c r="V288" s="60">
        <f>VLOOKUP(B288,metadata!$B$11:$BN$301,29,FALSE)*VLOOKUP(B288,metadata!$B$11:$BN$301,36,FALSE)*1000-T288</f>
        <v>13.461152099752319</v>
      </c>
      <c r="W288" s="76">
        <f t="shared" si="38"/>
        <v>0.99860178781545395</v>
      </c>
    </row>
    <row r="289" spans="2:23" x14ac:dyDescent="0.3">
      <c r="B289">
        <v>21</v>
      </c>
      <c r="C289">
        <v>5</v>
      </c>
      <c r="D289">
        <v>8</v>
      </c>
      <c r="E289"/>
      <c r="I289" s="72">
        <f t="shared" si="44"/>
        <v>2.0546087919764547E-2</v>
      </c>
      <c r="K289" s="75">
        <f t="shared" si="39"/>
        <v>1.5241904984988537E-3</v>
      </c>
      <c r="P289" s="8">
        <v>5.1365219799411367E-3</v>
      </c>
      <c r="R289" s="73">
        <f t="shared" si="40"/>
        <v>3.8104762462471342E-4</v>
      </c>
      <c r="S289" s="71">
        <f t="shared" si="41"/>
        <v>3.8158115604649081E-4</v>
      </c>
      <c r="T289" s="74">
        <f t="shared" si="42"/>
        <v>3.9393988167446062E-2</v>
      </c>
      <c r="U289" s="75">
        <f t="shared" si="43"/>
        <v>2.9224026830449602E-3</v>
      </c>
      <c r="V289" s="60">
        <f>VLOOKUP(B289,metadata!$B$11:$BN$301,29,FALSE)*VLOOKUP(B289,metadata!$B$11:$BN$301,36,FALSE)*1000-T289</f>
        <v>13.440606011832555</v>
      </c>
      <c r="W289" s="76">
        <f t="shared" si="38"/>
        <v>0.997077597316955</v>
      </c>
    </row>
    <row r="290" spans="2:23" x14ac:dyDescent="0.3">
      <c r="B290">
        <v>21</v>
      </c>
      <c r="C290">
        <v>5</v>
      </c>
      <c r="D290">
        <v>16</v>
      </c>
      <c r="E290"/>
      <c r="I290" s="72">
        <f t="shared" si="44"/>
        <v>2.156169873220172E-2</v>
      </c>
      <c r="K290" s="75">
        <f t="shared" si="39"/>
        <v>1.5995325468992373E-3</v>
      </c>
      <c r="P290" s="8">
        <v>2.695212341525215E-3</v>
      </c>
      <c r="R290" s="73">
        <f t="shared" si="40"/>
        <v>1.9994156836240467E-4</v>
      </c>
      <c r="S290" s="71">
        <f t="shared" si="41"/>
        <v>2.0052759073158318E-4</v>
      </c>
      <c r="T290" s="74">
        <f t="shared" si="42"/>
        <v>6.0955686899647782E-2</v>
      </c>
      <c r="U290" s="75">
        <f t="shared" si="43"/>
        <v>4.5219352299441977E-3</v>
      </c>
      <c r="V290" s="60">
        <f>VLOOKUP(B290,metadata!$B$11:$BN$301,29,FALSE)*VLOOKUP(B290,metadata!$B$11:$BN$301,36,FALSE)*1000-T290</f>
        <v>13.419044313100352</v>
      </c>
      <c r="W290" s="76">
        <f t="shared" si="38"/>
        <v>0.99547806477005585</v>
      </c>
    </row>
    <row r="291" spans="2:23" x14ac:dyDescent="0.3">
      <c r="B291">
        <v>21</v>
      </c>
      <c r="C291">
        <v>5</v>
      </c>
      <c r="D291">
        <v>30</v>
      </c>
      <c r="E291"/>
      <c r="I291" s="72">
        <f t="shared" si="44"/>
        <v>2.4327161165099621E-2</v>
      </c>
      <c r="K291" s="75">
        <f t="shared" si="39"/>
        <v>1.8046855463723754E-3</v>
      </c>
      <c r="P291" s="8">
        <v>1.7376543689356873E-3</v>
      </c>
      <c r="R291" s="73">
        <f t="shared" si="40"/>
        <v>1.2890611045516967E-4</v>
      </c>
      <c r="S291" s="71">
        <f t="shared" si="41"/>
        <v>1.2949166336974542E-4</v>
      </c>
      <c r="T291" s="74">
        <f t="shared" si="42"/>
        <v>8.5282848064747396E-2</v>
      </c>
      <c r="U291" s="75">
        <f t="shared" si="43"/>
        <v>6.3266207763165725E-3</v>
      </c>
      <c r="V291" s="60">
        <f>VLOOKUP(B291,metadata!$B$11:$BN$301,29,FALSE)*VLOOKUP(B291,metadata!$B$11:$BN$301,36,FALSE)*1000-T291</f>
        <v>13.394717151935254</v>
      </c>
      <c r="W291" s="76">
        <f t="shared" si="38"/>
        <v>0.99367337922368337</v>
      </c>
    </row>
    <row r="292" spans="2:23" x14ac:dyDescent="0.3">
      <c r="B292">
        <v>21</v>
      </c>
      <c r="C292">
        <v>5</v>
      </c>
      <c r="D292">
        <v>51</v>
      </c>
      <c r="E292"/>
      <c r="I292" s="72">
        <f t="shared" si="44"/>
        <v>2.3694905977665763E-2</v>
      </c>
      <c r="K292" s="75">
        <f t="shared" si="39"/>
        <v>1.7577823425568072E-3</v>
      </c>
      <c r="P292" s="8">
        <v>1.1283288560793221E-3</v>
      </c>
      <c r="R292" s="73">
        <f t="shared" si="40"/>
        <v>8.370392107413368E-5</v>
      </c>
      <c r="S292" s="71">
        <f t="shared" si="41"/>
        <v>8.4236855715635799E-5</v>
      </c>
      <c r="T292" s="74">
        <f t="shared" si="42"/>
        <v>0.10897775404241317</v>
      </c>
      <c r="U292" s="75">
        <f t="shared" si="43"/>
        <v>8.0844031188733803E-3</v>
      </c>
      <c r="V292" s="60">
        <f>VLOOKUP(B292,metadata!$B$11:$BN$301,29,FALSE)*VLOOKUP(B292,metadata!$B$11:$BN$301,36,FALSE)*1000-T292</f>
        <v>13.371022245957587</v>
      </c>
      <c r="W292" s="76">
        <f t="shared" si="38"/>
        <v>0.99191559688112663</v>
      </c>
    </row>
    <row r="293" spans="2:23" x14ac:dyDescent="0.3">
      <c r="B293">
        <v>21</v>
      </c>
      <c r="C293">
        <v>5</v>
      </c>
      <c r="D293">
        <v>80</v>
      </c>
      <c r="E293"/>
      <c r="I293" s="72">
        <f t="shared" si="44"/>
        <v>2.4240774699475522E-2</v>
      </c>
      <c r="K293" s="75">
        <f t="shared" si="39"/>
        <v>1.7982770548572345E-3</v>
      </c>
      <c r="P293" s="8">
        <v>8.3588878274053527E-4</v>
      </c>
      <c r="R293" s="73">
        <f t="shared" si="40"/>
        <v>6.200955361576671E-5</v>
      </c>
      <c r="S293" s="71">
        <f t="shared" si="41"/>
        <v>6.2514949669853896E-5</v>
      </c>
      <c r="T293" s="74">
        <f t="shared" si="42"/>
        <v>0.13321852874188869</v>
      </c>
      <c r="U293" s="75">
        <f t="shared" si="43"/>
        <v>9.8826801737306146E-3</v>
      </c>
      <c r="V293" s="60">
        <f>VLOOKUP(B293,metadata!$B$11:$BN$301,29,FALSE)*VLOOKUP(B293,metadata!$B$11:$BN$301,36,FALSE)*1000-T293</f>
        <v>13.346781471258112</v>
      </c>
      <c r="W293" s="76">
        <f t="shared" si="38"/>
        <v>0.99011731982626938</v>
      </c>
    </row>
    <row r="294" spans="2:23" x14ac:dyDescent="0.3">
      <c r="B294">
        <v>21</v>
      </c>
      <c r="C294">
        <v>5</v>
      </c>
      <c r="D294">
        <v>183</v>
      </c>
      <c r="E294"/>
      <c r="I294" s="72">
        <f t="shared" si="44"/>
        <v>8.2504188558027186E-2</v>
      </c>
      <c r="K294" s="75">
        <f t="shared" si="39"/>
        <v>6.1204887654322838E-3</v>
      </c>
      <c r="P294" s="8">
        <v>8.0101153939832225E-4</v>
      </c>
      <c r="R294" s="73">
        <f t="shared" si="40"/>
        <v>5.942222102361441E-5</v>
      </c>
      <c r="S294" s="71">
        <f t="shared" si="41"/>
        <v>6.0015333368818262E-5</v>
      </c>
      <c r="T294" s="74">
        <f t="shared" si="42"/>
        <v>0.21572271729991588</v>
      </c>
      <c r="U294" s="75">
        <f t="shared" si="43"/>
        <v>1.6003168939162898E-2</v>
      </c>
      <c r="V294" s="60">
        <f>VLOOKUP(B294,metadata!$B$11:$BN$301,29,FALSE)*VLOOKUP(B294,metadata!$B$11:$BN$301,36,FALSE)*1000-T294</f>
        <v>13.264277282700085</v>
      </c>
      <c r="W294" s="76">
        <f t="shared" si="38"/>
        <v>0.98399683106083713</v>
      </c>
    </row>
    <row r="295" spans="2:23" x14ac:dyDescent="0.3">
      <c r="B295">
        <v>21</v>
      </c>
      <c r="C295">
        <v>5</v>
      </c>
      <c r="D295">
        <v>246</v>
      </c>
      <c r="E295"/>
      <c r="I295" s="72">
        <f t="shared" si="44"/>
        <v>5.9659790617310679E-2</v>
      </c>
      <c r="K295" s="75">
        <f t="shared" si="39"/>
        <v>4.425800490898418E-3</v>
      </c>
      <c r="P295" s="8">
        <v>9.4698080344937587E-4</v>
      </c>
      <c r="R295" s="73">
        <f t="shared" si="40"/>
        <v>7.0250801442832034E-5</v>
      </c>
      <c r="S295" s="71">
        <f t="shared" si="41"/>
        <v>7.1393320816994239E-5</v>
      </c>
      <c r="T295" s="74">
        <f t="shared" si="42"/>
        <v>0.27538250791722657</v>
      </c>
      <c r="U295" s="75">
        <f t="shared" si="43"/>
        <v>2.0428969430061318E-2</v>
      </c>
      <c r="V295" s="60">
        <f>VLOOKUP(B295,metadata!$B$11:$BN$301,29,FALSE)*VLOOKUP(B295,metadata!$B$11:$BN$301,36,FALSE)*1000-T295</f>
        <v>13.204617492082773</v>
      </c>
      <c r="W295" s="76">
        <f t="shared" si="38"/>
        <v>0.97957103056993866</v>
      </c>
    </row>
    <row r="296" spans="2:23" x14ac:dyDescent="0.3">
      <c r="B296">
        <v>21</v>
      </c>
      <c r="C296">
        <v>5</v>
      </c>
      <c r="D296">
        <v>313</v>
      </c>
      <c r="E296"/>
      <c r="I296" s="72">
        <f t="shared" si="44"/>
        <v>5.2124777575808807E-2</v>
      </c>
      <c r="K296" s="75">
        <f t="shared" si="39"/>
        <v>3.8668232623003565E-3</v>
      </c>
      <c r="P296" s="8">
        <v>7.7798175486281805E-4</v>
      </c>
      <c r="R296" s="73">
        <f t="shared" si="40"/>
        <v>5.7713780034333682E-5</v>
      </c>
      <c r="S296" s="71">
        <f t="shared" si="41"/>
        <v>5.8917401835326202E-5</v>
      </c>
      <c r="T296" s="74">
        <f t="shared" si="42"/>
        <v>0.32750728549303537</v>
      </c>
      <c r="U296" s="75">
        <f t="shared" si="43"/>
        <v>2.4295792692361675E-2</v>
      </c>
      <c r="V296" s="60">
        <f>VLOOKUP(B296,metadata!$B$11:$BN$301,29,FALSE)*VLOOKUP(B296,metadata!$B$11:$BN$301,36,FALSE)*1000-T296</f>
        <v>13.152492714506964</v>
      </c>
      <c r="W296" s="76">
        <f t="shared" si="38"/>
        <v>0.97570420730763829</v>
      </c>
    </row>
    <row r="297" spans="2:23" x14ac:dyDescent="0.3">
      <c r="B297">
        <v>21</v>
      </c>
      <c r="C297">
        <v>5</v>
      </c>
      <c r="D297">
        <v>365</v>
      </c>
      <c r="E297"/>
      <c r="I297" s="72">
        <f t="shared" si="44"/>
        <v>4.559887582848051E-2</v>
      </c>
      <c r="K297" s="75">
        <f t="shared" si="39"/>
        <v>3.3827059219941032E-3</v>
      </c>
      <c r="P297" s="8">
        <v>8.7690145824000987E-4</v>
      </c>
      <c r="R297" s="73">
        <f t="shared" si="40"/>
        <v>6.5052036961425064E-5</v>
      </c>
      <c r="S297" s="71">
        <f t="shared" si="41"/>
        <v>6.6671883214411762E-5</v>
      </c>
      <c r="T297" s="74">
        <f t="shared" si="42"/>
        <v>0.37310616132151586</v>
      </c>
      <c r="U297" s="75">
        <f t="shared" si="43"/>
        <v>2.7678498614355774E-2</v>
      </c>
      <c r="V297" s="60">
        <f>VLOOKUP(B297,metadata!$B$11:$BN$301,29,FALSE)*VLOOKUP(B297,metadata!$B$11:$BN$301,36,FALSE)*1000-T297</f>
        <v>13.106893838678484</v>
      </c>
      <c r="W297" s="76">
        <f t="shared" si="38"/>
        <v>0.97232150138564422</v>
      </c>
    </row>
    <row r="298" spans="2:23" x14ac:dyDescent="0.3">
      <c r="B298">
        <v>21</v>
      </c>
      <c r="C298">
        <v>5</v>
      </c>
      <c r="D298">
        <v>428</v>
      </c>
      <c r="E298"/>
      <c r="I298" s="72">
        <f t="shared" si="44"/>
        <v>5.3083254172061931E-2</v>
      </c>
      <c r="K298" s="75">
        <f t="shared" si="39"/>
        <v>3.9379268673636449E-3</v>
      </c>
      <c r="P298" s="8">
        <v>8.4259133606447514E-4</v>
      </c>
      <c r="R298" s="73">
        <f t="shared" si="40"/>
        <v>6.250677567243881E-5</v>
      </c>
      <c r="S298" s="71">
        <f t="shared" si="41"/>
        <v>6.4286118926055961E-5</v>
      </c>
      <c r="T298" s="74">
        <f t="shared" si="42"/>
        <v>0.42618941549357781</v>
      </c>
      <c r="U298" s="75">
        <f t="shared" si="43"/>
        <v>3.1616425481719418E-2</v>
      </c>
      <c r="V298" s="60">
        <f>VLOOKUP(B298,metadata!$B$11:$BN$301,29,FALSE)*VLOOKUP(B298,metadata!$B$11:$BN$301,36,FALSE)*1000-T298</f>
        <v>13.053810584506422</v>
      </c>
      <c r="W298" s="76">
        <f t="shared" si="38"/>
        <v>0.96838357451828061</v>
      </c>
    </row>
    <row r="299" spans="2:23" x14ac:dyDescent="0.3">
      <c r="B299">
        <v>21</v>
      </c>
      <c r="C299">
        <v>5</v>
      </c>
      <c r="D299">
        <v>469</v>
      </c>
      <c r="E299"/>
      <c r="I299" s="72">
        <f t="shared" si="44"/>
        <v>3.6603722024557604E-2</v>
      </c>
      <c r="K299" s="75">
        <f t="shared" si="39"/>
        <v>2.7154096457386945E-3</v>
      </c>
      <c r="P299" s="8">
        <v>8.9277370791603918E-4</v>
      </c>
      <c r="R299" s="73">
        <f t="shared" si="40"/>
        <v>6.6229503554602305E-5</v>
      </c>
      <c r="S299" s="71">
        <f t="shared" si="41"/>
        <v>6.8391808057615981E-5</v>
      </c>
      <c r="T299" s="74">
        <f t="shared" si="42"/>
        <v>0.46279313751813539</v>
      </c>
      <c r="U299" s="75">
        <f t="shared" si="43"/>
        <v>3.4331835127458112E-2</v>
      </c>
      <c r="V299" s="60">
        <f>VLOOKUP(B299,metadata!$B$11:$BN$301,29,FALSE)*VLOOKUP(B299,metadata!$B$11:$BN$301,36,FALSE)*1000-T299</f>
        <v>13.017206862481865</v>
      </c>
      <c r="W299" s="76">
        <f t="shared" si="38"/>
        <v>0.96566816487254192</v>
      </c>
    </row>
    <row r="300" spans="2:23" x14ac:dyDescent="0.3">
      <c r="B300">
        <v>21</v>
      </c>
      <c r="C300">
        <v>5</v>
      </c>
      <c r="D300">
        <v>550</v>
      </c>
      <c r="E300"/>
      <c r="I300" s="72">
        <f t="shared" si="44"/>
        <v>4.0032524705370796E-2</v>
      </c>
      <c r="K300" s="75">
        <f t="shared" si="39"/>
        <v>2.9697718624162313E-3</v>
      </c>
      <c r="P300" s="8">
        <v>4.9422870006630613E-4</v>
      </c>
      <c r="R300" s="73">
        <f t="shared" si="40"/>
        <v>3.6663850153286803E-5</v>
      </c>
      <c r="S300" s="71">
        <f t="shared" si="41"/>
        <v>3.7967338560991136E-5</v>
      </c>
      <c r="T300" s="74">
        <f t="shared" si="42"/>
        <v>0.50282566222350622</v>
      </c>
      <c r="U300" s="75">
        <f t="shared" si="43"/>
        <v>3.730160698987435E-2</v>
      </c>
      <c r="V300" s="60">
        <f>VLOOKUP(B300,metadata!$B$11:$BN$301,29,FALSE)*VLOOKUP(B300,metadata!$B$11:$BN$301,36,FALSE)*1000-T300</f>
        <v>12.977174337776495</v>
      </c>
      <c r="W300" s="76">
        <f t="shared" si="38"/>
        <v>0.96269839301012561</v>
      </c>
    </row>
    <row r="301" spans="2:23" x14ac:dyDescent="0.3">
      <c r="B301">
        <v>21</v>
      </c>
      <c r="C301">
        <v>5</v>
      </c>
      <c r="D301">
        <v>659</v>
      </c>
      <c r="E301"/>
      <c r="I301" s="72">
        <f t="shared" si="44"/>
        <v>0.16127076093279105</v>
      </c>
      <c r="K301" s="75">
        <f t="shared" si="39"/>
        <v>1.1963706300652155E-2</v>
      </c>
      <c r="P301" s="8">
        <v>1.4795482654384501E-3</v>
      </c>
      <c r="R301" s="73">
        <f t="shared" si="40"/>
        <v>1.097587734004785E-4</v>
      </c>
      <c r="S301" s="71">
        <f t="shared" si="41"/>
        <v>1.1401158888121677E-4</v>
      </c>
      <c r="T301" s="74">
        <f t="shared" si="42"/>
        <v>0.66409642315629724</v>
      </c>
      <c r="U301" s="75">
        <f t="shared" si="43"/>
        <v>4.9265313290526497E-2</v>
      </c>
      <c r="V301" s="60">
        <f>VLOOKUP(B301,metadata!$B$11:$BN$301,29,FALSE)*VLOOKUP(B301,metadata!$B$11:$BN$301,36,FALSE)*1000-T301</f>
        <v>12.815903576843704</v>
      </c>
      <c r="W301" s="76">
        <f t="shared" si="38"/>
        <v>0.95073468670947348</v>
      </c>
    </row>
    <row r="302" spans="2:23" x14ac:dyDescent="0.3">
      <c r="B302">
        <v>21</v>
      </c>
      <c r="C302">
        <v>5</v>
      </c>
      <c r="D302">
        <v>730</v>
      </c>
      <c r="E302"/>
      <c r="I302" s="72">
        <f t="shared" si="44"/>
        <v>5.6388759486676369E-2</v>
      </c>
      <c r="K302" s="75">
        <f t="shared" si="39"/>
        <v>4.1831423951540336E-3</v>
      </c>
      <c r="P302" s="8">
        <v>7.9420788009403336E-4</v>
      </c>
      <c r="R302" s="73">
        <f t="shared" si="40"/>
        <v>5.8917498523296244E-5</v>
      </c>
      <c r="S302" s="71">
        <f t="shared" si="41"/>
        <v>6.1970494341814531E-5</v>
      </c>
      <c r="T302" s="74">
        <f t="shared" si="42"/>
        <v>0.72048518264297357</v>
      </c>
      <c r="U302" s="75">
        <f t="shared" si="43"/>
        <v>5.3448455685680532E-2</v>
      </c>
      <c r="V302" s="60">
        <f>VLOOKUP(B302,metadata!$B$11:$BN$301,29,FALSE)*VLOOKUP(B302,metadata!$B$11:$BN$301,36,FALSE)*1000-T302</f>
        <v>12.759514817357028</v>
      </c>
      <c r="W302" s="76">
        <f t="shared" si="38"/>
        <v>0.94655154431431943</v>
      </c>
    </row>
    <row r="303" spans="2:23" x14ac:dyDescent="0.3">
      <c r="B303">
        <v>22</v>
      </c>
      <c r="C303">
        <v>5</v>
      </c>
      <c r="D303">
        <v>0</v>
      </c>
      <c r="E303"/>
      <c r="I303" s="72">
        <f t="shared" si="44"/>
        <v>0</v>
      </c>
      <c r="K303" s="75">
        <f t="shared" si="39"/>
        <v>0</v>
      </c>
      <c r="P303" s="8"/>
      <c r="R303" s="73">
        <f t="shared" si="40"/>
        <v>0</v>
      </c>
      <c r="S303" s="71">
        <f t="shared" si="41"/>
        <v>0</v>
      </c>
      <c r="T303" s="74">
        <f t="shared" si="42"/>
        <v>0</v>
      </c>
      <c r="U303" s="75">
        <f t="shared" si="43"/>
        <v>0</v>
      </c>
      <c r="V303" s="60">
        <f>VLOOKUP(B303,metadata!$B$11:$BN$301,29,FALSE)*VLOOKUP(B303,metadata!$B$11:$BN$301,36,FALSE)*1000-T303</f>
        <v>13.48</v>
      </c>
      <c r="W303" s="76">
        <f t="shared" si="38"/>
        <v>1</v>
      </c>
    </row>
    <row r="304" spans="2:23" x14ac:dyDescent="0.3">
      <c r="B304">
        <v>22</v>
      </c>
      <c r="C304">
        <v>5</v>
      </c>
      <c r="D304">
        <v>2</v>
      </c>
      <c r="E304"/>
      <c r="I304" s="72">
        <f t="shared" si="44"/>
        <v>4.3480295656077965E-2</v>
      </c>
      <c r="K304" s="75">
        <f t="shared" si="39"/>
        <v>3.2255412207772968E-3</v>
      </c>
      <c r="P304" s="8">
        <v>2.1740147828038982E-2</v>
      </c>
      <c r="R304" s="73">
        <f t="shared" si="40"/>
        <v>1.6127706103886484E-3</v>
      </c>
      <c r="S304" s="71">
        <f t="shared" si="41"/>
        <v>1.6127706103886484E-3</v>
      </c>
      <c r="T304" s="74">
        <f t="shared" si="42"/>
        <v>4.3480295656077965E-2</v>
      </c>
      <c r="U304" s="75">
        <f t="shared" si="43"/>
        <v>3.2255412207772968E-3</v>
      </c>
      <c r="V304" s="60">
        <f>VLOOKUP(B304,metadata!$B$11:$BN$301,29,FALSE)*VLOOKUP(B304,metadata!$B$11:$BN$301,36,FALSE)*1000-T304</f>
        <v>13.436519704343922</v>
      </c>
      <c r="W304" s="76">
        <f t="shared" si="38"/>
        <v>0.99677445877922266</v>
      </c>
    </row>
    <row r="305" spans="2:23" x14ac:dyDescent="0.3">
      <c r="B305">
        <v>22</v>
      </c>
      <c r="C305">
        <v>5</v>
      </c>
      <c r="D305">
        <v>4</v>
      </c>
      <c r="E305"/>
      <c r="I305" s="72">
        <f t="shared" si="44"/>
        <v>2.082406448372149E-2</v>
      </c>
      <c r="K305" s="75">
        <f t="shared" si="39"/>
        <v>1.5448119053205853E-3</v>
      </c>
      <c r="P305" s="8">
        <v>1.0412032241860745E-2</v>
      </c>
      <c r="R305" s="73">
        <f t="shared" si="40"/>
        <v>7.7240595266029265E-4</v>
      </c>
      <c r="S305" s="71">
        <f t="shared" si="41"/>
        <v>7.7490544210601022E-4</v>
      </c>
      <c r="T305" s="74">
        <f t="shared" si="42"/>
        <v>6.4304360139799455E-2</v>
      </c>
      <c r="U305" s="75">
        <f t="shared" si="43"/>
        <v>4.7703531260978819E-3</v>
      </c>
      <c r="V305" s="60">
        <f>VLOOKUP(B305,metadata!$B$11:$BN$301,29,FALSE)*VLOOKUP(B305,metadata!$B$11:$BN$301,36,FALSE)*1000-T305</f>
        <v>13.415695639860202</v>
      </c>
      <c r="W305" s="76">
        <f t="shared" si="38"/>
        <v>0.99522964687390214</v>
      </c>
    </row>
    <row r="306" spans="2:23" x14ac:dyDescent="0.3">
      <c r="B306">
        <v>22</v>
      </c>
      <c r="C306">
        <v>5</v>
      </c>
      <c r="D306">
        <v>8</v>
      </c>
      <c r="E306"/>
      <c r="I306" s="72">
        <f t="shared" si="44"/>
        <v>2.0143434112051283E-2</v>
      </c>
      <c r="K306" s="75">
        <f t="shared" si="39"/>
        <v>1.4943200379860001E-3</v>
      </c>
      <c r="P306" s="8">
        <v>5.0358585280128208E-3</v>
      </c>
      <c r="R306" s="73">
        <f t="shared" si="40"/>
        <v>3.7358000949650003E-4</v>
      </c>
      <c r="S306" s="71">
        <f t="shared" si="41"/>
        <v>3.7537066009834559E-4</v>
      </c>
      <c r="T306" s="74">
        <f t="shared" si="42"/>
        <v>8.4447794251850741E-2</v>
      </c>
      <c r="U306" s="75">
        <f t="shared" si="43"/>
        <v>6.2646731640838829E-3</v>
      </c>
      <c r="V306" s="60">
        <f>VLOOKUP(B306,metadata!$B$11:$BN$301,29,FALSE)*VLOOKUP(B306,metadata!$B$11:$BN$301,36,FALSE)*1000-T306</f>
        <v>13.39555220574815</v>
      </c>
      <c r="W306" s="76">
        <f t="shared" si="38"/>
        <v>0.99373532683591614</v>
      </c>
    </row>
    <row r="307" spans="2:23" x14ac:dyDescent="0.3">
      <c r="B307">
        <v>22</v>
      </c>
      <c r="C307">
        <v>5</v>
      </c>
      <c r="D307">
        <v>16</v>
      </c>
      <c r="E307"/>
      <c r="I307" s="72">
        <f t="shared" si="44"/>
        <v>3.9904675318153011E-2</v>
      </c>
      <c r="K307" s="75">
        <f t="shared" si="39"/>
        <v>2.9602874865098674E-3</v>
      </c>
      <c r="P307" s="8">
        <v>4.9880844147691264E-3</v>
      </c>
      <c r="R307" s="73">
        <f t="shared" si="40"/>
        <v>3.7003593581373342E-4</v>
      </c>
      <c r="S307" s="71">
        <f t="shared" si="41"/>
        <v>3.7236870404108426E-4</v>
      </c>
      <c r="T307" s="74">
        <f t="shared" si="42"/>
        <v>0.12435246957000376</v>
      </c>
      <c r="U307" s="75">
        <f t="shared" si="43"/>
        <v>9.2249606505937498E-3</v>
      </c>
      <c r="V307" s="60">
        <f>VLOOKUP(B307,metadata!$B$11:$BN$301,29,FALSE)*VLOOKUP(B307,metadata!$B$11:$BN$301,36,FALSE)*1000-T307</f>
        <v>13.355647530429996</v>
      </c>
      <c r="W307" s="76">
        <f t="shared" si="38"/>
        <v>0.99077503934940625</v>
      </c>
    </row>
    <row r="308" spans="2:23" x14ac:dyDescent="0.3">
      <c r="B308">
        <v>22</v>
      </c>
      <c r="C308">
        <v>5</v>
      </c>
      <c r="D308">
        <v>30</v>
      </c>
      <c r="E308"/>
      <c r="I308" s="72">
        <f t="shared" si="44"/>
        <v>5.4499470780386097E-2</v>
      </c>
      <c r="K308" s="75">
        <f t="shared" si="39"/>
        <v>4.0429874466161794E-3</v>
      </c>
      <c r="P308" s="8">
        <v>3.8928193414561499E-3</v>
      </c>
      <c r="R308" s="73">
        <f t="shared" si="40"/>
        <v>2.8878481761544138E-4</v>
      </c>
      <c r="S308" s="71">
        <f t="shared" si="41"/>
        <v>2.914736505726591E-4</v>
      </c>
      <c r="T308" s="74">
        <f t="shared" si="42"/>
        <v>0.17885194035038987</v>
      </c>
      <c r="U308" s="75">
        <f t="shared" si="43"/>
        <v>1.3267948097209931E-2</v>
      </c>
      <c r="V308" s="60">
        <f>VLOOKUP(B308,metadata!$B$11:$BN$301,29,FALSE)*VLOOKUP(B308,metadata!$B$11:$BN$301,36,FALSE)*1000-T308</f>
        <v>13.301148059649611</v>
      </c>
      <c r="W308" s="76">
        <f t="shared" si="38"/>
        <v>0.98673205190279012</v>
      </c>
    </row>
    <row r="309" spans="2:23" x14ac:dyDescent="0.3">
      <c r="B309">
        <v>22</v>
      </c>
      <c r="C309">
        <v>5</v>
      </c>
      <c r="D309">
        <v>51</v>
      </c>
      <c r="E309"/>
      <c r="I309" s="72">
        <f t="shared" si="44"/>
        <v>5.1425892474874925E-2</v>
      </c>
      <c r="K309" s="75">
        <f t="shared" si="39"/>
        <v>3.8149771865634216E-3</v>
      </c>
      <c r="P309" s="8">
        <v>2.4488520226130916E-3</v>
      </c>
      <c r="R309" s="73">
        <f t="shared" si="40"/>
        <v>1.8166558031254388E-4</v>
      </c>
      <c r="S309" s="71">
        <f t="shared" si="41"/>
        <v>1.8410831994584992E-4</v>
      </c>
      <c r="T309" s="74">
        <f t="shared" si="42"/>
        <v>0.23027783282526479</v>
      </c>
      <c r="U309" s="75">
        <f t="shared" si="43"/>
        <v>1.7082925283773351E-2</v>
      </c>
      <c r="V309" s="60">
        <f>VLOOKUP(B309,metadata!$B$11:$BN$301,29,FALSE)*VLOOKUP(B309,metadata!$B$11:$BN$301,36,FALSE)*1000-T309</f>
        <v>13.249722167174736</v>
      </c>
      <c r="W309" s="76">
        <f t="shared" si="38"/>
        <v>0.98291707471622669</v>
      </c>
    </row>
    <row r="310" spans="2:23" x14ac:dyDescent="0.3">
      <c r="B310">
        <v>22</v>
      </c>
      <c r="C310">
        <v>5</v>
      </c>
      <c r="D310">
        <v>80</v>
      </c>
      <c r="E310"/>
      <c r="I310" s="72">
        <f t="shared" si="44"/>
        <v>7.7541027737008827E-2</v>
      </c>
      <c r="K310" s="75">
        <f t="shared" si="39"/>
        <v>5.7523017609056992E-3</v>
      </c>
      <c r="P310" s="8">
        <v>2.6738285426554766E-3</v>
      </c>
      <c r="R310" s="73">
        <f t="shared" si="40"/>
        <v>1.9835523313467925E-4</v>
      </c>
      <c r="S310" s="71">
        <f t="shared" si="41"/>
        <v>2.018026120788933E-4</v>
      </c>
      <c r="T310" s="74">
        <f t="shared" si="42"/>
        <v>0.30781886056227359</v>
      </c>
      <c r="U310" s="75">
        <f t="shared" si="43"/>
        <v>2.2835227044679048E-2</v>
      </c>
      <c r="V310" s="60">
        <f>VLOOKUP(B310,metadata!$B$11:$BN$301,29,FALSE)*VLOOKUP(B310,metadata!$B$11:$BN$301,36,FALSE)*1000-T310</f>
        <v>13.172181139437727</v>
      </c>
      <c r="W310" s="76">
        <f t="shared" si="38"/>
        <v>0.977164772955321</v>
      </c>
    </row>
    <row r="311" spans="2:23" x14ac:dyDescent="0.3">
      <c r="B311">
        <v>22</v>
      </c>
      <c r="C311">
        <v>5</v>
      </c>
      <c r="D311">
        <v>183</v>
      </c>
      <c r="E311"/>
      <c r="I311" s="72">
        <f t="shared" si="44"/>
        <v>0.31561050952606629</v>
      </c>
      <c r="K311" s="75">
        <f t="shared" si="39"/>
        <v>2.3413242546444085E-2</v>
      </c>
      <c r="P311" s="8">
        <v>3.0641797041365661E-3</v>
      </c>
      <c r="R311" s="73">
        <f t="shared" si="40"/>
        <v>2.2731303443149599E-4</v>
      </c>
      <c r="S311" s="71">
        <f t="shared" si="41"/>
        <v>2.3262508097177329E-4</v>
      </c>
      <c r="T311" s="74">
        <f t="shared" si="42"/>
        <v>0.62342937008833987</v>
      </c>
      <c r="U311" s="75">
        <f t="shared" si="43"/>
        <v>4.6248469591123137E-2</v>
      </c>
      <c r="V311" s="60">
        <f>VLOOKUP(B311,metadata!$B$11:$BN$301,29,FALSE)*VLOOKUP(B311,metadata!$B$11:$BN$301,36,FALSE)*1000-T311</f>
        <v>12.85657062991166</v>
      </c>
      <c r="W311" s="76">
        <f t="shared" si="38"/>
        <v>0.95375153040887684</v>
      </c>
    </row>
    <row r="312" spans="2:23" x14ac:dyDescent="0.3">
      <c r="B312">
        <v>22</v>
      </c>
      <c r="C312">
        <v>5</v>
      </c>
      <c r="D312">
        <v>231</v>
      </c>
      <c r="E312"/>
      <c r="I312" s="72">
        <f t="shared" si="44"/>
        <v>0.11905273969810709</v>
      </c>
      <c r="K312" s="75">
        <f t="shared" si="39"/>
        <v>8.8318056155865798E-3</v>
      </c>
      <c r="P312" s="8">
        <v>2.4802654103772311E-3</v>
      </c>
      <c r="R312" s="73">
        <f t="shared" si="40"/>
        <v>1.839959503247204E-4</v>
      </c>
      <c r="S312" s="71">
        <f t="shared" si="41"/>
        <v>1.9291811804049284E-4</v>
      </c>
      <c r="T312" s="74">
        <f t="shared" si="42"/>
        <v>0.74248210978644691</v>
      </c>
      <c r="U312" s="75">
        <f t="shared" si="43"/>
        <v>5.508027520670971E-2</v>
      </c>
      <c r="V312" s="60">
        <f>VLOOKUP(B312,metadata!$B$11:$BN$301,29,FALSE)*VLOOKUP(B312,metadata!$B$11:$BN$301,36,FALSE)*1000-T312</f>
        <v>12.737517890213553</v>
      </c>
      <c r="W312" s="76">
        <f t="shared" si="38"/>
        <v>0.94491972479329034</v>
      </c>
    </row>
    <row r="313" spans="2:23" x14ac:dyDescent="0.3">
      <c r="B313">
        <v>22</v>
      </c>
      <c r="C313">
        <v>5</v>
      </c>
      <c r="D313">
        <v>263</v>
      </c>
      <c r="E313"/>
      <c r="I313" s="72">
        <f t="shared" si="44"/>
        <v>6.389601257133562E-2</v>
      </c>
      <c r="K313" s="75">
        <f t="shared" si="39"/>
        <v>4.740060279772672E-3</v>
      </c>
      <c r="P313" s="8">
        <v>1.9967503928542381E-3</v>
      </c>
      <c r="R313" s="73">
        <f t="shared" si="40"/>
        <v>1.48126883742896E-4</v>
      </c>
      <c r="S313" s="71">
        <f t="shared" si="41"/>
        <v>1.5676134157883106E-4</v>
      </c>
      <c r="T313" s="74">
        <f t="shared" si="42"/>
        <v>0.8063781223577825</v>
      </c>
      <c r="U313" s="75">
        <f t="shared" si="43"/>
        <v>5.9820335486482377E-2</v>
      </c>
      <c r="V313" s="60">
        <f>VLOOKUP(B313,metadata!$B$11:$BN$301,29,FALSE)*VLOOKUP(B313,metadata!$B$11:$BN$301,36,FALSE)*1000-T313</f>
        <v>12.673621877642217</v>
      </c>
      <c r="W313" s="76">
        <f t="shared" si="38"/>
        <v>0.94017966451351764</v>
      </c>
    </row>
    <row r="314" spans="2:23" x14ac:dyDescent="0.3">
      <c r="B314">
        <v>22</v>
      </c>
      <c r="C314">
        <v>5</v>
      </c>
      <c r="D314">
        <v>365</v>
      </c>
      <c r="E314"/>
      <c r="I314" s="72">
        <f t="shared" si="44"/>
        <v>0.184691283097425</v>
      </c>
      <c r="K314" s="75">
        <f t="shared" si="39"/>
        <v>1.3701133760936571E-2</v>
      </c>
      <c r="P314" s="8">
        <v>1.8106988538963236E-3</v>
      </c>
      <c r="R314" s="73">
        <f t="shared" si="40"/>
        <v>1.3432484079349582E-4</v>
      </c>
      <c r="S314" s="71">
        <f t="shared" si="41"/>
        <v>1.4287145942791719E-4</v>
      </c>
      <c r="T314" s="74">
        <f t="shared" si="42"/>
        <v>0.9910694054552075</v>
      </c>
      <c r="U314" s="75">
        <f t="shared" si="43"/>
        <v>7.3521469247418952E-2</v>
      </c>
      <c r="V314" s="60">
        <f>VLOOKUP(B314,metadata!$B$11:$BN$301,29,FALSE)*VLOOKUP(B314,metadata!$B$11:$BN$301,36,FALSE)*1000-T314</f>
        <v>12.488930594544794</v>
      </c>
      <c r="W314" s="76">
        <f t="shared" si="38"/>
        <v>0.92647853075258102</v>
      </c>
    </row>
    <row r="315" spans="2:23" x14ac:dyDescent="0.3">
      <c r="B315">
        <v>22</v>
      </c>
      <c r="C315">
        <v>5</v>
      </c>
      <c r="D315">
        <v>423</v>
      </c>
      <c r="E315"/>
      <c r="I315" s="72">
        <f t="shared" si="44"/>
        <v>7.3553800817667936E-2</v>
      </c>
      <c r="K315" s="75">
        <f t="shared" si="39"/>
        <v>5.4565134137735853E-3</v>
      </c>
      <c r="P315" s="8">
        <v>1.2681689796149645E-3</v>
      </c>
      <c r="R315" s="73">
        <f t="shared" si="40"/>
        <v>9.4077817478854927E-5</v>
      </c>
      <c r="S315" s="71">
        <f t="shared" si="41"/>
        <v>1.0154344041025457E-4</v>
      </c>
      <c r="T315" s="74">
        <f t="shared" si="42"/>
        <v>1.0646232062728753</v>
      </c>
      <c r="U315" s="75">
        <f t="shared" si="43"/>
        <v>7.8977982661192533E-2</v>
      </c>
      <c r="V315" s="60">
        <f>VLOOKUP(B315,metadata!$B$11:$BN$301,29,FALSE)*VLOOKUP(B315,metadata!$B$11:$BN$301,36,FALSE)*1000-T315</f>
        <v>12.415376793727125</v>
      </c>
      <c r="W315" s="76">
        <f t="shared" si="38"/>
        <v>0.92102201733880751</v>
      </c>
    </row>
    <row r="316" spans="2:23" x14ac:dyDescent="0.3">
      <c r="B316">
        <v>22</v>
      </c>
      <c r="C316">
        <v>5</v>
      </c>
      <c r="D316">
        <v>463</v>
      </c>
      <c r="E316"/>
      <c r="I316" s="72">
        <f t="shared" si="44"/>
        <v>4.4556691830142388E-2</v>
      </c>
      <c r="K316" s="75">
        <f t="shared" si="39"/>
        <v>3.3053925690016608E-3</v>
      </c>
      <c r="P316" s="8">
        <v>1.1139172957535597E-3</v>
      </c>
      <c r="R316" s="73">
        <f t="shared" si="40"/>
        <v>8.2634814225041525E-5</v>
      </c>
      <c r="S316" s="71">
        <f t="shared" si="41"/>
        <v>8.9720780469294093E-5</v>
      </c>
      <c r="T316" s="74">
        <f t="shared" si="42"/>
        <v>1.1091798981030176</v>
      </c>
      <c r="U316" s="75">
        <f t="shared" si="43"/>
        <v>8.2283375230194189E-2</v>
      </c>
      <c r="V316" s="60">
        <f>VLOOKUP(B316,metadata!$B$11:$BN$301,29,FALSE)*VLOOKUP(B316,metadata!$B$11:$BN$301,36,FALSE)*1000-T316</f>
        <v>12.370820101896983</v>
      </c>
      <c r="W316" s="76">
        <f t="shared" si="38"/>
        <v>0.91771662476980587</v>
      </c>
    </row>
    <row r="317" spans="2:23" x14ac:dyDescent="0.3">
      <c r="B317">
        <v>22</v>
      </c>
      <c r="C317">
        <v>5</v>
      </c>
      <c r="D317">
        <v>550</v>
      </c>
      <c r="E317"/>
      <c r="I317" s="72">
        <f t="shared" si="44"/>
        <v>0.11043077606035795</v>
      </c>
      <c r="K317" s="75">
        <f t="shared" si="39"/>
        <v>8.1921940697594915E-3</v>
      </c>
      <c r="P317" s="8">
        <v>1.2693192650615856E-3</v>
      </c>
      <c r="R317" s="73">
        <f t="shared" si="40"/>
        <v>9.4163150227120592E-5</v>
      </c>
      <c r="S317" s="71">
        <f t="shared" si="41"/>
        <v>1.0260591089405171E-4</v>
      </c>
      <c r="T317" s="74">
        <f t="shared" si="42"/>
        <v>1.2196106741633757</v>
      </c>
      <c r="U317" s="75">
        <f t="shared" si="43"/>
        <v>9.0475569299953679E-2</v>
      </c>
      <c r="V317" s="60">
        <f>VLOOKUP(B317,metadata!$B$11:$BN$301,29,FALSE)*VLOOKUP(B317,metadata!$B$11:$BN$301,36,FALSE)*1000-T317</f>
        <v>12.260389325836625</v>
      </c>
      <c r="W317" s="76">
        <f t="shared" si="38"/>
        <v>0.90952443070004629</v>
      </c>
    </row>
    <row r="318" spans="2:23" x14ac:dyDescent="0.3">
      <c r="B318">
        <v>22</v>
      </c>
      <c r="C318">
        <v>5</v>
      </c>
      <c r="D318">
        <v>640</v>
      </c>
      <c r="E318"/>
      <c r="I318" s="72">
        <f t="shared" si="44"/>
        <v>0.18672306253068036</v>
      </c>
      <c r="K318" s="75">
        <f t="shared" si="39"/>
        <v>1.3851859238181035E-2</v>
      </c>
      <c r="P318" s="8">
        <v>2.0747006947853374E-3</v>
      </c>
      <c r="R318" s="73">
        <f t="shared" si="40"/>
        <v>1.5390954709090039E-4</v>
      </c>
      <c r="S318" s="71">
        <f t="shared" si="41"/>
        <v>1.6921980531346332E-4</v>
      </c>
      <c r="T318" s="74">
        <f t="shared" si="42"/>
        <v>1.406333736694056</v>
      </c>
      <c r="U318" s="75">
        <f t="shared" si="43"/>
        <v>0.10432742853813472</v>
      </c>
      <c r="V318" s="60">
        <f>VLOOKUP(B318,metadata!$B$11:$BN$301,29,FALSE)*VLOOKUP(B318,metadata!$B$11:$BN$301,36,FALSE)*1000-T318</f>
        <v>12.073666263305945</v>
      </c>
      <c r="W318" s="76">
        <f t="shared" si="38"/>
        <v>0.8956725714618653</v>
      </c>
    </row>
    <row r="319" spans="2:23" x14ac:dyDescent="0.3">
      <c r="B319">
        <v>22</v>
      </c>
      <c r="C319">
        <v>5</v>
      </c>
      <c r="D319">
        <v>730</v>
      </c>
      <c r="E319"/>
      <c r="I319" s="72">
        <f t="shared" si="44"/>
        <v>6.7940083736953025E-2</v>
      </c>
      <c r="K319" s="75">
        <f t="shared" si="39"/>
        <v>5.0400655591211442E-3</v>
      </c>
      <c r="P319" s="8">
        <v>7.548898192994781E-4</v>
      </c>
      <c r="R319" s="73">
        <f t="shared" si="40"/>
        <v>5.6000728434679383E-5</v>
      </c>
      <c r="S319" s="71">
        <f t="shared" si="41"/>
        <v>6.2523661234013464E-5</v>
      </c>
      <c r="T319" s="74">
        <f t="shared" si="42"/>
        <v>1.4742738204310091</v>
      </c>
      <c r="U319" s="75">
        <f t="shared" si="43"/>
        <v>0.10936749409725587</v>
      </c>
      <c r="V319" s="60">
        <f>VLOOKUP(B319,metadata!$B$11:$BN$301,29,FALSE)*VLOOKUP(B319,metadata!$B$11:$BN$301,36,FALSE)*1000-T319</f>
        <v>12.005726179568992</v>
      </c>
      <c r="W319" s="76">
        <f t="shared" si="38"/>
        <v>0.89063250590274412</v>
      </c>
    </row>
    <row r="320" spans="2:23" x14ac:dyDescent="0.3">
      <c r="B320">
        <v>23</v>
      </c>
      <c r="C320">
        <v>5</v>
      </c>
      <c r="D320">
        <v>0</v>
      </c>
      <c r="E320"/>
      <c r="I320" s="72">
        <f t="shared" si="44"/>
        <v>0</v>
      </c>
      <c r="K320" s="75">
        <f t="shared" si="39"/>
        <v>0</v>
      </c>
      <c r="P320" s="8"/>
      <c r="R320" s="73">
        <f t="shared" si="40"/>
        <v>0</v>
      </c>
      <c r="S320" s="71">
        <f t="shared" si="41"/>
        <v>0</v>
      </c>
      <c r="T320" s="74">
        <f t="shared" si="42"/>
        <v>0</v>
      </c>
      <c r="U320" s="75">
        <f t="shared" si="43"/>
        <v>0</v>
      </c>
      <c r="V320" s="60">
        <f>VLOOKUP(B320,metadata!$B$11:$BN$301,29,FALSE)*VLOOKUP(B320,metadata!$B$11:$BN$301,36,FALSE)*1000-T320</f>
        <v>14.64</v>
      </c>
      <c r="W320" s="76">
        <f t="shared" si="38"/>
        <v>1</v>
      </c>
    </row>
    <row r="321" spans="2:23" x14ac:dyDescent="0.3">
      <c r="B321">
        <v>23</v>
      </c>
      <c r="C321">
        <v>5</v>
      </c>
      <c r="D321">
        <v>3</v>
      </c>
      <c r="E321"/>
      <c r="I321" s="72">
        <f t="shared" si="44"/>
        <v>9.1917768351204073E-3</v>
      </c>
      <c r="K321" s="75">
        <f t="shared" si="39"/>
        <v>6.2785360895631197E-4</v>
      </c>
      <c r="P321" s="8">
        <v>3.0639256117068023E-3</v>
      </c>
      <c r="R321" s="73">
        <f t="shared" si="40"/>
        <v>2.0928453631877063E-4</v>
      </c>
      <c r="S321" s="71">
        <f t="shared" si="41"/>
        <v>2.0928453631877063E-4</v>
      </c>
      <c r="T321" s="74">
        <f t="shared" si="42"/>
        <v>9.1917768351204073E-3</v>
      </c>
      <c r="U321" s="75">
        <f t="shared" si="43"/>
        <v>6.2785360895631197E-4</v>
      </c>
      <c r="V321" s="60">
        <f>VLOOKUP(B321,metadata!$B$11:$BN$301,29,FALSE)*VLOOKUP(B321,metadata!$B$11:$BN$301,36,FALSE)*1000-T321</f>
        <v>14.63080822316488</v>
      </c>
      <c r="W321" s="76">
        <f t="shared" si="38"/>
        <v>0.99937214639104366</v>
      </c>
    </row>
    <row r="322" spans="2:23" x14ac:dyDescent="0.3">
      <c r="B322">
        <v>23</v>
      </c>
      <c r="C322">
        <v>5</v>
      </c>
      <c r="D322">
        <v>9</v>
      </c>
      <c r="E322"/>
      <c r="I322" s="72">
        <f t="shared" si="44"/>
        <v>1.9927416307251051E-3</v>
      </c>
      <c r="K322" s="75">
        <f t="shared" si="39"/>
        <v>1.3611623160690608E-4</v>
      </c>
      <c r="P322" s="8">
        <v>3.3212360512085087E-4</v>
      </c>
      <c r="R322" s="73">
        <f t="shared" si="40"/>
        <v>2.2686038601151016E-5</v>
      </c>
      <c r="S322" s="71">
        <f t="shared" si="41"/>
        <v>2.2700291060817906E-5</v>
      </c>
      <c r="T322" s="74">
        <f t="shared" si="42"/>
        <v>1.1184518465845512E-2</v>
      </c>
      <c r="U322" s="75">
        <f t="shared" si="43"/>
        <v>7.6396984056321807E-4</v>
      </c>
      <c r="V322" s="60">
        <f>VLOOKUP(B322,metadata!$B$11:$BN$301,29,FALSE)*VLOOKUP(B322,metadata!$B$11:$BN$301,36,FALSE)*1000-T322</f>
        <v>14.628815481534154</v>
      </c>
      <c r="W322" s="76">
        <f t="shared" si="38"/>
        <v>0.99923603015943674</v>
      </c>
    </row>
    <row r="323" spans="2:23" x14ac:dyDescent="0.3">
      <c r="B323">
        <v>23</v>
      </c>
      <c r="C323">
        <v>5</v>
      </c>
      <c r="D323">
        <v>18</v>
      </c>
      <c r="E323"/>
      <c r="I323" s="72">
        <f t="shared" si="44"/>
        <v>1.5388048402613826E-3</v>
      </c>
      <c r="K323" s="75">
        <f t="shared" si="39"/>
        <v>1.0510962023643323E-4</v>
      </c>
      <c r="P323" s="8">
        <v>1.7097831558459807E-4</v>
      </c>
      <c r="R323" s="73">
        <f t="shared" si="40"/>
        <v>1.1678846692937027E-5</v>
      </c>
      <c r="S323" s="71">
        <f t="shared" si="41"/>
        <v>1.1687775801152373E-5</v>
      </c>
      <c r="T323" s="74">
        <f t="shared" si="42"/>
        <v>1.2723323306106895E-2</v>
      </c>
      <c r="U323" s="75">
        <f t="shared" si="43"/>
        <v>8.6907946079965129E-4</v>
      </c>
      <c r="V323" s="60">
        <f>VLOOKUP(B323,metadata!$B$11:$BN$301,29,FALSE)*VLOOKUP(B323,metadata!$B$11:$BN$301,36,FALSE)*1000-T323</f>
        <v>14.627276676693894</v>
      </c>
      <c r="W323" s="76">
        <f t="shared" si="38"/>
        <v>0.99913092053920038</v>
      </c>
    </row>
    <row r="324" spans="2:23" x14ac:dyDescent="0.3">
      <c r="B324">
        <v>23</v>
      </c>
      <c r="C324">
        <v>5</v>
      </c>
      <c r="D324">
        <v>38</v>
      </c>
      <c r="E324"/>
      <c r="I324" s="72">
        <f t="shared" si="44"/>
        <v>2.1305790098072892E-3</v>
      </c>
      <c r="K324" s="75">
        <f t="shared" si="39"/>
        <v>1.455313531289132E-4</v>
      </c>
      <c r="P324" s="8">
        <v>1.0652895049036446E-4</v>
      </c>
      <c r="R324" s="73">
        <f t="shared" si="40"/>
        <v>7.2765676564456591E-6</v>
      </c>
      <c r="S324" s="71">
        <f t="shared" si="41"/>
        <v>7.2828970727066666E-6</v>
      </c>
      <c r="T324" s="74">
        <f t="shared" si="42"/>
        <v>1.4853902315914184E-2</v>
      </c>
      <c r="U324" s="75">
        <f t="shared" si="43"/>
        <v>1.0146108139285645E-3</v>
      </c>
      <c r="V324" s="60">
        <f>VLOOKUP(B324,metadata!$B$11:$BN$301,29,FALSE)*VLOOKUP(B324,metadata!$B$11:$BN$301,36,FALSE)*1000-T324</f>
        <v>14.625146097684086</v>
      </c>
      <c r="W324" s="76">
        <f t="shared" si="38"/>
        <v>0.99898538918607138</v>
      </c>
    </row>
    <row r="325" spans="2:23" x14ac:dyDescent="0.3">
      <c r="B325">
        <v>23</v>
      </c>
      <c r="C325">
        <v>5</v>
      </c>
      <c r="D325">
        <v>94</v>
      </c>
      <c r="E325"/>
      <c r="I325" s="72">
        <f t="shared" si="44"/>
        <v>9.7950278181063635E-3</v>
      </c>
      <c r="K325" s="75">
        <f t="shared" si="39"/>
        <v>6.6905927719305763E-4</v>
      </c>
      <c r="P325" s="8">
        <v>1.7491121103761363E-4</v>
      </c>
      <c r="R325" s="73">
        <f t="shared" si="40"/>
        <v>1.1947487092733172E-5</v>
      </c>
      <c r="S325" s="71">
        <f t="shared" si="41"/>
        <v>1.1959621453990883E-5</v>
      </c>
      <c r="T325" s="74">
        <f t="shared" si="42"/>
        <v>2.4648930134020548E-2</v>
      </c>
      <c r="U325" s="75">
        <f t="shared" si="43"/>
        <v>1.6836700911216221E-3</v>
      </c>
      <c r="V325" s="60">
        <f>VLOOKUP(B325,metadata!$B$11:$BN$301,29,FALSE)*VLOOKUP(B325,metadata!$B$11:$BN$301,36,FALSE)*1000-T325</f>
        <v>14.61535106986598</v>
      </c>
      <c r="W325" s="76">
        <f t="shared" si="38"/>
        <v>0.99831632990887842</v>
      </c>
    </row>
    <row r="326" spans="2:23" x14ac:dyDescent="0.3">
      <c r="B326">
        <v>23</v>
      </c>
      <c r="C326">
        <v>5</v>
      </c>
      <c r="D326">
        <v>183</v>
      </c>
      <c r="E326"/>
      <c r="I326" s="72">
        <f t="shared" si="44"/>
        <v>8.9980602517338686E-3</v>
      </c>
      <c r="K326" s="75">
        <f t="shared" si="39"/>
        <v>6.1462160189438989E-4</v>
      </c>
      <c r="P326" s="8">
        <v>1.0110180058127943E-4</v>
      </c>
      <c r="R326" s="73">
        <f t="shared" si="40"/>
        <v>6.9058606954425837E-6</v>
      </c>
      <c r="S326" s="71">
        <f t="shared" si="41"/>
        <v>6.9175074959185717E-6</v>
      </c>
      <c r="T326" s="74">
        <f t="shared" si="42"/>
        <v>3.3646990385754416E-2</v>
      </c>
      <c r="U326" s="75">
        <f t="shared" si="43"/>
        <v>2.2982916930160118E-3</v>
      </c>
      <c r="V326" s="60">
        <f>VLOOKUP(B326,metadata!$B$11:$BN$301,29,FALSE)*VLOOKUP(B326,metadata!$B$11:$BN$301,36,FALSE)*1000-T326</f>
        <v>14.606353009614246</v>
      </c>
      <c r="W326" s="76">
        <f t="shared" si="38"/>
        <v>0.99770170830698401</v>
      </c>
    </row>
    <row r="327" spans="2:23" x14ac:dyDescent="0.3">
      <c r="B327">
        <v>23</v>
      </c>
      <c r="C327">
        <v>5</v>
      </c>
      <c r="D327">
        <v>276</v>
      </c>
      <c r="E327"/>
      <c r="I327" s="72">
        <f t="shared" si="44"/>
        <v>7.1674656122061847E-3</v>
      </c>
      <c r="K327" s="75">
        <f t="shared" si="39"/>
        <v>4.8958098444031311E-4</v>
      </c>
      <c r="P327" s="8">
        <v>7.7069522711894456E-5</v>
      </c>
      <c r="R327" s="73">
        <f t="shared" si="40"/>
        <v>5.2643116606485283E-6</v>
      </c>
      <c r="S327" s="71">
        <f t="shared" si="41"/>
        <v>5.2764384553190988E-6</v>
      </c>
      <c r="T327" s="74">
        <f t="shared" si="42"/>
        <v>4.0814455997960603E-2</v>
      </c>
      <c r="U327" s="75">
        <f t="shared" si="43"/>
        <v>2.7878726774563252E-3</v>
      </c>
      <c r="V327" s="60">
        <f>VLOOKUP(B327,metadata!$B$11:$BN$301,29,FALSE)*VLOOKUP(B327,metadata!$B$11:$BN$301,36,FALSE)*1000-T327</f>
        <v>14.59918554400204</v>
      </c>
      <c r="W327" s="76">
        <f t="shared" si="38"/>
        <v>0.99721212732254372</v>
      </c>
    </row>
    <row r="328" spans="2:23" x14ac:dyDescent="0.3">
      <c r="B328">
        <v>23</v>
      </c>
      <c r="C328">
        <v>5</v>
      </c>
      <c r="D328">
        <v>365</v>
      </c>
      <c r="E328"/>
      <c r="I328" s="72">
        <f t="shared" si="44"/>
        <v>3.5065032812685668E-3</v>
      </c>
      <c r="K328" s="75">
        <f t="shared" si="39"/>
        <v>2.3951525145277094E-4</v>
      </c>
      <c r="P328" s="8">
        <v>3.9398913272680528E-5</v>
      </c>
      <c r="R328" s="73">
        <f t="shared" si="40"/>
        <v>2.6911826005929321E-6</v>
      </c>
      <c r="S328" s="71">
        <f t="shared" si="41"/>
        <v>2.6987062500118209E-6</v>
      </c>
      <c r="T328" s="74">
        <f t="shared" si="42"/>
        <v>4.4320959279229168E-2</v>
      </c>
      <c r="U328" s="75">
        <f t="shared" si="43"/>
        <v>3.0273879289090962E-3</v>
      </c>
      <c r="V328" s="60">
        <f>VLOOKUP(B328,metadata!$B$11:$BN$301,29,FALSE)*VLOOKUP(B328,metadata!$B$11:$BN$301,36,FALSE)*1000-T328</f>
        <v>14.595679040720771</v>
      </c>
      <c r="W328" s="76">
        <f t="shared" si="38"/>
        <v>0.99697261207109089</v>
      </c>
    </row>
    <row r="329" spans="2:23" x14ac:dyDescent="0.3">
      <c r="B329">
        <v>23</v>
      </c>
      <c r="C329">
        <v>5</v>
      </c>
      <c r="D329">
        <v>498</v>
      </c>
      <c r="E329"/>
      <c r="I329" s="72">
        <f t="shared" si="44"/>
        <v>7.2861892916640568E-3</v>
      </c>
      <c r="K329" s="75">
        <f t="shared" si="39"/>
        <v>4.9769052538688912E-4</v>
      </c>
      <c r="P329" s="8">
        <v>5.4783378132812457E-5</v>
      </c>
      <c r="R329" s="73">
        <f t="shared" si="40"/>
        <v>3.7420340254653315E-6</v>
      </c>
      <c r="S329" s="71">
        <f t="shared" si="41"/>
        <v>3.7533970142787627E-6</v>
      </c>
      <c r="T329" s="74">
        <f t="shared" si="42"/>
        <v>5.1607148570893227E-2</v>
      </c>
      <c r="U329" s="75">
        <f t="shared" si="43"/>
        <v>3.5250784542959854E-3</v>
      </c>
      <c r="V329" s="60">
        <f>VLOOKUP(B329,metadata!$B$11:$BN$301,29,FALSE)*VLOOKUP(B329,metadata!$B$11:$BN$301,36,FALSE)*1000-T329</f>
        <v>14.588392851429107</v>
      </c>
      <c r="W329" s="76">
        <f t="shared" si="38"/>
        <v>0.99647492154570405</v>
      </c>
    </row>
    <row r="330" spans="2:23" x14ac:dyDescent="0.3">
      <c r="B330">
        <v>23</v>
      </c>
      <c r="C330">
        <v>5</v>
      </c>
      <c r="D330">
        <v>550</v>
      </c>
      <c r="E330"/>
      <c r="I330" s="72">
        <f t="shared" si="44"/>
        <v>2.0084414096243428E-3</v>
      </c>
      <c r="K330" s="75">
        <f t="shared" si="39"/>
        <v>1.371886208759797E-4</v>
      </c>
      <c r="P330" s="8">
        <v>3.862387326200659E-5</v>
      </c>
      <c r="R330" s="73">
        <f t="shared" si="40"/>
        <v>2.6382427091534555E-6</v>
      </c>
      <c r="S330" s="71">
        <f t="shared" si="41"/>
        <v>2.6475756209309184E-6</v>
      </c>
      <c r="T330" s="74">
        <f t="shared" si="42"/>
        <v>5.3615589980517568E-2</v>
      </c>
      <c r="U330" s="75">
        <f t="shared" si="43"/>
        <v>3.6622670751719649E-3</v>
      </c>
      <c r="V330" s="60">
        <f>VLOOKUP(B330,metadata!$B$11:$BN$301,29,FALSE)*VLOOKUP(B330,metadata!$B$11:$BN$301,36,FALSE)*1000-T330</f>
        <v>14.586384410019482</v>
      </c>
      <c r="W330" s="76">
        <f t="shared" si="38"/>
        <v>0.99633773292482808</v>
      </c>
    </row>
    <row r="331" spans="2:23" x14ac:dyDescent="0.3">
      <c r="B331">
        <v>23</v>
      </c>
      <c r="C331">
        <v>5</v>
      </c>
      <c r="D331">
        <v>671</v>
      </c>
      <c r="E331"/>
      <c r="I331" s="72">
        <f t="shared" si="44"/>
        <v>7.2746106940586672E-3</v>
      </c>
      <c r="K331" s="75">
        <f t="shared" si="39"/>
        <v>4.9689963757231328E-4</v>
      </c>
      <c r="P331" s="8">
        <v>6.0120749537674935E-5</v>
      </c>
      <c r="R331" s="73">
        <f t="shared" si="40"/>
        <v>4.106608574977796E-6</v>
      </c>
      <c r="S331" s="71">
        <f t="shared" si="41"/>
        <v>4.1217033534628091E-6</v>
      </c>
      <c r="T331" s="74">
        <f t="shared" si="42"/>
        <v>6.0890200674576234E-2</v>
      </c>
      <c r="U331" s="75">
        <f t="shared" si="43"/>
        <v>4.1591667127442783E-3</v>
      </c>
      <c r="V331" s="60">
        <f>VLOOKUP(B331,metadata!$B$11:$BN$301,29,FALSE)*VLOOKUP(B331,metadata!$B$11:$BN$301,36,FALSE)*1000-T331</f>
        <v>14.579109799325424</v>
      </c>
      <c r="W331" s="76">
        <f t="shared" si="38"/>
        <v>0.9958408332872557</v>
      </c>
    </row>
    <row r="332" spans="2:23" x14ac:dyDescent="0.3">
      <c r="B332">
        <v>23</v>
      </c>
      <c r="C332">
        <v>5</v>
      </c>
      <c r="D332">
        <v>730</v>
      </c>
      <c r="E332"/>
      <c r="I332" s="72">
        <f t="shared" si="44"/>
        <v>4.0188874018576154E-3</v>
      </c>
      <c r="K332" s="75">
        <f t="shared" si="39"/>
        <v>2.7451416679355294E-4</v>
      </c>
      <c r="P332" s="8">
        <v>6.8116735624705352E-5</v>
      </c>
      <c r="R332" s="73">
        <f t="shared" si="40"/>
        <v>4.6527824880263213E-6</v>
      </c>
      <c r="S332" s="71">
        <f t="shared" si="41"/>
        <v>4.6722150091672344E-6</v>
      </c>
      <c r="T332" s="74">
        <f t="shared" si="42"/>
        <v>6.4909088076433849E-2</v>
      </c>
      <c r="U332" s="75">
        <f t="shared" si="43"/>
        <v>4.4336808795378312E-3</v>
      </c>
      <c r="V332" s="60">
        <f>VLOOKUP(B332,metadata!$B$11:$BN$301,29,FALSE)*VLOOKUP(B332,metadata!$B$11:$BN$301,36,FALSE)*1000-T332</f>
        <v>14.575090911923567</v>
      </c>
      <c r="W332" s="76">
        <f t="shared" si="38"/>
        <v>0.99556631912046212</v>
      </c>
    </row>
    <row r="333" spans="2:23" x14ac:dyDescent="0.3">
      <c r="B333">
        <v>24</v>
      </c>
      <c r="C333">
        <v>5</v>
      </c>
      <c r="D333">
        <v>0</v>
      </c>
      <c r="E333"/>
      <c r="I333" s="72">
        <f t="shared" si="44"/>
        <v>0</v>
      </c>
      <c r="K333" s="75">
        <f t="shared" si="39"/>
        <v>0</v>
      </c>
      <c r="P333" s="8"/>
      <c r="R333" s="73">
        <f t="shared" si="40"/>
        <v>0</v>
      </c>
      <c r="S333" s="71">
        <f t="shared" si="41"/>
        <v>0</v>
      </c>
      <c r="T333" s="74">
        <f t="shared" si="42"/>
        <v>0</v>
      </c>
      <c r="U333" s="75">
        <f t="shared" si="43"/>
        <v>0</v>
      </c>
      <c r="V333" s="60">
        <f>VLOOKUP(B333,metadata!$B$11:$BN$301,29,FALSE)*VLOOKUP(B333,metadata!$B$11:$BN$301,36,FALSE)*1000-T333</f>
        <v>14.64</v>
      </c>
      <c r="W333" s="76">
        <f t="shared" si="38"/>
        <v>1</v>
      </c>
    </row>
    <row r="334" spans="2:23" x14ac:dyDescent="0.3">
      <c r="B334">
        <v>24</v>
      </c>
      <c r="C334">
        <v>5</v>
      </c>
      <c r="D334">
        <v>2</v>
      </c>
      <c r="E334"/>
      <c r="I334" s="72">
        <f t="shared" si="44"/>
        <v>8.7993151155996291E-3</v>
      </c>
      <c r="K334" s="75">
        <f t="shared" si="39"/>
        <v>6.0104611445352656E-4</v>
      </c>
      <c r="P334" s="8">
        <v>4.3996575577998145E-3</v>
      </c>
      <c r="R334" s="73">
        <f t="shared" si="40"/>
        <v>3.0052305722676328E-4</v>
      </c>
      <c r="S334" s="71">
        <f t="shared" si="41"/>
        <v>3.0052305722676328E-4</v>
      </c>
      <c r="T334" s="74">
        <f t="shared" si="42"/>
        <v>8.7993151155996291E-3</v>
      </c>
      <c r="U334" s="75">
        <f t="shared" si="43"/>
        <v>6.0104611445352656E-4</v>
      </c>
      <c r="V334" s="60">
        <f>VLOOKUP(B334,metadata!$B$11:$BN$301,29,FALSE)*VLOOKUP(B334,metadata!$B$11:$BN$301,36,FALSE)*1000-T334</f>
        <v>14.631200684884401</v>
      </c>
      <c r="W334" s="76">
        <f t="shared" si="38"/>
        <v>0.99939895388554645</v>
      </c>
    </row>
    <row r="335" spans="2:23" x14ac:dyDescent="0.3">
      <c r="B335">
        <v>24</v>
      </c>
      <c r="C335">
        <v>5</v>
      </c>
      <c r="D335">
        <v>4</v>
      </c>
      <c r="E335"/>
      <c r="I335" s="72">
        <f t="shared" si="44"/>
        <v>3.0952818112216342E-3</v>
      </c>
      <c r="K335" s="75">
        <f t="shared" si="39"/>
        <v>2.1142635322552144E-4</v>
      </c>
      <c r="P335" s="8">
        <v>1.5476409056108171E-3</v>
      </c>
      <c r="R335" s="73">
        <f t="shared" si="40"/>
        <v>1.0571317661276072E-4</v>
      </c>
      <c r="S335" s="71">
        <f t="shared" si="41"/>
        <v>1.0577675331934283E-4</v>
      </c>
      <c r="T335" s="74">
        <f t="shared" si="42"/>
        <v>1.1894596926821262E-2</v>
      </c>
      <c r="U335" s="75">
        <f t="shared" si="43"/>
        <v>8.124724676790479E-4</v>
      </c>
      <c r="V335" s="60">
        <f>VLOOKUP(B335,metadata!$B$11:$BN$301,29,FALSE)*VLOOKUP(B335,metadata!$B$11:$BN$301,36,FALSE)*1000-T335</f>
        <v>14.62810540307318</v>
      </c>
      <c r="W335" s="76">
        <f t="shared" si="38"/>
        <v>0.99918752753232098</v>
      </c>
    </row>
    <row r="336" spans="2:23" x14ac:dyDescent="0.3">
      <c r="B336">
        <v>24</v>
      </c>
      <c r="C336">
        <v>5</v>
      </c>
      <c r="D336">
        <v>8</v>
      </c>
      <c r="E336"/>
      <c r="I336" s="72">
        <f t="shared" si="44"/>
        <v>9.0798040255194879E-3</v>
      </c>
      <c r="K336" s="75">
        <f t="shared" si="39"/>
        <v>6.2020519299996494E-4</v>
      </c>
      <c r="P336" s="8">
        <v>2.269951006379872E-3</v>
      </c>
      <c r="R336" s="73">
        <f t="shared" si="40"/>
        <v>1.5505129824999124E-4</v>
      </c>
      <c r="S336" s="71">
        <f t="shared" si="41"/>
        <v>1.551773755952691E-4</v>
      </c>
      <c r="T336" s="74">
        <f t="shared" si="42"/>
        <v>2.0974400952340752E-2</v>
      </c>
      <c r="U336" s="75">
        <f t="shared" si="43"/>
        <v>1.4326776606790131E-3</v>
      </c>
      <c r="V336" s="60">
        <f>VLOOKUP(B336,metadata!$B$11:$BN$301,29,FALSE)*VLOOKUP(B336,metadata!$B$11:$BN$301,36,FALSE)*1000-T336</f>
        <v>14.61902559904766</v>
      </c>
      <c r="W336" s="76">
        <f t="shared" si="38"/>
        <v>0.998567322339321</v>
      </c>
    </row>
    <row r="337" spans="2:23" x14ac:dyDescent="0.3">
      <c r="B337">
        <v>24</v>
      </c>
      <c r="C337">
        <v>5</v>
      </c>
      <c r="D337">
        <v>16</v>
      </c>
      <c r="E337"/>
      <c r="I337" s="72">
        <f t="shared" si="44"/>
        <v>1.2529047163542842E-2</v>
      </c>
      <c r="K337" s="75">
        <f t="shared" si="39"/>
        <v>8.5580923248243458E-4</v>
      </c>
      <c r="P337" s="8">
        <v>1.5661308954428553E-3</v>
      </c>
      <c r="R337" s="73">
        <f t="shared" si="40"/>
        <v>1.0697615406030432E-4</v>
      </c>
      <c r="S337" s="71">
        <f t="shared" si="41"/>
        <v>1.0712963629702373E-4</v>
      </c>
      <c r="T337" s="74">
        <f t="shared" si="42"/>
        <v>3.3503448115883593E-2</v>
      </c>
      <c r="U337" s="75">
        <f t="shared" si="43"/>
        <v>2.2884868931614473E-3</v>
      </c>
      <c r="V337" s="60">
        <f>VLOOKUP(B337,metadata!$B$11:$BN$301,29,FALSE)*VLOOKUP(B337,metadata!$B$11:$BN$301,36,FALSE)*1000-T337</f>
        <v>14.606496551884117</v>
      </c>
      <c r="W337" s="76">
        <f t="shared" si="38"/>
        <v>0.99771151310683859</v>
      </c>
    </row>
    <row r="338" spans="2:23" x14ac:dyDescent="0.3">
      <c r="B338">
        <v>24</v>
      </c>
      <c r="C338">
        <v>5</v>
      </c>
      <c r="D338">
        <v>30</v>
      </c>
      <c r="E338"/>
      <c r="I338" s="72">
        <f t="shared" si="44"/>
        <v>1.1366144147921798E-2</v>
      </c>
      <c r="K338" s="75">
        <f t="shared" si="39"/>
        <v>7.7637596638810088E-4</v>
      </c>
      <c r="P338" s="8">
        <v>8.1186743913727122E-4</v>
      </c>
      <c r="R338" s="73">
        <f t="shared" si="40"/>
        <v>5.5455426170578634E-5</v>
      </c>
      <c r="S338" s="71">
        <f t="shared" si="41"/>
        <v>5.5582626282313198E-5</v>
      </c>
      <c r="T338" s="74">
        <f t="shared" si="42"/>
        <v>4.4869592263805394E-2</v>
      </c>
      <c r="U338" s="75">
        <f t="shared" si="43"/>
        <v>3.0648628595495485E-3</v>
      </c>
      <c r="V338" s="60">
        <f>VLOOKUP(B338,metadata!$B$11:$BN$301,29,FALSE)*VLOOKUP(B338,metadata!$B$11:$BN$301,36,FALSE)*1000-T338</f>
        <v>14.595130407736194</v>
      </c>
      <c r="W338" s="76">
        <f t="shared" si="38"/>
        <v>0.99693513714045046</v>
      </c>
    </row>
    <row r="339" spans="2:23" x14ac:dyDescent="0.3">
      <c r="B339">
        <v>24</v>
      </c>
      <c r="C339">
        <v>5</v>
      </c>
      <c r="D339">
        <v>51</v>
      </c>
      <c r="E339"/>
      <c r="I339" s="72">
        <f t="shared" si="44"/>
        <v>1.1693626105754222E-2</v>
      </c>
      <c r="K339" s="75">
        <f t="shared" si="39"/>
        <v>7.9874495257884024E-4</v>
      </c>
      <c r="P339" s="8">
        <v>5.5683933836924869E-4</v>
      </c>
      <c r="R339" s="73">
        <f t="shared" si="40"/>
        <v>3.8035473932325728E-5</v>
      </c>
      <c r="S339" s="71">
        <f t="shared" si="41"/>
        <v>3.8152405823937982E-5</v>
      </c>
      <c r="T339" s="74">
        <f t="shared" si="42"/>
        <v>5.6563218369559617E-2</v>
      </c>
      <c r="U339" s="75">
        <f t="shared" si="43"/>
        <v>3.8636078121283891E-3</v>
      </c>
      <c r="V339" s="60">
        <f>VLOOKUP(B339,metadata!$B$11:$BN$301,29,FALSE)*VLOOKUP(B339,metadata!$B$11:$BN$301,36,FALSE)*1000-T339</f>
        <v>14.583436781630441</v>
      </c>
      <c r="W339" s="76">
        <f t="shared" si="38"/>
        <v>0.99613639218787164</v>
      </c>
    </row>
    <row r="340" spans="2:23" x14ac:dyDescent="0.3">
      <c r="B340">
        <v>24</v>
      </c>
      <c r="C340">
        <v>5</v>
      </c>
      <c r="D340">
        <v>80</v>
      </c>
      <c r="E340"/>
      <c r="I340" s="72">
        <f t="shared" si="44"/>
        <v>6.453780771832951E-3</v>
      </c>
      <c r="K340" s="75">
        <f t="shared" si="39"/>
        <v>4.4083201993394474E-4</v>
      </c>
      <c r="P340" s="8">
        <v>2.2254416454596383E-4</v>
      </c>
      <c r="R340" s="73">
        <f t="shared" si="40"/>
        <v>1.5201104135653267E-5</v>
      </c>
      <c r="S340" s="71">
        <f t="shared" si="41"/>
        <v>1.5260063034406572E-5</v>
      </c>
      <c r="T340" s="74">
        <f t="shared" si="42"/>
        <v>6.3016999141392568E-2</v>
      </c>
      <c r="U340" s="75">
        <f t="shared" si="43"/>
        <v>4.3044398320623341E-3</v>
      </c>
      <c r="V340" s="60">
        <f>VLOOKUP(B340,metadata!$B$11:$BN$301,29,FALSE)*VLOOKUP(B340,metadata!$B$11:$BN$301,36,FALSE)*1000-T340</f>
        <v>14.576983000858608</v>
      </c>
      <c r="W340" s="76">
        <f t="shared" si="38"/>
        <v>0.9956955601679377</v>
      </c>
    </row>
    <row r="341" spans="2:23" x14ac:dyDescent="0.3">
      <c r="B341">
        <v>24</v>
      </c>
      <c r="C341">
        <v>5</v>
      </c>
      <c r="D341">
        <v>183</v>
      </c>
      <c r="E341"/>
      <c r="I341" s="72">
        <f t="shared" si="44"/>
        <v>2.1191806467781859E-2</v>
      </c>
      <c r="K341" s="75">
        <f t="shared" si="39"/>
        <v>1.4475277641927498E-3</v>
      </c>
      <c r="P341" s="8">
        <v>2.0574569386195979E-4</v>
      </c>
      <c r="R341" s="73">
        <f t="shared" si="40"/>
        <v>1.4053667613521843E-5</v>
      </c>
      <c r="S341" s="71">
        <f t="shared" si="41"/>
        <v>1.4114422295055228E-5</v>
      </c>
      <c r="T341" s="74">
        <f t="shared" si="42"/>
        <v>8.4208805609174431E-2</v>
      </c>
      <c r="U341" s="75">
        <f t="shared" si="43"/>
        <v>5.7519675962550837E-3</v>
      </c>
      <c r="V341" s="60">
        <f>VLOOKUP(B341,metadata!$B$11:$BN$301,29,FALSE)*VLOOKUP(B341,metadata!$B$11:$BN$301,36,FALSE)*1000-T341</f>
        <v>14.555791194390826</v>
      </c>
      <c r="W341" s="76">
        <f t="shared" ref="W341:W404" si="45">100%-U341</f>
        <v>0.99424803240374493</v>
      </c>
    </row>
    <row r="342" spans="2:23" x14ac:dyDescent="0.3">
      <c r="B342">
        <v>24</v>
      </c>
      <c r="C342">
        <v>5</v>
      </c>
      <c r="D342">
        <v>246</v>
      </c>
      <c r="E342"/>
      <c r="I342" s="72">
        <f t="shared" si="44"/>
        <v>2.2628472190784982E-2</v>
      </c>
      <c r="K342" s="75">
        <f t="shared" ref="K342:K405" si="46">I342/(V342+T342)</f>
        <v>1.5456606687694659E-3</v>
      </c>
      <c r="P342" s="8">
        <v>3.591820982664283E-4</v>
      </c>
      <c r="R342" s="73">
        <f t="shared" ref="R342:R405" si="47">P342/(T342+V342)</f>
        <v>2.4534296329674062E-5</v>
      </c>
      <c r="S342" s="71">
        <f t="shared" ref="S342:S405" si="48">IF(D342&gt;D341,P342/V341,0)</f>
        <v>2.4676233223573692E-5</v>
      </c>
      <c r="T342" s="74">
        <f t="shared" ref="T342:T405" si="49">IF(D342&gt;D341,T341+I342,I342)</f>
        <v>0.10683727779995941</v>
      </c>
      <c r="U342" s="75">
        <f t="shared" ref="U342:U405" si="50">T342/(T342+V342)</f>
        <v>7.2976282650245496E-3</v>
      </c>
      <c r="V342" s="60">
        <f>VLOOKUP(B342,metadata!$B$11:$BN$301,29,FALSE)*VLOOKUP(B342,metadata!$B$11:$BN$301,36,FALSE)*1000-T342</f>
        <v>14.533162722200041</v>
      </c>
      <c r="W342" s="76">
        <f t="shared" si="45"/>
        <v>0.99270237173497544</v>
      </c>
    </row>
    <row r="343" spans="2:23" x14ac:dyDescent="0.3">
      <c r="B343">
        <v>24</v>
      </c>
      <c r="C343">
        <v>5</v>
      </c>
      <c r="D343">
        <v>313</v>
      </c>
      <c r="E343"/>
      <c r="I343" s="72">
        <f t="shared" ref="I343:I406" si="51">P343*IF(D343&gt;D342,(D343-D342),(D343-0))</f>
        <v>2.2718193794416291E-2</v>
      </c>
      <c r="K343" s="75">
        <f t="shared" si="46"/>
        <v>1.5517891936076701E-3</v>
      </c>
      <c r="P343" s="8">
        <v>3.3907751931964612E-4</v>
      </c>
      <c r="R343" s="73">
        <f t="shared" si="47"/>
        <v>2.3161032740412985E-5</v>
      </c>
      <c r="S343" s="71">
        <f t="shared" si="48"/>
        <v>2.333129586457395E-5</v>
      </c>
      <c r="T343" s="74">
        <f t="shared" si="49"/>
        <v>0.12955547159437569</v>
      </c>
      <c r="U343" s="75">
        <f t="shared" si="50"/>
        <v>8.8494174586322191E-3</v>
      </c>
      <c r="V343" s="60">
        <f>VLOOKUP(B343,metadata!$B$11:$BN$301,29,FALSE)*VLOOKUP(B343,metadata!$B$11:$BN$301,36,FALSE)*1000-T343</f>
        <v>14.510444528405625</v>
      </c>
      <c r="W343" s="76">
        <f t="shared" si="45"/>
        <v>0.99115058254136779</v>
      </c>
    </row>
    <row r="344" spans="2:23" x14ac:dyDescent="0.3">
      <c r="B344">
        <v>24</v>
      </c>
      <c r="C344">
        <v>5</v>
      </c>
      <c r="D344">
        <v>365</v>
      </c>
      <c r="E344"/>
      <c r="I344" s="72">
        <f t="shared" si="51"/>
        <v>2.5277549507871318E-2</v>
      </c>
      <c r="K344" s="75">
        <f t="shared" si="46"/>
        <v>1.7266085729420299E-3</v>
      </c>
      <c r="P344" s="8">
        <v>4.8610672130521763E-4</v>
      </c>
      <c r="R344" s="73">
        <f t="shared" si="47"/>
        <v>3.3204011018115961E-5</v>
      </c>
      <c r="S344" s="71">
        <f t="shared" si="48"/>
        <v>3.3500470668118806E-5</v>
      </c>
      <c r="T344" s="74">
        <f t="shared" si="49"/>
        <v>0.154833021102247</v>
      </c>
      <c r="U344" s="75">
        <f t="shared" si="50"/>
        <v>1.0576026031574249E-2</v>
      </c>
      <c r="V344" s="60">
        <f>VLOOKUP(B344,metadata!$B$11:$BN$301,29,FALSE)*VLOOKUP(B344,metadata!$B$11:$BN$301,36,FALSE)*1000-T344</f>
        <v>14.485166978897754</v>
      </c>
      <c r="W344" s="76">
        <f t="shared" si="45"/>
        <v>0.98942397396842574</v>
      </c>
    </row>
    <row r="345" spans="2:23" x14ac:dyDescent="0.3">
      <c r="B345">
        <v>24</v>
      </c>
      <c r="C345">
        <v>5</v>
      </c>
      <c r="D345">
        <v>428</v>
      </c>
      <c r="E345"/>
      <c r="I345" s="72">
        <f t="shared" si="51"/>
        <v>3.4479918817265524E-2</v>
      </c>
      <c r="K345" s="75">
        <f t="shared" si="46"/>
        <v>2.3551857115618525E-3</v>
      </c>
      <c r="P345" s="8">
        <v>5.4730029868675439E-4</v>
      </c>
      <c r="R345" s="73">
        <f t="shared" si="47"/>
        <v>3.7383900183521472E-5</v>
      </c>
      <c r="S345" s="71">
        <f t="shared" si="48"/>
        <v>3.7783499457346338E-5</v>
      </c>
      <c r="T345" s="74">
        <f t="shared" si="49"/>
        <v>0.18931293991951254</v>
      </c>
      <c r="U345" s="75">
        <f t="shared" si="50"/>
        <v>1.2931211743136101E-2</v>
      </c>
      <c r="V345" s="60">
        <f>VLOOKUP(B345,metadata!$B$11:$BN$301,29,FALSE)*VLOOKUP(B345,metadata!$B$11:$BN$301,36,FALSE)*1000-T345</f>
        <v>14.450687060080488</v>
      </c>
      <c r="W345" s="76">
        <f t="shared" si="45"/>
        <v>0.98706878825686395</v>
      </c>
    </row>
    <row r="346" spans="2:23" x14ac:dyDescent="0.3">
      <c r="B346">
        <v>24</v>
      </c>
      <c r="C346">
        <v>5</v>
      </c>
      <c r="D346">
        <v>469</v>
      </c>
      <c r="E346"/>
      <c r="I346" s="72">
        <f t="shared" si="51"/>
        <v>2.5397538562713984E-2</v>
      </c>
      <c r="K346" s="75">
        <f t="shared" si="46"/>
        <v>1.7348045466334687E-3</v>
      </c>
      <c r="P346" s="8">
        <v>6.1945216006619472E-4</v>
      </c>
      <c r="R346" s="73">
        <f t="shared" si="47"/>
        <v>4.2312306015450458E-5</v>
      </c>
      <c r="S346" s="71">
        <f t="shared" si="48"/>
        <v>4.2866623399340605E-5</v>
      </c>
      <c r="T346" s="74">
        <f t="shared" si="49"/>
        <v>0.21471047848222652</v>
      </c>
      <c r="U346" s="75">
        <f t="shared" si="50"/>
        <v>1.466601628976957E-2</v>
      </c>
      <c r="V346" s="60">
        <f>VLOOKUP(B346,metadata!$B$11:$BN$301,29,FALSE)*VLOOKUP(B346,metadata!$B$11:$BN$301,36,FALSE)*1000-T346</f>
        <v>14.425289521517774</v>
      </c>
      <c r="W346" s="76">
        <f t="shared" si="45"/>
        <v>0.9853339837102304</v>
      </c>
    </row>
    <row r="347" spans="2:23" x14ac:dyDescent="0.3">
      <c r="B347">
        <v>24</v>
      </c>
      <c r="C347">
        <v>5</v>
      </c>
      <c r="D347">
        <v>550</v>
      </c>
      <c r="E347"/>
      <c r="I347" s="72">
        <f t="shared" si="51"/>
        <v>2.9166329352472709E-2</v>
      </c>
      <c r="K347" s="75">
        <f t="shared" si="46"/>
        <v>1.9922356115076984E-3</v>
      </c>
      <c r="P347" s="8">
        <v>3.6007814015398407E-4</v>
      </c>
      <c r="R347" s="73">
        <f t="shared" si="47"/>
        <v>2.4595501376638256E-5</v>
      </c>
      <c r="S347" s="71">
        <f t="shared" si="48"/>
        <v>2.4961588439307664E-5</v>
      </c>
      <c r="T347" s="74">
        <f t="shared" si="49"/>
        <v>0.24387680783469923</v>
      </c>
      <c r="U347" s="75">
        <f t="shared" si="50"/>
        <v>1.665825190127727E-2</v>
      </c>
      <c r="V347" s="60">
        <f>VLOOKUP(B347,metadata!$B$11:$BN$301,29,FALSE)*VLOOKUP(B347,metadata!$B$11:$BN$301,36,FALSE)*1000-T347</f>
        <v>14.396123192165302</v>
      </c>
      <c r="W347" s="76">
        <f t="shared" si="45"/>
        <v>0.98334174809872277</v>
      </c>
    </row>
    <row r="348" spans="2:23" x14ac:dyDescent="0.3">
      <c r="B348">
        <v>24</v>
      </c>
      <c r="C348">
        <v>5</v>
      </c>
      <c r="D348">
        <v>659</v>
      </c>
      <c r="E348"/>
      <c r="I348" s="72">
        <f t="shared" si="51"/>
        <v>0.12673188330399485</v>
      </c>
      <c r="K348" s="75">
        <f t="shared" si="46"/>
        <v>8.6565494060105771E-3</v>
      </c>
      <c r="P348" s="8">
        <v>1.162677828477017E-3</v>
      </c>
      <c r="R348" s="73">
        <f t="shared" si="47"/>
        <v>7.9417884458812628E-5</v>
      </c>
      <c r="S348" s="71">
        <f t="shared" si="48"/>
        <v>8.0763259174509761E-5</v>
      </c>
      <c r="T348" s="74">
        <f t="shared" si="49"/>
        <v>0.3706086911386941</v>
      </c>
      <c r="U348" s="75">
        <f t="shared" si="50"/>
        <v>2.5314801307287846E-2</v>
      </c>
      <c r="V348" s="60">
        <f>VLOOKUP(B348,metadata!$B$11:$BN$301,29,FALSE)*VLOOKUP(B348,metadata!$B$11:$BN$301,36,FALSE)*1000-T348</f>
        <v>14.269391308861307</v>
      </c>
      <c r="W348" s="76">
        <f t="shared" si="45"/>
        <v>0.9746851986927122</v>
      </c>
    </row>
    <row r="349" spans="2:23" x14ac:dyDescent="0.3">
      <c r="B349">
        <v>24</v>
      </c>
      <c r="C349">
        <v>5</v>
      </c>
      <c r="D349">
        <v>730</v>
      </c>
      <c r="E349"/>
      <c r="I349" s="72">
        <f t="shared" si="51"/>
        <v>3.2405756426140103E-2</v>
      </c>
      <c r="K349" s="75">
        <f t="shared" si="46"/>
        <v>2.2135079526051983E-3</v>
      </c>
      <c r="P349" s="8">
        <v>4.5641910459352255E-4</v>
      </c>
      <c r="R349" s="73">
        <f t="shared" si="47"/>
        <v>3.1176168346552086E-5</v>
      </c>
      <c r="S349" s="71">
        <f t="shared" si="48"/>
        <v>3.1985884661393077E-5</v>
      </c>
      <c r="T349" s="74">
        <f t="shared" si="49"/>
        <v>0.40301444756483418</v>
      </c>
      <c r="U349" s="75">
        <f t="shared" si="50"/>
        <v>2.7528309259893045E-2</v>
      </c>
      <c r="V349" s="60">
        <f>VLOOKUP(B349,metadata!$B$11:$BN$301,29,FALSE)*VLOOKUP(B349,metadata!$B$11:$BN$301,36,FALSE)*1000-T349</f>
        <v>14.236985552435167</v>
      </c>
      <c r="W349" s="76">
        <f t="shared" si="45"/>
        <v>0.97247169074010698</v>
      </c>
    </row>
    <row r="350" spans="2:23" x14ac:dyDescent="0.3">
      <c r="B350">
        <v>25</v>
      </c>
      <c r="C350">
        <v>5</v>
      </c>
      <c r="D350">
        <v>0</v>
      </c>
      <c r="E350"/>
      <c r="I350" s="72">
        <f t="shared" si="51"/>
        <v>0</v>
      </c>
      <c r="K350" s="75">
        <f t="shared" si="46"/>
        <v>0</v>
      </c>
      <c r="P350" s="8"/>
      <c r="R350" s="73">
        <f t="shared" si="47"/>
        <v>0</v>
      </c>
      <c r="S350" s="71">
        <f t="shared" si="48"/>
        <v>0</v>
      </c>
      <c r="T350" s="74">
        <f t="shared" si="49"/>
        <v>0</v>
      </c>
      <c r="U350" s="75">
        <f t="shared" si="50"/>
        <v>0</v>
      </c>
      <c r="V350" s="60">
        <f>VLOOKUP(B350,metadata!$B$11:$BN$301,29,FALSE)*VLOOKUP(B350,metadata!$B$11:$BN$301,36,FALSE)*1000-T350</f>
        <v>14.64</v>
      </c>
      <c r="W350" s="76">
        <f t="shared" si="45"/>
        <v>1</v>
      </c>
    </row>
    <row r="351" spans="2:23" x14ac:dyDescent="0.3">
      <c r="B351">
        <v>25</v>
      </c>
      <c r="C351">
        <v>5</v>
      </c>
      <c r="D351">
        <v>2</v>
      </c>
      <c r="E351"/>
      <c r="I351" s="72">
        <f t="shared" si="51"/>
        <v>2.8276726880938206E-2</v>
      </c>
      <c r="K351" s="75">
        <f t="shared" si="46"/>
        <v>1.9314704153646316E-3</v>
      </c>
      <c r="P351" s="8">
        <v>1.4138363440469103E-2</v>
      </c>
      <c r="R351" s="73">
        <f t="shared" si="47"/>
        <v>9.657352076823158E-4</v>
      </c>
      <c r="S351" s="71">
        <f t="shared" si="48"/>
        <v>9.657352076823158E-4</v>
      </c>
      <c r="T351" s="74">
        <f t="shared" si="49"/>
        <v>2.8276726880938206E-2</v>
      </c>
      <c r="U351" s="75">
        <f t="shared" si="50"/>
        <v>1.9314704153646316E-3</v>
      </c>
      <c r="V351" s="60">
        <f>VLOOKUP(B351,metadata!$B$11:$BN$301,29,FALSE)*VLOOKUP(B351,metadata!$B$11:$BN$301,36,FALSE)*1000-T351</f>
        <v>14.611723273119063</v>
      </c>
      <c r="W351" s="76">
        <f t="shared" si="45"/>
        <v>0.99806852958463532</v>
      </c>
    </row>
    <row r="352" spans="2:23" x14ac:dyDescent="0.3">
      <c r="B352">
        <v>25</v>
      </c>
      <c r="C352">
        <v>5</v>
      </c>
      <c r="D352">
        <v>4</v>
      </c>
      <c r="E352"/>
      <c r="I352" s="72">
        <f t="shared" si="51"/>
        <v>8.2139611329847106E-3</v>
      </c>
      <c r="K352" s="75">
        <f t="shared" si="46"/>
        <v>5.6106291891972067E-4</v>
      </c>
      <c r="P352" s="8">
        <v>4.1069805664923553E-3</v>
      </c>
      <c r="R352" s="73">
        <f t="shared" si="47"/>
        <v>2.8053145945986034E-4</v>
      </c>
      <c r="S352" s="71">
        <f t="shared" si="48"/>
        <v>2.8107434624414883E-4</v>
      </c>
      <c r="T352" s="74">
        <f t="shared" si="49"/>
        <v>3.6490688013922919E-2</v>
      </c>
      <c r="U352" s="75">
        <f t="shared" si="50"/>
        <v>2.4925333342843523E-3</v>
      </c>
      <c r="V352" s="60">
        <f>VLOOKUP(B352,metadata!$B$11:$BN$301,29,FALSE)*VLOOKUP(B352,metadata!$B$11:$BN$301,36,FALSE)*1000-T352</f>
        <v>14.603509311986077</v>
      </c>
      <c r="W352" s="76">
        <f t="shared" si="45"/>
        <v>0.99750746666571566</v>
      </c>
    </row>
    <row r="353" spans="2:23" x14ac:dyDescent="0.3">
      <c r="B353">
        <v>25</v>
      </c>
      <c r="C353">
        <v>5</v>
      </c>
      <c r="D353">
        <v>8</v>
      </c>
      <c r="E353"/>
      <c r="I353" s="72">
        <f t="shared" si="51"/>
        <v>7.0051508655698761E-3</v>
      </c>
      <c r="K353" s="75">
        <f t="shared" si="46"/>
        <v>4.7849391158264181E-4</v>
      </c>
      <c r="P353" s="8">
        <v>1.751287716392469E-3</v>
      </c>
      <c r="R353" s="73">
        <f t="shared" si="47"/>
        <v>1.1962347789566045E-4</v>
      </c>
      <c r="S353" s="71">
        <f t="shared" si="48"/>
        <v>1.1992238844639008E-4</v>
      </c>
      <c r="T353" s="74">
        <f t="shared" si="49"/>
        <v>4.3495838879492793E-2</v>
      </c>
      <c r="U353" s="75">
        <f t="shared" si="50"/>
        <v>2.9710272458669941E-3</v>
      </c>
      <c r="V353" s="60">
        <f>VLOOKUP(B353,metadata!$B$11:$BN$301,29,FALSE)*VLOOKUP(B353,metadata!$B$11:$BN$301,36,FALSE)*1000-T353</f>
        <v>14.596504161120508</v>
      </c>
      <c r="W353" s="76">
        <f t="shared" si="45"/>
        <v>0.99702897275413305</v>
      </c>
    </row>
    <row r="354" spans="2:23" x14ac:dyDescent="0.3">
      <c r="B354">
        <v>25</v>
      </c>
      <c r="C354">
        <v>5</v>
      </c>
      <c r="D354">
        <v>16</v>
      </c>
      <c r="E354"/>
      <c r="I354" s="72">
        <f t="shared" si="51"/>
        <v>1.683112311143705E-2</v>
      </c>
      <c r="K354" s="75">
        <f t="shared" si="46"/>
        <v>1.1496668791965198E-3</v>
      </c>
      <c r="P354" s="8">
        <v>2.1038903889296313E-3</v>
      </c>
      <c r="R354" s="73">
        <f t="shared" si="47"/>
        <v>1.4370835989956497E-4</v>
      </c>
      <c r="S354" s="71">
        <f t="shared" si="48"/>
        <v>1.4413659364641493E-4</v>
      </c>
      <c r="T354" s="74">
        <f t="shared" si="49"/>
        <v>6.0326961990929844E-2</v>
      </c>
      <c r="U354" s="75">
        <f t="shared" si="50"/>
        <v>4.1206941250635136E-3</v>
      </c>
      <c r="V354" s="60">
        <f>VLOOKUP(B354,metadata!$B$11:$BN$301,29,FALSE)*VLOOKUP(B354,metadata!$B$11:$BN$301,36,FALSE)*1000-T354</f>
        <v>14.579673038009071</v>
      </c>
      <c r="W354" s="76">
        <f t="shared" si="45"/>
        <v>0.99587930587493645</v>
      </c>
    </row>
    <row r="355" spans="2:23" x14ac:dyDescent="0.3">
      <c r="B355">
        <v>25</v>
      </c>
      <c r="C355">
        <v>5</v>
      </c>
      <c r="D355">
        <v>30</v>
      </c>
      <c r="E355"/>
      <c r="I355" s="72">
        <f t="shared" si="51"/>
        <v>2.4765673500932839E-2</v>
      </c>
      <c r="K355" s="75">
        <f t="shared" si="46"/>
        <v>1.6916443648178168E-3</v>
      </c>
      <c r="P355" s="8">
        <v>1.7689766786380598E-3</v>
      </c>
      <c r="R355" s="73">
        <f t="shared" si="47"/>
        <v>1.2083174034412976E-4</v>
      </c>
      <c r="S355" s="71">
        <f t="shared" si="48"/>
        <v>1.2133171121371201E-4</v>
      </c>
      <c r="T355" s="74">
        <f t="shared" si="49"/>
        <v>8.5092635491862689E-2</v>
      </c>
      <c r="U355" s="75">
        <f t="shared" si="50"/>
        <v>5.812338489881331E-3</v>
      </c>
      <c r="V355" s="60">
        <f>VLOOKUP(B355,metadata!$B$11:$BN$301,29,FALSE)*VLOOKUP(B355,metadata!$B$11:$BN$301,36,FALSE)*1000-T355</f>
        <v>14.554907364508137</v>
      </c>
      <c r="W355" s="76">
        <f t="shared" si="45"/>
        <v>0.99418766151011861</v>
      </c>
    </row>
    <row r="356" spans="2:23" x14ac:dyDescent="0.3">
      <c r="B356">
        <v>25</v>
      </c>
      <c r="C356">
        <v>5</v>
      </c>
      <c r="D356">
        <v>51</v>
      </c>
      <c r="E356"/>
      <c r="I356" s="72">
        <f t="shared" si="51"/>
        <v>1.9911224405879467E-2</v>
      </c>
      <c r="K356" s="75">
        <f t="shared" si="46"/>
        <v>1.3600563118770128E-3</v>
      </c>
      <c r="P356" s="8">
        <v>9.481535431371175E-4</v>
      </c>
      <c r="R356" s="73">
        <f t="shared" si="47"/>
        <v>6.4764586279857756E-5</v>
      </c>
      <c r="S356" s="71">
        <f t="shared" si="48"/>
        <v>6.5143220729056082E-5</v>
      </c>
      <c r="T356" s="74">
        <f t="shared" si="49"/>
        <v>0.10500385989774216</v>
      </c>
      <c r="U356" s="75">
        <f t="shared" si="50"/>
        <v>7.1723948017583441E-3</v>
      </c>
      <c r="V356" s="60">
        <f>VLOOKUP(B356,metadata!$B$11:$BN$301,29,FALSE)*VLOOKUP(B356,metadata!$B$11:$BN$301,36,FALSE)*1000-T356</f>
        <v>14.534996140102258</v>
      </c>
      <c r="W356" s="76">
        <f t="shared" si="45"/>
        <v>0.99282760519824165</v>
      </c>
    </row>
    <row r="357" spans="2:23" x14ac:dyDescent="0.3">
      <c r="B357">
        <v>25</v>
      </c>
      <c r="C357">
        <v>5</v>
      </c>
      <c r="D357">
        <v>80</v>
      </c>
      <c r="E357"/>
      <c r="I357" s="72">
        <f t="shared" si="51"/>
        <v>4.1130740661967959E-2</v>
      </c>
      <c r="K357" s="75">
        <f t="shared" si="46"/>
        <v>2.8094768211726746E-3</v>
      </c>
      <c r="P357" s="8">
        <v>1.4183014021368261E-3</v>
      </c>
      <c r="R357" s="73">
        <f t="shared" si="47"/>
        <v>9.6878511074919814E-5</v>
      </c>
      <c r="S357" s="71">
        <f t="shared" si="48"/>
        <v>9.7578381752968802E-5</v>
      </c>
      <c r="T357" s="74">
        <f t="shared" si="49"/>
        <v>0.14613460055971011</v>
      </c>
      <c r="U357" s="75">
        <f t="shared" si="50"/>
        <v>9.9818716229310191E-3</v>
      </c>
      <c r="V357" s="60">
        <f>VLOOKUP(B357,metadata!$B$11:$BN$301,29,FALSE)*VLOOKUP(B357,metadata!$B$11:$BN$301,36,FALSE)*1000-T357</f>
        <v>14.49386539944029</v>
      </c>
      <c r="W357" s="76">
        <f t="shared" si="45"/>
        <v>0.99001812837706893</v>
      </c>
    </row>
    <row r="358" spans="2:23" x14ac:dyDescent="0.3">
      <c r="B358">
        <v>25</v>
      </c>
      <c r="C358">
        <v>5</v>
      </c>
      <c r="D358">
        <v>183</v>
      </c>
      <c r="E358"/>
      <c r="I358" s="72">
        <f t="shared" si="51"/>
        <v>9.6095772665013582E-2</v>
      </c>
      <c r="K358" s="75">
        <f t="shared" si="46"/>
        <v>6.5639188978834414E-3</v>
      </c>
      <c r="P358" s="8">
        <v>9.3296866665061725E-4</v>
      </c>
      <c r="R358" s="73">
        <f t="shared" si="47"/>
        <v>6.3727367940615931E-5</v>
      </c>
      <c r="S358" s="71">
        <f t="shared" si="48"/>
        <v>6.4369900018986361E-5</v>
      </c>
      <c r="T358" s="74">
        <f t="shared" si="49"/>
        <v>0.24223037322472368</v>
      </c>
      <c r="U358" s="75">
        <f t="shared" si="50"/>
        <v>1.6545790520814459E-2</v>
      </c>
      <c r="V358" s="60">
        <f>VLOOKUP(B358,metadata!$B$11:$BN$301,29,FALSE)*VLOOKUP(B358,metadata!$B$11:$BN$301,36,FALSE)*1000-T358</f>
        <v>14.397769626775277</v>
      </c>
      <c r="W358" s="76">
        <f t="shared" si="45"/>
        <v>0.98345420947918549</v>
      </c>
    </row>
    <row r="359" spans="2:23" x14ac:dyDescent="0.3">
      <c r="B359">
        <v>25</v>
      </c>
      <c r="C359">
        <v>5</v>
      </c>
      <c r="D359">
        <v>231</v>
      </c>
      <c r="E359"/>
      <c r="I359" s="72">
        <f t="shared" si="51"/>
        <v>3.3870606507534956E-2</v>
      </c>
      <c r="K359" s="75">
        <f t="shared" si="46"/>
        <v>2.3135660182742454E-3</v>
      </c>
      <c r="P359" s="8">
        <v>7.0563763557364488E-4</v>
      </c>
      <c r="R359" s="73">
        <f t="shared" si="47"/>
        <v>4.8199292047380112E-5</v>
      </c>
      <c r="S359" s="71">
        <f t="shared" si="48"/>
        <v>4.9010204626512641E-5</v>
      </c>
      <c r="T359" s="74">
        <f t="shared" si="49"/>
        <v>0.27610097973225867</v>
      </c>
      <c r="U359" s="75">
        <f t="shared" si="50"/>
        <v>1.8859356539088705E-2</v>
      </c>
      <c r="V359" s="60">
        <f>VLOOKUP(B359,metadata!$B$11:$BN$301,29,FALSE)*VLOOKUP(B359,metadata!$B$11:$BN$301,36,FALSE)*1000-T359</f>
        <v>14.363899020267741</v>
      </c>
      <c r="W359" s="76">
        <f t="shared" si="45"/>
        <v>0.98114064346091134</v>
      </c>
    </row>
    <row r="360" spans="2:23" x14ac:dyDescent="0.3">
      <c r="B360">
        <v>25</v>
      </c>
      <c r="C360">
        <v>5</v>
      </c>
      <c r="D360">
        <v>263</v>
      </c>
      <c r="E360"/>
      <c r="I360" s="72">
        <f t="shared" si="51"/>
        <v>2.4842392318183654E-2</v>
      </c>
      <c r="K360" s="75">
        <f t="shared" si="46"/>
        <v>1.696884721187408E-3</v>
      </c>
      <c r="P360" s="8">
        <v>7.763247599432392E-4</v>
      </c>
      <c r="R360" s="73">
        <f t="shared" si="47"/>
        <v>5.3027647537106501E-5</v>
      </c>
      <c r="S360" s="71">
        <f t="shared" si="48"/>
        <v>5.4046938010900091E-5</v>
      </c>
      <c r="T360" s="74">
        <f t="shared" si="49"/>
        <v>0.3009433720504423</v>
      </c>
      <c r="U360" s="75">
        <f t="shared" si="50"/>
        <v>2.0556241260276113E-2</v>
      </c>
      <c r="V360" s="60">
        <f>VLOOKUP(B360,metadata!$B$11:$BN$301,29,FALSE)*VLOOKUP(B360,metadata!$B$11:$BN$301,36,FALSE)*1000-T360</f>
        <v>14.339056627949558</v>
      </c>
      <c r="W360" s="76">
        <f t="shared" si="45"/>
        <v>0.97944375873972389</v>
      </c>
    </row>
    <row r="361" spans="2:23" x14ac:dyDescent="0.3">
      <c r="B361">
        <v>25</v>
      </c>
      <c r="C361">
        <v>5</v>
      </c>
      <c r="D361">
        <v>365</v>
      </c>
      <c r="E361"/>
      <c r="I361" s="72">
        <f t="shared" si="51"/>
        <v>5.6940130312189141E-2</v>
      </c>
      <c r="K361" s="75">
        <f t="shared" si="46"/>
        <v>3.8893531634008973E-3</v>
      </c>
      <c r="P361" s="8">
        <v>5.5823657168812884E-4</v>
      </c>
      <c r="R361" s="73">
        <f t="shared" si="47"/>
        <v>3.8130913366675467E-5</v>
      </c>
      <c r="S361" s="71">
        <f t="shared" si="48"/>
        <v>3.8931192349154911E-5</v>
      </c>
      <c r="T361" s="74">
        <f t="shared" si="49"/>
        <v>0.35788350236263144</v>
      </c>
      <c r="U361" s="75">
        <f t="shared" si="50"/>
        <v>2.4445594423677011E-2</v>
      </c>
      <c r="V361" s="60">
        <f>VLOOKUP(B361,metadata!$B$11:$BN$301,29,FALSE)*VLOOKUP(B361,metadata!$B$11:$BN$301,36,FALSE)*1000-T361</f>
        <v>14.28211649763737</v>
      </c>
      <c r="W361" s="76">
        <f t="shared" si="45"/>
        <v>0.975554405576323</v>
      </c>
    </row>
    <row r="362" spans="2:23" x14ac:dyDescent="0.3">
      <c r="B362">
        <v>25</v>
      </c>
      <c r="C362">
        <v>5</v>
      </c>
      <c r="D362">
        <v>423</v>
      </c>
      <c r="E362"/>
      <c r="I362" s="72">
        <f t="shared" si="51"/>
        <v>1.4667915519002843E-2</v>
      </c>
      <c r="K362" s="75">
        <f t="shared" si="46"/>
        <v>1.0019067977460959E-3</v>
      </c>
      <c r="P362" s="8">
        <v>2.5289509515522143E-4</v>
      </c>
      <c r="R362" s="73">
        <f t="shared" si="47"/>
        <v>1.7274255133553374E-5</v>
      </c>
      <c r="S362" s="71">
        <f t="shared" si="48"/>
        <v>1.7707116112451317E-5</v>
      </c>
      <c r="T362" s="74">
        <f t="shared" si="49"/>
        <v>0.37255141788163426</v>
      </c>
      <c r="U362" s="75">
        <f t="shared" si="50"/>
        <v>2.5447501221423103E-2</v>
      </c>
      <c r="V362" s="60">
        <f>VLOOKUP(B362,metadata!$B$11:$BN$301,29,FALSE)*VLOOKUP(B362,metadata!$B$11:$BN$301,36,FALSE)*1000-T362</f>
        <v>14.267448582118366</v>
      </c>
      <c r="W362" s="76">
        <f t="shared" si="45"/>
        <v>0.97455249877857686</v>
      </c>
    </row>
    <row r="363" spans="2:23" x14ac:dyDescent="0.3">
      <c r="B363">
        <v>25</v>
      </c>
      <c r="C363">
        <v>5</v>
      </c>
      <c r="D363">
        <v>463</v>
      </c>
      <c r="E363"/>
      <c r="I363" s="72">
        <f t="shared" si="51"/>
        <v>1.5625312772350131E-2</v>
      </c>
      <c r="K363" s="75">
        <f t="shared" si="46"/>
        <v>1.0673027849965936E-3</v>
      </c>
      <c r="P363" s="8">
        <v>3.906328193087533E-4</v>
      </c>
      <c r="R363" s="73">
        <f t="shared" si="47"/>
        <v>2.6682569624914843E-5</v>
      </c>
      <c r="S363" s="71">
        <f t="shared" si="48"/>
        <v>2.7379304509871515E-5</v>
      </c>
      <c r="T363" s="74">
        <f t="shared" si="49"/>
        <v>0.38817673065398439</v>
      </c>
      <c r="U363" s="75">
        <f t="shared" si="50"/>
        <v>2.6514804006419698E-2</v>
      </c>
      <c r="V363" s="60">
        <f>VLOOKUP(B363,metadata!$B$11:$BN$301,29,FALSE)*VLOOKUP(B363,metadata!$B$11:$BN$301,36,FALSE)*1000-T363</f>
        <v>14.251823269346016</v>
      </c>
      <c r="W363" s="76">
        <f t="shared" si="45"/>
        <v>0.9734851959935803</v>
      </c>
    </row>
    <row r="364" spans="2:23" x14ac:dyDescent="0.3">
      <c r="B364">
        <v>25</v>
      </c>
      <c r="C364">
        <v>5</v>
      </c>
      <c r="D364">
        <v>550</v>
      </c>
      <c r="E364"/>
      <c r="I364" s="72">
        <f t="shared" si="51"/>
        <v>3.9300408368120404E-2</v>
      </c>
      <c r="K364" s="75">
        <f t="shared" si="46"/>
        <v>2.684454123505492E-3</v>
      </c>
      <c r="P364" s="8">
        <v>4.5172883181747588E-4</v>
      </c>
      <c r="R364" s="73">
        <f t="shared" si="47"/>
        <v>3.0855794523051627E-5</v>
      </c>
      <c r="S364" s="71">
        <f t="shared" si="48"/>
        <v>3.1696213409346092E-5</v>
      </c>
      <c r="T364" s="74">
        <f t="shared" si="49"/>
        <v>0.42747713902210482</v>
      </c>
      <c r="U364" s="75">
        <f t="shared" si="50"/>
        <v>2.9199258129925191E-2</v>
      </c>
      <c r="V364" s="60">
        <f>VLOOKUP(B364,metadata!$B$11:$BN$301,29,FALSE)*VLOOKUP(B364,metadata!$B$11:$BN$301,36,FALSE)*1000-T364</f>
        <v>14.212522860977895</v>
      </c>
      <c r="W364" s="76">
        <f t="shared" si="45"/>
        <v>0.97080074187007481</v>
      </c>
    </row>
    <row r="365" spans="2:23" x14ac:dyDescent="0.3">
      <c r="B365">
        <v>25</v>
      </c>
      <c r="C365">
        <v>5</v>
      </c>
      <c r="D365">
        <v>640</v>
      </c>
      <c r="E365"/>
      <c r="I365" s="72">
        <f t="shared" si="51"/>
        <v>4.5068096642491631E-2</v>
      </c>
      <c r="K365" s="75">
        <f t="shared" si="46"/>
        <v>3.0784219018095377E-3</v>
      </c>
      <c r="P365" s="8">
        <v>5.0075662936101815E-4</v>
      </c>
      <c r="R365" s="73">
        <f t="shared" si="47"/>
        <v>3.4204687797883751E-5</v>
      </c>
      <c r="S365" s="71">
        <f t="shared" si="48"/>
        <v>3.5233479253419718E-5</v>
      </c>
      <c r="T365" s="74">
        <f t="shared" si="49"/>
        <v>0.47254523566459644</v>
      </c>
      <c r="U365" s="75">
        <f t="shared" si="50"/>
        <v>3.2277680031734729E-2</v>
      </c>
      <c r="V365" s="60">
        <f>VLOOKUP(B365,metadata!$B$11:$BN$301,29,FALSE)*VLOOKUP(B365,metadata!$B$11:$BN$301,36,FALSE)*1000-T365</f>
        <v>14.167454764335405</v>
      </c>
      <c r="W365" s="76">
        <f t="shared" si="45"/>
        <v>0.9677223199682653</v>
      </c>
    </row>
    <row r="366" spans="2:23" x14ac:dyDescent="0.3">
      <c r="B366">
        <v>25</v>
      </c>
      <c r="C366">
        <v>5</v>
      </c>
      <c r="D366">
        <v>730</v>
      </c>
      <c r="E366"/>
      <c r="I366" s="72">
        <f t="shared" si="51"/>
        <v>1.3206406587465096E-2</v>
      </c>
      <c r="K366" s="75">
        <f t="shared" si="46"/>
        <v>9.0207695269570328E-4</v>
      </c>
      <c r="P366" s="8">
        <v>1.467378509718344E-4</v>
      </c>
      <c r="R366" s="73">
        <f t="shared" si="47"/>
        <v>1.0023077252174479E-5</v>
      </c>
      <c r="S366" s="71">
        <f t="shared" si="48"/>
        <v>1.0357389764972217E-5</v>
      </c>
      <c r="T366" s="74">
        <f t="shared" si="49"/>
        <v>0.48575164225206152</v>
      </c>
      <c r="U366" s="75">
        <f t="shared" si="50"/>
        <v>3.3179756984430431E-2</v>
      </c>
      <c r="V366" s="60">
        <f>VLOOKUP(B366,metadata!$B$11:$BN$301,29,FALSE)*VLOOKUP(B366,metadata!$B$11:$BN$301,36,FALSE)*1000-T366</f>
        <v>14.154248357747939</v>
      </c>
      <c r="W366" s="76">
        <f t="shared" si="45"/>
        <v>0.96682024301556957</v>
      </c>
    </row>
    <row r="367" spans="2:23" x14ac:dyDescent="0.3">
      <c r="B367">
        <v>26</v>
      </c>
      <c r="C367">
        <v>5</v>
      </c>
      <c r="D367">
        <v>0</v>
      </c>
      <c r="E367"/>
      <c r="I367" s="72">
        <f t="shared" si="51"/>
        <v>0</v>
      </c>
      <c r="K367" s="75">
        <f t="shared" si="46"/>
        <v>0</v>
      </c>
      <c r="P367" s="8"/>
      <c r="R367" s="73">
        <f t="shared" si="47"/>
        <v>0</v>
      </c>
      <c r="S367" s="71">
        <f t="shared" si="48"/>
        <v>0</v>
      </c>
      <c r="T367" s="74">
        <f t="shared" si="49"/>
        <v>0</v>
      </c>
      <c r="U367" s="75">
        <f t="shared" si="50"/>
        <v>0</v>
      </c>
      <c r="V367" s="60">
        <f>VLOOKUP(B367,metadata!$B$11:$BN$301,29,FALSE)*VLOOKUP(B367,metadata!$B$11:$BN$301,36,FALSE)*1000-T367</f>
        <v>13.48</v>
      </c>
      <c r="W367" s="76">
        <f t="shared" si="45"/>
        <v>1</v>
      </c>
    </row>
    <row r="368" spans="2:23" x14ac:dyDescent="0.3">
      <c r="B368">
        <v>26</v>
      </c>
      <c r="C368">
        <v>5</v>
      </c>
      <c r="D368">
        <v>3</v>
      </c>
      <c r="E368"/>
      <c r="I368" s="72">
        <f t="shared" si="51"/>
        <v>6.4101705146723375E-3</v>
      </c>
      <c r="K368" s="75">
        <f t="shared" si="46"/>
        <v>4.7553193729023274E-4</v>
      </c>
      <c r="P368" s="8">
        <v>2.136723504890779E-3</v>
      </c>
      <c r="R368" s="73">
        <f t="shared" si="47"/>
        <v>1.585106457634109E-4</v>
      </c>
      <c r="S368" s="71">
        <f t="shared" si="48"/>
        <v>1.585106457634109E-4</v>
      </c>
      <c r="T368" s="74">
        <f t="shared" si="49"/>
        <v>6.4101705146723375E-3</v>
      </c>
      <c r="U368" s="75">
        <f t="shared" si="50"/>
        <v>4.7553193729023274E-4</v>
      </c>
      <c r="V368" s="60">
        <f>VLOOKUP(B368,metadata!$B$11:$BN$301,29,FALSE)*VLOOKUP(B368,metadata!$B$11:$BN$301,36,FALSE)*1000-T368</f>
        <v>13.473589829485329</v>
      </c>
      <c r="W368" s="76">
        <f t="shared" si="45"/>
        <v>0.99952446806270978</v>
      </c>
    </row>
    <row r="369" spans="2:23" x14ac:dyDescent="0.3">
      <c r="B369">
        <v>26</v>
      </c>
      <c r="C369">
        <v>5</v>
      </c>
      <c r="D369">
        <v>9</v>
      </c>
      <c r="E369"/>
      <c r="I369" s="72">
        <f t="shared" si="51"/>
        <v>8.7187160854919898E-3</v>
      </c>
      <c r="K369" s="75">
        <f t="shared" si="46"/>
        <v>6.4678902711364904E-4</v>
      </c>
      <c r="P369" s="8">
        <v>1.4531193475819985E-3</v>
      </c>
      <c r="R369" s="73">
        <f t="shared" si="47"/>
        <v>1.077981711856082E-4</v>
      </c>
      <c r="S369" s="71">
        <f t="shared" si="48"/>
        <v>1.0784945704685337E-4</v>
      </c>
      <c r="T369" s="74">
        <f t="shared" si="49"/>
        <v>1.5128886600164327E-2</v>
      </c>
      <c r="U369" s="75">
        <f t="shared" si="50"/>
        <v>1.1223209644038818E-3</v>
      </c>
      <c r="V369" s="60">
        <f>VLOOKUP(B369,metadata!$B$11:$BN$301,29,FALSE)*VLOOKUP(B369,metadata!$B$11:$BN$301,36,FALSE)*1000-T369</f>
        <v>13.464871113399836</v>
      </c>
      <c r="W369" s="76">
        <f t="shared" si="45"/>
        <v>0.9988776790355961</v>
      </c>
    </row>
    <row r="370" spans="2:23" x14ac:dyDescent="0.3">
      <c r="B370">
        <v>26</v>
      </c>
      <c r="C370">
        <v>5</v>
      </c>
      <c r="D370">
        <v>18</v>
      </c>
      <c r="E370"/>
      <c r="I370" s="72">
        <f t="shared" si="51"/>
        <v>6.2724021713370737E-3</v>
      </c>
      <c r="K370" s="75">
        <f t="shared" si="46"/>
        <v>4.6531173377871465E-4</v>
      </c>
      <c r="P370" s="8">
        <v>6.9693357459300821E-4</v>
      </c>
      <c r="R370" s="73">
        <f t="shared" si="47"/>
        <v>5.170130375319052E-5</v>
      </c>
      <c r="S370" s="71">
        <f t="shared" si="48"/>
        <v>5.1759394406637941E-5</v>
      </c>
      <c r="T370" s="74">
        <f t="shared" si="49"/>
        <v>2.1401288771501402E-2</v>
      </c>
      <c r="U370" s="75">
        <f t="shared" si="50"/>
        <v>1.5876326981825964E-3</v>
      </c>
      <c r="V370" s="60">
        <f>VLOOKUP(B370,metadata!$B$11:$BN$301,29,FALSE)*VLOOKUP(B370,metadata!$B$11:$BN$301,36,FALSE)*1000-T370</f>
        <v>13.458598711228499</v>
      </c>
      <c r="W370" s="76">
        <f t="shared" si="45"/>
        <v>0.99841236730181737</v>
      </c>
    </row>
    <row r="371" spans="2:23" x14ac:dyDescent="0.3">
      <c r="B371">
        <v>26</v>
      </c>
      <c r="C371">
        <v>5</v>
      </c>
      <c r="D371">
        <v>38</v>
      </c>
      <c r="E371"/>
      <c r="I371" s="72">
        <f t="shared" si="51"/>
        <v>1.3558072009369012E-2</v>
      </c>
      <c r="K371" s="75">
        <f t="shared" si="46"/>
        <v>1.0057916920896892E-3</v>
      </c>
      <c r="P371" s="8">
        <v>6.7790360046845056E-4</v>
      </c>
      <c r="R371" s="73">
        <f t="shared" si="47"/>
        <v>5.0289584604484463E-5</v>
      </c>
      <c r="S371" s="71">
        <f t="shared" si="48"/>
        <v>5.0369552953746673E-5</v>
      </c>
      <c r="T371" s="74">
        <f t="shared" si="49"/>
        <v>3.4959360780870412E-2</v>
      </c>
      <c r="U371" s="75">
        <f t="shared" si="50"/>
        <v>2.5934243902722858E-3</v>
      </c>
      <c r="V371" s="60">
        <f>VLOOKUP(B371,metadata!$B$11:$BN$301,29,FALSE)*VLOOKUP(B371,metadata!$B$11:$BN$301,36,FALSE)*1000-T371</f>
        <v>13.44504063921913</v>
      </c>
      <c r="W371" s="76">
        <f t="shared" si="45"/>
        <v>0.99740657560972767</v>
      </c>
    </row>
    <row r="372" spans="2:23" x14ac:dyDescent="0.3">
      <c r="B372">
        <v>26</v>
      </c>
      <c r="C372">
        <v>5</v>
      </c>
      <c r="D372">
        <v>94</v>
      </c>
      <c r="E372"/>
      <c r="I372" s="72">
        <f t="shared" si="51"/>
        <v>3.7450688487974289E-2</v>
      </c>
      <c r="K372" s="75">
        <f t="shared" si="46"/>
        <v>2.778240985754769E-3</v>
      </c>
      <c r="P372" s="8">
        <v>6.6876229442811225E-4</v>
      </c>
      <c r="R372" s="73">
        <f t="shared" si="47"/>
        <v>4.9611446174192302E-5</v>
      </c>
      <c r="S372" s="71">
        <f t="shared" si="48"/>
        <v>4.9740444255507518E-5</v>
      </c>
      <c r="T372" s="74">
        <f t="shared" si="49"/>
        <v>7.2410049268844701E-2</v>
      </c>
      <c r="U372" s="75">
        <f t="shared" si="50"/>
        <v>5.3716653760270544E-3</v>
      </c>
      <c r="V372" s="60">
        <f>VLOOKUP(B372,metadata!$B$11:$BN$301,29,FALSE)*VLOOKUP(B372,metadata!$B$11:$BN$301,36,FALSE)*1000-T372</f>
        <v>13.407589950731156</v>
      </c>
      <c r="W372" s="76">
        <f t="shared" si="45"/>
        <v>0.99462833462397293</v>
      </c>
    </row>
    <row r="373" spans="2:23" x14ac:dyDescent="0.3">
      <c r="B373">
        <v>26</v>
      </c>
      <c r="C373">
        <v>5</v>
      </c>
      <c r="D373">
        <v>183</v>
      </c>
      <c r="E373"/>
      <c r="I373" s="72">
        <f t="shared" si="51"/>
        <v>3.8348989245218651E-2</v>
      </c>
      <c r="K373" s="75">
        <f t="shared" si="46"/>
        <v>2.8448805078055378E-3</v>
      </c>
      <c r="P373" s="8">
        <v>4.3088751960919836E-4</v>
      </c>
      <c r="R373" s="73">
        <f t="shared" si="47"/>
        <v>3.1964949525904919E-5</v>
      </c>
      <c r="S373" s="71">
        <f t="shared" si="48"/>
        <v>3.2137581861660437E-5</v>
      </c>
      <c r="T373" s="74">
        <f t="shared" si="49"/>
        <v>0.11075903851406335</v>
      </c>
      <c r="U373" s="75">
        <f t="shared" si="50"/>
        <v>8.2165458838325926E-3</v>
      </c>
      <c r="V373" s="60">
        <f>VLOOKUP(B373,metadata!$B$11:$BN$301,29,FALSE)*VLOOKUP(B373,metadata!$B$11:$BN$301,36,FALSE)*1000-T373</f>
        <v>13.369240961485938</v>
      </c>
      <c r="W373" s="76">
        <f t="shared" si="45"/>
        <v>0.99178345411616742</v>
      </c>
    </row>
    <row r="374" spans="2:23" x14ac:dyDescent="0.3">
      <c r="B374">
        <v>26</v>
      </c>
      <c r="C374">
        <v>5</v>
      </c>
      <c r="D374">
        <v>276</v>
      </c>
      <c r="E374"/>
      <c r="I374" s="72">
        <f t="shared" si="51"/>
        <v>2.9739520528852374E-2</v>
      </c>
      <c r="K374" s="75">
        <f t="shared" si="46"/>
        <v>2.2061958849297013E-3</v>
      </c>
      <c r="P374" s="8">
        <v>3.1977979063282122E-4</v>
      </c>
      <c r="R374" s="73">
        <f t="shared" si="47"/>
        <v>2.3722536397093562E-5</v>
      </c>
      <c r="S374" s="71">
        <f t="shared" si="48"/>
        <v>2.3919068521095681E-5</v>
      </c>
      <c r="T374" s="74">
        <f t="shared" si="49"/>
        <v>0.14049855904291572</v>
      </c>
      <c r="U374" s="75">
        <f t="shared" si="50"/>
        <v>1.0422741768762294E-2</v>
      </c>
      <c r="V374" s="60">
        <f>VLOOKUP(B374,metadata!$B$11:$BN$301,29,FALSE)*VLOOKUP(B374,metadata!$B$11:$BN$301,36,FALSE)*1000-T374</f>
        <v>13.339501440957084</v>
      </c>
      <c r="W374" s="76">
        <f t="shared" si="45"/>
        <v>0.98957725823123766</v>
      </c>
    </row>
    <row r="375" spans="2:23" x14ac:dyDescent="0.3">
      <c r="B375">
        <v>26</v>
      </c>
      <c r="C375">
        <v>5</v>
      </c>
      <c r="D375">
        <v>365</v>
      </c>
      <c r="E375"/>
      <c r="I375" s="72">
        <f t="shared" si="51"/>
        <v>1.6896972011736927E-2</v>
      </c>
      <c r="K375" s="75">
        <f t="shared" si="46"/>
        <v>1.2534845706036295E-3</v>
      </c>
      <c r="P375" s="8">
        <v>1.8985361810940369E-4</v>
      </c>
      <c r="R375" s="73">
        <f t="shared" si="47"/>
        <v>1.4084096298917187E-5</v>
      </c>
      <c r="S375" s="71">
        <f t="shared" si="48"/>
        <v>1.4232437317820932E-5</v>
      </c>
      <c r="T375" s="74">
        <f t="shared" si="49"/>
        <v>0.15739553105465265</v>
      </c>
      <c r="U375" s="75">
        <f t="shared" si="50"/>
        <v>1.1676226339365924E-2</v>
      </c>
      <c r="V375" s="60">
        <f>VLOOKUP(B375,metadata!$B$11:$BN$301,29,FALSE)*VLOOKUP(B375,metadata!$B$11:$BN$301,36,FALSE)*1000-T375</f>
        <v>13.322604468945348</v>
      </c>
      <c r="W375" s="76">
        <f t="shared" si="45"/>
        <v>0.98832377366063406</v>
      </c>
    </row>
    <row r="376" spans="2:23" x14ac:dyDescent="0.3">
      <c r="B376">
        <v>26</v>
      </c>
      <c r="C376">
        <v>5</v>
      </c>
      <c r="D376">
        <v>498</v>
      </c>
      <c r="E376"/>
      <c r="I376" s="72">
        <f t="shared" si="51"/>
        <v>2.3716713546050761E-2</v>
      </c>
      <c r="K376" s="75">
        <f t="shared" si="46"/>
        <v>1.759400114692193E-3</v>
      </c>
      <c r="P376" s="8">
        <v>1.7832115448158467E-4</v>
      </c>
      <c r="R376" s="73">
        <f t="shared" si="47"/>
        <v>1.3228572290918744E-5</v>
      </c>
      <c r="S376" s="71">
        <f t="shared" si="48"/>
        <v>1.338485690971662E-5</v>
      </c>
      <c r="T376" s="74">
        <f t="shared" si="49"/>
        <v>0.18111224460070341</v>
      </c>
      <c r="U376" s="75">
        <f t="shared" si="50"/>
        <v>1.3435626454058117E-2</v>
      </c>
      <c r="V376" s="60">
        <f>VLOOKUP(B376,metadata!$B$11:$BN$301,29,FALSE)*VLOOKUP(B376,metadata!$B$11:$BN$301,36,FALSE)*1000-T376</f>
        <v>13.298887755399297</v>
      </c>
      <c r="W376" s="76">
        <f t="shared" si="45"/>
        <v>0.98656437354594184</v>
      </c>
    </row>
    <row r="377" spans="2:23" x14ac:dyDescent="0.3">
      <c r="B377">
        <v>26</v>
      </c>
      <c r="C377">
        <v>5</v>
      </c>
      <c r="D377">
        <v>550</v>
      </c>
      <c r="E377"/>
      <c r="I377" s="72">
        <f t="shared" si="51"/>
        <v>8.0474648872609963E-3</v>
      </c>
      <c r="K377" s="75">
        <f t="shared" si="46"/>
        <v>5.9699294415882758E-4</v>
      </c>
      <c r="P377" s="8">
        <v>1.5475894013963456E-4</v>
      </c>
      <c r="R377" s="73">
        <f t="shared" si="47"/>
        <v>1.1480633541515917E-5</v>
      </c>
      <c r="S377" s="71">
        <f t="shared" si="48"/>
        <v>1.1636983707664051E-5</v>
      </c>
      <c r="T377" s="74">
        <f t="shared" si="49"/>
        <v>0.1891597094879644</v>
      </c>
      <c r="U377" s="75">
        <f t="shared" si="50"/>
        <v>1.4032619398216943E-2</v>
      </c>
      <c r="V377" s="60">
        <f>VLOOKUP(B377,metadata!$B$11:$BN$301,29,FALSE)*VLOOKUP(B377,metadata!$B$11:$BN$301,36,FALSE)*1000-T377</f>
        <v>13.290840290512037</v>
      </c>
      <c r="W377" s="76">
        <f t="shared" si="45"/>
        <v>0.98596738060178302</v>
      </c>
    </row>
    <row r="378" spans="2:23" x14ac:dyDescent="0.3">
      <c r="B378">
        <v>26</v>
      </c>
      <c r="C378">
        <v>5</v>
      </c>
      <c r="D378">
        <v>671</v>
      </c>
      <c r="E378"/>
      <c r="I378" s="72">
        <f t="shared" si="51"/>
        <v>1.2943027243086151E-2</v>
      </c>
      <c r="K378" s="75">
        <f t="shared" si="46"/>
        <v>9.6016522574823078E-4</v>
      </c>
      <c r="P378" s="8">
        <v>1.0696716729823266E-4</v>
      </c>
      <c r="R378" s="73">
        <f t="shared" si="47"/>
        <v>7.9352497995721553E-6</v>
      </c>
      <c r="S378" s="71">
        <f t="shared" si="48"/>
        <v>8.0481869438002022E-6</v>
      </c>
      <c r="T378" s="74">
        <f t="shared" si="49"/>
        <v>0.20210273673105056</v>
      </c>
      <c r="U378" s="75">
        <f t="shared" si="50"/>
        <v>1.4992784623965175E-2</v>
      </c>
      <c r="V378" s="60">
        <f>VLOOKUP(B378,metadata!$B$11:$BN$301,29,FALSE)*VLOOKUP(B378,metadata!$B$11:$BN$301,36,FALSE)*1000-T378</f>
        <v>13.277897263268949</v>
      </c>
      <c r="W378" s="76">
        <f t="shared" si="45"/>
        <v>0.98500721537603486</v>
      </c>
    </row>
    <row r="379" spans="2:23" x14ac:dyDescent="0.3">
      <c r="B379">
        <v>26</v>
      </c>
      <c r="C379">
        <v>5</v>
      </c>
      <c r="D379">
        <v>730</v>
      </c>
      <c r="E379"/>
      <c r="I379" s="72">
        <f t="shared" si="51"/>
        <v>5.8111976390953579E-3</v>
      </c>
      <c r="K379" s="75">
        <f t="shared" si="46"/>
        <v>4.3109774770737076E-4</v>
      </c>
      <c r="P379" s="8">
        <v>9.8494875238904365E-5</v>
      </c>
      <c r="R379" s="73">
        <f t="shared" si="47"/>
        <v>7.3067414865656052E-6</v>
      </c>
      <c r="S379" s="71">
        <f t="shared" si="48"/>
        <v>7.41795732306001E-6</v>
      </c>
      <c r="T379" s="74">
        <f t="shared" si="49"/>
        <v>0.20791393437014591</v>
      </c>
      <c r="U379" s="75">
        <f t="shared" si="50"/>
        <v>1.5423882371672545E-2</v>
      </c>
      <c r="V379" s="60">
        <f>VLOOKUP(B379,metadata!$B$11:$BN$301,29,FALSE)*VLOOKUP(B379,metadata!$B$11:$BN$301,36,FALSE)*1000-T379</f>
        <v>13.272086065629855</v>
      </c>
      <c r="W379" s="76">
        <f t="shared" si="45"/>
        <v>0.98457611762832742</v>
      </c>
    </row>
    <row r="380" spans="2:23" x14ac:dyDescent="0.3">
      <c r="B380">
        <v>27</v>
      </c>
      <c r="C380">
        <v>5</v>
      </c>
      <c r="D380">
        <v>0</v>
      </c>
      <c r="E380"/>
      <c r="I380" s="72">
        <f t="shared" si="51"/>
        <v>0</v>
      </c>
      <c r="K380" s="75">
        <f t="shared" si="46"/>
        <v>0</v>
      </c>
      <c r="P380" s="8"/>
      <c r="R380" s="73">
        <f t="shared" si="47"/>
        <v>0</v>
      </c>
      <c r="S380" s="71">
        <f t="shared" si="48"/>
        <v>0</v>
      </c>
      <c r="T380" s="74">
        <f t="shared" si="49"/>
        <v>0</v>
      </c>
      <c r="U380" s="75">
        <f t="shared" si="50"/>
        <v>0</v>
      </c>
      <c r="V380" s="60">
        <f>VLOOKUP(B380,metadata!$B$11:$BN$301,29,FALSE)*VLOOKUP(B380,metadata!$B$11:$BN$301,36,FALSE)*1000-T380</f>
        <v>13.48</v>
      </c>
      <c r="W380" s="76">
        <f t="shared" si="45"/>
        <v>1</v>
      </c>
    </row>
    <row r="381" spans="2:23" x14ac:dyDescent="0.3">
      <c r="B381">
        <v>27</v>
      </c>
      <c r="C381">
        <v>5</v>
      </c>
      <c r="D381">
        <v>2</v>
      </c>
      <c r="E381"/>
      <c r="I381" s="72">
        <f t="shared" si="51"/>
        <v>4.6066116461826361E-3</v>
      </c>
      <c r="K381" s="75">
        <f t="shared" si="46"/>
        <v>3.4173676900464656E-4</v>
      </c>
      <c r="P381" s="8">
        <v>2.303305823091318E-3</v>
      </c>
      <c r="R381" s="73">
        <f t="shared" si="47"/>
        <v>1.7086838450232328E-4</v>
      </c>
      <c r="S381" s="71">
        <f t="shared" si="48"/>
        <v>1.7086838450232328E-4</v>
      </c>
      <c r="T381" s="74">
        <f t="shared" si="49"/>
        <v>4.6066116461826361E-3</v>
      </c>
      <c r="U381" s="75">
        <f t="shared" si="50"/>
        <v>3.4173676900464656E-4</v>
      </c>
      <c r="V381" s="60">
        <f>VLOOKUP(B381,metadata!$B$11:$BN$301,29,FALSE)*VLOOKUP(B381,metadata!$B$11:$BN$301,36,FALSE)*1000-T381</f>
        <v>13.475393388353817</v>
      </c>
      <c r="W381" s="76">
        <f t="shared" si="45"/>
        <v>0.99965826323099538</v>
      </c>
    </row>
    <row r="382" spans="2:23" x14ac:dyDescent="0.3">
      <c r="B382">
        <v>27</v>
      </c>
      <c r="C382">
        <v>5</v>
      </c>
      <c r="D382">
        <v>4</v>
      </c>
      <c r="E382"/>
      <c r="I382" s="72">
        <f t="shared" si="51"/>
        <v>7.4741033926748295E-3</v>
      </c>
      <c r="K382" s="75">
        <f t="shared" si="46"/>
        <v>5.5445870865540277E-4</v>
      </c>
      <c r="P382" s="8">
        <v>3.7370516963374147E-3</v>
      </c>
      <c r="R382" s="73">
        <f t="shared" si="47"/>
        <v>2.7722935432770139E-4</v>
      </c>
      <c r="S382" s="71">
        <f t="shared" si="48"/>
        <v>2.7732412617854869E-4</v>
      </c>
      <c r="T382" s="74">
        <f t="shared" si="49"/>
        <v>1.2080715038857465E-2</v>
      </c>
      <c r="U382" s="75">
        <f t="shared" si="50"/>
        <v>8.9619547766004923E-4</v>
      </c>
      <c r="V382" s="60">
        <f>VLOOKUP(B382,metadata!$B$11:$BN$301,29,FALSE)*VLOOKUP(B382,metadata!$B$11:$BN$301,36,FALSE)*1000-T382</f>
        <v>13.467919284961143</v>
      </c>
      <c r="W382" s="76">
        <f t="shared" si="45"/>
        <v>0.99910380452233993</v>
      </c>
    </row>
    <row r="383" spans="2:23" x14ac:dyDescent="0.3">
      <c r="B383">
        <v>27</v>
      </c>
      <c r="C383">
        <v>5</v>
      </c>
      <c r="D383">
        <v>8</v>
      </c>
      <c r="E383"/>
      <c r="I383" s="72">
        <f t="shared" si="51"/>
        <v>2.0399648677488728E-2</v>
      </c>
      <c r="K383" s="75">
        <f t="shared" si="46"/>
        <v>1.5133270532261666E-3</v>
      </c>
      <c r="P383" s="8">
        <v>5.0999121693721819E-3</v>
      </c>
      <c r="R383" s="73">
        <f t="shared" si="47"/>
        <v>3.7833176330654165E-4</v>
      </c>
      <c r="S383" s="71">
        <f t="shared" si="48"/>
        <v>3.7867112665777283E-4</v>
      </c>
      <c r="T383" s="74">
        <f t="shared" si="49"/>
        <v>3.2480363716346189E-2</v>
      </c>
      <c r="U383" s="75">
        <f t="shared" si="50"/>
        <v>2.4095225308862155E-3</v>
      </c>
      <c r="V383" s="60">
        <f>VLOOKUP(B383,metadata!$B$11:$BN$301,29,FALSE)*VLOOKUP(B383,metadata!$B$11:$BN$301,36,FALSE)*1000-T383</f>
        <v>13.447519636283655</v>
      </c>
      <c r="W383" s="76">
        <f t="shared" si="45"/>
        <v>0.99759047746911378</v>
      </c>
    </row>
    <row r="384" spans="2:23" x14ac:dyDescent="0.3">
      <c r="B384">
        <v>27</v>
      </c>
      <c r="C384">
        <v>5</v>
      </c>
      <c r="D384">
        <v>16</v>
      </c>
      <c r="E384"/>
      <c r="I384" s="72">
        <f t="shared" si="51"/>
        <v>3.1640539492331109E-2</v>
      </c>
      <c r="K384" s="75">
        <f t="shared" si="46"/>
        <v>2.3472210305883613E-3</v>
      </c>
      <c r="P384" s="8">
        <v>3.9550674365413886E-3</v>
      </c>
      <c r="R384" s="73">
        <f t="shared" si="47"/>
        <v>2.9340262882354516E-4</v>
      </c>
      <c r="S384" s="71">
        <f t="shared" si="48"/>
        <v>2.941112966193376E-4</v>
      </c>
      <c r="T384" s="74">
        <f t="shared" si="49"/>
        <v>6.4120903208677305E-2</v>
      </c>
      <c r="U384" s="75">
        <f t="shared" si="50"/>
        <v>4.7567435614745777E-3</v>
      </c>
      <c r="V384" s="60">
        <f>VLOOKUP(B384,metadata!$B$11:$BN$301,29,FALSE)*VLOOKUP(B384,metadata!$B$11:$BN$301,36,FALSE)*1000-T384</f>
        <v>13.415879096791324</v>
      </c>
      <c r="W384" s="76">
        <f t="shared" si="45"/>
        <v>0.9952432564385254</v>
      </c>
    </row>
    <row r="385" spans="2:23" x14ac:dyDescent="0.3">
      <c r="B385">
        <v>27</v>
      </c>
      <c r="C385">
        <v>5</v>
      </c>
      <c r="D385">
        <v>30</v>
      </c>
      <c r="E385"/>
      <c r="I385" s="72">
        <f t="shared" si="51"/>
        <v>4.7993638797103423E-2</v>
      </c>
      <c r="K385" s="75">
        <f t="shared" si="46"/>
        <v>3.5603589612094528E-3</v>
      </c>
      <c r="P385" s="8">
        <v>3.4281170569359586E-3</v>
      </c>
      <c r="R385" s="73">
        <f t="shared" si="47"/>
        <v>2.5431135437210372E-4</v>
      </c>
      <c r="S385" s="71">
        <f t="shared" si="48"/>
        <v>2.555268299753731E-4</v>
      </c>
      <c r="T385" s="74">
        <f t="shared" si="49"/>
        <v>0.11211454200578072</v>
      </c>
      <c r="U385" s="75">
        <f t="shared" si="50"/>
        <v>8.3171025226840296E-3</v>
      </c>
      <c r="V385" s="60">
        <f>VLOOKUP(B385,metadata!$B$11:$BN$301,29,FALSE)*VLOOKUP(B385,metadata!$B$11:$BN$301,36,FALSE)*1000-T385</f>
        <v>13.36788545799422</v>
      </c>
      <c r="W385" s="76">
        <f t="shared" si="45"/>
        <v>0.99168289747731597</v>
      </c>
    </row>
    <row r="386" spans="2:23" x14ac:dyDescent="0.3">
      <c r="B386">
        <v>27</v>
      </c>
      <c r="C386">
        <v>5</v>
      </c>
      <c r="D386">
        <v>51</v>
      </c>
      <c r="E386"/>
      <c r="I386" s="72">
        <f t="shared" si="51"/>
        <v>2.9113407432022016E-2</v>
      </c>
      <c r="K386" s="75">
        <f t="shared" si="46"/>
        <v>2.1597483258176571E-3</v>
      </c>
      <c r="P386" s="8">
        <v>1.3863527348581912E-3</v>
      </c>
      <c r="R386" s="73">
        <f t="shared" si="47"/>
        <v>1.0284515837226937E-4</v>
      </c>
      <c r="S386" s="71">
        <f t="shared" si="48"/>
        <v>1.0370770599542571E-4</v>
      </c>
      <c r="T386" s="74">
        <f t="shared" si="49"/>
        <v>0.14122794943780273</v>
      </c>
      <c r="U386" s="75">
        <f t="shared" si="50"/>
        <v>1.0476850848501687E-2</v>
      </c>
      <c r="V386" s="60">
        <f>VLOOKUP(B386,metadata!$B$11:$BN$301,29,FALSE)*VLOOKUP(B386,metadata!$B$11:$BN$301,36,FALSE)*1000-T386</f>
        <v>13.338772050562199</v>
      </c>
      <c r="W386" s="76">
        <f t="shared" si="45"/>
        <v>0.9895231491514983</v>
      </c>
    </row>
    <row r="387" spans="2:23" x14ac:dyDescent="0.3">
      <c r="B387">
        <v>27</v>
      </c>
      <c r="C387">
        <v>5</v>
      </c>
      <c r="D387">
        <v>80</v>
      </c>
      <c r="E387"/>
      <c r="I387" s="72">
        <f t="shared" si="51"/>
        <v>2.3805889051704263E-2</v>
      </c>
      <c r="K387" s="75">
        <f t="shared" si="46"/>
        <v>1.7660155082866663E-3</v>
      </c>
      <c r="P387" s="8">
        <v>8.2089272592083661E-4</v>
      </c>
      <c r="R387" s="73">
        <f t="shared" si="47"/>
        <v>6.0897086492643664E-5</v>
      </c>
      <c r="S387" s="71">
        <f t="shared" si="48"/>
        <v>6.1541851289544891E-5</v>
      </c>
      <c r="T387" s="74">
        <f t="shared" si="49"/>
        <v>0.16503383848950698</v>
      </c>
      <c r="U387" s="75">
        <f t="shared" si="50"/>
        <v>1.224286635678835E-2</v>
      </c>
      <c r="V387" s="60">
        <f>VLOOKUP(B387,metadata!$B$11:$BN$301,29,FALSE)*VLOOKUP(B387,metadata!$B$11:$BN$301,36,FALSE)*1000-T387</f>
        <v>13.314966161510494</v>
      </c>
      <c r="W387" s="76">
        <f t="shared" si="45"/>
        <v>0.9877571336432116</v>
      </c>
    </row>
    <row r="388" spans="2:23" x14ac:dyDescent="0.3">
      <c r="B388">
        <v>27</v>
      </c>
      <c r="C388">
        <v>5</v>
      </c>
      <c r="D388">
        <v>183</v>
      </c>
      <c r="E388"/>
      <c r="I388" s="72">
        <f t="shared" si="51"/>
        <v>6.4576908791036849E-2</v>
      </c>
      <c r="K388" s="75">
        <f t="shared" si="46"/>
        <v>4.7905718687712793E-3</v>
      </c>
      <c r="P388" s="8">
        <v>6.2696027952462955E-4</v>
      </c>
      <c r="R388" s="73">
        <f t="shared" si="47"/>
        <v>4.6510406492925041E-5</v>
      </c>
      <c r="S388" s="71">
        <f t="shared" si="48"/>
        <v>4.7086884932308763E-5</v>
      </c>
      <c r="T388" s="74">
        <f t="shared" si="49"/>
        <v>0.22961074728054381</v>
      </c>
      <c r="U388" s="75">
        <f t="shared" si="50"/>
        <v>1.7033438225559628E-2</v>
      </c>
      <c r="V388" s="60">
        <f>VLOOKUP(B388,metadata!$B$11:$BN$301,29,FALSE)*VLOOKUP(B388,metadata!$B$11:$BN$301,36,FALSE)*1000-T388</f>
        <v>13.250389252719456</v>
      </c>
      <c r="W388" s="76">
        <f t="shared" si="45"/>
        <v>0.98296656177444042</v>
      </c>
    </row>
    <row r="389" spans="2:23" x14ac:dyDescent="0.3">
      <c r="B389">
        <v>27</v>
      </c>
      <c r="C389">
        <v>5</v>
      </c>
      <c r="D389">
        <v>246</v>
      </c>
      <c r="E389"/>
      <c r="I389" s="72">
        <f t="shared" si="51"/>
        <v>4.1364001144340933E-2</v>
      </c>
      <c r="K389" s="75">
        <f t="shared" si="46"/>
        <v>3.0685460789570424E-3</v>
      </c>
      <c r="P389" s="8">
        <v>6.5657144673557041E-4</v>
      </c>
      <c r="R389" s="73">
        <f t="shared" si="47"/>
        <v>4.8707080618365756E-5</v>
      </c>
      <c r="S389" s="71">
        <f t="shared" si="48"/>
        <v>4.9551106326994762E-5</v>
      </c>
      <c r="T389" s="74">
        <f t="shared" si="49"/>
        <v>0.27097474842488473</v>
      </c>
      <c r="U389" s="75">
        <f t="shared" si="50"/>
        <v>2.0101984304516672E-2</v>
      </c>
      <c r="V389" s="60">
        <f>VLOOKUP(B389,metadata!$B$11:$BN$301,29,FALSE)*VLOOKUP(B389,metadata!$B$11:$BN$301,36,FALSE)*1000-T389</f>
        <v>13.209025251575115</v>
      </c>
      <c r="W389" s="76">
        <f t="shared" si="45"/>
        <v>0.97989801569548329</v>
      </c>
    </row>
    <row r="390" spans="2:23" x14ac:dyDescent="0.3">
      <c r="B390">
        <v>27</v>
      </c>
      <c r="C390">
        <v>5</v>
      </c>
      <c r="D390">
        <v>313</v>
      </c>
      <c r="E390"/>
      <c r="I390" s="72">
        <f t="shared" si="51"/>
        <v>4.2247694461626496E-2</v>
      </c>
      <c r="K390" s="75">
        <f t="shared" si="46"/>
        <v>3.1341019630286718E-3</v>
      </c>
      <c r="P390" s="8">
        <v>6.3056260390487303E-4</v>
      </c>
      <c r="R390" s="73">
        <f t="shared" si="47"/>
        <v>4.6777641239233902E-5</v>
      </c>
      <c r="S390" s="71">
        <f t="shared" si="48"/>
        <v>4.7737254785676281E-5</v>
      </c>
      <c r="T390" s="74">
        <f t="shared" si="49"/>
        <v>0.31322244288651124</v>
      </c>
      <c r="U390" s="75">
        <f t="shared" si="50"/>
        <v>2.3236086267545343E-2</v>
      </c>
      <c r="V390" s="60">
        <f>VLOOKUP(B390,metadata!$B$11:$BN$301,29,FALSE)*VLOOKUP(B390,metadata!$B$11:$BN$301,36,FALSE)*1000-T390</f>
        <v>13.166777557113489</v>
      </c>
      <c r="W390" s="76">
        <f t="shared" si="45"/>
        <v>0.97676391373245464</v>
      </c>
    </row>
    <row r="391" spans="2:23" x14ac:dyDescent="0.3">
      <c r="B391">
        <v>27</v>
      </c>
      <c r="C391">
        <v>5</v>
      </c>
      <c r="D391">
        <v>365</v>
      </c>
      <c r="E391"/>
      <c r="I391" s="72">
        <f t="shared" si="51"/>
        <v>3.4443053527047608E-2</v>
      </c>
      <c r="K391" s="75">
        <f t="shared" si="46"/>
        <v>2.5551226652112467E-3</v>
      </c>
      <c r="P391" s="8">
        <v>6.6236641398168471E-4</v>
      </c>
      <c r="R391" s="73">
        <f t="shared" si="47"/>
        <v>4.9136974330985513E-5</v>
      </c>
      <c r="S391" s="71">
        <f t="shared" si="48"/>
        <v>5.0305886243504914E-5</v>
      </c>
      <c r="T391" s="74">
        <f t="shared" si="49"/>
        <v>0.34766549641355887</v>
      </c>
      <c r="U391" s="75">
        <f t="shared" si="50"/>
        <v>2.5791208932756594E-2</v>
      </c>
      <c r="V391" s="60">
        <f>VLOOKUP(B391,metadata!$B$11:$BN$301,29,FALSE)*VLOOKUP(B391,metadata!$B$11:$BN$301,36,FALSE)*1000-T391</f>
        <v>13.132334503586442</v>
      </c>
      <c r="W391" s="76">
        <f t="shared" si="45"/>
        <v>0.97420879106724345</v>
      </c>
    </row>
    <row r="392" spans="2:23" x14ac:dyDescent="0.3">
      <c r="B392">
        <v>27</v>
      </c>
      <c r="C392">
        <v>5</v>
      </c>
      <c r="D392">
        <v>428</v>
      </c>
      <c r="E392"/>
      <c r="I392" s="72">
        <f t="shared" si="51"/>
        <v>3.1729174800071848E-2</v>
      </c>
      <c r="K392" s="75">
        <f t="shared" si="46"/>
        <v>2.3537963501536977E-3</v>
      </c>
      <c r="P392" s="8">
        <v>5.0363769523923568E-4</v>
      </c>
      <c r="R392" s="73">
        <f t="shared" si="47"/>
        <v>3.7361846827836475E-5</v>
      </c>
      <c r="S392" s="71">
        <f t="shared" si="48"/>
        <v>3.835096456777675E-5</v>
      </c>
      <c r="T392" s="74">
        <f t="shared" si="49"/>
        <v>0.37939467121363074</v>
      </c>
      <c r="U392" s="75">
        <f t="shared" si="50"/>
        <v>2.8145005282910293E-2</v>
      </c>
      <c r="V392" s="60">
        <f>VLOOKUP(B392,metadata!$B$11:$BN$301,29,FALSE)*VLOOKUP(B392,metadata!$B$11:$BN$301,36,FALSE)*1000-T392</f>
        <v>13.10060532878637</v>
      </c>
      <c r="W392" s="76">
        <f t="shared" si="45"/>
        <v>0.97185499471708969</v>
      </c>
    </row>
    <row r="393" spans="2:23" x14ac:dyDescent="0.3">
      <c r="B393">
        <v>27</v>
      </c>
      <c r="C393">
        <v>5</v>
      </c>
      <c r="D393">
        <v>469</v>
      </c>
      <c r="E393"/>
      <c r="I393" s="72">
        <f t="shared" si="51"/>
        <v>2.2938409719436156E-2</v>
      </c>
      <c r="K393" s="75">
        <f t="shared" si="46"/>
        <v>1.7016624420946704E-3</v>
      </c>
      <c r="P393" s="8">
        <v>5.5947340779112574E-4</v>
      </c>
      <c r="R393" s="73">
        <f t="shared" si="47"/>
        <v>4.1503962002309029E-5</v>
      </c>
      <c r="S393" s="71">
        <f t="shared" si="48"/>
        <v>4.2705920356350043E-5</v>
      </c>
      <c r="T393" s="74">
        <f t="shared" si="49"/>
        <v>0.40233308093306691</v>
      </c>
      <c r="U393" s="75">
        <f t="shared" si="50"/>
        <v>2.9846667725004963E-2</v>
      </c>
      <c r="V393" s="60">
        <f>VLOOKUP(B393,metadata!$B$11:$BN$301,29,FALSE)*VLOOKUP(B393,metadata!$B$11:$BN$301,36,FALSE)*1000-T393</f>
        <v>13.077666919066933</v>
      </c>
      <c r="W393" s="76">
        <f t="shared" si="45"/>
        <v>0.97015333227499501</v>
      </c>
    </row>
    <row r="394" spans="2:23" x14ac:dyDescent="0.3">
      <c r="B394">
        <v>27</v>
      </c>
      <c r="C394">
        <v>5</v>
      </c>
      <c r="D394">
        <v>550</v>
      </c>
      <c r="E394"/>
      <c r="I394" s="72">
        <f t="shared" si="51"/>
        <v>3.5408027733240102E-2</v>
      </c>
      <c r="K394" s="75">
        <f t="shared" si="46"/>
        <v>2.6267082888160312E-3</v>
      </c>
      <c r="P394" s="8">
        <v>4.371361448548161E-4</v>
      </c>
      <c r="R394" s="73">
        <f t="shared" si="47"/>
        <v>3.2428497392790511E-5</v>
      </c>
      <c r="S394" s="71">
        <f t="shared" si="48"/>
        <v>3.3426156787758661E-5</v>
      </c>
      <c r="T394" s="74">
        <f t="shared" si="49"/>
        <v>0.437741108666307</v>
      </c>
      <c r="U394" s="75">
        <f t="shared" si="50"/>
        <v>3.2473376013820991E-2</v>
      </c>
      <c r="V394" s="60">
        <f>VLOOKUP(B394,metadata!$B$11:$BN$301,29,FALSE)*VLOOKUP(B394,metadata!$B$11:$BN$301,36,FALSE)*1000-T394</f>
        <v>13.042258891333693</v>
      </c>
      <c r="W394" s="76">
        <f t="shared" si="45"/>
        <v>0.96752662398617906</v>
      </c>
    </row>
    <row r="395" spans="2:23" x14ac:dyDescent="0.3">
      <c r="B395">
        <v>27</v>
      </c>
      <c r="C395">
        <v>5</v>
      </c>
      <c r="D395">
        <v>659</v>
      </c>
      <c r="E395"/>
      <c r="I395" s="72">
        <f t="shared" si="51"/>
        <v>0.10298570882821136</v>
      </c>
      <c r="K395" s="75">
        <f t="shared" si="46"/>
        <v>7.6398893789474294E-3</v>
      </c>
      <c r="P395" s="8">
        <v>9.4482301677258128E-4</v>
      </c>
      <c r="R395" s="73">
        <f t="shared" si="47"/>
        <v>7.0090728247224123E-5</v>
      </c>
      <c r="S395" s="71">
        <f t="shared" si="48"/>
        <v>7.2443203638627077E-5</v>
      </c>
      <c r="T395" s="74">
        <f t="shared" si="49"/>
        <v>0.54072681749451834</v>
      </c>
      <c r="U395" s="75">
        <f t="shared" si="50"/>
        <v>4.0113265392768424E-2</v>
      </c>
      <c r="V395" s="60">
        <f>VLOOKUP(B395,metadata!$B$11:$BN$301,29,FALSE)*VLOOKUP(B395,metadata!$B$11:$BN$301,36,FALSE)*1000-T395</f>
        <v>12.939273182505483</v>
      </c>
      <c r="W395" s="76">
        <f t="shared" si="45"/>
        <v>0.95988673460723162</v>
      </c>
    </row>
    <row r="396" spans="2:23" x14ac:dyDescent="0.3">
      <c r="B396">
        <v>27</v>
      </c>
      <c r="C396">
        <v>5</v>
      </c>
      <c r="D396">
        <v>730</v>
      </c>
      <c r="E396"/>
      <c r="I396" s="72">
        <f t="shared" si="51"/>
        <v>3.7158621596388421E-2</v>
      </c>
      <c r="K396" s="75">
        <f t="shared" si="46"/>
        <v>2.7565743024027018E-3</v>
      </c>
      <c r="P396" s="8">
        <v>5.2336086755476647E-4</v>
      </c>
      <c r="R396" s="73">
        <f t="shared" si="47"/>
        <v>3.8824990174685937E-5</v>
      </c>
      <c r="S396" s="71">
        <f t="shared" si="48"/>
        <v>4.0447470284681478E-5</v>
      </c>
      <c r="T396" s="74">
        <f t="shared" si="49"/>
        <v>0.57788543909090673</v>
      </c>
      <c r="U396" s="75">
        <f t="shared" si="50"/>
        <v>4.2869839695171122E-2</v>
      </c>
      <c r="V396" s="60">
        <f>VLOOKUP(B396,metadata!$B$11:$BN$301,29,FALSE)*VLOOKUP(B396,metadata!$B$11:$BN$301,36,FALSE)*1000-T396</f>
        <v>12.902114560909094</v>
      </c>
      <c r="W396" s="76">
        <f t="shared" si="45"/>
        <v>0.95713016030482889</v>
      </c>
    </row>
    <row r="397" spans="2:23" x14ac:dyDescent="0.3">
      <c r="B397">
        <v>28</v>
      </c>
      <c r="C397">
        <v>5</v>
      </c>
      <c r="D397">
        <v>0</v>
      </c>
      <c r="E397"/>
      <c r="I397" s="72">
        <f t="shared" si="51"/>
        <v>0</v>
      </c>
      <c r="K397" s="75">
        <f t="shared" si="46"/>
        <v>0</v>
      </c>
      <c r="P397" s="8"/>
      <c r="R397" s="73">
        <f t="shared" si="47"/>
        <v>0</v>
      </c>
      <c r="S397" s="71">
        <f t="shared" si="48"/>
        <v>0</v>
      </c>
      <c r="T397" s="74">
        <f t="shared" si="49"/>
        <v>0</v>
      </c>
      <c r="U397" s="75">
        <f t="shared" si="50"/>
        <v>0</v>
      </c>
      <c r="V397" s="60">
        <f>VLOOKUP(B397,metadata!$B$11:$BN$301,29,FALSE)*VLOOKUP(B397,metadata!$B$11:$BN$301,36,FALSE)*1000-T397</f>
        <v>13.48</v>
      </c>
      <c r="W397" s="76">
        <f t="shared" si="45"/>
        <v>1</v>
      </c>
    </row>
    <row r="398" spans="2:23" x14ac:dyDescent="0.3">
      <c r="B398">
        <v>28</v>
      </c>
      <c r="C398">
        <v>5</v>
      </c>
      <c r="D398">
        <v>2</v>
      </c>
      <c r="E398"/>
      <c r="I398" s="72">
        <f t="shared" si="51"/>
        <v>1.8660611021219922E-2</v>
      </c>
      <c r="K398" s="75">
        <f t="shared" si="46"/>
        <v>1.3843183250163147E-3</v>
      </c>
      <c r="P398" s="8">
        <v>9.3303055106099611E-3</v>
      </c>
      <c r="R398" s="73">
        <f t="shared" si="47"/>
        <v>6.9215916250815735E-4</v>
      </c>
      <c r="S398" s="71">
        <f t="shared" si="48"/>
        <v>6.9215916250815735E-4</v>
      </c>
      <c r="T398" s="74">
        <f t="shared" si="49"/>
        <v>1.8660611021219922E-2</v>
      </c>
      <c r="U398" s="75">
        <f t="shared" si="50"/>
        <v>1.3843183250163147E-3</v>
      </c>
      <c r="V398" s="60">
        <f>VLOOKUP(B398,metadata!$B$11:$BN$301,29,FALSE)*VLOOKUP(B398,metadata!$B$11:$BN$301,36,FALSE)*1000-T398</f>
        <v>13.46133938897878</v>
      </c>
      <c r="W398" s="76">
        <f t="shared" si="45"/>
        <v>0.99861568167498371</v>
      </c>
    </row>
    <row r="399" spans="2:23" x14ac:dyDescent="0.3">
      <c r="B399">
        <v>28</v>
      </c>
      <c r="C399">
        <v>5</v>
      </c>
      <c r="D399">
        <v>4</v>
      </c>
      <c r="E399"/>
      <c r="I399" s="72">
        <f t="shared" si="51"/>
        <v>1.8494226196870096E-2</v>
      </c>
      <c r="K399" s="75">
        <f t="shared" si="46"/>
        <v>1.3719752371565352E-3</v>
      </c>
      <c r="P399" s="8">
        <v>9.2471130984350478E-3</v>
      </c>
      <c r="R399" s="73">
        <f t="shared" si="47"/>
        <v>6.8598761857826759E-4</v>
      </c>
      <c r="S399" s="71">
        <f t="shared" si="48"/>
        <v>6.8693856021533408E-4</v>
      </c>
      <c r="T399" s="74">
        <f t="shared" si="49"/>
        <v>3.7154837218090014E-2</v>
      </c>
      <c r="U399" s="75">
        <f t="shared" si="50"/>
        <v>2.7562935621728494E-3</v>
      </c>
      <c r="V399" s="60">
        <f>VLOOKUP(B399,metadata!$B$11:$BN$301,29,FALSE)*VLOOKUP(B399,metadata!$B$11:$BN$301,36,FALSE)*1000-T399</f>
        <v>13.442845162781911</v>
      </c>
      <c r="W399" s="76">
        <f t="shared" si="45"/>
        <v>0.99724370643782712</v>
      </c>
    </row>
    <row r="400" spans="2:23" x14ac:dyDescent="0.3">
      <c r="B400">
        <v>28</v>
      </c>
      <c r="C400">
        <v>5</v>
      </c>
      <c r="D400">
        <v>8</v>
      </c>
      <c r="E400"/>
      <c r="I400" s="72">
        <f t="shared" si="51"/>
        <v>1.4174780890484523E-2</v>
      </c>
      <c r="K400" s="75">
        <f t="shared" si="46"/>
        <v>1.051541609086389E-3</v>
      </c>
      <c r="P400" s="8">
        <v>3.5436952226211306E-3</v>
      </c>
      <c r="R400" s="73">
        <f t="shared" si="47"/>
        <v>2.6288540227159725E-4</v>
      </c>
      <c r="S400" s="71">
        <f t="shared" si="48"/>
        <v>2.6361199431443766E-4</v>
      </c>
      <c r="T400" s="74">
        <f t="shared" si="49"/>
        <v>5.1329618108574539E-2</v>
      </c>
      <c r="U400" s="75">
        <f t="shared" si="50"/>
        <v>3.8078351712592389E-3</v>
      </c>
      <c r="V400" s="60">
        <f>VLOOKUP(B400,metadata!$B$11:$BN$301,29,FALSE)*VLOOKUP(B400,metadata!$B$11:$BN$301,36,FALSE)*1000-T400</f>
        <v>13.428670381891425</v>
      </c>
      <c r="W400" s="76">
        <f t="shared" si="45"/>
        <v>0.99619216482874073</v>
      </c>
    </row>
    <row r="401" spans="2:23" x14ac:dyDescent="0.3">
      <c r="B401">
        <v>28</v>
      </c>
      <c r="C401">
        <v>5</v>
      </c>
      <c r="D401">
        <v>16</v>
      </c>
      <c r="E401"/>
      <c r="I401" s="72">
        <f t="shared" si="51"/>
        <v>4.2390531760375577E-2</v>
      </c>
      <c r="K401" s="75">
        <f t="shared" si="46"/>
        <v>3.1446982018082771E-3</v>
      </c>
      <c r="P401" s="8">
        <v>5.2988164700469471E-3</v>
      </c>
      <c r="R401" s="73">
        <f t="shared" si="47"/>
        <v>3.9308727522603464E-4</v>
      </c>
      <c r="S401" s="71">
        <f t="shared" si="48"/>
        <v>3.9458980817582703E-4</v>
      </c>
      <c r="T401" s="74">
        <f t="shared" si="49"/>
        <v>9.3720149868950109E-2</v>
      </c>
      <c r="U401" s="75">
        <f t="shared" si="50"/>
        <v>6.9525333730675156E-3</v>
      </c>
      <c r="V401" s="60">
        <f>VLOOKUP(B401,metadata!$B$11:$BN$301,29,FALSE)*VLOOKUP(B401,metadata!$B$11:$BN$301,36,FALSE)*1000-T401</f>
        <v>13.38627985013105</v>
      </c>
      <c r="W401" s="76">
        <f t="shared" si="45"/>
        <v>0.99304746662693244</v>
      </c>
    </row>
    <row r="402" spans="2:23" x14ac:dyDescent="0.3">
      <c r="B402">
        <v>28</v>
      </c>
      <c r="C402">
        <v>5</v>
      </c>
      <c r="D402">
        <v>30</v>
      </c>
      <c r="E402"/>
      <c r="I402" s="72">
        <f t="shared" si="51"/>
        <v>4.7464041944923992E-2</v>
      </c>
      <c r="K402" s="75">
        <f t="shared" si="46"/>
        <v>3.5210713608994056E-3</v>
      </c>
      <c r="P402" s="8">
        <v>3.3902887103517136E-3</v>
      </c>
      <c r="R402" s="73">
        <f t="shared" si="47"/>
        <v>2.515050972071004E-4</v>
      </c>
      <c r="S402" s="71">
        <f t="shared" si="48"/>
        <v>2.5326593708695872E-4</v>
      </c>
      <c r="T402" s="74">
        <f t="shared" si="49"/>
        <v>0.14118419181387409</v>
      </c>
      <c r="U402" s="75">
        <f t="shared" si="50"/>
        <v>1.0473604733966921E-2</v>
      </c>
      <c r="V402" s="60">
        <f>VLOOKUP(B402,metadata!$B$11:$BN$301,29,FALSE)*VLOOKUP(B402,metadata!$B$11:$BN$301,36,FALSE)*1000-T402</f>
        <v>13.338815808186126</v>
      </c>
      <c r="W402" s="76">
        <f t="shared" si="45"/>
        <v>0.98952639526603303</v>
      </c>
    </row>
    <row r="403" spans="2:23" x14ac:dyDescent="0.3">
      <c r="B403">
        <v>28</v>
      </c>
      <c r="C403">
        <v>5</v>
      </c>
      <c r="D403">
        <v>51</v>
      </c>
      <c r="E403"/>
      <c r="I403" s="72">
        <f t="shared" si="51"/>
        <v>3.7272994517683872E-2</v>
      </c>
      <c r="K403" s="75">
        <f t="shared" si="46"/>
        <v>2.7650589404809994E-3</v>
      </c>
      <c r="P403" s="8">
        <v>1.7749045008420893E-3</v>
      </c>
      <c r="R403" s="73">
        <f t="shared" si="47"/>
        <v>1.3166947335623808E-4</v>
      </c>
      <c r="S403" s="71">
        <f t="shared" si="48"/>
        <v>1.3306312392085193E-4</v>
      </c>
      <c r="T403" s="74">
        <f t="shared" si="49"/>
        <v>0.17845718633155797</v>
      </c>
      <c r="U403" s="75">
        <f t="shared" si="50"/>
        <v>1.3238663674447921E-2</v>
      </c>
      <c r="V403" s="60">
        <f>VLOOKUP(B403,metadata!$B$11:$BN$301,29,FALSE)*VLOOKUP(B403,metadata!$B$11:$BN$301,36,FALSE)*1000-T403</f>
        <v>13.301542813668442</v>
      </c>
      <c r="W403" s="76">
        <f t="shared" si="45"/>
        <v>0.98676133632555207</v>
      </c>
    </row>
    <row r="404" spans="2:23" x14ac:dyDescent="0.3">
      <c r="B404">
        <v>28</v>
      </c>
      <c r="C404">
        <v>5</v>
      </c>
      <c r="D404">
        <v>80</v>
      </c>
      <c r="E404"/>
      <c r="I404" s="72">
        <f t="shared" si="51"/>
        <v>3.9208800898031554E-2</v>
      </c>
      <c r="K404" s="75">
        <f t="shared" si="46"/>
        <v>2.908664755046851E-3</v>
      </c>
      <c r="P404" s="8">
        <v>1.352027617173502E-3</v>
      </c>
      <c r="R404" s="73">
        <f t="shared" si="47"/>
        <v>1.0029878465678798E-4</v>
      </c>
      <c r="S404" s="71">
        <f t="shared" si="48"/>
        <v>1.0164442096026493E-4</v>
      </c>
      <c r="T404" s="74">
        <f t="shared" si="49"/>
        <v>0.21766598722958952</v>
      </c>
      <c r="U404" s="75">
        <f t="shared" si="50"/>
        <v>1.6147328429494772E-2</v>
      </c>
      <c r="V404" s="60">
        <f>VLOOKUP(B404,metadata!$B$11:$BN$301,29,FALSE)*VLOOKUP(B404,metadata!$B$11:$BN$301,36,FALSE)*1000-T404</f>
        <v>13.262334012770411</v>
      </c>
      <c r="W404" s="76">
        <f t="shared" si="45"/>
        <v>0.98385267157050527</v>
      </c>
    </row>
    <row r="405" spans="2:23" x14ac:dyDescent="0.3">
      <c r="B405">
        <v>28</v>
      </c>
      <c r="C405">
        <v>5</v>
      </c>
      <c r="D405">
        <v>183</v>
      </c>
      <c r="E405"/>
      <c r="I405" s="72">
        <f t="shared" si="51"/>
        <v>0.17620297483702668</v>
      </c>
      <c r="K405" s="75">
        <f t="shared" si="46"/>
        <v>1.3071437302450049E-2</v>
      </c>
      <c r="P405" s="8">
        <v>1.7107084935633658E-3</v>
      </c>
      <c r="R405" s="73">
        <f t="shared" si="47"/>
        <v>1.2690715827621407E-4</v>
      </c>
      <c r="S405" s="71">
        <f t="shared" si="48"/>
        <v>1.2899000220595487E-4</v>
      </c>
      <c r="T405" s="74">
        <f t="shared" si="49"/>
        <v>0.3938689620666162</v>
      </c>
      <c r="U405" s="75">
        <f t="shared" si="50"/>
        <v>2.9218765731944821E-2</v>
      </c>
      <c r="V405" s="60">
        <f>VLOOKUP(B405,metadata!$B$11:$BN$301,29,FALSE)*VLOOKUP(B405,metadata!$B$11:$BN$301,36,FALSE)*1000-T405</f>
        <v>13.086131037933384</v>
      </c>
      <c r="W405" s="76">
        <f t="shared" ref="W405:W468" si="52">100%-U405</f>
        <v>0.97078123426805518</v>
      </c>
    </row>
    <row r="406" spans="2:23" x14ac:dyDescent="0.3">
      <c r="B406">
        <v>28</v>
      </c>
      <c r="C406">
        <v>5</v>
      </c>
      <c r="D406">
        <v>231</v>
      </c>
      <c r="E406"/>
      <c r="I406" s="72">
        <f t="shared" si="51"/>
        <v>7.7743738722589273E-2</v>
      </c>
      <c r="K406" s="75">
        <f t="shared" ref="K406:K469" si="53">I406/(V406+T406)</f>
        <v>5.7673396678478688E-3</v>
      </c>
      <c r="P406" s="8">
        <v>1.6196612233872764E-3</v>
      </c>
      <c r="R406" s="73">
        <f t="shared" ref="R406:R469" si="54">P406/(T406+V406)</f>
        <v>1.2015290974683059E-4</v>
      </c>
      <c r="S406" s="71">
        <f t="shared" ref="S406:S469" si="55">IF(D406&gt;D405,P406/V405,0)</f>
        <v>1.2376929580578769E-4</v>
      </c>
      <c r="T406" s="74">
        <f t="shared" ref="T406:T469" si="56">IF(D406&gt;D405,T405+I406,I406)</f>
        <v>0.47161270078920547</v>
      </c>
      <c r="U406" s="75">
        <f t="shared" ref="U406:U469" si="57">T406/(T406+V406)</f>
        <v>3.4986105399792689E-2</v>
      </c>
      <c r="V406" s="60">
        <f>VLOOKUP(B406,metadata!$B$11:$BN$301,29,FALSE)*VLOOKUP(B406,metadata!$B$11:$BN$301,36,FALSE)*1000-T406</f>
        <v>13.008387299210796</v>
      </c>
      <c r="W406" s="76">
        <f t="shared" si="52"/>
        <v>0.96501389460020737</v>
      </c>
    </row>
    <row r="407" spans="2:23" x14ac:dyDescent="0.3">
      <c r="B407">
        <v>28</v>
      </c>
      <c r="C407">
        <v>5</v>
      </c>
      <c r="D407">
        <v>263</v>
      </c>
      <c r="E407"/>
      <c r="I407" s="72">
        <f t="shared" ref="I407:I470" si="58">P407*IF(D407&gt;D406,(D407-D406),(D407-0))</f>
        <v>5.7376115021199652E-2</v>
      </c>
      <c r="K407" s="75">
        <f t="shared" si="53"/>
        <v>4.2563883546884009E-3</v>
      </c>
      <c r="P407" s="8">
        <v>1.7930035944124891E-3</v>
      </c>
      <c r="R407" s="73">
        <f t="shared" si="54"/>
        <v>1.3301213608401253E-4</v>
      </c>
      <c r="S407" s="71">
        <f t="shared" si="55"/>
        <v>1.3783442583395936E-4</v>
      </c>
      <c r="T407" s="74">
        <f t="shared" si="56"/>
        <v>0.52898881581040513</v>
      </c>
      <c r="U407" s="75">
        <f t="shared" si="57"/>
        <v>3.9242493754481092E-2</v>
      </c>
      <c r="V407" s="60">
        <f>VLOOKUP(B407,metadata!$B$11:$BN$301,29,FALSE)*VLOOKUP(B407,metadata!$B$11:$BN$301,36,FALSE)*1000-T407</f>
        <v>12.951011184189595</v>
      </c>
      <c r="W407" s="76">
        <f t="shared" si="52"/>
        <v>0.96075750624551892</v>
      </c>
    </row>
    <row r="408" spans="2:23" x14ac:dyDescent="0.3">
      <c r="B408">
        <v>28</v>
      </c>
      <c r="C408">
        <v>5</v>
      </c>
      <c r="D408">
        <v>365</v>
      </c>
      <c r="E408"/>
      <c r="I408" s="72">
        <f t="shared" si="58"/>
        <v>0.19462394815414857</v>
      </c>
      <c r="K408" s="75">
        <f t="shared" si="53"/>
        <v>1.4437978349714286E-2</v>
      </c>
      <c r="P408" s="8">
        <v>1.9080779230798879E-3</v>
      </c>
      <c r="R408" s="73">
        <f t="shared" si="54"/>
        <v>1.4154880735014005E-4</v>
      </c>
      <c r="S408" s="71">
        <f t="shared" si="55"/>
        <v>1.4733042045467782E-4</v>
      </c>
      <c r="T408" s="74">
        <f t="shared" si="56"/>
        <v>0.72361276396455376</v>
      </c>
      <c r="U408" s="75">
        <f t="shared" si="57"/>
        <v>5.3680472104195381E-2</v>
      </c>
      <c r="V408" s="60">
        <f>VLOOKUP(B408,metadata!$B$11:$BN$301,29,FALSE)*VLOOKUP(B408,metadata!$B$11:$BN$301,36,FALSE)*1000-T408</f>
        <v>12.756387236035447</v>
      </c>
      <c r="W408" s="76">
        <f t="shared" si="52"/>
        <v>0.94631952789580465</v>
      </c>
    </row>
    <row r="409" spans="2:23" x14ac:dyDescent="0.3">
      <c r="B409">
        <v>28</v>
      </c>
      <c r="C409">
        <v>5</v>
      </c>
      <c r="D409">
        <v>423</v>
      </c>
      <c r="E409"/>
      <c r="I409" s="72">
        <f t="shared" si="58"/>
        <v>7.7542226179034474E-2</v>
      </c>
      <c r="K409" s="75">
        <f t="shared" si="53"/>
        <v>5.7523906661004799E-3</v>
      </c>
      <c r="P409" s="8">
        <v>1.3369349341212841E-3</v>
      </c>
      <c r="R409" s="73">
        <f t="shared" si="54"/>
        <v>9.9179149415525532E-5</v>
      </c>
      <c r="S409" s="71">
        <f t="shared" si="55"/>
        <v>1.0480513874214982E-4</v>
      </c>
      <c r="T409" s="74">
        <f t="shared" si="56"/>
        <v>0.80115499014358826</v>
      </c>
      <c r="U409" s="75">
        <f t="shared" si="57"/>
        <v>5.9432862770295865E-2</v>
      </c>
      <c r="V409" s="60">
        <f>VLOOKUP(B409,metadata!$B$11:$BN$301,29,FALSE)*VLOOKUP(B409,metadata!$B$11:$BN$301,36,FALSE)*1000-T409</f>
        <v>12.678845009856412</v>
      </c>
      <c r="W409" s="76">
        <f t="shared" si="52"/>
        <v>0.94056713722970409</v>
      </c>
    </row>
    <row r="410" spans="2:23" x14ac:dyDescent="0.3">
      <c r="B410">
        <v>28</v>
      </c>
      <c r="C410">
        <v>5</v>
      </c>
      <c r="D410">
        <v>463</v>
      </c>
      <c r="E410"/>
      <c r="I410" s="72">
        <f t="shared" si="58"/>
        <v>4.5459795109353128E-2</v>
      </c>
      <c r="K410" s="75">
        <f t="shared" si="53"/>
        <v>3.3723883612279768E-3</v>
      </c>
      <c r="P410" s="8">
        <v>1.1364948777338282E-3</v>
      </c>
      <c r="R410" s="73">
        <f t="shared" si="54"/>
        <v>8.430970903069941E-5</v>
      </c>
      <c r="S410" s="71">
        <f t="shared" si="55"/>
        <v>8.9637098398973088E-5</v>
      </c>
      <c r="T410" s="74">
        <f t="shared" si="56"/>
        <v>0.84661478525294143</v>
      </c>
      <c r="U410" s="75">
        <f t="shared" si="57"/>
        <v>6.280525113152384E-2</v>
      </c>
      <c r="V410" s="60">
        <f>VLOOKUP(B410,metadata!$B$11:$BN$301,29,FALSE)*VLOOKUP(B410,metadata!$B$11:$BN$301,36,FALSE)*1000-T410</f>
        <v>12.63338521474706</v>
      </c>
      <c r="W410" s="76">
        <f t="shared" si="52"/>
        <v>0.9371947488684762</v>
      </c>
    </row>
    <row r="411" spans="2:23" x14ac:dyDescent="0.3">
      <c r="B411">
        <v>28</v>
      </c>
      <c r="C411">
        <v>5</v>
      </c>
      <c r="D411">
        <v>550</v>
      </c>
      <c r="E411"/>
      <c r="I411" s="72">
        <f t="shared" si="58"/>
        <v>7.295353915343003E-2</v>
      </c>
      <c r="K411" s="75">
        <f t="shared" si="53"/>
        <v>5.4119836167232961E-3</v>
      </c>
      <c r="P411" s="8">
        <v>8.3854642705091993E-4</v>
      </c>
      <c r="R411" s="73">
        <f t="shared" si="54"/>
        <v>6.2206708238198808E-5</v>
      </c>
      <c r="S411" s="71">
        <f t="shared" si="55"/>
        <v>6.637543404218193E-5</v>
      </c>
      <c r="T411" s="74">
        <f t="shared" si="56"/>
        <v>0.91956832440637148</v>
      </c>
      <c r="U411" s="75">
        <f t="shared" si="57"/>
        <v>6.8217234748247146E-2</v>
      </c>
      <c r="V411" s="60">
        <f>VLOOKUP(B411,metadata!$B$11:$BN$301,29,FALSE)*VLOOKUP(B411,metadata!$B$11:$BN$301,36,FALSE)*1000-T411</f>
        <v>12.560431675593628</v>
      </c>
      <c r="W411" s="76">
        <f t="shared" si="52"/>
        <v>0.93178276525175285</v>
      </c>
    </row>
    <row r="412" spans="2:23" x14ac:dyDescent="0.3">
      <c r="B412">
        <v>28</v>
      </c>
      <c r="C412">
        <v>5</v>
      </c>
      <c r="D412">
        <v>640</v>
      </c>
      <c r="E412"/>
      <c r="I412" s="72">
        <f t="shared" si="58"/>
        <v>0.14514491849756969</v>
      </c>
      <c r="K412" s="75">
        <f t="shared" si="53"/>
        <v>1.076742718824701E-2</v>
      </c>
      <c r="P412" s="8">
        <v>1.6127213166396632E-3</v>
      </c>
      <c r="R412" s="73">
        <f t="shared" si="54"/>
        <v>1.1963807986941121E-4</v>
      </c>
      <c r="S412" s="71">
        <f t="shared" si="55"/>
        <v>1.2839696582828177E-4</v>
      </c>
      <c r="T412" s="74">
        <f t="shared" si="56"/>
        <v>1.0647132429039412</v>
      </c>
      <c r="U412" s="75">
        <f t="shared" si="57"/>
        <v>7.8984661936494158E-2</v>
      </c>
      <c r="V412" s="60">
        <f>VLOOKUP(B412,metadata!$B$11:$BN$301,29,FALSE)*VLOOKUP(B412,metadata!$B$11:$BN$301,36,FALSE)*1000-T412</f>
        <v>12.415286757096059</v>
      </c>
      <c r="W412" s="76">
        <f t="shared" si="52"/>
        <v>0.92101533806350588</v>
      </c>
    </row>
    <row r="413" spans="2:23" x14ac:dyDescent="0.3">
      <c r="B413">
        <v>28</v>
      </c>
      <c r="C413">
        <v>5</v>
      </c>
      <c r="D413">
        <v>730</v>
      </c>
      <c r="E413"/>
      <c r="I413" s="72">
        <f t="shared" si="58"/>
        <v>0.10302939224384847</v>
      </c>
      <c r="K413" s="75">
        <f t="shared" si="53"/>
        <v>7.6431299884160584E-3</v>
      </c>
      <c r="P413" s="8">
        <v>1.1447710249316496E-3</v>
      </c>
      <c r="R413" s="73">
        <f t="shared" si="54"/>
        <v>8.492366653795619E-5</v>
      </c>
      <c r="S413" s="71">
        <f t="shared" si="55"/>
        <v>9.2206571409020921E-5</v>
      </c>
      <c r="T413" s="74">
        <f t="shared" si="56"/>
        <v>1.1677426351477898</v>
      </c>
      <c r="U413" s="75">
        <f t="shared" si="57"/>
        <v>8.6627791924910214E-2</v>
      </c>
      <c r="V413" s="60">
        <f>VLOOKUP(B413,metadata!$B$11:$BN$301,29,FALSE)*VLOOKUP(B413,metadata!$B$11:$BN$301,36,FALSE)*1000-T413</f>
        <v>12.312257364852211</v>
      </c>
      <c r="W413" s="76">
        <f t="shared" si="52"/>
        <v>0.91337220807508979</v>
      </c>
    </row>
    <row r="414" spans="2:23" x14ac:dyDescent="0.3">
      <c r="B414">
        <v>29</v>
      </c>
      <c r="C414">
        <v>5</v>
      </c>
      <c r="D414">
        <v>0</v>
      </c>
      <c r="E414"/>
      <c r="I414" s="72">
        <f t="shared" si="58"/>
        <v>0</v>
      </c>
      <c r="K414" s="75">
        <f t="shared" si="53"/>
        <v>0</v>
      </c>
      <c r="P414" s="8"/>
      <c r="R414" s="73">
        <f t="shared" si="54"/>
        <v>0</v>
      </c>
      <c r="S414" s="71">
        <f t="shared" si="55"/>
        <v>0</v>
      </c>
      <c r="T414" s="74">
        <f t="shared" si="56"/>
        <v>0</v>
      </c>
      <c r="U414" s="75">
        <f t="shared" si="57"/>
        <v>0</v>
      </c>
      <c r="V414" s="60">
        <f>VLOOKUP(B414,metadata!$B$11:$BN$301,29,FALSE)*VLOOKUP(B414,metadata!$B$11:$BN$301,36,FALSE)*1000-T414</f>
        <v>14.64</v>
      </c>
      <c r="W414" s="76">
        <f t="shared" si="52"/>
        <v>1</v>
      </c>
    </row>
    <row r="415" spans="2:23" x14ac:dyDescent="0.3">
      <c r="B415">
        <v>29</v>
      </c>
      <c r="C415">
        <v>5</v>
      </c>
      <c r="D415">
        <v>3</v>
      </c>
      <c r="E415"/>
      <c r="I415" s="72">
        <f t="shared" si="58"/>
        <v>3.8840386116094612E-3</v>
      </c>
      <c r="K415" s="75">
        <f t="shared" si="53"/>
        <v>2.6530318385310526E-4</v>
      </c>
      <c r="P415" s="8">
        <v>1.2946795372031537E-3</v>
      </c>
      <c r="R415" s="73">
        <f t="shared" si="54"/>
        <v>8.8434394617701757E-5</v>
      </c>
      <c r="S415" s="71">
        <f t="shared" si="55"/>
        <v>8.8434394617701757E-5</v>
      </c>
      <c r="T415" s="74">
        <f t="shared" si="56"/>
        <v>3.8840386116094612E-3</v>
      </c>
      <c r="U415" s="75">
        <f t="shared" si="57"/>
        <v>2.6530318385310526E-4</v>
      </c>
      <c r="V415" s="60">
        <f>VLOOKUP(B415,metadata!$B$11:$BN$301,29,FALSE)*VLOOKUP(B415,metadata!$B$11:$BN$301,36,FALSE)*1000-T415</f>
        <v>14.636115961388391</v>
      </c>
      <c r="W415" s="76">
        <f t="shared" si="52"/>
        <v>0.99973469681614691</v>
      </c>
    </row>
    <row r="416" spans="2:23" x14ac:dyDescent="0.3">
      <c r="B416">
        <v>29</v>
      </c>
      <c r="C416">
        <v>5</v>
      </c>
      <c r="D416">
        <v>9</v>
      </c>
      <c r="E416"/>
      <c r="I416" s="72">
        <f t="shared" si="58"/>
        <v>6.0817336040164954E-3</v>
      </c>
      <c r="K416" s="75">
        <f t="shared" si="53"/>
        <v>4.1541896202298463E-4</v>
      </c>
      <c r="P416" s="8">
        <v>1.0136222673360826E-3</v>
      </c>
      <c r="R416" s="73">
        <f t="shared" si="54"/>
        <v>6.9236493670497438E-5</v>
      </c>
      <c r="S416" s="71">
        <f t="shared" si="55"/>
        <v>6.9254867207264845E-5</v>
      </c>
      <c r="T416" s="74">
        <f t="shared" si="56"/>
        <v>9.9657722156259558E-3</v>
      </c>
      <c r="U416" s="75">
        <f t="shared" si="57"/>
        <v>6.8072214587608989E-4</v>
      </c>
      <c r="V416" s="60">
        <f>VLOOKUP(B416,metadata!$B$11:$BN$301,29,FALSE)*VLOOKUP(B416,metadata!$B$11:$BN$301,36,FALSE)*1000-T416</f>
        <v>14.630034227784375</v>
      </c>
      <c r="W416" s="76">
        <f t="shared" si="52"/>
        <v>0.99931927785412389</v>
      </c>
    </row>
    <row r="417" spans="2:23" x14ac:dyDescent="0.3">
      <c r="B417">
        <v>29</v>
      </c>
      <c r="C417">
        <v>5</v>
      </c>
      <c r="D417">
        <v>18</v>
      </c>
      <c r="E417"/>
      <c r="I417" s="72">
        <f t="shared" si="58"/>
        <v>1.2258923587001671E-3</v>
      </c>
      <c r="K417" s="75">
        <f t="shared" si="53"/>
        <v>8.3735816851104305E-5</v>
      </c>
      <c r="P417" s="8">
        <v>1.3621026207779634E-4</v>
      </c>
      <c r="R417" s="73">
        <f t="shared" si="54"/>
        <v>9.3039796501227002E-6</v>
      </c>
      <c r="S417" s="71">
        <f t="shared" si="55"/>
        <v>9.3103173893547686E-6</v>
      </c>
      <c r="T417" s="74">
        <f t="shared" si="56"/>
        <v>1.1191664574326124E-2</v>
      </c>
      <c r="U417" s="75">
        <f t="shared" si="57"/>
        <v>7.6445796272719415E-4</v>
      </c>
      <c r="V417" s="60">
        <f>VLOOKUP(B417,metadata!$B$11:$BN$301,29,FALSE)*VLOOKUP(B417,metadata!$B$11:$BN$301,36,FALSE)*1000-T417</f>
        <v>14.628808335425674</v>
      </c>
      <c r="W417" s="76">
        <f t="shared" si="52"/>
        <v>0.99923554203727283</v>
      </c>
    </row>
    <row r="418" spans="2:23" x14ac:dyDescent="0.3">
      <c r="B418">
        <v>29</v>
      </c>
      <c r="C418">
        <v>5</v>
      </c>
      <c r="D418">
        <v>38</v>
      </c>
      <c r="E418"/>
      <c r="I418" s="72">
        <f t="shared" si="58"/>
        <v>4.0628388722377838E-3</v>
      </c>
      <c r="K418" s="75">
        <f t="shared" si="53"/>
        <v>2.775163164096847E-4</v>
      </c>
      <c r="P418" s="8">
        <v>2.031419436118892E-4</v>
      </c>
      <c r="R418" s="73">
        <f t="shared" si="54"/>
        <v>1.3875815820484234E-5</v>
      </c>
      <c r="S418" s="71">
        <f t="shared" si="55"/>
        <v>1.3886431413552189E-5</v>
      </c>
      <c r="T418" s="74">
        <f t="shared" si="56"/>
        <v>1.5254503446563906E-2</v>
      </c>
      <c r="U418" s="75">
        <f t="shared" si="57"/>
        <v>1.0419742791368787E-3</v>
      </c>
      <c r="V418" s="60">
        <f>VLOOKUP(B418,metadata!$B$11:$BN$301,29,FALSE)*VLOOKUP(B418,metadata!$B$11:$BN$301,36,FALSE)*1000-T418</f>
        <v>14.624745496553437</v>
      </c>
      <c r="W418" s="76">
        <f t="shared" si="52"/>
        <v>0.99895802572086312</v>
      </c>
    </row>
    <row r="419" spans="2:23" x14ac:dyDescent="0.3">
      <c r="B419">
        <v>29</v>
      </c>
      <c r="C419">
        <v>5</v>
      </c>
      <c r="D419">
        <v>94</v>
      </c>
      <c r="E419"/>
      <c r="I419" s="72">
        <f t="shared" si="58"/>
        <v>1.5149685200962104E-2</v>
      </c>
      <c r="K419" s="75">
        <f t="shared" si="53"/>
        <v>1.0348145629072475E-3</v>
      </c>
      <c r="P419" s="8">
        <v>2.705300928743233E-4</v>
      </c>
      <c r="R419" s="73">
        <f t="shared" si="54"/>
        <v>1.8478831480486563E-5</v>
      </c>
      <c r="S419" s="71">
        <f t="shared" si="55"/>
        <v>1.8498106031183804E-5</v>
      </c>
      <c r="T419" s="74">
        <f t="shared" si="56"/>
        <v>3.0404188647526011E-2</v>
      </c>
      <c r="U419" s="75">
        <f t="shared" si="57"/>
        <v>2.0767888420441263E-3</v>
      </c>
      <c r="V419" s="60">
        <f>VLOOKUP(B419,metadata!$B$11:$BN$301,29,FALSE)*VLOOKUP(B419,metadata!$B$11:$BN$301,36,FALSE)*1000-T419</f>
        <v>14.609595811352474</v>
      </c>
      <c r="W419" s="76">
        <f t="shared" si="52"/>
        <v>0.9979232111579559</v>
      </c>
    </row>
    <row r="420" spans="2:23" x14ac:dyDescent="0.3">
      <c r="B420">
        <v>29</v>
      </c>
      <c r="C420">
        <v>5</v>
      </c>
      <c r="D420">
        <v>183</v>
      </c>
      <c r="E420"/>
      <c r="I420" s="72">
        <f t="shared" si="58"/>
        <v>1.0341909372273543E-2</v>
      </c>
      <c r="K420" s="75">
        <f t="shared" si="53"/>
        <v>7.0641457460884861E-4</v>
      </c>
      <c r="P420" s="8">
        <v>1.1620122890194992E-4</v>
      </c>
      <c r="R420" s="73">
        <f t="shared" si="54"/>
        <v>7.9372424113353766E-6</v>
      </c>
      <c r="S420" s="71">
        <f t="shared" si="55"/>
        <v>7.953760692794462E-6</v>
      </c>
      <c r="T420" s="74">
        <f t="shared" si="56"/>
        <v>4.0746098019799552E-2</v>
      </c>
      <c r="U420" s="75">
        <f t="shared" si="57"/>
        <v>2.7832034166529749E-3</v>
      </c>
      <c r="V420" s="60">
        <f>VLOOKUP(B420,metadata!$B$11:$BN$301,29,FALSE)*VLOOKUP(B420,metadata!$B$11:$BN$301,36,FALSE)*1000-T420</f>
        <v>14.599253901980202</v>
      </c>
      <c r="W420" s="76">
        <f t="shared" si="52"/>
        <v>0.99721679658334705</v>
      </c>
    </row>
    <row r="421" spans="2:23" x14ac:dyDescent="0.3">
      <c r="B421">
        <v>29</v>
      </c>
      <c r="C421">
        <v>5</v>
      </c>
      <c r="D421">
        <v>276</v>
      </c>
      <c r="E421"/>
      <c r="I421" s="72">
        <f t="shared" si="58"/>
        <v>1.0072686806098997E-2</v>
      </c>
      <c r="K421" s="75">
        <f t="shared" si="53"/>
        <v>6.8802505506140692E-4</v>
      </c>
      <c r="P421" s="8">
        <v>1.0830846028063437E-4</v>
      </c>
      <c r="R421" s="73">
        <f t="shared" si="54"/>
        <v>7.3981188716280308E-6</v>
      </c>
      <c r="S421" s="71">
        <f t="shared" si="55"/>
        <v>7.4187668087575159E-6</v>
      </c>
      <c r="T421" s="74">
        <f t="shared" si="56"/>
        <v>5.081878482589855E-2</v>
      </c>
      <c r="U421" s="75">
        <f t="shared" si="57"/>
        <v>3.4712284717143818E-3</v>
      </c>
      <c r="V421" s="60">
        <f>VLOOKUP(B421,metadata!$B$11:$BN$301,29,FALSE)*VLOOKUP(B421,metadata!$B$11:$BN$301,36,FALSE)*1000-T421</f>
        <v>14.589181215174102</v>
      </c>
      <c r="W421" s="76">
        <f t="shared" si="52"/>
        <v>0.99652877152828567</v>
      </c>
    </row>
    <row r="422" spans="2:23" x14ac:dyDescent="0.3">
      <c r="B422">
        <v>29</v>
      </c>
      <c r="C422">
        <v>5</v>
      </c>
      <c r="D422">
        <v>365</v>
      </c>
      <c r="E422"/>
      <c r="I422" s="72">
        <f t="shared" si="58"/>
        <v>2.7116962571600645E-3</v>
      </c>
      <c r="K422" s="75">
        <f t="shared" si="53"/>
        <v>1.8522515417760004E-4</v>
      </c>
      <c r="P422" s="8">
        <v>3.0468497271461398E-5</v>
      </c>
      <c r="R422" s="73">
        <f t="shared" si="54"/>
        <v>2.0811815076134835E-6</v>
      </c>
      <c r="S422" s="71">
        <f t="shared" si="55"/>
        <v>2.0884309285137494E-6</v>
      </c>
      <c r="T422" s="74">
        <f t="shared" si="56"/>
        <v>5.3530481083058613E-2</v>
      </c>
      <c r="U422" s="75">
        <f t="shared" si="57"/>
        <v>3.6564536258919815E-3</v>
      </c>
      <c r="V422" s="60">
        <f>VLOOKUP(B422,metadata!$B$11:$BN$301,29,FALSE)*VLOOKUP(B422,metadata!$B$11:$BN$301,36,FALSE)*1000-T422</f>
        <v>14.586469518916942</v>
      </c>
      <c r="W422" s="76">
        <f t="shared" si="52"/>
        <v>0.99634354637410805</v>
      </c>
    </row>
    <row r="423" spans="2:23" x14ac:dyDescent="0.3">
      <c r="B423">
        <v>29</v>
      </c>
      <c r="C423">
        <v>5</v>
      </c>
      <c r="D423">
        <v>498</v>
      </c>
      <c r="E423"/>
      <c r="I423" s="72">
        <f t="shared" si="58"/>
        <v>6.4185916189108874E-3</v>
      </c>
      <c r="K423" s="75">
        <f t="shared" si="53"/>
        <v>4.3842838926986936E-4</v>
      </c>
      <c r="P423" s="8">
        <v>4.8260087360232237E-5</v>
      </c>
      <c r="R423" s="73">
        <f t="shared" si="54"/>
        <v>3.2964540546606718E-6</v>
      </c>
      <c r="S423" s="71">
        <f t="shared" si="55"/>
        <v>3.3085516202289083E-6</v>
      </c>
      <c r="T423" s="74">
        <f t="shared" si="56"/>
        <v>5.9949072701969502E-2</v>
      </c>
      <c r="U423" s="75">
        <f t="shared" si="57"/>
        <v>4.0948820151618512E-3</v>
      </c>
      <c r="V423" s="60">
        <f>VLOOKUP(B423,metadata!$B$11:$BN$301,29,FALSE)*VLOOKUP(B423,metadata!$B$11:$BN$301,36,FALSE)*1000-T423</f>
        <v>14.58005092729803</v>
      </c>
      <c r="W423" s="76">
        <f t="shared" si="52"/>
        <v>0.99590511798483816</v>
      </c>
    </row>
    <row r="424" spans="2:23" x14ac:dyDescent="0.3">
      <c r="B424">
        <v>29</v>
      </c>
      <c r="C424">
        <v>5</v>
      </c>
      <c r="D424">
        <v>550</v>
      </c>
      <c r="E424"/>
      <c r="I424" s="72">
        <f t="shared" si="58"/>
        <v>4.1252931450293691E-3</v>
      </c>
      <c r="K424" s="75">
        <f t="shared" si="53"/>
        <v>2.8178231864954708E-4</v>
      </c>
      <c r="P424" s="8">
        <v>7.9332560481334025E-5</v>
      </c>
      <c r="R424" s="73">
        <f t="shared" si="54"/>
        <v>5.418890743260521E-6</v>
      </c>
      <c r="S424" s="71">
        <f t="shared" si="55"/>
        <v>5.4411716993937759E-6</v>
      </c>
      <c r="T424" s="74">
        <f t="shared" si="56"/>
        <v>6.4074365846998868E-2</v>
      </c>
      <c r="U424" s="75">
        <f t="shared" si="57"/>
        <v>4.3766643338113975E-3</v>
      </c>
      <c r="V424" s="60">
        <f>VLOOKUP(B424,metadata!$B$11:$BN$301,29,FALSE)*VLOOKUP(B424,metadata!$B$11:$BN$301,36,FALSE)*1000-T424</f>
        <v>14.575925634153002</v>
      </c>
      <c r="W424" s="76">
        <f t="shared" si="52"/>
        <v>0.99562333566618855</v>
      </c>
    </row>
    <row r="425" spans="2:23" x14ac:dyDescent="0.3">
      <c r="B425">
        <v>29</v>
      </c>
      <c r="C425">
        <v>5</v>
      </c>
      <c r="D425">
        <v>671</v>
      </c>
      <c r="E425"/>
      <c r="I425" s="72">
        <f t="shared" si="58"/>
        <v>2.9499321717280568E-3</v>
      </c>
      <c r="K425" s="75">
        <f t="shared" si="53"/>
        <v>2.014980991617525E-4</v>
      </c>
      <c r="P425" s="8">
        <v>2.4379604725025261E-5</v>
      </c>
      <c r="R425" s="73">
        <f t="shared" si="54"/>
        <v>1.665273546791343E-6</v>
      </c>
      <c r="S425" s="71">
        <f t="shared" si="55"/>
        <v>1.6725939289852824E-6</v>
      </c>
      <c r="T425" s="74">
        <f t="shared" si="56"/>
        <v>6.7024298018726919E-2</v>
      </c>
      <c r="U425" s="75">
        <f t="shared" si="57"/>
        <v>4.5781624329731497E-3</v>
      </c>
      <c r="V425" s="60">
        <f>VLOOKUP(B425,metadata!$B$11:$BN$301,29,FALSE)*VLOOKUP(B425,metadata!$B$11:$BN$301,36,FALSE)*1000-T425</f>
        <v>14.572975701981274</v>
      </c>
      <c r="W425" s="76">
        <f t="shared" si="52"/>
        <v>0.99542183756702685</v>
      </c>
    </row>
    <row r="426" spans="2:23" x14ac:dyDescent="0.3">
      <c r="B426">
        <v>29</v>
      </c>
      <c r="C426">
        <v>5</v>
      </c>
      <c r="D426">
        <v>730</v>
      </c>
      <c r="E426"/>
      <c r="I426" s="72">
        <f t="shared" si="58"/>
        <v>1.6952280877355207E-3</v>
      </c>
      <c r="K426" s="75">
        <f t="shared" si="53"/>
        <v>1.157942682879454E-4</v>
      </c>
      <c r="P426" s="8">
        <v>2.8732679453144418E-5</v>
      </c>
      <c r="R426" s="73">
        <f t="shared" si="54"/>
        <v>1.9626147167448372E-6</v>
      </c>
      <c r="S426" s="71">
        <f t="shared" si="55"/>
        <v>1.9716412104658936E-6</v>
      </c>
      <c r="T426" s="74">
        <f t="shared" si="56"/>
        <v>6.8719526106462439E-2</v>
      </c>
      <c r="U426" s="75">
        <f t="shared" si="57"/>
        <v>4.6939567012610952E-3</v>
      </c>
      <c r="V426" s="60">
        <f>VLOOKUP(B426,metadata!$B$11:$BN$301,29,FALSE)*VLOOKUP(B426,metadata!$B$11:$BN$301,36,FALSE)*1000-T426</f>
        <v>14.571280473893538</v>
      </c>
      <c r="W426" s="76">
        <f t="shared" si="52"/>
        <v>0.99530604329873895</v>
      </c>
    </row>
    <row r="427" spans="2:23" x14ac:dyDescent="0.3">
      <c r="B427">
        <v>30</v>
      </c>
      <c r="C427">
        <v>5</v>
      </c>
      <c r="D427">
        <v>0</v>
      </c>
      <c r="E427"/>
      <c r="I427" s="72">
        <f t="shared" si="58"/>
        <v>0</v>
      </c>
      <c r="K427" s="75">
        <f t="shared" si="53"/>
        <v>0</v>
      </c>
      <c r="P427" s="8"/>
      <c r="R427" s="73">
        <f t="shared" si="54"/>
        <v>0</v>
      </c>
      <c r="S427" s="71">
        <f t="shared" si="55"/>
        <v>0</v>
      </c>
      <c r="T427" s="74">
        <f t="shared" si="56"/>
        <v>0</v>
      </c>
      <c r="U427" s="75">
        <f t="shared" si="57"/>
        <v>0</v>
      </c>
      <c r="V427" s="60">
        <f>VLOOKUP(B427,metadata!$B$11:$BN$301,29,FALSE)*VLOOKUP(B427,metadata!$B$11:$BN$301,36,FALSE)*1000-T427</f>
        <v>14.64</v>
      </c>
      <c r="W427" s="76">
        <f t="shared" si="52"/>
        <v>1</v>
      </c>
    </row>
    <row r="428" spans="2:23" x14ac:dyDescent="0.3">
      <c r="B428">
        <v>30</v>
      </c>
      <c r="C428">
        <v>5</v>
      </c>
      <c r="D428">
        <v>2</v>
      </c>
      <c r="E428"/>
      <c r="I428" s="72">
        <f t="shared" si="58"/>
        <v>2.3232829291738662E-3</v>
      </c>
      <c r="K428" s="75">
        <f t="shared" si="53"/>
        <v>1.5869418915122037E-4</v>
      </c>
      <c r="P428" s="8">
        <v>1.1616414645869331E-3</v>
      </c>
      <c r="R428" s="73">
        <f t="shared" si="54"/>
        <v>7.9347094575610186E-5</v>
      </c>
      <c r="S428" s="71">
        <f t="shared" si="55"/>
        <v>7.9347094575610186E-5</v>
      </c>
      <c r="T428" s="74">
        <f t="shared" si="56"/>
        <v>2.3232829291738662E-3</v>
      </c>
      <c r="U428" s="75">
        <f t="shared" si="57"/>
        <v>1.5869418915122037E-4</v>
      </c>
      <c r="V428" s="60">
        <f>VLOOKUP(B428,metadata!$B$11:$BN$301,29,FALSE)*VLOOKUP(B428,metadata!$B$11:$BN$301,36,FALSE)*1000-T428</f>
        <v>14.637676717070827</v>
      </c>
      <c r="W428" s="76">
        <f t="shared" si="52"/>
        <v>0.99984130581084874</v>
      </c>
    </row>
    <row r="429" spans="2:23" x14ac:dyDescent="0.3">
      <c r="B429">
        <v>30</v>
      </c>
      <c r="C429">
        <v>5</v>
      </c>
      <c r="D429">
        <v>4</v>
      </c>
      <c r="E429"/>
      <c r="I429" s="72">
        <f t="shared" si="58"/>
        <v>2.7363093577026051E-3</v>
      </c>
      <c r="K429" s="75">
        <f t="shared" si="53"/>
        <v>1.8690637689225444E-4</v>
      </c>
      <c r="P429" s="8">
        <v>1.3681546788513025E-3</v>
      </c>
      <c r="R429" s="73">
        <f t="shared" si="54"/>
        <v>9.3453188446127221E-5</v>
      </c>
      <c r="S429" s="71">
        <f t="shared" si="55"/>
        <v>9.3468021277975496E-5</v>
      </c>
      <c r="T429" s="74">
        <f t="shared" si="56"/>
        <v>5.0595922868764713E-3</v>
      </c>
      <c r="U429" s="75">
        <f t="shared" si="57"/>
        <v>3.4560056604347479E-4</v>
      </c>
      <c r="V429" s="60">
        <f>VLOOKUP(B429,metadata!$B$11:$BN$301,29,FALSE)*VLOOKUP(B429,metadata!$B$11:$BN$301,36,FALSE)*1000-T429</f>
        <v>14.634940407713124</v>
      </c>
      <c r="W429" s="76">
        <f t="shared" si="52"/>
        <v>0.99965439943395651</v>
      </c>
    </row>
    <row r="430" spans="2:23" x14ac:dyDescent="0.3">
      <c r="B430">
        <v>30</v>
      </c>
      <c r="C430">
        <v>5</v>
      </c>
      <c r="D430">
        <v>8</v>
      </c>
      <c r="E430"/>
      <c r="I430" s="72">
        <f t="shared" si="58"/>
        <v>8.7895278780627563E-3</v>
      </c>
      <c r="K430" s="75">
        <f t="shared" si="53"/>
        <v>6.0037758729936856E-4</v>
      </c>
      <c r="P430" s="8">
        <v>2.1973819695156891E-3</v>
      </c>
      <c r="R430" s="73">
        <f t="shared" si="54"/>
        <v>1.5009439682484214E-4</v>
      </c>
      <c r="S430" s="71">
        <f t="shared" si="55"/>
        <v>1.5014628746677999E-4</v>
      </c>
      <c r="T430" s="74">
        <f t="shared" si="56"/>
        <v>1.3849120164939228E-2</v>
      </c>
      <c r="U430" s="75">
        <f t="shared" si="57"/>
        <v>9.459781533428434E-4</v>
      </c>
      <c r="V430" s="60">
        <f>VLOOKUP(B430,metadata!$B$11:$BN$301,29,FALSE)*VLOOKUP(B430,metadata!$B$11:$BN$301,36,FALSE)*1000-T430</f>
        <v>14.626150879835061</v>
      </c>
      <c r="W430" s="76">
        <f t="shared" si="52"/>
        <v>0.99905402184665715</v>
      </c>
    </row>
    <row r="431" spans="2:23" x14ac:dyDescent="0.3">
      <c r="B431">
        <v>30</v>
      </c>
      <c r="C431">
        <v>5</v>
      </c>
      <c r="D431">
        <v>16</v>
      </c>
      <c r="E431"/>
      <c r="I431" s="72">
        <f t="shared" si="58"/>
        <v>1.0655185355831815E-2</v>
      </c>
      <c r="K431" s="75">
        <f t="shared" si="53"/>
        <v>7.2781320736556103E-4</v>
      </c>
      <c r="P431" s="8">
        <v>1.3318981694789768E-3</v>
      </c>
      <c r="R431" s="73">
        <f t="shared" si="54"/>
        <v>9.0976650920695129E-5</v>
      </c>
      <c r="S431" s="71">
        <f t="shared" si="55"/>
        <v>9.1062794334718136E-5</v>
      </c>
      <c r="T431" s="74">
        <f t="shared" si="56"/>
        <v>2.4504305520771041E-2</v>
      </c>
      <c r="U431" s="75">
        <f t="shared" si="57"/>
        <v>1.6737913607084043E-3</v>
      </c>
      <c r="V431" s="60">
        <f>VLOOKUP(B431,metadata!$B$11:$BN$301,29,FALSE)*VLOOKUP(B431,metadata!$B$11:$BN$301,36,FALSE)*1000-T431</f>
        <v>14.615495694479229</v>
      </c>
      <c r="W431" s="76">
        <f t="shared" si="52"/>
        <v>0.99832620863929156</v>
      </c>
    </row>
    <row r="432" spans="2:23" x14ac:dyDescent="0.3">
      <c r="B432">
        <v>30</v>
      </c>
      <c r="C432">
        <v>5</v>
      </c>
      <c r="D432">
        <v>30</v>
      </c>
      <c r="E432"/>
      <c r="I432" s="72">
        <f t="shared" si="58"/>
        <v>1.8932592038658012E-2</v>
      </c>
      <c r="K432" s="75">
        <f t="shared" si="53"/>
        <v>1.2932098387061484E-3</v>
      </c>
      <c r="P432" s="8">
        <v>1.3523280027612867E-3</v>
      </c>
      <c r="R432" s="73">
        <f t="shared" si="54"/>
        <v>9.2372131336153462E-5</v>
      </c>
      <c r="S432" s="71">
        <f t="shared" si="55"/>
        <v>9.252700223312352E-5</v>
      </c>
      <c r="T432" s="74">
        <f t="shared" si="56"/>
        <v>4.3436897559429054E-2</v>
      </c>
      <c r="U432" s="75">
        <f t="shared" si="57"/>
        <v>2.9670011994145529E-3</v>
      </c>
      <c r="V432" s="60">
        <f>VLOOKUP(B432,metadata!$B$11:$BN$301,29,FALSE)*VLOOKUP(B432,metadata!$B$11:$BN$301,36,FALSE)*1000-T432</f>
        <v>14.596563102440571</v>
      </c>
      <c r="W432" s="76">
        <f t="shared" si="52"/>
        <v>0.99703299880058549</v>
      </c>
    </row>
    <row r="433" spans="2:23" x14ac:dyDescent="0.3">
      <c r="B433">
        <v>30</v>
      </c>
      <c r="C433">
        <v>5</v>
      </c>
      <c r="D433">
        <v>51</v>
      </c>
      <c r="E433"/>
      <c r="I433" s="72">
        <f t="shared" si="58"/>
        <v>1.6986936934348041E-2</v>
      </c>
      <c r="K433" s="75">
        <f t="shared" si="53"/>
        <v>1.1603098998871613E-3</v>
      </c>
      <c r="P433" s="8">
        <v>8.0890175877847809E-4</v>
      </c>
      <c r="R433" s="73">
        <f t="shared" si="54"/>
        <v>5.5252852375579101E-5</v>
      </c>
      <c r="S433" s="71">
        <f t="shared" si="55"/>
        <v>5.5417275498451297E-5</v>
      </c>
      <c r="T433" s="74">
        <f t="shared" si="56"/>
        <v>6.0423834493777098E-2</v>
      </c>
      <c r="U433" s="75">
        <f t="shared" si="57"/>
        <v>4.1273110993017142E-3</v>
      </c>
      <c r="V433" s="60">
        <f>VLOOKUP(B433,metadata!$B$11:$BN$301,29,FALSE)*VLOOKUP(B433,metadata!$B$11:$BN$301,36,FALSE)*1000-T433</f>
        <v>14.579576165506223</v>
      </c>
      <c r="W433" s="76">
        <f t="shared" si="52"/>
        <v>0.99587268890069824</v>
      </c>
    </row>
    <row r="434" spans="2:23" x14ac:dyDescent="0.3">
      <c r="B434">
        <v>30</v>
      </c>
      <c r="C434">
        <v>5</v>
      </c>
      <c r="D434">
        <v>80</v>
      </c>
      <c r="E434"/>
      <c r="I434" s="72">
        <f t="shared" si="58"/>
        <v>1.5373489525914405E-2</v>
      </c>
      <c r="K434" s="75">
        <f t="shared" si="53"/>
        <v>1.0501017435733883E-3</v>
      </c>
      <c r="P434" s="8">
        <v>5.3012032847980708E-4</v>
      </c>
      <c r="R434" s="73">
        <f t="shared" si="54"/>
        <v>3.621040495080649E-5</v>
      </c>
      <c r="S434" s="71">
        <f t="shared" si="55"/>
        <v>3.636047594675744E-5</v>
      </c>
      <c r="T434" s="74">
        <f t="shared" si="56"/>
        <v>7.5797324019691498E-2</v>
      </c>
      <c r="U434" s="75">
        <f t="shared" si="57"/>
        <v>5.1774128428751023E-3</v>
      </c>
      <c r="V434" s="60">
        <f>VLOOKUP(B434,metadata!$B$11:$BN$301,29,FALSE)*VLOOKUP(B434,metadata!$B$11:$BN$301,36,FALSE)*1000-T434</f>
        <v>14.56420267598031</v>
      </c>
      <c r="W434" s="76">
        <f t="shared" si="52"/>
        <v>0.9948225871571249</v>
      </c>
    </row>
    <row r="435" spans="2:23" x14ac:dyDescent="0.3">
      <c r="B435">
        <v>30</v>
      </c>
      <c r="C435">
        <v>5</v>
      </c>
      <c r="D435">
        <v>183</v>
      </c>
      <c r="E435"/>
      <c r="I435" s="72">
        <f t="shared" si="58"/>
        <v>2.8228264102279431E-2</v>
      </c>
      <c r="K435" s="75">
        <f t="shared" si="53"/>
        <v>1.9281601162759174E-3</v>
      </c>
      <c r="P435" s="8">
        <v>2.7406081652698477E-4</v>
      </c>
      <c r="R435" s="73">
        <f t="shared" si="54"/>
        <v>1.87200011288924E-5</v>
      </c>
      <c r="S435" s="71">
        <f t="shared" si="55"/>
        <v>1.8817426715639816E-5</v>
      </c>
      <c r="T435" s="74">
        <f t="shared" si="56"/>
        <v>0.10402558812197094</v>
      </c>
      <c r="U435" s="75">
        <f t="shared" si="57"/>
        <v>7.10557295915102E-3</v>
      </c>
      <c r="V435" s="60">
        <f>VLOOKUP(B435,metadata!$B$11:$BN$301,29,FALSE)*VLOOKUP(B435,metadata!$B$11:$BN$301,36,FALSE)*1000-T435</f>
        <v>14.53597441187803</v>
      </c>
      <c r="W435" s="76">
        <f t="shared" si="52"/>
        <v>0.99289442704084896</v>
      </c>
    </row>
    <row r="436" spans="2:23" x14ac:dyDescent="0.3">
      <c r="B436">
        <v>30</v>
      </c>
      <c r="C436">
        <v>5</v>
      </c>
      <c r="D436">
        <v>246</v>
      </c>
      <c r="E436"/>
      <c r="I436" s="72">
        <f t="shared" si="58"/>
        <v>1.9530888940160175E-2</v>
      </c>
      <c r="K436" s="75">
        <f t="shared" si="53"/>
        <v>1.3340771133989191E-3</v>
      </c>
      <c r="P436" s="8">
        <v>3.1001411016127263E-4</v>
      </c>
      <c r="R436" s="73">
        <f t="shared" si="54"/>
        <v>2.1175827196808239E-5</v>
      </c>
      <c r="S436" s="71">
        <f t="shared" si="55"/>
        <v>2.1327370383092138E-5</v>
      </c>
      <c r="T436" s="74">
        <f t="shared" si="56"/>
        <v>0.1235564770621311</v>
      </c>
      <c r="U436" s="75">
        <f t="shared" si="57"/>
        <v>8.4396500725499382E-3</v>
      </c>
      <c r="V436" s="60">
        <f>VLOOKUP(B436,metadata!$B$11:$BN$301,29,FALSE)*VLOOKUP(B436,metadata!$B$11:$BN$301,36,FALSE)*1000-T436</f>
        <v>14.51644352293787</v>
      </c>
      <c r="W436" s="76">
        <f t="shared" si="52"/>
        <v>0.99156034992745001</v>
      </c>
    </row>
    <row r="437" spans="2:23" x14ac:dyDescent="0.3">
      <c r="B437">
        <v>30</v>
      </c>
      <c r="C437">
        <v>5</v>
      </c>
      <c r="D437">
        <v>313</v>
      </c>
      <c r="E437"/>
      <c r="I437" s="72">
        <f t="shared" si="58"/>
        <v>1.0925015022834515E-2</v>
      </c>
      <c r="K437" s="75">
        <f t="shared" si="53"/>
        <v>7.4624419554880563E-4</v>
      </c>
      <c r="P437" s="8">
        <v>1.63059925713948E-4</v>
      </c>
      <c r="R437" s="73">
        <f t="shared" si="54"/>
        <v>1.1137973067892622E-5</v>
      </c>
      <c r="S437" s="71">
        <f t="shared" si="55"/>
        <v>1.1232773747667058E-5</v>
      </c>
      <c r="T437" s="74">
        <f t="shared" si="56"/>
        <v>0.13448149208496563</v>
      </c>
      <c r="U437" s="75">
        <f t="shared" si="57"/>
        <v>9.1858942680987446E-3</v>
      </c>
      <c r="V437" s="60">
        <f>VLOOKUP(B437,metadata!$B$11:$BN$301,29,FALSE)*VLOOKUP(B437,metadata!$B$11:$BN$301,36,FALSE)*1000-T437</f>
        <v>14.505518507915035</v>
      </c>
      <c r="W437" s="76">
        <f t="shared" si="52"/>
        <v>0.99081410573190121</v>
      </c>
    </row>
    <row r="438" spans="2:23" x14ac:dyDescent="0.3">
      <c r="B438">
        <v>30</v>
      </c>
      <c r="C438">
        <v>5</v>
      </c>
      <c r="D438">
        <v>365</v>
      </c>
      <c r="E438"/>
      <c r="I438" s="72">
        <f t="shared" si="58"/>
        <v>9.3498151113871001E-3</v>
      </c>
      <c r="K438" s="75">
        <f t="shared" si="53"/>
        <v>6.3864857318217893E-4</v>
      </c>
      <c r="P438" s="8">
        <v>1.7980413675744422E-4</v>
      </c>
      <c r="R438" s="73">
        <f t="shared" si="54"/>
        <v>1.2281703330426517E-5</v>
      </c>
      <c r="S438" s="71">
        <f t="shared" si="55"/>
        <v>1.2395567704755461E-5</v>
      </c>
      <c r="T438" s="74">
        <f t="shared" si="56"/>
        <v>0.14383130719635273</v>
      </c>
      <c r="U438" s="75">
        <f t="shared" si="57"/>
        <v>9.8245428412809237E-3</v>
      </c>
      <c r="V438" s="60">
        <f>VLOOKUP(B438,metadata!$B$11:$BN$301,29,FALSE)*VLOOKUP(B438,metadata!$B$11:$BN$301,36,FALSE)*1000-T438</f>
        <v>14.496168692803648</v>
      </c>
      <c r="W438" s="76">
        <f t="shared" si="52"/>
        <v>0.99017545715871913</v>
      </c>
    </row>
    <row r="439" spans="2:23" x14ac:dyDescent="0.3">
      <c r="B439">
        <v>30</v>
      </c>
      <c r="C439">
        <v>5</v>
      </c>
      <c r="D439">
        <v>428</v>
      </c>
      <c r="E439"/>
      <c r="I439" s="72">
        <f t="shared" si="58"/>
        <v>8.5405848850082788E-3</v>
      </c>
      <c r="K439" s="75">
        <f t="shared" si="53"/>
        <v>5.8337328449510097E-4</v>
      </c>
      <c r="P439" s="8">
        <v>1.3556483944457585E-4</v>
      </c>
      <c r="R439" s="73">
        <f t="shared" si="54"/>
        <v>9.2598934046841429E-6</v>
      </c>
      <c r="S439" s="71">
        <f t="shared" si="55"/>
        <v>9.3517702723668277E-6</v>
      </c>
      <c r="T439" s="74">
        <f t="shared" si="56"/>
        <v>0.15237189208136101</v>
      </c>
      <c r="U439" s="75">
        <f t="shared" si="57"/>
        <v>1.0407916125776025E-2</v>
      </c>
      <c r="V439" s="60">
        <f>VLOOKUP(B439,metadata!$B$11:$BN$301,29,FALSE)*VLOOKUP(B439,metadata!$B$11:$BN$301,36,FALSE)*1000-T439</f>
        <v>14.48762810791864</v>
      </c>
      <c r="W439" s="76">
        <f t="shared" si="52"/>
        <v>0.98959208387422393</v>
      </c>
    </row>
    <row r="440" spans="2:23" x14ac:dyDescent="0.3">
      <c r="B440">
        <v>30</v>
      </c>
      <c r="C440">
        <v>5</v>
      </c>
      <c r="D440">
        <v>469</v>
      </c>
      <c r="E440"/>
      <c r="I440" s="72">
        <f t="shared" si="58"/>
        <v>6.8093184662696487E-3</v>
      </c>
      <c r="K440" s="75">
        <f t="shared" si="53"/>
        <v>4.6511738157579567E-4</v>
      </c>
      <c r="P440" s="8">
        <v>1.6608093820169874E-4</v>
      </c>
      <c r="R440" s="73">
        <f t="shared" si="54"/>
        <v>1.1344326379897455E-5</v>
      </c>
      <c r="S440" s="71">
        <f t="shared" si="55"/>
        <v>1.146363897282277E-5</v>
      </c>
      <c r="T440" s="74">
        <f t="shared" si="56"/>
        <v>0.15918121054763065</v>
      </c>
      <c r="U440" s="75">
        <f t="shared" si="57"/>
        <v>1.0873033507351821E-2</v>
      </c>
      <c r="V440" s="60">
        <f>VLOOKUP(B440,metadata!$B$11:$BN$301,29,FALSE)*VLOOKUP(B440,metadata!$B$11:$BN$301,36,FALSE)*1000-T440</f>
        <v>14.480818789452369</v>
      </c>
      <c r="W440" s="76">
        <f t="shared" si="52"/>
        <v>0.9891269664926482</v>
      </c>
    </row>
    <row r="441" spans="2:23" x14ac:dyDescent="0.3">
      <c r="B441">
        <v>30</v>
      </c>
      <c r="C441">
        <v>5</v>
      </c>
      <c r="D441">
        <v>550</v>
      </c>
      <c r="E441"/>
      <c r="I441" s="72">
        <f t="shared" si="58"/>
        <v>1.4913457844295095E-2</v>
      </c>
      <c r="K441" s="75">
        <f t="shared" si="53"/>
        <v>1.0186788145010311E-3</v>
      </c>
      <c r="P441" s="8">
        <v>1.8411676350981598E-4</v>
      </c>
      <c r="R441" s="73">
        <f t="shared" si="54"/>
        <v>1.2576281660506556E-5</v>
      </c>
      <c r="S441" s="71">
        <f t="shared" si="55"/>
        <v>1.2714527140131339E-5</v>
      </c>
      <c r="T441" s="74">
        <f t="shared" si="56"/>
        <v>0.17409466839192575</v>
      </c>
      <c r="U441" s="75">
        <f t="shared" si="57"/>
        <v>1.1891712321852852E-2</v>
      </c>
      <c r="V441" s="60">
        <f>VLOOKUP(B441,metadata!$B$11:$BN$301,29,FALSE)*VLOOKUP(B441,metadata!$B$11:$BN$301,36,FALSE)*1000-T441</f>
        <v>14.465905331608075</v>
      </c>
      <c r="W441" s="76">
        <f t="shared" si="52"/>
        <v>0.98810828767814718</v>
      </c>
    </row>
    <row r="442" spans="2:23" x14ac:dyDescent="0.3">
      <c r="B442">
        <v>30</v>
      </c>
      <c r="C442">
        <v>5</v>
      </c>
      <c r="D442">
        <v>659</v>
      </c>
      <c r="E442"/>
      <c r="I442" s="72">
        <f t="shared" si="58"/>
        <v>5.0924319855787825E-2</v>
      </c>
      <c r="K442" s="75">
        <f t="shared" si="53"/>
        <v>3.4784371486193868E-3</v>
      </c>
      <c r="P442" s="8">
        <v>4.6719559500722773E-4</v>
      </c>
      <c r="R442" s="73">
        <f t="shared" si="54"/>
        <v>3.1912267418526486E-5</v>
      </c>
      <c r="S442" s="71">
        <f t="shared" si="55"/>
        <v>3.2296326036808978E-5</v>
      </c>
      <c r="T442" s="74">
        <f t="shared" si="56"/>
        <v>0.22501898824771357</v>
      </c>
      <c r="U442" s="75">
        <f t="shared" si="57"/>
        <v>1.5370149470472239E-2</v>
      </c>
      <c r="V442" s="60">
        <f>VLOOKUP(B442,metadata!$B$11:$BN$301,29,FALSE)*VLOOKUP(B442,metadata!$B$11:$BN$301,36,FALSE)*1000-T442</f>
        <v>14.414981011752287</v>
      </c>
      <c r="W442" s="76">
        <f t="shared" si="52"/>
        <v>0.98462985052952778</v>
      </c>
    </row>
    <row r="443" spans="2:23" x14ac:dyDescent="0.3">
      <c r="B443">
        <v>30</v>
      </c>
      <c r="C443">
        <v>5</v>
      </c>
      <c r="D443">
        <v>730</v>
      </c>
      <c r="E443"/>
      <c r="I443" s="72">
        <f t="shared" si="58"/>
        <v>1.5521761764900669E-2</v>
      </c>
      <c r="K443" s="75">
        <f t="shared" si="53"/>
        <v>1.0602296287500457E-3</v>
      </c>
      <c r="P443" s="8">
        <v>2.186163628859249E-4</v>
      </c>
      <c r="R443" s="73">
        <f t="shared" si="54"/>
        <v>1.4932811672535853E-5</v>
      </c>
      <c r="S443" s="71">
        <f t="shared" si="55"/>
        <v>1.5165914038158685E-5</v>
      </c>
      <c r="T443" s="74">
        <f t="shared" si="56"/>
        <v>0.24054075001261424</v>
      </c>
      <c r="U443" s="75">
        <f t="shared" si="57"/>
        <v>1.6430379099222285E-2</v>
      </c>
      <c r="V443" s="60">
        <f>VLOOKUP(B443,metadata!$B$11:$BN$301,29,FALSE)*VLOOKUP(B443,metadata!$B$11:$BN$301,36,FALSE)*1000-T443</f>
        <v>14.399459249987386</v>
      </c>
      <c r="W443" s="76">
        <f t="shared" si="52"/>
        <v>0.98356962090077771</v>
      </c>
    </row>
    <row r="444" spans="2:23" x14ac:dyDescent="0.3">
      <c r="B444">
        <v>31</v>
      </c>
      <c r="C444">
        <v>5</v>
      </c>
      <c r="D444">
        <v>0</v>
      </c>
      <c r="E444"/>
      <c r="I444" s="72">
        <f t="shared" si="58"/>
        <v>0</v>
      </c>
      <c r="K444" s="75">
        <f t="shared" si="53"/>
        <v>0</v>
      </c>
      <c r="P444" s="8"/>
      <c r="R444" s="73">
        <f t="shared" si="54"/>
        <v>0</v>
      </c>
      <c r="S444" s="71">
        <f t="shared" si="55"/>
        <v>0</v>
      </c>
      <c r="T444" s="74">
        <f t="shared" si="56"/>
        <v>0</v>
      </c>
      <c r="U444" s="75">
        <f t="shared" si="57"/>
        <v>0</v>
      </c>
      <c r="V444" s="60">
        <f>VLOOKUP(B444,metadata!$B$11:$BN$301,29,FALSE)*VLOOKUP(B444,metadata!$B$11:$BN$301,36,FALSE)*1000-T444</f>
        <v>14.64</v>
      </c>
      <c r="W444" s="76">
        <f t="shared" si="52"/>
        <v>1</v>
      </c>
    </row>
    <row r="445" spans="2:23" x14ac:dyDescent="0.3">
      <c r="B445">
        <v>31</v>
      </c>
      <c r="C445">
        <v>5</v>
      </c>
      <c r="D445">
        <v>2</v>
      </c>
      <c r="E445"/>
      <c r="I445" s="72">
        <f t="shared" si="58"/>
        <v>1.0835574766398987E-2</v>
      </c>
      <c r="K445" s="75">
        <f t="shared" si="53"/>
        <v>7.4013488841523129E-4</v>
      </c>
      <c r="P445" s="8">
        <v>5.4177873831994933E-3</v>
      </c>
      <c r="R445" s="73">
        <f t="shared" si="54"/>
        <v>3.7006744420761564E-4</v>
      </c>
      <c r="S445" s="71">
        <f t="shared" si="55"/>
        <v>3.7006744420761564E-4</v>
      </c>
      <c r="T445" s="74">
        <f t="shared" si="56"/>
        <v>1.0835574766398987E-2</v>
      </c>
      <c r="U445" s="75">
        <f t="shared" si="57"/>
        <v>7.4013488841523129E-4</v>
      </c>
      <c r="V445" s="60">
        <f>VLOOKUP(B445,metadata!$B$11:$BN$301,29,FALSE)*VLOOKUP(B445,metadata!$B$11:$BN$301,36,FALSE)*1000-T445</f>
        <v>14.629164425233602</v>
      </c>
      <c r="W445" s="76">
        <f t="shared" si="52"/>
        <v>0.99925986511158482</v>
      </c>
    </row>
    <row r="446" spans="2:23" x14ac:dyDescent="0.3">
      <c r="B446">
        <v>31</v>
      </c>
      <c r="C446">
        <v>5</v>
      </c>
      <c r="D446">
        <v>4</v>
      </c>
      <c r="E446"/>
      <c r="I446" s="72">
        <f t="shared" si="58"/>
        <v>8.1550471927947839E-3</v>
      </c>
      <c r="K446" s="75">
        <f t="shared" si="53"/>
        <v>5.570387426772393E-4</v>
      </c>
      <c r="P446" s="8">
        <v>4.077523596397392E-3</v>
      </c>
      <c r="R446" s="73">
        <f t="shared" si="54"/>
        <v>2.7851937133861965E-4</v>
      </c>
      <c r="S446" s="71">
        <f t="shared" si="55"/>
        <v>2.7872566592826995E-4</v>
      </c>
      <c r="T446" s="74">
        <f t="shared" si="56"/>
        <v>1.8990621959193772E-2</v>
      </c>
      <c r="U446" s="75">
        <f t="shared" si="57"/>
        <v>1.2971736310924708E-3</v>
      </c>
      <c r="V446" s="60">
        <f>VLOOKUP(B446,metadata!$B$11:$BN$301,29,FALSE)*VLOOKUP(B446,metadata!$B$11:$BN$301,36,FALSE)*1000-T446</f>
        <v>14.621009378040807</v>
      </c>
      <c r="W446" s="76">
        <f t="shared" si="52"/>
        <v>0.9987028263689075</v>
      </c>
    </row>
    <row r="447" spans="2:23" x14ac:dyDescent="0.3">
      <c r="B447">
        <v>31</v>
      </c>
      <c r="C447">
        <v>5</v>
      </c>
      <c r="D447">
        <v>8</v>
      </c>
      <c r="E447"/>
      <c r="I447" s="72">
        <f t="shared" si="58"/>
        <v>1.1224803858435238E-2</v>
      </c>
      <c r="K447" s="75">
        <f t="shared" si="53"/>
        <v>7.6672157502972939E-4</v>
      </c>
      <c r="P447" s="8">
        <v>2.8062009646088095E-3</v>
      </c>
      <c r="R447" s="73">
        <f t="shared" si="54"/>
        <v>1.9168039375743235E-4</v>
      </c>
      <c r="S447" s="71">
        <f t="shared" si="55"/>
        <v>1.9192935946155834E-4</v>
      </c>
      <c r="T447" s="74">
        <f t="shared" si="56"/>
        <v>3.021542581762901E-2</v>
      </c>
      <c r="U447" s="75">
        <f t="shared" si="57"/>
        <v>2.0638952061222001E-3</v>
      </c>
      <c r="V447" s="60">
        <f>VLOOKUP(B447,metadata!$B$11:$BN$301,29,FALSE)*VLOOKUP(B447,metadata!$B$11:$BN$301,36,FALSE)*1000-T447</f>
        <v>14.609784574182372</v>
      </c>
      <c r="W447" s="76">
        <f t="shared" si="52"/>
        <v>0.99793610479387784</v>
      </c>
    </row>
    <row r="448" spans="2:23" x14ac:dyDescent="0.3">
      <c r="B448">
        <v>31</v>
      </c>
      <c r="C448">
        <v>5</v>
      </c>
      <c r="D448">
        <v>16</v>
      </c>
      <c r="E448"/>
      <c r="I448" s="72">
        <f t="shared" si="58"/>
        <v>1.6780114465501605E-2</v>
      </c>
      <c r="K448" s="75">
        <f t="shared" si="53"/>
        <v>1.1461826820697817E-3</v>
      </c>
      <c r="P448" s="8">
        <v>2.0975143081877006E-3</v>
      </c>
      <c r="R448" s="73">
        <f t="shared" si="54"/>
        <v>1.4327283525872271E-4</v>
      </c>
      <c r="S448" s="71">
        <f t="shared" si="55"/>
        <v>1.4356914693282441E-4</v>
      </c>
      <c r="T448" s="74">
        <f t="shared" si="56"/>
        <v>4.6995540283130618E-2</v>
      </c>
      <c r="U448" s="75">
        <f t="shared" si="57"/>
        <v>3.2100778881919822E-3</v>
      </c>
      <c r="V448" s="60">
        <f>VLOOKUP(B448,metadata!$B$11:$BN$301,29,FALSE)*VLOOKUP(B448,metadata!$B$11:$BN$301,36,FALSE)*1000-T448</f>
        <v>14.59300445971687</v>
      </c>
      <c r="W448" s="76">
        <f t="shared" si="52"/>
        <v>0.99678992211180806</v>
      </c>
    </row>
    <row r="449" spans="2:23" x14ac:dyDescent="0.3">
      <c r="B449">
        <v>31</v>
      </c>
      <c r="C449">
        <v>5</v>
      </c>
      <c r="D449">
        <v>30</v>
      </c>
      <c r="E449"/>
      <c r="I449" s="72">
        <f t="shared" si="58"/>
        <v>1.3750070276304977E-2</v>
      </c>
      <c r="K449" s="75">
        <f t="shared" si="53"/>
        <v>9.3921245056727981E-4</v>
      </c>
      <c r="P449" s="8">
        <v>9.8214787687892695E-4</v>
      </c>
      <c r="R449" s="73">
        <f t="shared" si="54"/>
        <v>6.7086603611948565E-5</v>
      </c>
      <c r="S449" s="71">
        <f t="shared" si="55"/>
        <v>6.7302650361691341E-5</v>
      </c>
      <c r="T449" s="74">
        <f t="shared" si="56"/>
        <v>6.0745610559435594E-2</v>
      </c>
      <c r="U449" s="75">
        <f t="shared" si="57"/>
        <v>4.1492903387592619E-3</v>
      </c>
      <c r="V449" s="60">
        <f>VLOOKUP(B449,metadata!$B$11:$BN$301,29,FALSE)*VLOOKUP(B449,metadata!$B$11:$BN$301,36,FALSE)*1000-T449</f>
        <v>14.579254389440566</v>
      </c>
      <c r="W449" s="76">
        <f t="shared" si="52"/>
        <v>0.99585070966124078</v>
      </c>
    </row>
    <row r="450" spans="2:23" x14ac:dyDescent="0.3">
      <c r="B450">
        <v>31</v>
      </c>
      <c r="C450">
        <v>5</v>
      </c>
      <c r="D450">
        <v>51</v>
      </c>
      <c r="E450"/>
      <c r="I450" s="72">
        <f t="shared" si="58"/>
        <v>7.5902773088311034E-3</v>
      </c>
      <c r="K450" s="75">
        <f t="shared" si="53"/>
        <v>5.1846156481086768E-4</v>
      </c>
      <c r="P450" s="8">
        <v>3.6144177661100494E-4</v>
      </c>
      <c r="R450" s="73">
        <f t="shared" si="54"/>
        <v>2.4688645943374653E-5</v>
      </c>
      <c r="S450" s="71">
        <f t="shared" si="55"/>
        <v>2.4791513129285217E-5</v>
      </c>
      <c r="T450" s="74">
        <f t="shared" si="56"/>
        <v>6.8335887868266693E-2</v>
      </c>
      <c r="U450" s="75">
        <f t="shared" si="57"/>
        <v>4.6677519035701288E-3</v>
      </c>
      <c r="V450" s="60">
        <f>VLOOKUP(B450,metadata!$B$11:$BN$301,29,FALSE)*VLOOKUP(B450,metadata!$B$11:$BN$301,36,FALSE)*1000-T450</f>
        <v>14.571664112131733</v>
      </c>
      <c r="W450" s="76">
        <f t="shared" si="52"/>
        <v>0.99533224809642984</v>
      </c>
    </row>
    <row r="451" spans="2:23" x14ac:dyDescent="0.3">
      <c r="B451">
        <v>31</v>
      </c>
      <c r="C451">
        <v>5</v>
      </c>
      <c r="D451">
        <v>80</v>
      </c>
      <c r="E451"/>
      <c r="I451" s="72">
        <f t="shared" si="58"/>
        <v>8.878484019329334E-3</v>
      </c>
      <c r="K451" s="75">
        <f t="shared" si="53"/>
        <v>6.0645382645692174E-4</v>
      </c>
      <c r="P451" s="8">
        <v>3.0615462135618395E-4</v>
      </c>
      <c r="R451" s="73">
        <f t="shared" si="54"/>
        <v>2.0912200912307647E-5</v>
      </c>
      <c r="S451" s="71">
        <f t="shared" si="55"/>
        <v>2.1010271647786127E-5</v>
      </c>
      <c r="T451" s="74">
        <f t="shared" si="56"/>
        <v>7.7214371887596028E-2</v>
      </c>
      <c r="U451" s="75">
        <f t="shared" si="57"/>
        <v>5.2742057300270507E-3</v>
      </c>
      <c r="V451" s="60">
        <f>VLOOKUP(B451,metadata!$B$11:$BN$301,29,FALSE)*VLOOKUP(B451,metadata!$B$11:$BN$301,36,FALSE)*1000-T451</f>
        <v>14.562785628112405</v>
      </c>
      <c r="W451" s="76">
        <f t="shared" si="52"/>
        <v>0.99472579426997298</v>
      </c>
    </row>
    <row r="452" spans="2:23" x14ac:dyDescent="0.3">
      <c r="B452">
        <v>31</v>
      </c>
      <c r="C452">
        <v>5</v>
      </c>
      <c r="D452">
        <v>183</v>
      </c>
      <c r="E452"/>
      <c r="I452" s="72">
        <f t="shared" si="58"/>
        <v>0.10836231493312416</v>
      </c>
      <c r="K452" s="75">
        <f t="shared" si="53"/>
        <v>7.4017974681095736E-3</v>
      </c>
      <c r="P452" s="8">
        <v>1.0520613100303317E-3</v>
      </c>
      <c r="R452" s="73">
        <f t="shared" si="54"/>
        <v>7.186211134086964E-5</v>
      </c>
      <c r="S452" s="71">
        <f t="shared" si="55"/>
        <v>7.2243136505381454E-5</v>
      </c>
      <c r="T452" s="74">
        <f t="shared" si="56"/>
        <v>0.1855766868207202</v>
      </c>
      <c r="U452" s="75">
        <f t="shared" si="57"/>
        <v>1.2676003198136625E-2</v>
      </c>
      <c r="V452" s="60">
        <f>VLOOKUP(B452,metadata!$B$11:$BN$301,29,FALSE)*VLOOKUP(B452,metadata!$B$11:$BN$301,36,FALSE)*1000-T452</f>
        <v>14.45442331317928</v>
      </c>
      <c r="W452" s="76">
        <f t="shared" si="52"/>
        <v>0.98732399680186334</v>
      </c>
    </row>
    <row r="453" spans="2:23" x14ac:dyDescent="0.3">
      <c r="B453">
        <v>31</v>
      </c>
      <c r="C453">
        <v>5</v>
      </c>
      <c r="D453">
        <v>231</v>
      </c>
      <c r="E453"/>
      <c r="I453" s="72">
        <f t="shared" si="58"/>
        <v>2.0731399954607259E-2</v>
      </c>
      <c r="K453" s="75">
        <f t="shared" si="53"/>
        <v>1.4160792318720806E-3</v>
      </c>
      <c r="P453" s="8">
        <v>4.3190416572098456E-4</v>
      </c>
      <c r="R453" s="73">
        <f t="shared" si="54"/>
        <v>2.9501650664001676E-5</v>
      </c>
      <c r="S453" s="71">
        <f t="shared" si="55"/>
        <v>2.988041489882078E-5</v>
      </c>
      <c r="T453" s="74">
        <f t="shared" si="56"/>
        <v>0.20630808677532747</v>
      </c>
      <c r="U453" s="75">
        <f t="shared" si="57"/>
        <v>1.4092082430008706E-2</v>
      </c>
      <c r="V453" s="60">
        <f>VLOOKUP(B453,metadata!$B$11:$BN$301,29,FALSE)*VLOOKUP(B453,metadata!$B$11:$BN$301,36,FALSE)*1000-T453</f>
        <v>14.433691913224672</v>
      </c>
      <c r="W453" s="76">
        <f t="shared" si="52"/>
        <v>0.9859079175699913</v>
      </c>
    </row>
    <row r="454" spans="2:23" x14ac:dyDescent="0.3">
      <c r="B454">
        <v>31</v>
      </c>
      <c r="C454">
        <v>5</v>
      </c>
      <c r="D454">
        <v>263</v>
      </c>
      <c r="E454"/>
      <c r="I454" s="72">
        <f t="shared" si="58"/>
        <v>1.383173259610517E-2</v>
      </c>
      <c r="K454" s="75">
        <f t="shared" si="53"/>
        <v>9.447904778760362E-4</v>
      </c>
      <c r="P454" s="8">
        <v>4.3224164362828656E-4</v>
      </c>
      <c r="R454" s="73">
        <f t="shared" si="54"/>
        <v>2.9524702433626131E-5</v>
      </c>
      <c r="S454" s="71">
        <f t="shared" si="55"/>
        <v>2.9946713995762308E-5</v>
      </c>
      <c r="T454" s="74">
        <f t="shared" si="56"/>
        <v>0.22013981937143265</v>
      </c>
      <c r="U454" s="75">
        <f t="shared" si="57"/>
        <v>1.5036872907884743E-2</v>
      </c>
      <c r="V454" s="60">
        <f>VLOOKUP(B454,metadata!$B$11:$BN$301,29,FALSE)*VLOOKUP(B454,metadata!$B$11:$BN$301,36,FALSE)*1000-T454</f>
        <v>14.419860180628568</v>
      </c>
      <c r="W454" s="76">
        <f t="shared" si="52"/>
        <v>0.98496312709211531</v>
      </c>
    </row>
    <row r="455" spans="2:23" x14ac:dyDescent="0.3">
      <c r="B455">
        <v>31</v>
      </c>
      <c r="C455">
        <v>5</v>
      </c>
      <c r="D455">
        <v>365</v>
      </c>
      <c r="E455"/>
      <c r="I455" s="72">
        <f t="shared" si="58"/>
        <v>5.251821495907421E-2</v>
      </c>
      <c r="K455" s="75">
        <f t="shared" si="53"/>
        <v>3.587309764964085E-3</v>
      </c>
      <c r="P455" s="8">
        <v>5.1488446038308047E-4</v>
      </c>
      <c r="R455" s="73">
        <f t="shared" si="54"/>
        <v>3.5169703578079263E-5</v>
      </c>
      <c r="S455" s="71">
        <f t="shared" si="55"/>
        <v>3.5706619477127025E-5</v>
      </c>
      <c r="T455" s="74">
        <f t="shared" si="56"/>
        <v>0.27265803433050684</v>
      </c>
      <c r="U455" s="75">
        <f t="shared" si="57"/>
        <v>1.8624182672848828E-2</v>
      </c>
      <c r="V455" s="60">
        <f>VLOOKUP(B455,metadata!$B$11:$BN$301,29,FALSE)*VLOOKUP(B455,metadata!$B$11:$BN$301,36,FALSE)*1000-T455</f>
        <v>14.367341965669494</v>
      </c>
      <c r="W455" s="76">
        <f t="shared" si="52"/>
        <v>0.98137581732715118</v>
      </c>
    </row>
    <row r="456" spans="2:23" x14ac:dyDescent="0.3">
      <c r="B456">
        <v>31</v>
      </c>
      <c r="C456">
        <v>5</v>
      </c>
      <c r="D456">
        <v>423</v>
      </c>
      <c r="E456"/>
      <c r="I456" s="72">
        <f t="shared" si="58"/>
        <v>1.8786720567254667E-2</v>
      </c>
      <c r="K456" s="75">
        <f t="shared" si="53"/>
        <v>1.2832459403862477E-3</v>
      </c>
      <c r="P456" s="8">
        <v>3.2390897529749427E-4</v>
      </c>
      <c r="R456" s="73">
        <f t="shared" si="54"/>
        <v>2.2124930006659445E-5</v>
      </c>
      <c r="S456" s="71">
        <f t="shared" si="55"/>
        <v>2.2544808641116009E-5</v>
      </c>
      <c r="T456" s="74">
        <f t="shared" si="56"/>
        <v>0.2914447548977615</v>
      </c>
      <c r="U456" s="75">
        <f t="shared" si="57"/>
        <v>1.9907428613235075E-2</v>
      </c>
      <c r="V456" s="60">
        <f>VLOOKUP(B456,metadata!$B$11:$BN$301,29,FALSE)*VLOOKUP(B456,metadata!$B$11:$BN$301,36,FALSE)*1000-T456</f>
        <v>14.348555245102238</v>
      </c>
      <c r="W456" s="76">
        <f t="shared" si="52"/>
        <v>0.98009257138676498</v>
      </c>
    </row>
    <row r="457" spans="2:23" x14ac:dyDescent="0.3">
      <c r="B457">
        <v>31</v>
      </c>
      <c r="C457">
        <v>5</v>
      </c>
      <c r="D457">
        <v>463</v>
      </c>
      <c r="E457"/>
      <c r="I457" s="72">
        <f t="shared" si="58"/>
        <v>1.976249562949204E-2</v>
      </c>
      <c r="K457" s="75">
        <f t="shared" si="53"/>
        <v>1.349897242451642E-3</v>
      </c>
      <c r="P457" s="8">
        <v>4.94062390737301E-4</v>
      </c>
      <c r="R457" s="73">
        <f t="shared" si="54"/>
        <v>3.3747431061291053E-5</v>
      </c>
      <c r="S457" s="71">
        <f t="shared" si="55"/>
        <v>3.4432901591673848E-5</v>
      </c>
      <c r="T457" s="74">
        <f t="shared" si="56"/>
        <v>0.31120725052725356</v>
      </c>
      <c r="U457" s="75">
        <f t="shared" si="57"/>
        <v>2.1257325855686716E-2</v>
      </c>
      <c r="V457" s="60">
        <f>VLOOKUP(B457,metadata!$B$11:$BN$301,29,FALSE)*VLOOKUP(B457,metadata!$B$11:$BN$301,36,FALSE)*1000-T457</f>
        <v>14.328792749472747</v>
      </c>
      <c r="W457" s="76">
        <f t="shared" si="52"/>
        <v>0.97874267414431326</v>
      </c>
    </row>
    <row r="458" spans="2:23" x14ac:dyDescent="0.3">
      <c r="B458">
        <v>31</v>
      </c>
      <c r="C458">
        <v>5</v>
      </c>
      <c r="D458">
        <v>550</v>
      </c>
      <c r="E458"/>
      <c r="I458" s="72">
        <f t="shared" si="58"/>
        <v>5.6752129419296277E-2</v>
      </c>
      <c r="K458" s="75">
        <f t="shared" si="53"/>
        <v>3.876511572356303E-3</v>
      </c>
      <c r="P458" s="8">
        <v>6.5232332665857791E-4</v>
      </c>
      <c r="R458" s="73">
        <f t="shared" si="54"/>
        <v>4.4557604279957507E-5</v>
      </c>
      <c r="S458" s="71">
        <f t="shared" si="55"/>
        <v>4.552535151173718E-5</v>
      </c>
      <c r="T458" s="74">
        <f t="shared" si="56"/>
        <v>0.36795937994654981</v>
      </c>
      <c r="U458" s="75">
        <f t="shared" si="57"/>
        <v>2.513383742804302E-2</v>
      </c>
      <c r="V458" s="60">
        <f>VLOOKUP(B458,metadata!$B$11:$BN$301,29,FALSE)*VLOOKUP(B458,metadata!$B$11:$BN$301,36,FALSE)*1000-T458</f>
        <v>14.272040620053451</v>
      </c>
      <c r="W458" s="76">
        <f t="shared" si="52"/>
        <v>0.97486616257195702</v>
      </c>
    </row>
    <row r="459" spans="2:23" x14ac:dyDescent="0.3">
      <c r="B459">
        <v>31</v>
      </c>
      <c r="C459">
        <v>5</v>
      </c>
      <c r="D459">
        <v>640</v>
      </c>
      <c r="E459"/>
      <c r="I459" s="72">
        <f t="shared" si="58"/>
        <v>6.3093133550129341E-2</v>
      </c>
      <c r="K459" s="75">
        <f t="shared" si="53"/>
        <v>4.309640269817578E-3</v>
      </c>
      <c r="P459" s="8">
        <v>7.0103481722365941E-4</v>
      </c>
      <c r="R459" s="73">
        <f t="shared" si="54"/>
        <v>4.7884891886861983E-5</v>
      </c>
      <c r="S459" s="71">
        <f t="shared" si="55"/>
        <v>4.9119452213346767E-5</v>
      </c>
      <c r="T459" s="74">
        <f t="shared" si="56"/>
        <v>0.43105251349667917</v>
      </c>
      <c r="U459" s="75">
        <f t="shared" si="57"/>
        <v>2.9443477697860598E-2</v>
      </c>
      <c r="V459" s="60">
        <f>VLOOKUP(B459,metadata!$B$11:$BN$301,29,FALSE)*VLOOKUP(B459,metadata!$B$11:$BN$301,36,FALSE)*1000-T459</f>
        <v>14.208947486503321</v>
      </c>
      <c r="W459" s="76">
        <f t="shared" si="52"/>
        <v>0.9705565223021394</v>
      </c>
    </row>
    <row r="460" spans="2:23" x14ac:dyDescent="0.3">
      <c r="B460">
        <v>31</v>
      </c>
      <c r="C460">
        <v>5</v>
      </c>
      <c r="D460">
        <v>730</v>
      </c>
      <c r="E460"/>
      <c r="I460" s="72">
        <f t="shared" si="58"/>
        <v>3.00518668148087E-2</v>
      </c>
      <c r="K460" s="75">
        <f t="shared" si="53"/>
        <v>2.052723143088026E-3</v>
      </c>
      <c r="P460" s="8">
        <v>3.3390963127565221E-4</v>
      </c>
      <c r="R460" s="73">
        <f t="shared" si="54"/>
        <v>2.2808034923200287E-5</v>
      </c>
      <c r="S460" s="71">
        <f t="shared" si="55"/>
        <v>2.3499955333976958E-5</v>
      </c>
      <c r="T460" s="74">
        <f t="shared" si="56"/>
        <v>0.46110438031148787</v>
      </c>
      <c r="U460" s="75">
        <f t="shared" si="57"/>
        <v>3.1496200840948625E-2</v>
      </c>
      <c r="V460" s="60">
        <f>VLOOKUP(B460,metadata!$B$11:$BN$301,29,FALSE)*VLOOKUP(B460,metadata!$B$11:$BN$301,36,FALSE)*1000-T460</f>
        <v>14.178895619688513</v>
      </c>
      <c r="W460" s="76">
        <f t="shared" si="52"/>
        <v>0.96850379915905138</v>
      </c>
    </row>
    <row r="461" spans="2:23" x14ac:dyDescent="0.3">
      <c r="B461">
        <v>32</v>
      </c>
      <c r="C461">
        <v>5</v>
      </c>
      <c r="D461">
        <v>0</v>
      </c>
      <c r="E461"/>
      <c r="I461" s="72">
        <f t="shared" si="58"/>
        <v>0</v>
      </c>
      <c r="K461" s="75">
        <f t="shared" si="53"/>
        <v>0</v>
      </c>
      <c r="P461" s="8"/>
      <c r="R461" s="73">
        <f t="shared" si="54"/>
        <v>0</v>
      </c>
      <c r="S461" s="71">
        <f t="shared" si="55"/>
        <v>0</v>
      </c>
      <c r="T461" s="74">
        <f t="shared" si="56"/>
        <v>0</v>
      </c>
      <c r="U461" s="75">
        <f t="shared" si="57"/>
        <v>0</v>
      </c>
      <c r="V461" s="60">
        <f>VLOOKUP(B461,metadata!$B$11:$BN$301,29,FALSE)*VLOOKUP(B461,metadata!$B$11:$BN$301,36,FALSE)*1000-T461</f>
        <v>13.48</v>
      </c>
      <c r="W461" s="76">
        <f t="shared" si="52"/>
        <v>1</v>
      </c>
    </row>
    <row r="462" spans="2:23" x14ac:dyDescent="0.3">
      <c r="B462">
        <v>32</v>
      </c>
      <c r="C462">
        <v>5</v>
      </c>
      <c r="D462">
        <v>3</v>
      </c>
      <c r="E462"/>
      <c r="I462" s="72">
        <f t="shared" si="58"/>
        <v>1.0415326881495778E-2</v>
      </c>
      <c r="K462" s="75">
        <f t="shared" si="53"/>
        <v>7.7265036212876691E-4</v>
      </c>
      <c r="P462" s="8">
        <v>3.4717756271652597E-3</v>
      </c>
      <c r="R462" s="73">
        <f t="shared" si="54"/>
        <v>2.5755012070958897E-4</v>
      </c>
      <c r="S462" s="71">
        <f t="shared" si="55"/>
        <v>2.5755012070958897E-4</v>
      </c>
      <c r="T462" s="74">
        <f t="shared" si="56"/>
        <v>1.0415326881495778E-2</v>
      </c>
      <c r="U462" s="75">
        <f t="shared" si="57"/>
        <v>7.7265036212876691E-4</v>
      </c>
      <c r="V462" s="60">
        <f>VLOOKUP(B462,metadata!$B$11:$BN$301,29,FALSE)*VLOOKUP(B462,metadata!$B$11:$BN$301,36,FALSE)*1000-T462</f>
        <v>13.469584673118504</v>
      </c>
      <c r="W462" s="76">
        <f t="shared" si="52"/>
        <v>0.99922734963787119</v>
      </c>
    </row>
    <row r="463" spans="2:23" x14ac:dyDescent="0.3">
      <c r="B463">
        <v>32</v>
      </c>
      <c r="C463">
        <v>5</v>
      </c>
      <c r="D463">
        <v>9</v>
      </c>
      <c r="E463"/>
      <c r="I463" s="72">
        <f t="shared" si="58"/>
        <v>1.2630806514616625E-2</v>
      </c>
      <c r="K463" s="75">
        <f t="shared" si="53"/>
        <v>9.3700345063921545E-4</v>
      </c>
      <c r="P463" s="8">
        <v>2.105134419102771E-3</v>
      </c>
      <c r="R463" s="73">
        <f t="shared" si="54"/>
        <v>1.5616724177320258E-4</v>
      </c>
      <c r="S463" s="71">
        <f t="shared" si="55"/>
        <v>1.5628799775126148E-4</v>
      </c>
      <c r="T463" s="74">
        <f t="shared" si="56"/>
        <v>2.3046133396112403E-2</v>
      </c>
      <c r="U463" s="75">
        <f t="shared" si="57"/>
        <v>1.7096538127679825E-3</v>
      </c>
      <c r="V463" s="60">
        <f>VLOOKUP(B463,metadata!$B$11:$BN$301,29,FALSE)*VLOOKUP(B463,metadata!$B$11:$BN$301,36,FALSE)*1000-T463</f>
        <v>13.456953866603888</v>
      </c>
      <c r="W463" s="76">
        <f t="shared" si="52"/>
        <v>0.998290346187232</v>
      </c>
    </row>
    <row r="464" spans="2:23" x14ac:dyDescent="0.3">
      <c r="B464">
        <v>32</v>
      </c>
      <c r="C464">
        <v>5</v>
      </c>
      <c r="D464">
        <v>18</v>
      </c>
      <c r="E464"/>
      <c r="I464" s="72">
        <f t="shared" si="58"/>
        <v>6.4526700447018557E-3</v>
      </c>
      <c r="K464" s="75">
        <f t="shared" si="53"/>
        <v>4.7868472141705158E-4</v>
      </c>
      <c r="P464" s="8">
        <v>7.1696333830020614E-4</v>
      </c>
      <c r="R464" s="73">
        <f t="shared" si="54"/>
        <v>5.3187191268561283E-5</v>
      </c>
      <c r="S464" s="71">
        <f t="shared" si="55"/>
        <v>5.3278278680845707E-5</v>
      </c>
      <c r="T464" s="74">
        <f t="shared" si="56"/>
        <v>2.9498803440814257E-2</v>
      </c>
      <c r="U464" s="75">
        <f t="shared" si="57"/>
        <v>2.1883385341850341E-3</v>
      </c>
      <c r="V464" s="60">
        <f>VLOOKUP(B464,metadata!$B$11:$BN$301,29,FALSE)*VLOOKUP(B464,metadata!$B$11:$BN$301,36,FALSE)*1000-T464</f>
        <v>13.450501196559186</v>
      </c>
      <c r="W464" s="76">
        <f t="shared" si="52"/>
        <v>0.99781166146581501</v>
      </c>
    </row>
    <row r="465" spans="2:23" x14ac:dyDescent="0.3">
      <c r="B465">
        <v>32</v>
      </c>
      <c r="C465">
        <v>5</v>
      </c>
      <c r="D465">
        <v>38</v>
      </c>
      <c r="E465"/>
      <c r="I465" s="72">
        <f t="shared" si="58"/>
        <v>1.3476777889186501E-2</v>
      </c>
      <c r="K465" s="75">
        <f t="shared" si="53"/>
        <v>9.9976097100790053E-4</v>
      </c>
      <c r="P465" s="8">
        <v>6.7383889445932503E-4</v>
      </c>
      <c r="R465" s="73">
        <f t="shared" si="54"/>
        <v>4.9988048550395031E-5</v>
      </c>
      <c r="S465" s="71">
        <f t="shared" si="55"/>
        <v>5.0097679232332385E-5</v>
      </c>
      <c r="T465" s="74">
        <f t="shared" si="56"/>
        <v>4.2975581330000762E-2</v>
      </c>
      <c r="U465" s="75">
        <f t="shared" si="57"/>
        <v>3.1880995051929346E-3</v>
      </c>
      <c r="V465" s="60">
        <f>VLOOKUP(B465,metadata!$B$11:$BN$301,29,FALSE)*VLOOKUP(B465,metadata!$B$11:$BN$301,36,FALSE)*1000-T465</f>
        <v>13.437024418669999</v>
      </c>
      <c r="W465" s="76">
        <f t="shared" si="52"/>
        <v>0.99681190049480706</v>
      </c>
    </row>
    <row r="466" spans="2:23" x14ac:dyDescent="0.3">
      <c r="B466">
        <v>32</v>
      </c>
      <c r="C466">
        <v>5</v>
      </c>
      <c r="D466">
        <v>94</v>
      </c>
      <c r="E466"/>
      <c r="I466" s="72">
        <f t="shared" si="58"/>
        <v>8.7271948928532295E-3</v>
      </c>
      <c r="K466" s="75">
        <f t="shared" si="53"/>
        <v>6.4741801875765794E-4</v>
      </c>
      <c r="P466" s="8">
        <v>1.5584276594380768E-4</v>
      </c>
      <c r="R466" s="73">
        <f t="shared" si="54"/>
        <v>1.1561036049243892E-5</v>
      </c>
      <c r="S466" s="71">
        <f t="shared" si="55"/>
        <v>1.1598011664492683E-5</v>
      </c>
      <c r="T466" s="74">
        <f t="shared" si="56"/>
        <v>5.1702776222853991E-2</v>
      </c>
      <c r="U466" s="75">
        <f t="shared" si="57"/>
        <v>3.8355175239505926E-3</v>
      </c>
      <c r="V466" s="60">
        <f>VLOOKUP(B466,metadata!$B$11:$BN$301,29,FALSE)*VLOOKUP(B466,metadata!$B$11:$BN$301,36,FALSE)*1000-T466</f>
        <v>13.428297223777147</v>
      </c>
      <c r="W466" s="76">
        <f t="shared" si="52"/>
        <v>0.99616448247604938</v>
      </c>
    </row>
    <row r="467" spans="2:23" x14ac:dyDescent="0.3">
      <c r="B467">
        <v>32</v>
      </c>
      <c r="C467">
        <v>5</v>
      </c>
      <c r="D467">
        <v>183</v>
      </c>
      <c r="E467"/>
      <c r="I467" s="72">
        <f t="shared" si="58"/>
        <v>1.7752371620623795E-2</v>
      </c>
      <c r="K467" s="75">
        <f t="shared" si="53"/>
        <v>1.3169415148830707E-3</v>
      </c>
      <c r="P467" s="8">
        <v>1.9946484966993028E-4</v>
      </c>
      <c r="R467" s="73">
        <f t="shared" si="54"/>
        <v>1.4797095672843492E-5</v>
      </c>
      <c r="S467" s="71">
        <f t="shared" si="55"/>
        <v>1.4854068713696842E-5</v>
      </c>
      <c r="T467" s="74">
        <f t="shared" si="56"/>
        <v>6.9455147843477782E-2</v>
      </c>
      <c r="U467" s="75">
        <f t="shared" si="57"/>
        <v>5.1524590388336636E-3</v>
      </c>
      <c r="V467" s="60">
        <f>VLOOKUP(B467,metadata!$B$11:$BN$301,29,FALSE)*VLOOKUP(B467,metadata!$B$11:$BN$301,36,FALSE)*1000-T467</f>
        <v>13.410544852156523</v>
      </c>
      <c r="W467" s="76">
        <f t="shared" si="52"/>
        <v>0.99484754096116634</v>
      </c>
    </row>
    <row r="468" spans="2:23" x14ac:dyDescent="0.3">
      <c r="B468">
        <v>32</v>
      </c>
      <c r="C468">
        <v>5</v>
      </c>
      <c r="D468">
        <v>276</v>
      </c>
      <c r="E468"/>
      <c r="I468" s="72">
        <f t="shared" si="58"/>
        <v>1.4440353522531587E-2</v>
      </c>
      <c r="K468" s="75">
        <f t="shared" si="53"/>
        <v>1.0712428429177736E-3</v>
      </c>
      <c r="P468" s="8">
        <v>1.5527261852184502E-4</v>
      </c>
      <c r="R468" s="73">
        <f t="shared" si="54"/>
        <v>1.1518740246427671E-5</v>
      </c>
      <c r="S468" s="71">
        <f t="shared" si="55"/>
        <v>1.1578397465101945E-5</v>
      </c>
      <c r="T468" s="74">
        <f t="shared" si="56"/>
        <v>8.3895501366009373E-2</v>
      </c>
      <c r="U468" s="75">
        <f t="shared" si="57"/>
        <v>6.2237018817514374E-3</v>
      </c>
      <c r="V468" s="60">
        <f>VLOOKUP(B468,metadata!$B$11:$BN$301,29,FALSE)*VLOOKUP(B468,metadata!$B$11:$BN$301,36,FALSE)*1000-T468</f>
        <v>13.39610449863399</v>
      </c>
      <c r="W468" s="76">
        <f t="shared" si="52"/>
        <v>0.99377629811824852</v>
      </c>
    </row>
    <row r="469" spans="2:23" x14ac:dyDescent="0.3">
      <c r="B469">
        <v>32</v>
      </c>
      <c r="C469">
        <v>5</v>
      </c>
      <c r="D469">
        <v>365</v>
      </c>
      <c r="E469"/>
      <c r="I469" s="72">
        <f t="shared" si="58"/>
        <v>6.3045997058684775E-3</v>
      </c>
      <c r="K469" s="75">
        <f t="shared" si="53"/>
        <v>4.6770027491605914E-4</v>
      </c>
      <c r="P469" s="8">
        <v>7.0838198942342446E-5</v>
      </c>
      <c r="R469" s="73">
        <f t="shared" si="54"/>
        <v>5.2550592687197662E-6</v>
      </c>
      <c r="S469" s="71">
        <f t="shared" si="55"/>
        <v>5.2879700176693805E-6</v>
      </c>
      <c r="T469" s="74">
        <f t="shared" si="56"/>
        <v>9.0200101071877856E-2</v>
      </c>
      <c r="U469" s="75">
        <f t="shared" si="57"/>
        <v>6.6914021566674966E-3</v>
      </c>
      <c r="V469" s="60">
        <f>VLOOKUP(B469,metadata!$B$11:$BN$301,29,FALSE)*VLOOKUP(B469,metadata!$B$11:$BN$301,36,FALSE)*1000-T469</f>
        <v>13.389799898928123</v>
      </c>
      <c r="W469" s="76">
        <f t="shared" ref="W469:W532" si="59">100%-U469</f>
        <v>0.99330859784333247</v>
      </c>
    </row>
    <row r="470" spans="2:23" x14ac:dyDescent="0.3">
      <c r="B470">
        <v>32</v>
      </c>
      <c r="C470">
        <v>5</v>
      </c>
      <c r="D470">
        <v>498</v>
      </c>
      <c r="E470"/>
      <c r="I470" s="72">
        <f t="shared" si="58"/>
        <v>8.7663748005349269E-3</v>
      </c>
      <c r="K470" s="75">
        <f t="shared" ref="K470:K533" si="60">I470/(V470+T470)</f>
        <v>6.5032454009903015E-4</v>
      </c>
      <c r="P470" s="8">
        <v>6.5912592485225014E-5</v>
      </c>
      <c r="R470" s="73">
        <f t="shared" ref="R470:R533" si="61">P470/(T470+V470)</f>
        <v>4.8896581962333097E-6</v>
      </c>
      <c r="S470" s="71">
        <f t="shared" ref="S470:S533" si="62">IF(D470&gt;D469,P470/V469,0)</f>
        <v>4.9225972742506355E-6</v>
      </c>
      <c r="T470" s="74">
        <f t="shared" ref="T470:T533" si="63">IF(D470&gt;D469,T469+I470,I470)</f>
        <v>9.8966475872412779E-2</v>
      </c>
      <c r="U470" s="75">
        <f t="shared" ref="U470:U533" si="64">T470/(T470+V470)</f>
        <v>7.3417266967665262E-3</v>
      </c>
      <c r="V470" s="60">
        <f>VLOOKUP(B470,metadata!$B$11:$BN$301,29,FALSE)*VLOOKUP(B470,metadata!$B$11:$BN$301,36,FALSE)*1000-T470</f>
        <v>13.381033524127588</v>
      </c>
      <c r="W470" s="76">
        <f t="shared" si="59"/>
        <v>0.99265827330323342</v>
      </c>
    </row>
    <row r="471" spans="2:23" x14ac:dyDescent="0.3">
      <c r="B471">
        <v>32</v>
      </c>
      <c r="C471">
        <v>5</v>
      </c>
      <c r="D471">
        <v>550</v>
      </c>
      <c r="E471"/>
      <c r="I471" s="72">
        <f t="shared" ref="I471:I534" si="65">P471*IF(D471&gt;D470,(D471-D470),(D471-0))</f>
        <v>3.7786047603523675E-3</v>
      </c>
      <c r="K471" s="75">
        <f t="shared" si="60"/>
        <v>2.8031192584216378E-4</v>
      </c>
      <c r="P471" s="8">
        <v>7.2665476160622456E-5</v>
      </c>
      <c r="R471" s="73">
        <f t="shared" si="61"/>
        <v>5.3906139585031491E-6</v>
      </c>
      <c r="S471" s="71">
        <f t="shared" si="62"/>
        <v>5.4304830811161188E-6</v>
      </c>
      <c r="T471" s="74">
        <f t="shared" si="63"/>
        <v>0.10274508063276515</v>
      </c>
      <c r="U471" s="75">
        <f t="shared" si="64"/>
        <v>7.6220386226086905E-3</v>
      </c>
      <c r="V471" s="60">
        <f>VLOOKUP(B471,metadata!$B$11:$BN$301,29,FALSE)*VLOOKUP(B471,metadata!$B$11:$BN$301,36,FALSE)*1000-T471</f>
        <v>13.377254919367235</v>
      </c>
      <c r="W471" s="76">
        <f t="shared" si="59"/>
        <v>0.99237796137739132</v>
      </c>
    </row>
    <row r="472" spans="2:23" x14ac:dyDescent="0.3">
      <c r="B472">
        <v>32</v>
      </c>
      <c r="C472">
        <v>5</v>
      </c>
      <c r="D472">
        <v>671</v>
      </c>
      <c r="E472"/>
      <c r="I472" s="72">
        <f t="shared" si="65"/>
        <v>5.2371610376313648E-3</v>
      </c>
      <c r="K472" s="75">
        <f t="shared" si="60"/>
        <v>3.8851343009134752E-4</v>
      </c>
      <c r="P472" s="8">
        <v>4.3282322625052599E-5</v>
      </c>
      <c r="R472" s="73">
        <f t="shared" si="61"/>
        <v>3.2108547941433677E-6</v>
      </c>
      <c r="S472" s="71">
        <f t="shared" si="62"/>
        <v>3.2355160222288654E-6</v>
      </c>
      <c r="T472" s="74">
        <f t="shared" si="63"/>
        <v>0.10798224167039651</v>
      </c>
      <c r="U472" s="75">
        <f t="shared" si="64"/>
        <v>8.0105520527000377E-3</v>
      </c>
      <c r="V472" s="60">
        <f>VLOOKUP(B472,metadata!$B$11:$BN$301,29,FALSE)*VLOOKUP(B472,metadata!$B$11:$BN$301,36,FALSE)*1000-T472</f>
        <v>13.372017758329603</v>
      </c>
      <c r="W472" s="76">
        <f t="shared" si="59"/>
        <v>0.99198944794729993</v>
      </c>
    </row>
    <row r="473" spans="2:23" x14ac:dyDescent="0.3">
      <c r="B473">
        <v>32</v>
      </c>
      <c r="C473">
        <v>5</v>
      </c>
      <c r="D473">
        <v>730</v>
      </c>
      <c r="E473"/>
      <c r="I473" s="72">
        <f t="shared" si="65"/>
        <v>3.6738547592936378E-3</v>
      </c>
      <c r="K473" s="75">
        <f t="shared" si="60"/>
        <v>2.7254115425026984E-4</v>
      </c>
      <c r="P473" s="8">
        <v>6.2268724733790471E-5</v>
      </c>
      <c r="R473" s="73">
        <f t="shared" si="61"/>
        <v>4.6193415974622013E-6</v>
      </c>
      <c r="S473" s="71">
        <f t="shared" si="62"/>
        <v>4.6566438856994843E-6</v>
      </c>
      <c r="T473" s="74">
        <f t="shared" si="63"/>
        <v>0.11165609642969014</v>
      </c>
      <c r="U473" s="75">
        <f t="shared" si="64"/>
        <v>8.2830932069503076E-3</v>
      </c>
      <c r="V473" s="60">
        <f>VLOOKUP(B473,metadata!$B$11:$BN$301,29,FALSE)*VLOOKUP(B473,metadata!$B$11:$BN$301,36,FALSE)*1000-T473</f>
        <v>13.36834390357031</v>
      </c>
      <c r="W473" s="76">
        <f t="shared" si="59"/>
        <v>0.99171690679304969</v>
      </c>
    </row>
    <row r="474" spans="2:23" x14ac:dyDescent="0.3">
      <c r="B474">
        <v>33</v>
      </c>
      <c r="C474">
        <v>5</v>
      </c>
      <c r="D474">
        <v>0</v>
      </c>
      <c r="E474"/>
      <c r="I474" s="72">
        <f t="shared" si="65"/>
        <v>0</v>
      </c>
      <c r="K474" s="75">
        <f t="shared" si="60"/>
        <v>0</v>
      </c>
      <c r="P474" s="8"/>
      <c r="R474" s="73">
        <f t="shared" si="61"/>
        <v>0</v>
      </c>
      <c r="S474" s="71">
        <f t="shared" si="62"/>
        <v>0</v>
      </c>
      <c r="T474" s="74">
        <f t="shared" si="63"/>
        <v>0</v>
      </c>
      <c r="U474" s="75">
        <f t="shared" si="64"/>
        <v>0</v>
      </c>
      <c r="V474" s="60">
        <f>VLOOKUP(B474,metadata!$B$11:$BN$301,29,FALSE)*VLOOKUP(B474,metadata!$B$11:$BN$301,36,FALSE)*1000-T474</f>
        <v>13.48</v>
      </c>
      <c r="W474" s="76">
        <f t="shared" si="59"/>
        <v>1</v>
      </c>
    </row>
    <row r="475" spans="2:23" x14ac:dyDescent="0.3">
      <c r="B475">
        <v>33</v>
      </c>
      <c r="C475">
        <v>5</v>
      </c>
      <c r="D475">
        <v>2</v>
      </c>
      <c r="E475"/>
      <c r="I475" s="72">
        <f t="shared" si="65"/>
        <v>8.6925753833088284E-3</v>
      </c>
      <c r="K475" s="75">
        <f t="shared" si="60"/>
        <v>6.4484980588344425E-4</v>
      </c>
      <c r="P475" s="8">
        <v>4.3462876916544142E-3</v>
      </c>
      <c r="R475" s="73">
        <f t="shared" si="61"/>
        <v>3.2242490294172213E-4</v>
      </c>
      <c r="S475" s="71">
        <f t="shared" si="62"/>
        <v>3.2242490294172213E-4</v>
      </c>
      <c r="T475" s="74">
        <f t="shared" si="63"/>
        <v>8.6925753833088284E-3</v>
      </c>
      <c r="U475" s="75">
        <f t="shared" si="64"/>
        <v>6.4484980588344425E-4</v>
      </c>
      <c r="V475" s="60">
        <f>VLOOKUP(B475,metadata!$B$11:$BN$301,29,FALSE)*VLOOKUP(B475,metadata!$B$11:$BN$301,36,FALSE)*1000-T475</f>
        <v>13.471307424616692</v>
      </c>
      <c r="W475" s="76">
        <f t="shared" si="59"/>
        <v>0.99935515019411658</v>
      </c>
    </row>
    <row r="476" spans="2:23" x14ac:dyDescent="0.3">
      <c r="B476">
        <v>33</v>
      </c>
      <c r="C476">
        <v>5</v>
      </c>
      <c r="D476">
        <v>4</v>
      </c>
      <c r="E476"/>
      <c r="I476" s="72">
        <f t="shared" si="65"/>
        <v>1.1580767704435654E-2</v>
      </c>
      <c r="K476" s="75">
        <f t="shared" si="60"/>
        <v>8.5910739647148771E-4</v>
      </c>
      <c r="P476" s="8">
        <v>5.7903838522178272E-3</v>
      </c>
      <c r="R476" s="73">
        <f t="shared" si="61"/>
        <v>4.2955369823574385E-4</v>
      </c>
      <c r="S476" s="71">
        <f t="shared" si="62"/>
        <v>4.2983087459178709E-4</v>
      </c>
      <c r="T476" s="74">
        <f t="shared" si="63"/>
        <v>2.0273343087744485E-2</v>
      </c>
      <c r="U476" s="75">
        <f t="shared" si="64"/>
        <v>1.5039572023549321E-3</v>
      </c>
      <c r="V476" s="60">
        <f>VLOOKUP(B476,metadata!$B$11:$BN$301,29,FALSE)*VLOOKUP(B476,metadata!$B$11:$BN$301,36,FALSE)*1000-T476</f>
        <v>13.459726656912256</v>
      </c>
      <c r="W476" s="76">
        <f t="shared" si="59"/>
        <v>0.99849604279764503</v>
      </c>
    </row>
    <row r="477" spans="2:23" x14ac:dyDescent="0.3">
      <c r="B477">
        <v>33</v>
      </c>
      <c r="C477">
        <v>5</v>
      </c>
      <c r="D477">
        <v>8</v>
      </c>
      <c r="E477"/>
      <c r="I477" s="72">
        <f t="shared" si="65"/>
        <v>2.4356270961809003E-2</v>
      </c>
      <c r="K477" s="75">
        <f t="shared" si="60"/>
        <v>1.8068450268404306E-3</v>
      </c>
      <c r="P477" s="8">
        <v>6.0890677404522508E-3</v>
      </c>
      <c r="R477" s="73">
        <f t="shared" si="61"/>
        <v>4.5171125671010764E-4</v>
      </c>
      <c r="S477" s="71">
        <f t="shared" si="62"/>
        <v>4.5239163436689881E-4</v>
      </c>
      <c r="T477" s="74">
        <f t="shared" si="63"/>
        <v>4.4629614049553484E-2</v>
      </c>
      <c r="U477" s="75">
        <f t="shared" si="64"/>
        <v>3.3108022291953622E-3</v>
      </c>
      <c r="V477" s="60">
        <f>VLOOKUP(B477,metadata!$B$11:$BN$301,29,FALSE)*VLOOKUP(B477,metadata!$B$11:$BN$301,36,FALSE)*1000-T477</f>
        <v>13.435370385950447</v>
      </c>
      <c r="W477" s="76">
        <f t="shared" si="59"/>
        <v>0.99668919777080467</v>
      </c>
    </row>
    <row r="478" spans="2:23" x14ac:dyDescent="0.3">
      <c r="B478">
        <v>33</v>
      </c>
      <c r="C478">
        <v>5</v>
      </c>
      <c r="D478">
        <v>16</v>
      </c>
      <c r="E478"/>
      <c r="I478" s="72">
        <f t="shared" si="65"/>
        <v>2.8446374237613731E-2</v>
      </c>
      <c r="K478" s="75">
        <f t="shared" si="60"/>
        <v>2.1102651511582886E-3</v>
      </c>
      <c r="P478" s="8">
        <v>3.5557967797017163E-3</v>
      </c>
      <c r="R478" s="73">
        <f t="shared" si="61"/>
        <v>2.6378314389478608E-4</v>
      </c>
      <c r="S478" s="71">
        <f t="shared" si="62"/>
        <v>2.6465937875594874E-4</v>
      </c>
      <c r="T478" s="74">
        <f t="shared" si="63"/>
        <v>7.3075988287167215E-2</v>
      </c>
      <c r="U478" s="75">
        <f t="shared" si="64"/>
        <v>5.4210673803536504E-3</v>
      </c>
      <c r="V478" s="60">
        <f>VLOOKUP(B478,metadata!$B$11:$BN$301,29,FALSE)*VLOOKUP(B478,metadata!$B$11:$BN$301,36,FALSE)*1000-T478</f>
        <v>13.406924011712833</v>
      </c>
      <c r="W478" s="76">
        <f t="shared" si="59"/>
        <v>0.99457893261964636</v>
      </c>
    </row>
    <row r="479" spans="2:23" x14ac:dyDescent="0.3">
      <c r="B479">
        <v>33</v>
      </c>
      <c r="C479">
        <v>5</v>
      </c>
      <c r="D479">
        <v>30</v>
      </c>
      <c r="E479"/>
      <c r="I479" s="72">
        <f t="shared" si="65"/>
        <v>4.0775792089200985E-2</v>
      </c>
      <c r="K479" s="75">
        <f t="shared" si="60"/>
        <v>3.0249103923739602E-3</v>
      </c>
      <c r="P479" s="8">
        <v>2.9125565778000705E-3</v>
      </c>
      <c r="R479" s="73">
        <f t="shared" si="61"/>
        <v>2.1606502802671147E-4</v>
      </c>
      <c r="S479" s="71">
        <f t="shared" si="62"/>
        <v>2.1724271542492094E-4</v>
      </c>
      <c r="T479" s="74">
        <f t="shared" si="63"/>
        <v>0.1138517803763682</v>
      </c>
      <c r="U479" s="75">
        <f t="shared" si="64"/>
        <v>8.4459777727276114E-3</v>
      </c>
      <c r="V479" s="60">
        <f>VLOOKUP(B479,metadata!$B$11:$BN$301,29,FALSE)*VLOOKUP(B479,metadata!$B$11:$BN$301,36,FALSE)*1000-T479</f>
        <v>13.366148219623632</v>
      </c>
      <c r="W479" s="76">
        <f t="shared" si="59"/>
        <v>0.9915540222272724</v>
      </c>
    </row>
    <row r="480" spans="2:23" x14ac:dyDescent="0.3">
      <c r="B480">
        <v>33</v>
      </c>
      <c r="C480">
        <v>5</v>
      </c>
      <c r="D480">
        <v>51</v>
      </c>
      <c r="E480"/>
      <c r="I480" s="72">
        <f t="shared" si="65"/>
        <v>2.8477121753023124E-2</v>
      </c>
      <c r="K480" s="75">
        <f t="shared" si="60"/>
        <v>2.1125461241115078E-3</v>
      </c>
      <c r="P480" s="8">
        <v>1.3560534168106249E-3</v>
      </c>
      <c r="R480" s="73">
        <f t="shared" si="61"/>
        <v>1.0059743448150036E-4</v>
      </c>
      <c r="S480" s="71">
        <f t="shared" si="62"/>
        <v>1.0145431537409729E-4</v>
      </c>
      <c r="T480" s="74">
        <f t="shared" si="63"/>
        <v>0.14232890212939131</v>
      </c>
      <c r="U480" s="75">
        <f t="shared" si="64"/>
        <v>1.0558523896839117E-2</v>
      </c>
      <c r="V480" s="60">
        <f>VLOOKUP(B480,metadata!$B$11:$BN$301,29,FALSE)*VLOOKUP(B480,metadata!$B$11:$BN$301,36,FALSE)*1000-T480</f>
        <v>13.33767109787061</v>
      </c>
      <c r="W480" s="76">
        <f t="shared" si="59"/>
        <v>0.98944147610316091</v>
      </c>
    </row>
    <row r="481" spans="2:23" x14ac:dyDescent="0.3">
      <c r="B481">
        <v>33</v>
      </c>
      <c r="C481">
        <v>5</v>
      </c>
      <c r="D481">
        <v>80</v>
      </c>
      <c r="E481"/>
      <c r="I481" s="72">
        <f t="shared" si="65"/>
        <v>3.1694338296213785E-2</v>
      </c>
      <c r="K481" s="75">
        <f t="shared" si="60"/>
        <v>2.3512120397784705E-3</v>
      </c>
      <c r="P481" s="8">
        <v>1.0929082171108201E-3</v>
      </c>
      <c r="R481" s="73">
        <f t="shared" si="61"/>
        <v>8.1076277233740353E-5</v>
      </c>
      <c r="S481" s="71">
        <f t="shared" si="62"/>
        <v>8.1941458076988078E-5</v>
      </c>
      <c r="T481" s="74">
        <f t="shared" si="63"/>
        <v>0.1740232404256051</v>
      </c>
      <c r="U481" s="75">
        <f t="shared" si="64"/>
        <v>1.2909735936617589E-2</v>
      </c>
      <c r="V481" s="60">
        <f>VLOOKUP(B481,metadata!$B$11:$BN$301,29,FALSE)*VLOOKUP(B481,metadata!$B$11:$BN$301,36,FALSE)*1000-T481</f>
        <v>13.305976759574396</v>
      </c>
      <c r="W481" s="76">
        <f t="shared" si="59"/>
        <v>0.98709026406338241</v>
      </c>
    </row>
    <row r="482" spans="2:23" x14ac:dyDescent="0.3">
      <c r="B482">
        <v>33</v>
      </c>
      <c r="C482">
        <v>5</v>
      </c>
      <c r="D482">
        <v>183</v>
      </c>
      <c r="E482"/>
      <c r="I482" s="72">
        <f t="shared" si="65"/>
        <v>7.183076103080184E-2</v>
      </c>
      <c r="K482" s="75">
        <f t="shared" si="60"/>
        <v>5.3286914711277332E-3</v>
      </c>
      <c r="P482" s="8">
        <v>6.9738602942526055E-4</v>
      </c>
      <c r="R482" s="73">
        <f t="shared" si="61"/>
        <v>5.1734868651725558E-5</v>
      </c>
      <c r="S482" s="71">
        <f t="shared" si="62"/>
        <v>5.2411487110365814E-5</v>
      </c>
      <c r="T482" s="74">
        <f t="shared" si="63"/>
        <v>0.24585400145640696</v>
      </c>
      <c r="U482" s="75">
        <f t="shared" si="64"/>
        <v>1.8238427407745322E-2</v>
      </c>
      <c r="V482" s="60">
        <f>VLOOKUP(B482,metadata!$B$11:$BN$301,29,FALSE)*VLOOKUP(B482,metadata!$B$11:$BN$301,36,FALSE)*1000-T482</f>
        <v>13.234145998543594</v>
      </c>
      <c r="W482" s="76">
        <f t="shared" si="59"/>
        <v>0.98176157259225472</v>
      </c>
    </row>
    <row r="483" spans="2:23" x14ac:dyDescent="0.3">
      <c r="B483">
        <v>33</v>
      </c>
      <c r="C483">
        <v>5</v>
      </c>
      <c r="D483">
        <v>246</v>
      </c>
      <c r="E483"/>
      <c r="I483" s="72">
        <f t="shared" si="65"/>
        <v>3.4037200111389436E-2</v>
      </c>
      <c r="K483" s="75">
        <f t="shared" si="60"/>
        <v>2.5250148450585634E-3</v>
      </c>
      <c r="P483" s="8">
        <v>5.402730176411022E-4</v>
      </c>
      <c r="R483" s="73">
        <f t="shared" si="61"/>
        <v>4.0079600715215296E-5</v>
      </c>
      <c r="S483" s="71">
        <f t="shared" si="62"/>
        <v>4.0824169364654036E-5</v>
      </c>
      <c r="T483" s="74">
        <f t="shared" si="63"/>
        <v>0.2798912015677964</v>
      </c>
      <c r="U483" s="75">
        <f t="shared" si="64"/>
        <v>2.0763442252803885E-2</v>
      </c>
      <c r="V483" s="60">
        <f>VLOOKUP(B483,metadata!$B$11:$BN$301,29,FALSE)*VLOOKUP(B483,metadata!$B$11:$BN$301,36,FALSE)*1000-T483</f>
        <v>13.200108798432204</v>
      </c>
      <c r="W483" s="76">
        <f t="shared" si="59"/>
        <v>0.97923655774719609</v>
      </c>
    </row>
    <row r="484" spans="2:23" x14ac:dyDescent="0.3">
      <c r="B484">
        <v>33</v>
      </c>
      <c r="C484">
        <v>5</v>
      </c>
      <c r="D484">
        <v>313</v>
      </c>
      <c r="E484"/>
      <c r="I484" s="72">
        <f t="shared" si="65"/>
        <v>2.1583555371847678E-2</v>
      </c>
      <c r="K484" s="75">
        <f t="shared" si="60"/>
        <v>1.601153959335881E-3</v>
      </c>
      <c r="P484" s="8">
        <v>3.2214261749026387E-4</v>
      </c>
      <c r="R484" s="73">
        <f t="shared" si="61"/>
        <v>2.3897820288595243E-5</v>
      </c>
      <c r="S484" s="71">
        <f t="shared" si="62"/>
        <v>2.4404542599567452E-5</v>
      </c>
      <c r="T484" s="74">
        <f t="shared" si="63"/>
        <v>0.3014747569396441</v>
      </c>
      <c r="U484" s="75">
        <f t="shared" si="64"/>
        <v>2.2364596212139768E-2</v>
      </c>
      <c r="V484" s="60">
        <f>VLOOKUP(B484,metadata!$B$11:$BN$301,29,FALSE)*VLOOKUP(B484,metadata!$B$11:$BN$301,36,FALSE)*1000-T484</f>
        <v>13.178525243060356</v>
      </c>
      <c r="W484" s="76">
        <f t="shared" si="59"/>
        <v>0.97763540378786018</v>
      </c>
    </row>
    <row r="485" spans="2:23" x14ac:dyDescent="0.3">
      <c r="B485">
        <v>33</v>
      </c>
      <c r="C485">
        <v>5</v>
      </c>
      <c r="D485">
        <v>365</v>
      </c>
      <c r="E485"/>
      <c r="I485" s="72">
        <f t="shared" si="65"/>
        <v>1.2950783124318686E-2</v>
      </c>
      <c r="K485" s="75">
        <f t="shared" si="60"/>
        <v>9.6074058785746927E-4</v>
      </c>
      <c r="P485" s="8">
        <v>2.4905352162151318E-4</v>
      </c>
      <c r="R485" s="73">
        <f t="shared" si="61"/>
        <v>1.8475780535720562E-5</v>
      </c>
      <c r="S485" s="71">
        <f t="shared" si="62"/>
        <v>1.8898436435644542E-5</v>
      </c>
      <c r="T485" s="74">
        <f t="shared" si="63"/>
        <v>0.31442554006396278</v>
      </c>
      <c r="U485" s="75">
        <f t="shared" si="64"/>
        <v>2.3325336799997237E-2</v>
      </c>
      <c r="V485" s="60">
        <f>VLOOKUP(B485,metadata!$B$11:$BN$301,29,FALSE)*VLOOKUP(B485,metadata!$B$11:$BN$301,36,FALSE)*1000-T485</f>
        <v>13.165574459936037</v>
      </c>
      <c r="W485" s="76">
        <f t="shared" si="59"/>
        <v>0.97667466320000274</v>
      </c>
    </row>
    <row r="486" spans="2:23" x14ac:dyDescent="0.3">
      <c r="B486">
        <v>33</v>
      </c>
      <c r="C486">
        <v>5</v>
      </c>
      <c r="D486">
        <v>428</v>
      </c>
      <c r="E486"/>
      <c r="I486" s="72">
        <f t="shared" si="65"/>
        <v>1.0793172170450262E-2</v>
      </c>
      <c r="K486" s="75">
        <f t="shared" si="60"/>
        <v>8.0068042807494519E-4</v>
      </c>
      <c r="P486" s="8">
        <v>1.713201931817502E-4</v>
      </c>
      <c r="R486" s="73">
        <f t="shared" si="61"/>
        <v>1.2709213144046751E-5</v>
      </c>
      <c r="S486" s="71">
        <f t="shared" si="62"/>
        <v>1.3012739679768028E-5</v>
      </c>
      <c r="T486" s="74">
        <f t="shared" si="63"/>
        <v>0.32521871223441307</v>
      </c>
      <c r="U486" s="75">
        <f t="shared" si="64"/>
        <v>2.4126017228072186E-2</v>
      </c>
      <c r="V486" s="60">
        <f>VLOOKUP(B486,metadata!$B$11:$BN$301,29,FALSE)*VLOOKUP(B486,metadata!$B$11:$BN$301,36,FALSE)*1000-T486</f>
        <v>13.154781287765587</v>
      </c>
      <c r="W486" s="76">
        <f t="shared" si="59"/>
        <v>0.97587398277192783</v>
      </c>
    </row>
    <row r="487" spans="2:23" x14ac:dyDescent="0.3">
      <c r="B487">
        <v>33</v>
      </c>
      <c r="C487">
        <v>5</v>
      </c>
      <c r="D487">
        <v>469</v>
      </c>
      <c r="E487"/>
      <c r="I487" s="72">
        <f t="shared" si="65"/>
        <v>6.9865027731271052E-3</v>
      </c>
      <c r="K487" s="75">
        <f t="shared" si="60"/>
        <v>5.182865558699633E-4</v>
      </c>
      <c r="P487" s="8">
        <v>1.7040250666163672E-4</v>
      </c>
      <c r="R487" s="73">
        <f t="shared" si="61"/>
        <v>1.2641135509023495E-5</v>
      </c>
      <c r="S487" s="71">
        <f t="shared" si="62"/>
        <v>1.2953655627867951E-5</v>
      </c>
      <c r="T487" s="74">
        <f t="shared" si="63"/>
        <v>0.33220521500754019</v>
      </c>
      <c r="U487" s="75">
        <f t="shared" si="64"/>
        <v>2.464430378394215E-2</v>
      </c>
      <c r="V487" s="60">
        <f>VLOOKUP(B487,metadata!$B$11:$BN$301,29,FALSE)*VLOOKUP(B487,metadata!$B$11:$BN$301,36,FALSE)*1000-T487</f>
        <v>13.14779478499246</v>
      </c>
      <c r="W487" s="76">
        <f t="shared" si="59"/>
        <v>0.97535569621605789</v>
      </c>
    </row>
    <row r="488" spans="2:23" x14ac:dyDescent="0.3">
      <c r="B488">
        <v>33</v>
      </c>
      <c r="C488">
        <v>5</v>
      </c>
      <c r="D488">
        <v>550</v>
      </c>
      <c r="E488"/>
      <c r="I488" s="72">
        <f t="shared" si="65"/>
        <v>1.5822010884798947E-2</v>
      </c>
      <c r="K488" s="75">
        <f t="shared" si="60"/>
        <v>1.1737396798812275E-3</v>
      </c>
      <c r="P488" s="8">
        <v>1.9533346771356727E-4</v>
      </c>
      <c r="R488" s="73">
        <f t="shared" si="61"/>
        <v>1.4490613331867008E-5</v>
      </c>
      <c r="S488" s="71">
        <f t="shared" si="62"/>
        <v>1.4856747531268932E-5</v>
      </c>
      <c r="T488" s="74">
        <f t="shared" si="63"/>
        <v>0.34802722589233914</v>
      </c>
      <c r="U488" s="75">
        <f t="shared" si="64"/>
        <v>2.5818043463823378E-2</v>
      </c>
      <c r="V488" s="60">
        <f>VLOOKUP(B488,metadata!$B$11:$BN$301,29,FALSE)*VLOOKUP(B488,metadata!$B$11:$BN$301,36,FALSE)*1000-T488</f>
        <v>13.131972774107661</v>
      </c>
      <c r="W488" s="76">
        <f t="shared" si="59"/>
        <v>0.97418195653617667</v>
      </c>
    </row>
    <row r="489" spans="2:23" x14ac:dyDescent="0.3">
      <c r="B489">
        <v>33</v>
      </c>
      <c r="C489">
        <v>5</v>
      </c>
      <c r="D489">
        <v>659</v>
      </c>
      <c r="E489"/>
      <c r="I489" s="72">
        <f t="shared" si="65"/>
        <v>5.3233993954009289E-2</v>
      </c>
      <c r="K489" s="75">
        <f t="shared" si="60"/>
        <v>3.9491093437692346E-3</v>
      </c>
      <c r="P489" s="8">
        <v>4.8838526563311276E-4</v>
      </c>
      <c r="R489" s="73">
        <f t="shared" si="61"/>
        <v>3.6230360952011333E-5</v>
      </c>
      <c r="S489" s="71">
        <f t="shared" si="62"/>
        <v>3.7190548140342098E-5</v>
      </c>
      <c r="T489" s="74">
        <f t="shared" si="63"/>
        <v>0.40126121984634844</v>
      </c>
      <c r="U489" s="75">
        <f t="shared" si="64"/>
        <v>2.9767152807592612E-2</v>
      </c>
      <c r="V489" s="60">
        <f>VLOOKUP(B489,metadata!$B$11:$BN$301,29,FALSE)*VLOOKUP(B489,metadata!$B$11:$BN$301,36,FALSE)*1000-T489</f>
        <v>13.078738780153651</v>
      </c>
      <c r="W489" s="76">
        <f t="shared" si="59"/>
        <v>0.97023284719240743</v>
      </c>
    </row>
    <row r="490" spans="2:23" x14ac:dyDescent="0.3">
      <c r="B490">
        <v>33</v>
      </c>
      <c r="C490">
        <v>5</v>
      </c>
      <c r="D490">
        <v>730</v>
      </c>
      <c r="E490"/>
      <c r="I490" s="72">
        <f t="shared" si="65"/>
        <v>1.5950677962020304E-2</v>
      </c>
      <c r="K490" s="75">
        <f t="shared" si="60"/>
        <v>1.1832847152834054E-3</v>
      </c>
      <c r="P490" s="8">
        <v>2.2465743608479299E-4</v>
      </c>
      <c r="R490" s="73">
        <f t="shared" si="61"/>
        <v>1.6665981905400074E-5</v>
      </c>
      <c r="S490" s="71">
        <f t="shared" si="62"/>
        <v>1.7177301256731246E-5</v>
      </c>
      <c r="T490" s="74">
        <f t="shared" si="63"/>
        <v>0.41721189780836876</v>
      </c>
      <c r="U490" s="75">
        <f t="shared" si="64"/>
        <v>3.0950437522876021E-2</v>
      </c>
      <c r="V490" s="60">
        <f>VLOOKUP(B490,metadata!$B$11:$BN$301,29,FALSE)*VLOOKUP(B490,metadata!$B$11:$BN$301,36,FALSE)*1000-T490</f>
        <v>13.062788102191632</v>
      </c>
      <c r="W490" s="76">
        <f t="shared" si="59"/>
        <v>0.96904956247712393</v>
      </c>
    </row>
    <row r="491" spans="2:23" x14ac:dyDescent="0.3">
      <c r="B491">
        <v>34</v>
      </c>
      <c r="C491">
        <v>5</v>
      </c>
      <c r="D491">
        <v>0</v>
      </c>
      <c r="E491"/>
      <c r="I491" s="72">
        <f t="shared" si="65"/>
        <v>0</v>
      </c>
      <c r="K491" s="75">
        <f t="shared" si="60"/>
        <v>0</v>
      </c>
      <c r="P491" s="8"/>
      <c r="R491" s="73">
        <f t="shared" si="61"/>
        <v>0</v>
      </c>
      <c r="S491" s="71">
        <f t="shared" si="62"/>
        <v>0</v>
      </c>
      <c r="T491" s="74">
        <f t="shared" si="63"/>
        <v>0</v>
      </c>
      <c r="U491" s="75">
        <f t="shared" si="64"/>
        <v>0</v>
      </c>
      <c r="V491" s="60">
        <f>VLOOKUP(B491,metadata!$B$11:$BN$301,29,FALSE)*VLOOKUP(B491,metadata!$B$11:$BN$301,36,FALSE)*1000-T491</f>
        <v>13.48</v>
      </c>
      <c r="W491" s="76">
        <f t="shared" si="59"/>
        <v>1</v>
      </c>
    </row>
    <row r="492" spans="2:23" x14ac:dyDescent="0.3">
      <c r="B492">
        <v>34</v>
      </c>
      <c r="C492">
        <v>5</v>
      </c>
      <c r="D492">
        <v>2</v>
      </c>
      <c r="E492"/>
      <c r="I492" s="72">
        <f t="shared" si="65"/>
        <v>2.329046285421401E-2</v>
      </c>
      <c r="K492" s="75">
        <f t="shared" si="60"/>
        <v>1.7277791434876862E-3</v>
      </c>
      <c r="P492" s="8">
        <v>1.1645231427107005E-2</v>
      </c>
      <c r="R492" s="73">
        <f t="shared" si="61"/>
        <v>8.6388957174384309E-4</v>
      </c>
      <c r="S492" s="71">
        <f t="shared" si="62"/>
        <v>8.6388957174384309E-4</v>
      </c>
      <c r="T492" s="74">
        <f t="shared" si="63"/>
        <v>2.329046285421401E-2</v>
      </c>
      <c r="U492" s="75">
        <f t="shared" si="64"/>
        <v>1.7277791434876862E-3</v>
      </c>
      <c r="V492" s="60">
        <f>VLOOKUP(B492,metadata!$B$11:$BN$301,29,FALSE)*VLOOKUP(B492,metadata!$B$11:$BN$301,36,FALSE)*1000-T492</f>
        <v>13.456709537145786</v>
      </c>
      <c r="W492" s="76">
        <f t="shared" si="59"/>
        <v>0.99827222085651235</v>
      </c>
    </row>
    <row r="493" spans="2:23" x14ac:dyDescent="0.3">
      <c r="B493">
        <v>34</v>
      </c>
      <c r="C493">
        <v>5</v>
      </c>
      <c r="D493">
        <v>4</v>
      </c>
      <c r="E493"/>
      <c r="I493" s="72">
        <f t="shared" si="65"/>
        <v>2.1814445895697716E-2</v>
      </c>
      <c r="K493" s="75">
        <f t="shared" si="60"/>
        <v>1.6182823364760915E-3</v>
      </c>
      <c r="P493" s="8">
        <v>1.0907222947848858E-2</v>
      </c>
      <c r="R493" s="73">
        <f t="shared" si="61"/>
        <v>8.0914116823804577E-4</v>
      </c>
      <c r="S493" s="71">
        <f t="shared" si="62"/>
        <v>8.1054160511829826E-4</v>
      </c>
      <c r="T493" s="74">
        <f t="shared" si="63"/>
        <v>4.5104908749911729E-2</v>
      </c>
      <c r="U493" s="75">
        <f t="shared" si="64"/>
        <v>3.3460614799637779E-3</v>
      </c>
      <c r="V493" s="60">
        <f>VLOOKUP(B493,metadata!$B$11:$BN$301,29,FALSE)*VLOOKUP(B493,metadata!$B$11:$BN$301,36,FALSE)*1000-T493</f>
        <v>13.434895091250089</v>
      </c>
      <c r="W493" s="76">
        <f t="shared" si="59"/>
        <v>0.99665393852003625</v>
      </c>
    </row>
    <row r="494" spans="2:23" x14ac:dyDescent="0.3">
      <c r="B494">
        <v>34</v>
      </c>
      <c r="C494">
        <v>5</v>
      </c>
      <c r="D494">
        <v>8</v>
      </c>
      <c r="E494"/>
      <c r="I494" s="72">
        <f t="shared" si="65"/>
        <v>7.9186196031494731E-3</v>
      </c>
      <c r="K494" s="75">
        <f t="shared" si="60"/>
        <v>5.8743468866094008E-4</v>
      </c>
      <c r="P494" s="8">
        <v>1.9796549007873683E-3</v>
      </c>
      <c r="R494" s="73">
        <f t="shared" si="61"/>
        <v>1.4685867216523502E-4</v>
      </c>
      <c r="S494" s="71">
        <f t="shared" si="62"/>
        <v>1.4735172007980044E-4</v>
      </c>
      <c r="T494" s="74">
        <f t="shared" si="63"/>
        <v>5.3023528353061206E-2</v>
      </c>
      <c r="U494" s="75">
        <f t="shared" si="64"/>
        <v>3.9334961686247182E-3</v>
      </c>
      <c r="V494" s="60">
        <f>VLOOKUP(B494,metadata!$B$11:$BN$301,29,FALSE)*VLOOKUP(B494,metadata!$B$11:$BN$301,36,FALSE)*1000-T494</f>
        <v>13.42697647164694</v>
      </c>
      <c r="W494" s="76">
        <f t="shared" si="59"/>
        <v>0.99606650383137529</v>
      </c>
    </row>
    <row r="495" spans="2:23" x14ac:dyDescent="0.3">
      <c r="B495">
        <v>34</v>
      </c>
      <c r="C495">
        <v>5</v>
      </c>
      <c r="D495">
        <v>16</v>
      </c>
      <c r="E495"/>
      <c r="I495" s="72">
        <f t="shared" si="65"/>
        <v>2.3652919603198576E-2</v>
      </c>
      <c r="K495" s="75">
        <f t="shared" si="60"/>
        <v>1.7546676263500427E-3</v>
      </c>
      <c r="P495" s="8">
        <v>2.956614950399822E-3</v>
      </c>
      <c r="R495" s="73">
        <f t="shared" si="61"/>
        <v>2.1933345329375534E-4</v>
      </c>
      <c r="S495" s="71">
        <f t="shared" si="62"/>
        <v>2.2019960760660858E-4</v>
      </c>
      <c r="T495" s="74">
        <f t="shared" si="63"/>
        <v>7.6676447956259774E-2</v>
      </c>
      <c r="U495" s="75">
        <f t="shared" si="64"/>
        <v>5.6881637949747609E-3</v>
      </c>
      <c r="V495" s="60">
        <f>VLOOKUP(B495,metadata!$B$11:$BN$301,29,FALSE)*VLOOKUP(B495,metadata!$B$11:$BN$301,36,FALSE)*1000-T495</f>
        <v>13.403323552043741</v>
      </c>
      <c r="W495" s="76">
        <f t="shared" si="59"/>
        <v>0.99431183620502528</v>
      </c>
    </row>
    <row r="496" spans="2:23" x14ac:dyDescent="0.3">
      <c r="B496">
        <v>34</v>
      </c>
      <c r="C496">
        <v>5</v>
      </c>
      <c r="D496">
        <v>30</v>
      </c>
      <c r="E496"/>
      <c r="I496" s="72">
        <f t="shared" si="65"/>
        <v>5.5565097143534831E-2</v>
      </c>
      <c r="K496" s="75">
        <f t="shared" si="60"/>
        <v>4.1220398474432363E-3</v>
      </c>
      <c r="P496" s="8">
        <v>3.9689355102524877E-3</v>
      </c>
      <c r="R496" s="73">
        <f t="shared" si="61"/>
        <v>2.9443141767451688E-4</v>
      </c>
      <c r="S496" s="71">
        <f t="shared" si="62"/>
        <v>2.9611577269186373E-4</v>
      </c>
      <c r="T496" s="74">
        <f t="shared" si="63"/>
        <v>0.13224154509979461</v>
      </c>
      <c r="U496" s="75">
        <f t="shared" si="64"/>
        <v>9.8102036424179972E-3</v>
      </c>
      <c r="V496" s="60">
        <f>VLOOKUP(B496,metadata!$B$11:$BN$301,29,FALSE)*VLOOKUP(B496,metadata!$B$11:$BN$301,36,FALSE)*1000-T496</f>
        <v>13.347758454900205</v>
      </c>
      <c r="W496" s="76">
        <f t="shared" si="59"/>
        <v>0.99018979635758197</v>
      </c>
    </row>
    <row r="497" spans="2:23" x14ac:dyDescent="0.3">
      <c r="B497">
        <v>34</v>
      </c>
      <c r="C497">
        <v>5</v>
      </c>
      <c r="D497">
        <v>51</v>
      </c>
      <c r="E497"/>
      <c r="I497" s="72">
        <f t="shared" si="65"/>
        <v>3.5593582194430179E-2</v>
      </c>
      <c r="K497" s="75">
        <f t="shared" si="60"/>
        <v>2.6404734565601022E-3</v>
      </c>
      <c r="P497" s="8">
        <v>1.6949324854490563E-3</v>
      </c>
      <c r="R497" s="73">
        <f t="shared" si="61"/>
        <v>1.2573683126476678E-4</v>
      </c>
      <c r="S497" s="71">
        <f t="shared" si="62"/>
        <v>1.2698255599814332E-4</v>
      </c>
      <c r="T497" s="74">
        <f t="shared" si="63"/>
        <v>0.16783512729422478</v>
      </c>
      <c r="U497" s="75">
        <f t="shared" si="64"/>
        <v>1.2450677098978099E-2</v>
      </c>
      <c r="V497" s="60">
        <f>VLOOKUP(B497,metadata!$B$11:$BN$301,29,FALSE)*VLOOKUP(B497,metadata!$B$11:$BN$301,36,FALSE)*1000-T497</f>
        <v>13.312164872705775</v>
      </c>
      <c r="W497" s="76">
        <f t="shared" si="59"/>
        <v>0.98754932290102193</v>
      </c>
    </row>
    <row r="498" spans="2:23" x14ac:dyDescent="0.3">
      <c r="B498">
        <v>34</v>
      </c>
      <c r="C498">
        <v>5</v>
      </c>
      <c r="D498">
        <v>80</v>
      </c>
      <c r="E498"/>
      <c r="I498" s="72">
        <f t="shared" si="65"/>
        <v>5.7575037715103181E-2</v>
      </c>
      <c r="K498" s="75">
        <f t="shared" si="60"/>
        <v>4.2711452310907399E-3</v>
      </c>
      <c r="P498" s="8">
        <v>1.9853461281070062E-3</v>
      </c>
      <c r="R498" s="73">
        <f t="shared" si="61"/>
        <v>1.4728087003761174E-4</v>
      </c>
      <c r="S498" s="71">
        <f t="shared" si="62"/>
        <v>1.4913773582970002E-4</v>
      </c>
      <c r="T498" s="74">
        <f t="shared" si="63"/>
        <v>0.22541016500932798</v>
      </c>
      <c r="U498" s="75">
        <f t="shared" si="64"/>
        <v>1.6721822330068841E-2</v>
      </c>
      <c r="V498" s="60">
        <f>VLOOKUP(B498,metadata!$B$11:$BN$301,29,FALSE)*VLOOKUP(B498,metadata!$B$11:$BN$301,36,FALSE)*1000-T498</f>
        <v>13.254589834990673</v>
      </c>
      <c r="W498" s="76">
        <f t="shared" si="59"/>
        <v>0.9832781776699312</v>
      </c>
    </row>
    <row r="499" spans="2:23" x14ac:dyDescent="0.3">
      <c r="B499">
        <v>34</v>
      </c>
      <c r="C499">
        <v>5</v>
      </c>
      <c r="D499">
        <v>183</v>
      </c>
      <c r="E499"/>
      <c r="I499" s="72">
        <f t="shared" si="65"/>
        <v>0.20254023633765841</v>
      </c>
      <c r="K499" s="75">
        <f t="shared" si="60"/>
        <v>1.5025240084396024E-2</v>
      </c>
      <c r="P499" s="8">
        <v>1.9664100615306643E-3</v>
      </c>
      <c r="R499" s="73">
        <f t="shared" si="61"/>
        <v>1.4587611732423325E-4</v>
      </c>
      <c r="S499" s="71">
        <f t="shared" si="62"/>
        <v>1.4835691530337331E-4</v>
      </c>
      <c r="T499" s="74">
        <f t="shared" si="63"/>
        <v>0.42795040134698636</v>
      </c>
      <c r="U499" s="75">
        <f t="shared" si="64"/>
        <v>3.1747062414464865E-2</v>
      </c>
      <c r="V499" s="60">
        <f>VLOOKUP(B499,metadata!$B$11:$BN$301,29,FALSE)*VLOOKUP(B499,metadata!$B$11:$BN$301,36,FALSE)*1000-T499</f>
        <v>13.052049598653014</v>
      </c>
      <c r="W499" s="76">
        <f t="shared" si="59"/>
        <v>0.9682529375855351</v>
      </c>
    </row>
    <row r="500" spans="2:23" x14ac:dyDescent="0.3">
      <c r="B500">
        <v>34</v>
      </c>
      <c r="C500">
        <v>5</v>
      </c>
      <c r="D500">
        <v>231</v>
      </c>
      <c r="E500"/>
      <c r="I500" s="72">
        <f t="shared" si="65"/>
        <v>6.6154792275823313E-2</v>
      </c>
      <c r="K500" s="75">
        <f t="shared" si="60"/>
        <v>4.9076255397495034E-3</v>
      </c>
      <c r="P500" s="8">
        <v>1.3782248390796523E-3</v>
      </c>
      <c r="R500" s="73">
        <f t="shared" si="61"/>
        <v>1.0224219874478132E-4</v>
      </c>
      <c r="S500" s="71">
        <f t="shared" si="62"/>
        <v>1.055945143835407E-4</v>
      </c>
      <c r="T500" s="74">
        <f t="shared" si="63"/>
        <v>0.49410519362280969</v>
      </c>
      <c r="U500" s="75">
        <f t="shared" si="64"/>
        <v>3.6654687954214366E-2</v>
      </c>
      <c r="V500" s="60">
        <f>VLOOKUP(B500,metadata!$B$11:$BN$301,29,FALSE)*VLOOKUP(B500,metadata!$B$11:$BN$301,36,FALSE)*1000-T500</f>
        <v>12.985894806377191</v>
      </c>
      <c r="W500" s="76">
        <f t="shared" si="59"/>
        <v>0.96334531204578566</v>
      </c>
    </row>
    <row r="501" spans="2:23" x14ac:dyDescent="0.3">
      <c r="B501">
        <v>34</v>
      </c>
      <c r="C501">
        <v>5</v>
      </c>
      <c r="D501">
        <v>263</v>
      </c>
      <c r="E501"/>
      <c r="I501" s="72">
        <f t="shared" si="65"/>
        <v>2.7833489818567734E-2</v>
      </c>
      <c r="K501" s="75">
        <f t="shared" si="60"/>
        <v>2.0647989479649653E-3</v>
      </c>
      <c r="P501" s="8">
        <v>8.6979655683024168E-4</v>
      </c>
      <c r="R501" s="73">
        <f t="shared" si="61"/>
        <v>6.4524967123905165E-5</v>
      </c>
      <c r="S501" s="71">
        <f t="shared" si="62"/>
        <v>6.6980101856600342E-5</v>
      </c>
      <c r="T501" s="74">
        <f t="shared" si="63"/>
        <v>0.52193868344137739</v>
      </c>
      <c r="U501" s="75">
        <f t="shared" si="64"/>
        <v>3.8719486902179329E-2</v>
      </c>
      <c r="V501" s="60">
        <f>VLOOKUP(B501,metadata!$B$11:$BN$301,29,FALSE)*VLOOKUP(B501,metadata!$B$11:$BN$301,36,FALSE)*1000-T501</f>
        <v>12.958061316558624</v>
      </c>
      <c r="W501" s="76">
        <f t="shared" si="59"/>
        <v>0.9612805130978207</v>
      </c>
    </row>
    <row r="502" spans="2:23" x14ac:dyDescent="0.3">
      <c r="B502">
        <v>34</v>
      </c>
      <c r="C502">
        <v>5</v>
      </c>
      <c r="D502">
        <v>365</v>
      </c>
      <c r="E502"/>
      <c r="I502" s="72">
        <f t="shared" si="65"/>
        <v>0.10943862139021411</v>
      </c>
      <c r="K502" s="75">
        <f t="shared" si="60"/>
        <v>8.118592091262174E-3</v>
      </c>
      <c r="P502" s="8">
        <v>1.0729276606883736E-3</v>
      </c>
      <c r="R502" s="73">
        <f t="shared" si="61"/>
        <v>7.9594040110413469E-5</v>
      </c>
      <c r="S502" s="71">
        <f t="shared" si="62"/>
        <v>8.280001417475308E-5</v>
      </c>
      <c r="T502" s="74">
        <f t="shared" si="63"/>
        <v>0.63137730483159149</v>
      </c>
      <c r="U502" s="75">
        <f t="shared" si="64"/>
        <v>4.6838078993441501E-2</v>
      </c>
      <c r="V502" s="60">
        <f>VLOOKUP(B502,metadata!$B$11:$BN$301,29,FALSE)*VLOOKUP(B502,metadata!$B$11:$BN$301,36,FALSE)*1000-T502</f>
        <v>12.848622695168409</v>
      </c>
      <c r="W502" s="76">
        <f t="shared" si="59"/>
        <v>0.9531619210065585</v>
      </c>
    </row>
    <row r="503" spans="2:23" x14ac:dyDescent="0.3">
      <c r="B503">
        <v>34</v>
      </c>
      <c r="C503">
        <v>5</v>
      </c>
      <c r="D503">
        <v>423</v>
      </c>
      <c r="E503"/>
      <c r="I503" s="72">
        <f t="shared" si="65"/>
        <v>2.624055213587153E-2</v>
      </c>
      <c r="K503" s="75">
        <f t="shared" si="60"/>
        <v>1.9466284967263746E-3</v>
      </c>
      <c r="P503" s="8">
        <v>4.5242331268744015E-4</v>
      </c>
      <c r="R503" s="73">
        <f t="shared" si="61"/>
        <v>3.3562560288385764E-5</v>
      </c>
      <c r="S503" s="71">
        <f t="shared" si="62"/>
        <v>3.5211814014709078E-5</v>
      </c>
      <c r="T503" s="74">
        <f t="shared" si="63"/>
        <v>0.657617856967463</v>
      </c>
      <c r="U503" s="75">
        <f t="shared" si="64"/>
        <v>4.8784707490167875E-2</v>
      </c>
      <c r="V503" s="60">
        <f>VLOOKUP(B503,metadata!$B$11:$BN$301,29,FALSE)*VLOOKUP(B503,metadata!$B$11:$BN$301,36,FALSE)*1000-T503</f>
        <v>12.822382143032538</v>
      </c>
      <c r="W503" s="76">
        <f t="shared" si="59"/>
        <v>0.95121529250983217</v>
      </c>
    </row>
    <row r="504" spans="2:23" x14ac:dyDescent="0.3">
      <c r="B504">
        <v>34</v>
      </c>
      <c r="C504">
        <v>5</v>
      </c>
      <c r="D504">
        <v>463</v>
      </c>
      <c r="E504"/>
      <c r="I504" s="72">
        <f t="shared" si="65"/>
        <v>3.071189227655485E-2</v>
      </c>
      <c r="K504" s="75">
        <f t="shared" si="60"/>
        <v>2.2783302875782527E-3</v>
      </c>
      <c r="P504" s="8">
        <v>7.6779730691387124E-4</v>
      </c>
      <c r="R504" s="73">
        <f t="shared" si="61"/>
        <v>5.6958257189456322E-5</v>
      </c>
      <c r="S504" s="71">
        <f t="shared" si="62"/>
        <v>5.9879459085617653E-5</v>
      </c>
      <c r="T504" s="74">
        <f t="shared" si="63"/>
        <v>0.6883297492440178</v>
      </c>
      <c r="U504" s="75">
        <f t="shared" si="64"/>
        <v>5.1063037777746123E-2</v>
      </c>
      <c r="V504" s="60">
        <f>VLOOKUP(B504,metadata!$B$11:$BN$301,29,FALSE)*VLOOKUP(B504,metadata!$B$11:$BN$301,36,FALSE)*1000-T504</f>
        <v>12.791670250755983</v>
      </c>
      <c r="W504" s="76">
        <f t="shared" si="59"/>
        <v>0.94893696222225388</v>
      </c>
    </row>
    <row r="505" spans="2:23" x14ac:dyDescent="0.3">
      <c r="B505">
        <v>34</v>
      </c>
      <c r="C505">
        <v>5</v>
      </c>
      <c r="D505">
        <v>550</v>
      </c>
      <c r="E505"/>
      <c r="I505" s="72">
        <f t="shared" si="65"/>
        <v>4.3491429187337817E-2</v>
      </c>
      <c r="K505" s="75">
        <f t="shared" si="60"/>
        <v>3.2263671503959803E-3</v>
      </c>
      <c r="P505" s="8">
        <v>4.9990148491192894E-4</v>
      </c>
      <c r="R505" s="73">
        <f t="shared" si="61"/>
        <v>3.7084679889608974E-5</v>
      </c>
      <c r="S505" s="71">
        <f t="shared" si="62"/>
        <v>3.9080235427612354E-5</v>
      </c>
      <c r="T505" s="74">
        <f t="shared" si="63"/>
        <v>0.73182117843135563</v>
      </c>
      <c r="U505" s="75">
        <f t="shared" si="64"/>
        <v>5.4289404928142104E-2</v>
      </c>
      <c r="V505" s="60">
        <f>VLOOKUP(B505,metadata!$B$11:$BN$301,29,FALSE)*VLOOKUP(B505,metadata!$B$11:$BN$301,36,FALSE)*1000-T505</f>
        <v>12.748178821568645</v>
      </c>
      <c r="W505" s="76">
        <f t="shared" si="59"/>
        <v>0.94571059507185784</v>
      </c>
    </row>
    <row r="506" spans="2:23" x14ac:dyDescent="0.3">
      <c r="B506">
        <v>34</v>
      </c>
      <c r="C506">
        <v>5</v>
      </c>
      <c r="D506">
        <v>640</v>
      </c>
      <c r="E506"/>
      <c r="I506" s="72">
        <f t="shared" si="65"/>
        <v>4.9543645319384162E-2</v>
      </c>
      <c r="K506" s="75">
        <f t="shared" si="60"/>
        <v>3.6753446082629197E-3</v>
      </c>
      <c r="P506" s="8">
        <v>5.5048494799315735E-4</v>
      </c>
      <c r="R506" s="73">
        <f t="shared" si="61"/>
        <v>4.0837162314032443E-5</v>
      </c>
      <c r="S506" s="71">
        <f t="shared" si="62"/>
        <v>4.3181457971219526E-5</v>
      </c>
      <c r="T506" s="74">
        <f t="shared" si="63"/>
        <v>0.78136482375073979</v>
      </c>
      <c r="U506" s="75">
        <f t="shared" si="64"/>
        <v>5.7964749536405027E-2</v>
      </c>
      <c r="V506" s="60">
        <f>VLOOKUP(B506,metadata!$B$11:$BN$301,29,FALSE)*VLOOKUP(B506,metadata!$B$11:$BN$301,36,FALSE)*1000-T506</f>
        <v>12.69863517624926</v>
      </c>
      <c r="W506" s="76">
        <f t="shared" si="59"/>
        <v>0.94203525046359493</v>
      </c>
    </row>
    <row r="507" spans="2:23" x14ac:dyDescent="0.3">
      <c r="B507">
        <v>34</v>
      </c>
      <c r="C507">
        <v>5</v>
      </c>
      <c r="D507">
        <v>730</v>
      </c>
      <c r="E507"/>
      <c r="I507" s="72">
        <f t="shared" si="65"/>
        <v>3.1484187668581728E-2</v>
      </c>
      <c r="K507" s="75">
        <f t="shared" si="60"/>
        <v>2.3356222306069531E-3</v>
      </c>
      <c r="P507" s="8">
        <v>3.4982430742868585E-4</v>
      </c>
      <c r="R507" s="73">
        <f t="shared" si="61"/>
        <v>2.5951358117855031E-5</v>
      </c>
      <c r="S507" s="71">
        <f t="shared" si="62"/>
        <v>2.7548181562296991E-5</v>
      </c>
      <c r="T507" s="74">
        <f t="shared" si="63"/>
        <v>0.81284901141932153</v>
      </c>
      <c r="U507" s="75">
        <f t="shared" si="64"/>
        <v>6.030037176701198E-2</v>
      </c>
      <c r="V507" s="60">
        <f>VLOOKUP(B507,metadata!$B$11:$BN$301,29,FALSE)*VLOOKUP(B507,metadata!$B$11:$BN$301,36,FALSE)*1000-T507</f>
        <v>12.667150988580678</v>
      </c>
      <c r="W507" s="76">
        <f t="shared" si="59"/>
        <v>0.93969962823298803</v>
      </c>
    </row>
    <row r="508" spans="2:23" x14ac:dyDescent="0.3">
      <c r="B508">
        <v>35</v>
      </c>
      <c r="C508">
        <v>5</v>
      </c>
      <c r="D508">
        <v>0</v>
      </c>
      <c r="E508"/>
      <c r="I508" s="72">
        <f t="shared" si="65"/>
        <v>0</v>
      </c>
      <c r="K508" s="75">
        <f t="shared" si="60"/>
        <v>0</v>
      </c>
      <c r="P508" s="8"/>
      <c r="R508" s="73">
        <f t="shared" si="61"/>
        <v>0</v>
      </c>
      <c r="S508" s="71">
        <f t="shared" si="62"/>
        <v>0</v>
      </c>
      <c r="T508" s="74">
        <f t="shared" si="63"/>
        <v>0</v>
      </c>
      <c r="U508" s="75">
        <f t="shared" si="64"/>
        <v>0</v>
      </c>
      <c r="V508" s="60">
        <f>VLOOKUP(B508,metadata!$B$11:$BN$301,29,FALSE)*VLOOKUP(B508,metadata!$B$11:$BN$301,36,FALSE)*1000-T508</f>
        <v>14.64</v>
      </c>
      <c r="W508" s="76">
        <f t="shared" si="59"/>
        <v>1</v>
      </c>
    </row>
    <row r="509" spans="2:23" x14ac:dyDescent="0.3">
      <c r="B509">
        <v>35</v>
      </c>
      <c r="C509">
        <v>5</v>
      </c>
      <c r="D509">
        <v>3</v>
      </c>
      <c r="E509"/>
      <c r="I509" s="72">
        <f t="shared" si="65"/>
        <v>5.9532803000894169E-3</v>
      </c>
      <c r="K509" s="75">
        <f t="shared" si="60"/>
        <v>4.0664482924108038E-4</v>
      </c>
      <c r="P509" s="8">
        <v>1.9844267666964724E-3</v>
      </c>
      <c r="R509" s="73">
        <f t="shared" si="61"/>
        <v>1.3554827641369346E-4</v>
      </c>
      <c r="S509" s="71">
        <f t="shared" si="62"/>
        <v>1.3554827641369346E-4</v>
      </c>
      <c r="T509" s="74">
        <f t="shared" si="63"/>
        <v>5.9532803000894169E-3</v>
      </c>
      <c r="U509" s="75">
        <f t="shared" si="64"/>
        <v>4.0664482924108038E-4</v>
      </c>
      <c r="V509" s="60">
        <f>VLOOKUP(B509,metadata!$B$11:$BN$301,29,FALSE)*VLOOKUP(B509,metadata!$B$11:$BN$301,36,FALSE)*1000-T509</f>
        <v>14.634046719699912</v>
      </c>
      <c r="W509" s="76">
        <f t="shared" si="59"/>
        <v>0.99959335517075887</v>
      </c>
    </row>
    <row r="510" spans="2:23" x14ac:dyDescent="0.3">
      <c r="B510">
        <v>35</v>
      </c>
      <c r="C510">
        <v>5</v>
      </c>
      <c r="D510">
        <v>9</v>
      </c>
      <c r="E510"/>
      <c r="I510" s="72">
        <f t="shared" si="65"/>
        <v>6.3252101492144788E-3</v>
      </c>
      <c r="K510" s="75">
        <f t="shared" si="60"/>
        <v>4.3204987358022394E-4</v>
      </c>
      <c r="P510" s="8">
        <v>1.0542016915357465E-3</v>
      </c>
      <c r="R510" s="73">
        <f t="shared" si="61"/>
        <v>7.2008312263370657E-5</v>
      </c>
      <c r="S510" s="71">
        <f t="shared" si="62"/>
        <v>7.2037605983354697E-5</v>
      </c>
      <c r="T510" s="74">
        <f t="shared" si="63"/>
        <v>1.2278490449303896E-2</v>
      </c>
      <c r="U510" s="75">
        <f t="shared" si="64"/>
        <v>8.3869470282130437E-4</v>
      </c>
      <c r="V510" s="60">
        <f>VLOOKUP(B510,metadata!$B$11:$BN$301,29,FALSE)*VLOOKUP(B510,metadata!$B$11:$BN$301,36,FALSE)*1000-T510</f>
        <v>14.627721509550696</v>
      </c>
      <c r="W510" s="76">
        <f t="shared" si="59"/>
        <v>0.99916130529717873</v>
      </c>
    </row>
    <row r="511" spans="2:23" x14ac:dyDescent="0.3">
      <c r="B511">
        <v>35</v>
      </c>
      <c r="C511">
        <v>5</v>
      </c>
      <c r="D511">
        <v>18</v>
      </c>
      <c r="E511"/>
      <c r="I511" s="72">
        <f t="shared" si="65"/>
        <v>2.9621784267107572E-3</v>
      </c>
      <c r="K511" s="75">
        <f t="shared" si="60"/>
        <v>2.0233459198843969E-4</v>
      </c>
      <c r="P511" s="8">
        <v>3.2913093630119523E-4</v>
      </c>
      <c r="R511" s="73">
        <f t="shared" si="61"/>
        <v>2.2481621332048854E-5</v>
      </c>
      <c r="S511" s="71">
        <f t="shared" si="62"/>
        <v>2.2500492375815323E-5</v>
      </c>
      <c r="T511" s="74">
        <f t="shared" si="63"/>
        <v>1.5240668876014652E-2</v>
      </c>
      <c r="U511" s="75">
        <f t="shared" si="64"/>
        <v>1.0410292948097438E-3</v>
      </c>
      <c r="V511" s="60">
        <f>VLOOKUP(B511,metadata!$B$11:$BN$301,29,FALSE)*VLOOKUP(B511,metadata!$B$11:$BN$301,36,FALSE)*1000-T511</f>
        <v>14.624759331123986</v>
      </c>
      <c r="W511" s="76">
        <f t="shared" si="59"/>
        <v>0.99895897070519024</v>
      </c>
    </row>
    <row r="512" spans="2:23" x14ac:dyDescent="0.3">
      <c r="B512">
        <v>35</v>
      </c>
      <c r="C512">
        <v>5</v>
      </c>
      <c r="D512">
        <v>38</v>
      </c>
      <c r="E512"/>
      <c r="I512" s="72">
        <f t="shared" si="65"/>
        <v>2.9787934264536874E-3</v>
      </c>
      <c r="K512" s="75">
        <f t="shared" si="60"/>
        <v>2.0346949634246497E-4</v>
      </c>
      <c r="P512" s="8">
        <v>1.4893967132268438E-4</v>
      </c>
      <c r="R512" s="73">
        <f t="shared" si="61"/>
        <v>1.0173474817123249E-5</v>
      </c>
      <c r="S512" s="71">
        <f t="shared" si="62"/>
        <v>1.0184076739349502E-5</v>
      </c>
      <c r="T512" s="74">
        <f t="shared" si="63"/>
        <v>1.8219462302468341E-2</v>
      </c>
      <c r="U512" s="75">
        <f t="shared" si="64"/>
        <v>1.244498791152209E-3</v>
      </c>
      <c r="V512" s="60">
        <f>VLOOKUP(B512,metadata!$B$11:$BN$301,29,FALSE)*VLOOKUP(B512,metadata!$B$11:$BN$301,36,FALSE)*1000-T512</f>
        <v>14.621780537697532</v>
      </c>
      <c r="W512" s="76">
        <f t="shared" si="59"/>
        <v>0.99875550120884782</v>
      </c>
    </row>
    <row r="513" spans="2:23" x14ac:dyDescent="0.3">
      <c r="B513">
        <v>35</v>
      </c>
      <c r="C513">
        <v>5</v>
      </c>
      <c r="D513">
        <v>94</v>
      </c>
      <c r="E513"/>
      <c r="I513" s="72">
        <f t="shared" si="65"/>
        <v>1.1969463599075685E-2</v>
      </c>
      <c r="K513" s="75">
        <f t="shared" si="60"/>
        <v>8.1758631141227349E-4</v>
      </c>
      <c r="P513" s="8">
        <v>2.137404214120658E-4</v>
      </c>
      <c r="R513" s="73">
        <f t="shared" si="61"/>
        <v>1.4599755560933457E-5</v>
      </c>
      <c r="S513" s="71">
        <f t="shared" si="62"/>
        <v>1.4617947579024678E-5</v>
      </c>
      <c r="T513" s="74">
        <f t="shared" si="63"/>
        <v>3.0188925901544025E-2</v>
      </c>
      <c r="U513" s="75">
        <f t="shared" si="64"/>
        <v>2.0620851025644825E-3</v>
      </c>
      <c r="V513" s="60">
        <f>VLOOKUP(B513,metadata!$B$11:$BN$301,29,FALSE)*VLOOKUP(B513,metadata!$B$11:$BN$301,36,FALSE)*1000-T513</f>
        <v>14.609811074098456</v>
      </c>
      <c r="W513" s="76">
        <f t="shared" si="59"/>
        <v>0.99793791489743555</v>
      </c>
    </row>
    <row r="514" spans="2:23" x14ac:dyDescent="0.3">
      <c r="B514">
        <v>35</v>
      </c>
      <c r="C514">
        <v>5</v>
      </c>
      <c r="D514">
        <v>183</v>
      </c>
      <c r="E514"/>
      <c r="I514" s="72">
        <f t="shared" si="65"/>
        <v>1.6463890562797952E-2</v>
      </c>
      <c r="K514" s="75">
        <f t="shared" si="60"/>
        <v>1.1245826887157071E-3</v>
      </c>
      <c r="P514" s="8">
        <v>1.8498753441346014E-4</v>
      </c>
      <c r="R514" s="73">
        <f t="shared" si="61"/>
        <v>1.2635760547367496E-5</v>
      </c>
      <c r="S514" s="71">
        <f t="shared" si="62"/>
        <v>1.266187040169343E-5</v>
      </c>
      <c r="T514" s="74">
        <f t="shared" si="63"/>
        <v>4.6652816464341981E-2</v>
      </c>
      <c r="U514" s="75">
        <f t="shared" si="64"/>
        <v>3.18666779128019E-3</v>
      </c>
      <c r="V514" s="60">
        <f>VLOOKUP(B514,metadata!$B$11:$BN$301,29,FALSE)*VLOOKUP(B514,metadata!$B$11:$BN$301,36,FALSE)*1000-T514</f>
        <v>14.593347183535659</v>
      </c>
      <c r="W514" s="76">
        <f t="shared" si="59"/>
        <v>0.99681333220871982</v>
      </c>
    </row>
    <row r="515" spans="2:23" x14ac:dyDescent="0.3">
      <c r="B515">
        <v>35</v>
      </c>
      <c r="C515">
        <v>5</v>
      </c>
      <c r="D515">
        <v>276</v>
      </c>
      <c r="E515"/>
      <c r="I515" s="72">
        <f t="shared" si="65"/>
        <v>1.0333016665723227E-2</v>
      </c>
      <c r="K515" s="75">
        <f t="shared" si="60"/>
        <v>7.0580714929803457E-4</v>
      </c>
      <c r="P515" s="8">
        <v>1.1110770608304546E-4</v>
      </c>
      <c r="R515" s="73">
        <f t="shared" si="61"/>
        <v>7.5893241860003725E-6</v>
      </c>
      <c r="S515" s="71">
        <f t="shared" si="62"/>
        <v>7.6135861557791307E-6</v>
      </c>
      <c r="T515" s="74">
        <f t="shared" si="63"/>
        <v>5.6985833130065208E-2</v>
      </c>
      <c r="U515" s="75">
        <f t="shared" si="64"/>
        <v>3.8924749405782246E-3</v>
      </c>
      <c r="V515" s="60">
        <f>VLOOKUP(B515,metadata!$B$11:$BN$301,29,FALSE)*VLOOKUP(B515,metadata!$B$11:$BN$301,36,FALSE)*1000-T515</f>
        <v>14.583014166869935</v>
      </c>
      <c r="W515" s="76">
        <f t="shared" si="59"/>
        <v>0.99610752505942179</v>
      </c>
    </row>
    <row r="516" spans="2:23" x14ac:dyDescent="0.3">
      <c r="B516">
        <v>35</v>
      </c>
      <c r="C516">
        <v>5</v>
      </c>
      <c r="D516">
        <v>365</v>
      </c>
      <c r="E516"/>
      <c r="I516" s="72">
        <f t="shared" si="65"/>
        <v>5.5423776936997368E-3</v>
      </c>
      <c r="K516" s="75">
        <f t="shared" si="60"/>
        <v>3.7857771131828802E-4</v>
      </c>
      <c r="P516" s="8">
        <v>6.2273906670783555E-5</v>
      </c>
      <c r="R516" s="73">
        <f t="shared" si="61"/>
        <v>4.2536821496436849E-6</v>
      </c>
      <c r="S516" s="71">
        <f t="shared" si="62"/>
        <v>4.2703042017375945E-6</v>
      </c>
      <c r="T516" s="74">
        <f t="shared" si="63"/>
        <v>6.2528210823764946E-2</v>
      </c>
      <c r="U516" s="75">
        <f t="shared" si="64"/>
        <v>4.2710526518965125E-3</v>
      </c>
      <c r="V516" s="60">
        <f>VLOOKUP(B516,metadata!$B$11:$BN$301,29,FALSE)*VLOOKUP(B516,metadata!$B$11:$BN$301,36,FALSE)*1000-T516</f>
        <v>14.577471789176236</v>
      </c>
      <c r="W516" s="76">
        <f t="shared" si="59"/>
        <v>0.99572894734810347</v>
      </c>
    </row>
    <row r="517" spans="2:23" x14ac:dyDescent="0.3">
      <c r="B517">
        <v>35</v>
      </c>
      <c r="C517">
        <v>5</v>
      </c>
      <c r="D517">
        <v>498</v>
      </c>
      <c r="E517"/>
      <c r="I517" s="72">
        <f t="shared" si="65"/>
        <v>5.7445867989273629E-3</v>
      </c>
      <c r="K517" s="75">
        <f t="shared" si="60"/>
        <v>3.9238980866990181E-4</v>
      </c>
      <c r="P517" s="8">
        <v>4.3192381946822276E-5</v>
      </c>
      <c r="R517" s="73">
        <f t="shared" si="61"/>
        <v>2.9502993133075326E-6</v>
      </c>
      <c r="S517" s="71">
        <f t="shared" si="62"/>
        <v>2.9629542469012076E-6</v>
      </c>
      <c r="T517" s="74">
        <f t="shared" si="63"/>
        <v>6.8272797622692311E-2</v>
      </c>
      <c r="U517" s="75">
        <f t="shared" si="64"/>
        <v>4.6634424605664143E-3</v>
      </c>
      <c r="V517" s="60">
        <f>VLOOKUP(B517,metadata!$B$11:$BN$301,29,FALSE)*VLOOKUP(B517,metadata!$B$11:$BN$301,36,FALSE)*1000-T517</f>
        <v>14.571727202377309</v>
      </c>
      <c r="W517" s="76">
        <f t="shared" si="59"/>
        <v>0.99533655753943362</v>
      </c>
    </row>
    <row r="518" spans="2:23" x14ac:dyDescent="0.3">
      <c r="B518">
        <v>35</v>
      </c>
      <c r="C518">
        <v>5</v>
      </c>
      <c r="D518">
        <v>550</v>
      </c>
      <c r="E518"/>
      <c r="I518" s="72">
        <f t="shared" si="65"/>
        <v>2.2924650814924591E-3</v>
      </c>
      <c r="K518" s="75">
        <f t="shared" si="60"/>
        <v>1.565891449106871E-4</v>
      </c>
      <c r="P518" s="8">
        <v>4.4085866951778056E-5</v>
      </c>
      <c r="R518" s="73">
        <f t="shared" si="61"/>
        <v>3.0113297098209053E-6</v>
      </c>
      <c r="S518" s="71">
        <f t="shared" si="62"/>
        <v>3.0254386689716272E-6</v>
      </c>
      <c r="T518" s="74">
        <f t="shared" si="63"/>
        <v>7.056526270418477E-2</v>
      </c>
      <c r="U518" s="75">
        <f t="shared" si="64"/>
        <v>4.8200316054771014E-3</v>
      </c>
      <c r="V518" s="60">
        <f>VLOOKUP(B518,metadata!$B$11:$BN$301,29,FALSE)*VLOOKUP(B518,metadata!$B$11:$BN$301,36,FALSE)*1000-T518</f>
        <v>14.569434737295817</v>
      </c>
      <c r="W518" s="76">
        <f t="shared" si="59"/>
        <v>0.99517996839452294</v>
      </c>
    </row>
    <row r="519" spans="2:23" x14ac:dyDescent="0.3">
      <c r="B519">
        <v>35</v>
      </c>
      <c r="C519">
        <v>5</v>
      </c>
      <c r="D519">
        <v>671</v>
      </c>
      <c r="E519"/>
      <c r="I519" s="72">
        <f t="shared" si="65"/>
        <v>5.8445325477704951E-3</v>
      </c>
      <c r="K519" s="75">
        <f t="shared" si="60"/>
        <v>3.9921670408268406E-4</v>
      </c>
      <c r="P519" s="8">
        <v>4.8301921882400784E-5</v>
      </c>
      <c r="R519" s="73">
        <f t="shared" si="61"/>
        <v>3.2993116039891246E-6</v>
      </c>
      <c r="S519" s="71">
        <f t="shared" si="62"/>
        <v>3.3152914133829973E-6</v>
      </c>
      <c r="T519" s="74">
        <f t="shared" si="63"/>
        <v>7.6409795251955265E-2</v>
      </c>
      <c r="U519" s="75">
        <f t="shared" si="64"/>
        <v>5.2192483095597859E-3</v>
      </c>
      <c r="V519" s="60">
        <f>VLOOKUP(B519,metadata!$B$11:$BN$301,29,FALSE)*VLOOKUP(B519,metadata!$B$11:$BN$301,36,FALSE)*1000-T519</f>
        <v>14.563590204748046</v>
      </c>
      <c r="W519" s="76">
        <f t="shared" si="59"/>
        <v>0.99478075169044022</v>
      </c>
    </row>
    <row r="520" spans="2:23" x14ac:dyDescent="0.3">
      <c r="B520">
        <v>35</v>
      </c>
      <c r="C520">
        <v>5</v>
      </c>
      <c r="D520">
        <v>730</v>
      </c>
      <c r="E520"/>
      <c r="I520" s="72">
        <f t="shared" si="65"/>
        <v>1.1587672719293024E-3</v>
      </c>
      <c r="K520" s="75">
        <f t="shared" si="60"/>
        <v>7.9150769940526116E-5</v>
      </c>
      <c r="P520" s="8">
        <v>1.9640123253039023E-5</v>
      </c>
      <c r="R520" s="73">
        <f t="shared" si="61"/>
        <v>1.3415384735682391E-6</v>
      </c>
      <c r="S520" s="71">
        <f t="shared" si="62"/>
        <v>1.3485770319626213E-6</v>
      </c>
      <c r="T520" s="74">
        <f t="shared" si="63"/>
        <v>7.7568562523884568E-2</v>
      </c>
      <c r="U520" s="75">
        <f t="shared" si="64"/>
        <v>5.2983990795003122E-3</v>
      </c>
      <c r="V520" s="60">
        <f>VLOOKUP(B520,metadata!$B$11:$BN$301,29,FALSE)*VLOOKUP(B520,metadata!$B$11:$BN$301,36,FALSE)*1000-T520</f>
        <v>14.562431437476116</v>
      </c>
      <c r="W520" s="76">
        <f t="shared" si="59"/>
        <v>0.99470160092049964</v>
      </c>
    </row>
    <row r="521" spans="2:23" x14ac:dyDescent="0.3">
      <c r="B521">
        <v>36</v>
      </c>
      <c r="C521">
        <v>5</v>
      </c>
      <c r="D521">
        <v>0</v>
      </c>
      <c r="E521"/>
      <c r="I521" s="72">
        <f t="shared" si="65"/>
        <v>0</v>
      </c>
      <c r="K521" s="75">
        <f t="shared" si="60"/>
        <v>0</v>
      </c>
      <c r="P521" s="8"/>
      <c r="R521" s="73">
        <f t="shared" si="61"/>
        <v>0</v>
      </c>
      <c r="S521" s="71">
        <f t="shared" si="62"/>
        <v>0</v>
      </c>
      <c r="T521" s="74">
        <f t="shared" si="63"/>
        <v>0</v>
      </c>
      <c r="U521" s="75">
        <f t="shared" si="64"/>
        <v>0</v>
      </c>
      <c r="V521" s="60">
        <f>VLOOKUP(B521,metadata!$B$11:$BN$301,29,FALSE)*VLOOKUP(B521,metadata!$B$11:$BN$301,36,FALSE)*1000-T521</f>
        <v>14.64</v>
      </c>
      <c r="W521" s="76">
        <f t="shared" si="59"/>
        <v>1</v>
      </c>
    </row>
    <row r="522" spans="2:23" x14ac:dyDescent="0.3">
      <c r="B522">
        <v>36</v>
      </c>
      <c r="C522">
        <v>5</v>
      </c>
      <c r="D522">
        <v>2</v>
      </c>
      <c r="E522"/>
      <c r="I522" s="72">
        <f t="shared" si="65"/>
        <v>2.3649510159230373E-3</v>
      </c>
      <c r="K522" s="75">
        <f t="shared" si="60"/>
        <v>1.6154036994009817E-4</v>
      </c>
      <c r="P522" s="8">
        <v>1.1824755079615187E-3</v>
      </c>
      <c r="R522" s="73">
        <f t="shared" si="61"/>
        <v>8.0770184970049085E-5</v>
      </c>
      <c r="S522" s="71">
        <f t="shared" si="62"/>
        <v>8.0770184970049085E-5</v>
      </c>
      <c r="T522" s="74">
        <f t="shared" si="63"/>
        <v>2.3649510159230373E-3</v>
      </c>
      <c r="U522" s="75">
        <f t="shared" si="64"/>
        <v>1.6154036994009817E-4</v>
      </c>
      <c r="V522" s="60">
        <f>VLOOKUP(B522,metadata!$B$11:$BN$301,29,FALSE)*VLOOKUP(B522,metadata!$B$11:$BN$301,36,FALSE)*1000-T522</f>
        <v>14.637635048984077</v>
      </c>
      <c r="W522" s="76">
        <f t="shared" si="59"/>
        <v>0.99983845963005991</v>
      </c>
    </row>
    <row r="523" spans="2:23" x14ac:dyDescent="0.3">
      <c r="B523">
        <v>36</v>
      </c>
      <c r="C523">
        <v>5</v>
      </c>
      <c r="D523">
        <v>4</v>
      </c>
      <c r="E523"/>
      <c r="I523" s="72">
        <f t="shared" si="65"/>
        <v>4.6068453857473473E-3</v>
      </c>
      <c r="K523" s="75">
        <f t="shared" si="60"/>
        <v>3.1467523126689527E-4</v>
      </c>
      <c r="P523" s="8">
        <v>2.3034226928736736E-3</v>
      </c>
      <c r="R523" s="73">
        <f t="shared" si="61"/>
        <v>1.5733761563344764E-4</v>
      </c>
      <c r="S523" s="71">
        <f t="shared" si="62"/>
        <v>1.573630361165168E-4</v>
      </c>
      <c r="T523" s="74">
        <f t="shared" si="63"/>
        <v>6.971796401670385E-3</v>
      </c>
      <c r="U523" s="75">
        <f t="shared" si="64"/>
        <v>4.7621560120699347E-4</v>
      </c>
      <c r="V523" s="60">
        <f>VLOOKUP(B523,metadata!$B$11:$BN$301,29,FALSE)*VLOOKUP(B523,metadata!$B$11:$BN$301,36,FALSE)*1000-T523</f>
        <v>14.633028203598331</v>
      </c>
      <c r="W523" s="76">
        <f t="shared" si="59"/>
        <v>0.99952378439879297</v>
      </c>
    </row>
    <row r="524" spans="2:23" x14ac:dyDescent="0.3">
      <c r="B524">
        <v>36</v>
      </c>
      <c r="C524">
        <v>5</v>
      </c>
      <c r="D524">
        <v>8</v>
      </c>
      <c r="E524"/>
      <c r="I524" s="72">
        <f t="shared" si="65"/>
        <v>1.3918590484665663E-2</v>
      </c>
      <c r="K524" s="75">
        <f t="shared" si="60"/>
        <v>9.5072339376131576E-4</v>
      </c>
      <c r="P524" s="8">
        <v>3.4796476211664158E-3</v>
      </c>
      <c r="R524" s="73">
        <f t="shared" si="61"/>
        <v>2.3768084844032894E-4</v>
      </c>
      <c r="S524" s="71">
        <f t="shared" si="62"/>
        <v>2.3779408969571686E-4</v>
      </c>
      <c r="T524" s="74">
        <f t="shared" si="63"/>
        <v>2.089038688633605E-2</v>
      </c>
      <c r="U524" s="75">
        <f t="shared" si="64"/>
        <v>1.4269389949683093E-3</v>
      </c>
      <c r="V524" s="60">
        <f>VLOOKUP(B524,metadata!$B$11:$BN$301,29,FALSE)*VLOOKUP(B524,metadata!$B$11:$BN$301,36,FALSE)*1000-T524</f>
        <v>14.619109613113665</v>
      </c>
      <c r="W524" s="76">
        <f t="shared" si="59"/>
        <v>0.99857306100503174</v>
      </c>
    </row>
    <row r="525" spans="2:23" x14ac:dyDescent="0.3">
      <c r="B525">
        <v>36</v>
      </c>
      <c r="C525">
        <v>5</v>
      </c>
      <c r="D525">
        <v>16</v>
      </c>
      <c r="E525"/>
      <c r="I525" s="72">
        <f t="shared" si="65"/>
        <v>1.8852003217175461E-2</v>
      </c>
      <c r="K525" s="75">
        <f t="shared" si="60"/>
        <v>1.2877051377852091E-3</v>
      </c>
      <c r="P525" s="8">
        <v>2.3565004021469326E-3</v>
      </c>
      <c r="R525" s="73">
        <f t="shared" si="61"/>
        <v>1.6096314222315114E-4</v>
      </c>
      <c r="S525" s="71">
        <f t="shared" si="62"/>
        <v>1.6119315502177367E-4</v>
      </c>
      <c r="T525" s="74">
        <f t="shared" si="63"/>
        <v>3.9742390103511507E-2</v>
      </c>
      <c r="U525" s="75">
        <f t="shared" si="64"/>
        <v>2.7146441327535182E-3</v>
      </c>
      <c r="V525" s="60">
        <f>VLOOKUP(B525,metadata!$B$11:$BN$301,29,FALSE)*VLOOKUP(B525,metadata!$B$11:$BN$301,36,FALSE)*1000-T525</f>
        <v>14.60025760989649</v>
      </c>
      <c r="W525" s="76">
        <f t="shared" si="59"/>
        <v>0.99728535586724654</v>
      </c>
    </row>
    <row r="526" spans="2:23" x14ac:dyDescent="0.3">
      <c r="B526">
        <v>36</v>
      </c>
      <c r="C526">
        <v>5</v>
      </c>
      <c r="D526">
        <v>30</v>
      </c>
      <c r="E526"/>
      <c r="I526" s="72">
        <f t="shared" si="65"/>
        <v>2.7306821284598187E-2</v>
      </c>
      <c r="K526" s="75">
        <f t="shared" si="60"/>
        <v>1.8652200331009689E-3</v>
      </c>
      <c r="P526" s="8">
        <v>1.9504872346141561E-3</v>
      </c>
      <c r="R526" s="73">
        <f t="shared" si="61"/>
        <v>1.3323000236435491E-4</v>
      </c>
      <c r="S526" s="71">
        <f t="shared" si="62"/>
        <v>1.3359265889199501E-4</v>
      </c>
      <c r="T526" s="74">
        <f t="shared" si="63"/>
        <v>6.7049211388109695E-2</v>
      </c>
      <c r="U526" s="75">
        <f t="shared" si="64"/>
        <v>4.5798641658544876E-3</v>
      </c>
      <c r="V526" s="60">
        <f>VLOOKUP(B526,metadata!$B$11:$BN$301,29,FALSE)*VLOOKUP(B526,metadata!$B$11:$BN$301,36,FALSE)*1000-T526</f>
        <v>14.572950788611891</v>
      </c>
      <c r="W526" s="76">
        <f t="shared" si="59"/>
        <v>0.99542013583414546</v>
      </c>
    </row>
    <row r="527" spans="2:23" x14ac:dyDescent="0.3">
      <c r="B527">
        <v>36</v>
      </c>
      <c r="C527">
        <v>5</v>
      </c>
      <c r="D527">
        <v>51</v>
      </c>
      <c r="E527"/>
      <c r="I527" s="72">
        <f t="shared" si="65"/>
        <v>1.7316233889736788E-2</v>
      </c>
      <c r="K527" s="75">
        <f t="shared" si="60"/>
        <v>1.1828028613208189E-3</v>
      </c>
      <c r="P527" s="8">
        <v>8.2458256617794223E-4</v>
      </c>
      <c r="R527" s="73">
        <f t="shared" si="61"/>
        <v>5.6323945777181841E-5</v>
      </c>
      <c r="S527" s="71">
        <f t="shared" si="62"/>
        <v>5.6583088637224835E-5</v>
      </c>
      <c r="T527" s="74">
        <f t="shared" si="63"/>
        <v>8.4365445277846479E-2</v>
      </c>
      <c r="U527" s="75">
        <f t="shared" si="64"/>
        <v>5.7626670271753054E-3</v>
      </c>
      <c r="V527" s="60">
        <f>VLOOKUP(B527,metadata!$B$11:$BN$301,29,FALSE)*VLOOKUP(B527,metadata!$B$11:$BN$301,36,FALSE)*1000-T527</f>
        <v>14.555634554722154</v>
      </c>
      <c r="W527" s="76">
        <f t="shared" si="59"/>
        <v>0.99423733297282468</v>
      </c>
    </row>
    <row r="528" spans="2:23" x14ac:dyDescent="0.3">
      <c r="B528">
        <v>36</v>
      </c>
      <c r="C528">
        <v>5</v>
      </c>
      <c r="D528">
        <v>80</v>
      </c>
      <c r="E528"/>
      <c r="I528" s="72">
        <f t="shared" si="65"/>
        <v>3.0485590498234457E-2</v>
      </c>
      <c r="K528" s="75">
        <f t="shared" si="60"/>
        <v>2.0823490777482551E-3</v>
      </c>
      <c r="P528" s="8">
        <v>1.0512272585598088E-3</v>
      </c>
      <c r="R528" s="73">
        <f t="shared" si="61"/>
        <v>7.1805140612008793E-5</v>
      </c>
      <c r="S528" s="71">
        <f t="shared" si="62"/>
        <v>7.2221328077982599E-5</v>
      </c>
      <c r="T528" s="74">
        <f t="shared" si="63"/>
        <v>0.11485103577608094</v>
      </c>
      <c r="U528" s="75">
        <f t="shared" si="64"/>
        <v>7.845016104923561E-3</v>
      </c>
      <c r="V528" s="60">
        <f>VLOOKUP(B528,metadata!$B$11:$BN$301,29,FALSE)*VLOOKUP(B528,metadata!$B$11:$BN$301,36,FALSE)*1000-T528</f>
        <v>14.52514896422392</v>
      </c>
      <c r="W528" s="76">
        <f t="shared" si="59"/>
        <v>0.99215498389507639</v>
      </c>
    </row>
    <row r="529" spans="2:23" x14ac:dyDescent="0.3">
      <c r="B529">
        <v>36</v>
      </c>
      <c r="C529">
        <v>5</v>
      </c>
      <c r="D529">
        <v>183</v>
      </c>
      <c r="E529"/>
      <c r="I529" s="72">
        <f t="shared" si="65"/>
        <v>3.9093877174328051E-2</v>
      </c>
      <c r="K529" s="75">
        <f t="shared" si="60"/>
        <v>2.6703468015251402E-3</v>
      </c>
      <c r="P529" s="8">
        <v>3.7955220557600046E-4</v>
      </c>
      <c r="R529" s="73">
        <f t="shared" si="61"/>
        <v>2.5925697102185824E-5</v>
      </c>
      <c r="S529" s="71">
        <f t="shared" si="62"/>
        <v>2.6130692808098162E-5</v>
      </c>
      <c r="T529" s="74">
        <f t="shared" si="63"/>
        <v>0.15394491295040899</v>
      </c>
      <c r="U529" s="75">
        <f t="shared" si="64"/>
        <v>1.0515362906448701E-2</v>
      </c>
      <c r="V529" s="60">
        <f>VLOOKUP(B529,metadata!$B$11:$BN$301,29,FALSE)*VLOOKUP(B529,metadata!$B$11:$BN$301,36,FALSE)*1000-T529</f>
        <v>14.486055087049591</v>
      </c>
      <c r="W529" s="76">
        <f t="shared" si="59"/>
        <v>0.98948463709355128</v>
      </c>
    </row>
    <row r="530" spans="2:23" x14ac:dyDescent="0.3">
      <c r="B530">
        <v>36</v>
      </c>
      <c r="C530">
        <v>5</v>
      </c>
      <c r="D530">
        <v>246</v>
      </c>
      <c r="E530"/>
      <c r="I530" s="72">
        <f t="shared" si="65"/>
        <v>7.5995535118208299E-3</v>
      </c>
      <c r="K530" s="75">
        <f t="shared" si="60"/>
        <v>5.1909518523366317E-4</v>
      </c>
      <c r="P530" s="8">
        <v>1.2062783352096556E-4</v>
      </c>
      <c r="R530" s="73">
        <f t="shared" si="61"/>
        <v>8.2396061148200505E-6</v>
      </c>
      <c r="S530" s="71">
        <f t="shared" si="62"/>
        <v>8.3271693222267126E-6</v>
      </c>
      <c r="T530" s="74">
        <f t="shared" si="63"/>
        <v>0.16154446646222981</v>
      </c>
      <c r="U530" s="75">
        <f t="shared" si="64"/>
        <v>1.1034458091682364E-2</v>
      </c>
      <c r="V530" s="60">
        <f>VLOOKUP(B530,metadata!$B$11:$BN$301,29,FALSE)*VLOOKUP(B530,metadata!$B$11:$BN$301,36,FALSE)*1000-T530</f>
        <v>14.478455533537771</v>
      </c>
      <c r="W530" s="76">
        <f t="shared" si="59"/>
        <v>0.98896554190831765</v>
      </c>
    </row>
    <row r="531" spans="2:23" x14ac:dyDescent="0.3">
      <c r="B531">
        <v>36</v>
      </c>
      <c r="C531">
        <v>5</v>
      </c>
      <c r="D531">
        <v>313</v>
      </c>
      <c r="E531"/>
      <c r="I531" s="72">
        <f t="shared" si="65"/>
        <v>8.938631854994241E-3</v>
      </c>
      <c r="K531" s="75">
        <f t="shared" si="60"/>
        <v>6.1056228517720221E-4</v>
      </c>
      <c r="P531" s="8">
        <v>1.334124157461827E-4</v>
      </c>
      <c r="R531" s="73">
        <f t="shared" si="61"/>
        <v>9.1128699280179425E-6</v>
      </c>
      <c r="S531" s="71">
        <f t="shared" si="62"/>
        <v>9.2145474658638366E-6</v>
      </c>
      <c r="T531" s="74">
        <f t="shared" si="63"/>
        <v>0.17048309831722405</v>
      </c>
      <c r="U531" s="75">
        <f t="shared" si="64"/>
        <v>1.1645020376859565E-2</v>
      </c>
      <c r="V531" s="60">
        <f>VLOOKUP(B531,metadata!$B$11:$BN$301,29,FALSE)*VLOOKUP(B531,metadata!$B$11:$BN$301,36,FALSE)*1000-T531</f>
        <v>14.469516901682777</v>
      </c>
      <c r="W531" s="76">
        <f t="shared" si="59"/>
        <v>0.98835497962314045</v>
      </c>
    </row>
    <row r="532" spans="2:23" x14ac:dyDescent="0.3">
      <c r="B532">
        <v>36</v>
      </c>
      <c r="C532">
        <v>5</v>
      </c>
      <c r="D532">
        <v>365</v>
      </c>
      <c r="E532"/>
      <c r="I532" s="72">
        <f t="shared" si="65"/>
        <v>2.6657041916855933E-3</v>
      </c>
      <c r="K532" s="75">
        <f t="shared" si="60"/>
        <v>1.8208361965065526E-4</v>
      </c>
      <c r="P532" s="8">
        <v>5.1263542147799866E-5</v>
      </c>
      <c r="R532" s="73">
        <f t="shared" si="61"/>
        <v>3.5016080702049086E-6</v>
      </c>
      <c r="S532" s="71">
        <f t="shared" si="62"/>
        <v>3.5428648030286355E-6</v>
      </c>
      <c r="T532" s="74">
        <f t="shared" si="63"/>
        <v>0.17314880250890965</v>
      </c>
      <c r="U532" s="75">
        <f t="shared" si="64"/>
        <v>1.1827103996510222E-2</v>
      </c>
      <c r="V532" s="60">
        <f>VLOOKUP(B532,metadata!$B$11:$BN$301,29,FALSE)*VLOOKUP(B532,metadata!$B$11:$BN$301,36,FALSE)*1000-T532</f>
        <v>14.46685119749109</v>
      </c>
      <c r="W532" s="76">
        <f t="shared" si="59"/>
        <v>0.98817289600348979</v>
      </c>
    </row>
    <row r="533" spans="2:23" x14ac:dyDescent="0.3">
      <c r="B533">
        <v>36</v>
      </c>
      <c r="C533">
        <v>5</v>
      </c>
      <c r="D533">
        <v>428</v>
      </c>
      <c r="E533"/>
      <c r="I533" s="72">
        <f t="shared" si="65"/>
        <v>2.9798033306346083E-3</v>
      </c>
      <c r="K533" s="75">
        <f t="shared" si="60"/>
        <v>2.0353847886848416E-4</v>
      </c>
      <c r="P533" s="8">
        <v>4.7298465565628706E-5</v>
      </c>
      <c r="R533" s="73">
        <f t="shared" si="61"/>
        <v>3.2307695058489552E-6</v>
      </c>
      <c r="S533" s="71">
        <f t="shared" si="62"/>
        <v>3.2694374829701316E-6</v>
      </c>
      <c r="T533" s="74">
        <f t="shared" si="63"/>
        <v>0.17612860583954426</v>
      </c>
      <c r="U533" s="75">
        <f t="shared" si="64"/>
        <v>1.2030642475378706E-2</v>
      </c>
      <c r="V533" s="60">
        <f>VLOOKUP(B533,metadata!$B$11:$BN$301,29,FALSE)*VLOOKUP(B533,metadata!$B$11:$BN$301,36,FALSE)*1000-T533</f>
        <v>14.463871394160456</v>
      </c>
      <c r="W533" s="76">
        <f t="shared" ref="W533:W554" si="66">100%-U533</f>
        <v>0.98796935752462134</v>
      </c>
    </row>
    <row r="534" spans="2:23" x14ac:dyDescent="0.3">
      <c r="B534">
        <v>36</v>
      </c>
      <c r="C534">
        <v>5</v>
      </c>
      <c r="D534">
        <v>469</v>
      </c>
      <c r="E534"/>
      <c r="I534" s="72">
        <f t="shared" si="65"/>
        <v>1.500411894657507E-3</v>
      </c>
      <c r="K534" s="75">
        <f t="shared" ref="K534:K554" si="67">I534/(V534+T534)</f>
        <v>1.0248715127441988E-4</v>
      </c>
      <c r="P534" s="8">
        <v>3.6595412064817243E-5</v>
      </c>
      <c r="R534" s="73">
        <f t="shared" ref="R534:R554" si="68">P534/(T534+V534)</f>
        <v>2.4996866164492651E-6</v>
      </c>
      <c r="S534" s="71">
        <f t="shared" ref="S534:S553" si="69">IF(D534&gt;D533,P534/V533,0)</f>
        <v>2.5301256536055776E-6</v>
      </c>
      <c r="T534" s="74">
        <f t="shared" ref="T534:T554" si="70">IF(D534&gt;D533,T533+I534,I534)</f>
        <v>0.17762901773420176</v>
      </c>
      <c r="U534" s="75">
        <f t="shared" ref="U534:U554" si="71">T534/(T534+V534)</f>
        <v>1.2133129626653125E-2</v>
      </c>
      <c r="V534" s="60">
        <f>VLOOKUP(B534,metadata!$B$11:$BN$301,29,FALSE)*VLOOKUP(B534,metadata!$B$11:$BN$301,36,FALSE)*1000-T534</f>
        <v>14.462370982265799</v>
      </c>
      <c r="W534" s="76">
        <f t="shared" si="66"/>
        <v>0.98786687037334686</v>
      </c>
    </row>
    <row r="535" spans="2:23" x14ac:dyDescent="0.3">
      <c r="B535">
        <v>36</v>
      </c>
      <c r="C535">
        <v>5</v>
      </c>
      <c r="D535">
        <v>550</v>
      </c>
      <c r="E535"/>
      <c r="I535" s="72">
        <f t="shared" ref="I535:I554" si="72">P535*IF(D535&gt;D534,(D535-D534),(D535-0))</f>
        <v>4.5946295148570149E-3</v>
      </c>
      <c r="K535" s="75">
        <f t="shared" si="67"/>
        <v>3.1384081385635348E-4</v>
      </c>
      <c r="P535" s="8">
        <v>5.6723821171074253E-5</v>
      </c>
      <c r="R535" s="73">
        <f t="shared" si="68"/>
        <v>3.8745779488438695E-6</v>
      </c>
      <c r="S535" s="71">
        <f t="shared" si="69"/>
        <v>3.9221660985346548E-6</v>
      </c>
      <c r="T535" s="74">
        <f t="shared" si="70"/>
        <v>0.18222364724905876</v>
      </c>
      <c r="U535" s="75">
        <f t="shared" si="71"/>
        <v>1.2446970440509478E-2</v>
      </c>
      <c r="V535" s="60">
        <f>VLOOKUP(B535,metadata!$B$11:$BN$301,29,FALSE)*VLOOKUP(B535,metadata!$B$11:$BN$301,36,FALSE)*1000-T535</f>
        <v>14.457776352750942</v>
      </c>
      <c r="W535" s="76">
        <f t="shared" si="66"/>
        <v>0.98755302955949054</v>
      </c>
    </row>
    <row r="536" spans="2:23" x14ac:dyDescent="0.3">
      <c r="B536">
        <v>36</v>
      </c>
      <c r="C536">
        <v>5</v>
      </c>
      <c r="D536">
        <v>659</v>
      </c>
      <c r="E536"/>
      <c r="I536" s="72">
        <f t="shared" si="72"/>
        <v>2.3344790148300806E-2</v>
      </c>
      <c r="K536" s="75">
        <f t="shared" si="67"/>
        <v>1.5945894910041533E-3</v>
      </c>
      <c r="P536" s="8">
        <v>2.1417238668165877E-4</v>
      </c>
      <c r="R536" s="73">
        <f t="shared" si="68"/>
        <v>1.4629261385359205E-5</v>
      </c>
      <c r="S536" s="71">
        <f t="shared" si="69"/>
        <v>1.4813646404269304E-5</v>
      </c>
      <c r="T536" s="74">
        <f t="shared" si="70"/>
        <v>0.20556843739735958</v>
      </c>
      <c r="U536" s="75">
        <f t="shared" si="71"/>
        <v>1.4041559931513632E-2</v>
      </c>
      <c r="V536" s="60">
        <f>VLOOKUP(B536,metadata!$B$11:$BN$301,29,FALSE)*VLOOKUP(B536,metadata!$B$11:$BN$301,36,FALSE)*1000-T536</f>
        <v>14.434431562602642</v>
      </c>
      <c r="W536" s="76">
        <f t="shared" si="66"/>
        <v>0.98595844006848632</v>
      </c>
    </row>
    <row r="537" spans="2:23" x14ac:dyDescent="0.3">
      <c r="B537">
        <v>36</v>
      </c>
      <c r="C537">
        <v>5</v>
      </c>
      <c r="D537">
        <v>730</v>
      </c>
      <c r="E537"/>
      <c r="I537" s="72">
        <f t="shared" si="72"/>
        <v>7.4850371163615844E-3</v>
      </c>
      <c r="K537" s="75">
        <f t="shared" si="67"/>
        <v>5.1127302707387864E-4</v>
      </c>
      <c r="P537" s="8">
        <v>1.0542305797692373E-4</v>
      </c>
      <c r="R537" s="73">
        <f t="shared" si="68"/>
        <v>7.2010285503363201E-6</v>
      </c>
      <c r="S537" s="71">
        <f t="shared" si="69"/>
        <v>7.3035822380465893E-6</v>
      </c>
      <c r="T537" s="74">
        <f t="shared" si="70"/>
        <v>0.21305347451372117</v>
      </c>
      <c r="U537" s="75">
        <f t="shared" si="71"/>
        <v>1.4552832958587511E-2</v>
      </c>
      <c r="V537" s="60">
        <f>VLOOKUP(B537,metadata!$B$11:$BN$301,29,FALSE)*VLOOKUP(B537,metadata!$B$11:$BN$301,36,FALSE)*1000-T537</f>
        <v>14.426946525486279</v>
      </c>
      <c r="W537" s="76">
        <f t="shared" si="66"/>
        <v>0.98544716704141244</v>
      </c>
    </row>
    <row r="538" spans="2:23" x14ac:dyDescent="0.3">
      <c r="B538">
        <v>37</v>
      </c>
      <c r="C538">
        <v>5</v>
      </c>
      <c r="D538">
        <v>0</v>
      </c>
      <c r="E538"/>
      <c r="I538" s="72">
        <f t="shared" si="72"/>
        <v>0</v>
      </c>
      <c r="K538" s="75">
        <f t="shared" si="67"/>
        <v>0</v>
      </c>
      <c r="P538" s="8"/>
      <c r="R538" s="73">
        <f t="shared" si="68"/>
        <v>0</v>
      </c>
      <c r="S538" s="71">
        <f t="shared" si="69"/>
        <v>0</v>
      </c>
      <c r="T538" s="74">
        <f t="shared" si="70"/>
        <v>0</v>
      </c>
      <c r="U538" s="75">
        <f t="shared" si="71"/>
        <v>0</v>
      </c>
      <c r="V538" s="60">
        <f>VLOOKUP(B538,metadata!$B$11:$BN$301,29,FALSE)*VLOOKUP(B538,metadata!$B$11:$BN$301,36,FALSE)*1000-T538</f>
        <v>14.64</v>
      </c>
      <c r="W538" s="76">
        <f t="shared" si="66"/>
        <v>1</v>
      </c>
    </row>
    <row r="539" spans="2:23" x14ac:dyDescent="0.3">
      <c r="B539">
        <v>37</v>
      </c>
      <c r="C539">
        <v>5</v>
      </c>
      <c r="D539">
        <v>2</v>
      </c>
      <c r="E539"/>
      <c r="I539" s="72">
        <f t="shared" si="72"/>
        <v>1.3367800701514262E-2</v>
      </c>
      <c r="K539" s="75">
        <f t="shared" si="67"/>
        <v>9.1310114081381572E-4</v>
      </c>
      <c r="P539" s="8">
        <v>6.6839003507571312E-3</v>
      </c>
      <c r="R539" s="73">
        <f t="shared" si="68"/>
        <v>4.5655057040690786E-4</v>
      </c>
      <c r="S539" s="73">
        <f>IF(D539&gt;D538,P539/V538,0)</f>
        <v>4.5655057040690786E-4</v>
      </c>
      <c r="T539" s="74">
        <f t="shared" si="70"/>
        <v>1.3367800701514262E-2</v>
      </c>
      <c r="U539" s="75">
        <f t="shared" si="71"/>
        <v>9.1310114081381572E-4</v>
      </c>
      <c r="V539" s="60">
        <f>VLOOKUP(B539,metadata!$B$11:$BN$301,29,FALSE)*VLOOKUP(B539,metadata!$B$11:$BN$301,36,FALSE)*1000-T539</f>
        <v>14.626632199298486</v>
      </c>
      <c r="W539" s="76">
        <f t="shared" si="66"/>
        <v>0.99908689885918622</v>
      </c>
    </row>
    <row r="540" spans="2:23" x14ac:dyDescent="0.3">
      <c r="B540">
        <v>37</v>
      </c>
      <c r="C540">
        <v>5</v>
      </c>
      <c r="D540">
        <v>4</v>
      </c>
      <c r="I540" s="72">
        <f t="shared" si="72"/>
        <v>4.6857485775074967E-3</v>
      </c>
      <c r="K540" s="75">
        <f t="shared" si="67"/>
        <v>3.2006479354559404E-4</v>
      </c>
      <c r="P540" s="8">
        <v>2.3428742887537483E-3</v>
      </c>
      <c r="R540" s="73">
        <f t="shared" si="68"/>
        <v>1.6003239677279702E-4</v>
      </c>
      <c r="S540" s="73">
        <f t="shared" si="69"/>
        <v>1.6017865608640355E-4</v>
      </c>
      <c r="T540" s="74">
        <f t="shared" si="70"/>
        <v>1.8053549279021759E-2</v>
      </c>
      <c r="U540" s="75">
        <f t="shared" si="71"/>
        <v>1.2331659343594098E-3</v>
      </c>
      <c r="V540" s="60">
        <f>VLOOKUP(B540,metadata!$B$11:$BN$301,29,FALSE)*VLOOKUP(B540,metadata!$B$11:$BN$301,36,FALSE)*1000-T540</f>
        <v>14.621946450720978</v>
      </c>
      <c r="W540" s="76">
        <f t="shared" si="66"/>
        <v>0.9987668340656406</v>
      </c>
    </row>
    <row r="541" spans="2:23" x14ac:dyDescent="0.3">
      <c r="B541">
        <v>37</v>
      </c>
      <c r="C541">
        <v>5</v>
      </c>
      <c r="D541">
        <v>8</v>
      </c>
      <c r="I541" s="72">
        <f t="shared" si="72"/>
        <v>7.4181459900551925E-3</v>
      </c>
      <c r="K541" s="75">
        <f t="shared" si="67"/>
        <v>5.0670396106934374E-4</v>
      </c>
      <c r="P541" s="8">
        <v>1.8545364975137981E-3</v>
      </c>
      <c r="R541" s="73">
        <f t="shared" si="68"/>
        <v>1.2667599026733594E-4</v>
      </c>
      <c r="S541" s="73">
        <f t="shared" si="69"/>
        <v>1.2683239565703338E-4</v>
      </c>
      <c r="T541" s="74">
        <f t="shared" si="70"/>
        <v>2.5471695269076951E-2</v>
      </c>
      <c r="U541" s="75">
        <f t="shared" si="71"/>
        <v>1.7398698954287535E-3</v>
      </c>
      <c r="V541" s="60">
        <f>VLOOKUP(B541,metadata!$B$11:$BN$301,29,FALSE)*VLOOKUP(B541,metadata!$B$11:$BN$301,36,FALSE)*1000-T541</f>
        <v>14.614528304730923</v>
      </c>
      <c r="W541" s="76">
        <f t="shared" si="66"/>
        <v>0.99826013010457126</v>
      </c>
    </row>
    <row r="542" spans="2:23" x14ac:dyDescent="0.3">
      <c r="B542">
        <v>37</v>
      </c>
      <c r="C542">
        <v>5</v>
      </c>
      <c r="D542">
        <v>16</v>
      </c>
      <c r="I542" s="72">
        <f t="shared" si="72"/>
        <v>2.7625717154940919E-2</v>
      </c>
      <c r="K542" s="75">
        <f t="shared" si="67"/>
        <v>1.8870025379058005E-3</v>
      </c>
      <c r="P542" s="8">
        <v>3.4532146443676148E-3</v>
      </c>
      <c r="R542" s="73">
        <f t="shared" si="68"/>
        <v>2.3587531723822506E-4</v>
      </c>
      <c r="S542" s="73">
        <f t="shared" si="69"/>
        <v>2.3628642487556455E-4</v>
      </c>
      <c r="T542" s="74">
        <f t="shared" si="70"/>
        <v>5.3097412424017873E-2</v>
      </c>
      <c r="U542" s="75">
        <f t="shared" si="71"/>
        <v>3.6268724333345542E-3</v>
      </c>
      <c r="V542" s="60">
        <f>VLOOKUP(B542,metadata!$B$11:$BN$301,29,FALSE)*VLOOKUP(B542,metadata!$B$11:$BN$301,36,FALSE)*1000-T542</f>
        <v>14.586902587575983</v>
      </c>
      <c r="W542" s="76">
        <f t="shared" si="66"/>
        <v>0.99637312756666541</v>
      </c>
    </row>
    <row r="543" spans="2:23" x14ac:dyDescent="0.3">
      <c r="B543">
        <v>37</v>
      </c>
      <c r="C543">
        <v>5</v>
      </c>
      <c r="D543">
        <v>30</v>
      </c>
      <c r="I543" s="72">
        <f t="shared" si="72"/>
        <v>3.0666609420234081E-2</v>
      </c>
      <c r="K543" s="75">
        <f t="shared" si="67"/>
        <v>2.0947137582127103E-3</v>
      </c>
      <c r="P543" s="8">
        <v>2.1904721014452916E-3</v>
      </c>
      <c r="R543" s="73">
        <f t="shared" si="68"/>
        <v>1.4962241130090788E-4</v>
      </c>
      <c r="S543" s="73">
        <f t="shared" si="69"/>
        <v>1.5016704802779513E-4</v>
      </c>
      <c r="T543" s="74">
        <f t="shared" si="70"/>
        <v>8.3764021844251954E-2</v>
      </c>
      <c r="U543" s="75">
        <f t="shared" si="71"/>
        <v>5.721586191547264E-3</v>
      </c>
      <c r="V543" s="60">
        <f>VLOOKUP(B543,metadata!$B$11:$BN$301,29,FALSE)*VLOOKUP(B543,metadata!$B$11:$BN$301,36,FALSE)*1000-T543</f>
        <v>14.556235978155749</v>
      </c>
      <c r="W543" s="76">
        <f t="shared" si="66"/>
        <v>0.99427841380845272</v>
      </c>
    </row>
    <row r="544" spans="2:23" x14ac:dyDescent="0.3">
      <c r="B544">
        <v>37</v>
      </c>
      <c r="C544">
        <v>5</v>
      </c>
      <c r="D544">
        <v>51</v>
      </c>
      <c r="I544" s="72">
        <f t="shared" si="72"/>
        <v>2.5293714990279905E-2</v>
      </c>
      <c r="K544" s="75">
        <f t="shared" si="67"/>
        <v>1.7277127725601027E-3</v>
      </c>
      <c r="P544" s="8">
        <v>1.2044626185847573E-3</v>
      </c>
      <c r="R544" s="73">
        <f t="shared" si="68"/>
        <v>8.227203678857631E-5</v>
      </c>
      <c r="S544" s="73">
        <f t="shared" si="69"/>
        <v>8.2745472139382056E-5</v>
      </c>
      <c r="T544" s="74">
        <f t="shared" si="70"/>
        <v>0.10905773683453186</v>
      </c>
      <c r="U544" s="75">
        <f t="shared" si="71"/>
        <v>7.4492989641073678E-3</v>
      </c>
      <c r="V544" s="60">
        <f>VLOOKUP(B544,metadata!$B$11:$BN$301,29,FALSE)*VLOOKUP(B544,metadata!$B$11:$BN$301,36,FALSE)*1000-T544</f>
        <v>14.530942263165469</v>
      </c>
      <c r="W544" s="76">
        <f t="shared" si="66"/>
        <v>0.9925507010358926</v>
      </c>
    </row>
    <row r="545" spans="2:23" x14ac:dyDescent="0.3">
      <c r="B545">
        <v>37</v>
      </c>
      <c r="C545">
        <v>5</v>
      </c>
      <c r="D545">
        <v>80</v>
      </c>
      <c r="I545" s="72">
        <f t="shared" si="72"/>
        <v>2.0750360608876764E-2</v>
      </c>
      <c r="K545" s="75">
        <f t="shared" si="67"/>
        <v>1.4173743585298335E-3</v>
      </c>
      <c r="P545" s="8">
        <v>7.1552967616816433E-4</v>
      </c>
      <c r="R545" s="73">
        <f t="shared" si="68"/>
        <v>4.8874977880339095E-5</v>
      </c>
      <c r="S545" s="73">
        <f t="shared" si="69"/>
        <v>4.924179473081816E-5</v>
      </c>
      <c r="T545" s="74">
        <f t="shared" si="70"/>
        <v>0.12980809744340863</v>
      </c>
      <c r="U545" s="75">
        <f t="shared" si="71"/>
        <v>8.8666733226372002E-3</v>
      </c>
      <c r="V545" s="60">
        <f>VLOOKUP(B545,metadata!$B$11:$BN$301,29,FALSE)*VLOOKUP(B545,metadata!$B$11:$BN$301,36,FALSE)*1000-T545</f>
        <v>14.510191902556592</v>
      </c>
      <c r="W545" s="76">
        <f t="shared" si="66"/>
        <v>0.99113332667736276</v>
      </c>
    </row>
    <row r="546" spans="2:23" x14ac:dyDescent="0.3">
      <c r="B546">
        <v>37</v>
      </c>
      <c r="C546">
        <v>5</v>
      </c>
      <c r="D546">
        <v>183</v>
      </c>
      <c r="I546" s="72">
        <f t="shared" si="72"/>
        <v>6.693702426785722E-2</v>
      </c>
      <c r="K546" s="75">
        <f t="shared" si="67"/>
        <v>4.5722011111924326E-3</v>
      </c>
      <c r="P546" s="8">
        <v>6.4987402201803132E-4</v>
      </c>
      <c r="R546" s="73">
        <f t="shared" si="68"/>
        <v>4.4390302050411972E-5</v>
      </c>
      <c r="S546" s="73">
        <f t="shared" si="69"/>
        <v>4.4787417449904861E-5</v>
      </c>
      <c r="T546" s="74">
        <f t="shared" si="70"/>
        <v>0.19674512171126585</v>
      </c>
      <c r="U546" s="75">
        <f t="shared" si="71"/>
        <v>1.3438874433829634E-2</v>
      </c>
      <c r="V546" s="60">
        <f>VLOOKUP(B546,metadata!$B$11:$BN$301,29,FALSE)*VLOOKUP(B546,metadata!$B$11:$BN$301,36,FALSE)*1000-T546</f>
        <v>14.443254878288736</v>
      </c>
      <c r="W546" s="76">
        <f t="shared" si="66"/>
        <v>0.98656112556617037</v>
      </c>
    </row>
    <row r="547" spans="2:23" x14ac:dyDescent="0.3">
      <c r="B547">
        <v>37</v>
      </c>
      <c r="C547">
        <v>5</v>
      </c>
      <c r="D547">
        <v>231</v>
      </c>
      <c r="I547" s="72">
        <f t="shared" si="72"/>
        <v>2.7453866878769662E-2</v>
      </c>
      <c r="K547" s="75">
        <f t="shared" si="67"/>
        <v>1.8752641310635014E-3</v>
      </c>
      <c r="P547" s="8">
        <v>5.7195555997436795E-4</v>
      </c>
      <c r="R547" s="73">
        <f t="shared" si="68"/>
        <v>3.9068002730489614E-5</v>
      </c>
      <c r="S547" s="73">
        <f>IF(D547&gt;D546,P547/V546,0)</f>
        <v>3.9600184639415181E-5</v>
      </c>
      <c r="T547" s="74">
        <f t="shared" si="70"/>
        <v>0.22419898859003551</v>
      </c>
      <c r="U547" s="75">
        <f t="shared" si="71"/>
        <v>1.5314138564893135E-2</v>
      </c>
      <c r="V547" s="60">
        <f>VLOOKUP(B547,metadata!$B$11:$BN$301,29,FALSE)*VLOOKUP(B547,metadata!$B$11:$BN$301,36,FALSE)*1000-T547</f>
        <v>14.415801011409965</v>
      </c>
      <c r="W547" s="76">
        <f t="shared" si="66"/>
        <v>0.98468586143510684</v>
      </c>
    </row>
    <row r="548" spans="2:23" x14ac:dyDescent="0.3">
      <c r="B548">
        <v>37</v>
      </c>
      <c r="C548">
        <v>5</v>
      </c>
      <c r="D548">
        <v>263</v>
      </c>
      <c r="I548" s="72">
        <f t="shared" si="72"/>
        <v>2.2291718717119657E-2</v>
      </c>
      <c r="K548" s="75">
        <f t="shared" si="67"/>
        <v>1.5226583823169165E-3</v>
      </c>
      <c r="P548" s="8">
        <v>6.9661620990998929E-4</v>
      </c>
      <c r="R548" s="73">
        <f t="shared" si="68"/>
        <v>4.758307444740364E-5</v>
      </c>
      <c r="S548" s="73">
        <f t="shared" si="69"/>
        <v>4.8323101113744871E-5</v>
      </c>
      <c r="T548" s="74">
        <f t="shared" si="70"/>
        <v>0.24649070730715517</v>
      </c>
      <c r="U548" s="75">
        <f t="shared" si="71"/>
        <v>1.6836796947210051E-2</v>
      </c>
      <c r="V548" s="60">
        <f>VLOOKUP(B548,metadata!$B$11:$BN$301,29,FALSE)*VLOOKUP(B548,metadata!$B$11:$BN$301,36,FALSE)*1000-T548</f>
        <v>14.393509292692846</v>
      </c>
      <c r="W548" s="76">
        <f t="shared" si="66"/>
        <v>0.98316320305278992</v>
      </c>
    </row>
    <row r="549" spans="2:23" x14ac:dyDescent="0.3">
      <c r="B549">
        <v>37</v>
      </c>
      <c r="C549">
        <v>5</v>
      </c>
      <c r="D549">
        <v>365</v>
      </c>
      <c r="I549" s="72">
        <f t="shared" si="72"/>
        <v>5.8274314218400465E-2</v>
      </c>
      <c r="K549" s="75">
        <f t="shared" si="67"/>
        <v>3.9804859438798126E-3</v>
      </c>
      <c r="P549" s="8">
        <v>5.7131680606274963E-4</v>
      </c>
      <c r="R549" s="73">
        <f t="shared" si="68"/>
        <v>3.9024371998821698E-5</v>
      </c>
      <c r="S549" s="73">
        <f t="shared" si="69"/>
        <v>3.9692669414038597E-5</v>
      </c>
      <c r="T549" s="74">
        <f t="shared" si="70"/>
        <v>0.30476502152555562</v>
      </c>
      <c r="U549" s="75">
        <f t="shared" si="71"/>
        <v>2.0817282891089865E-2</v>
      </c>
      <c r="V549" s="60">
        <f>VLOOKUP(B549,metadata!$B$11:$BN$301,29,FALSE)*VLOOKUP(B549,metadata!$B$11:$BN$301,36,FALSE)*1000-T549</f>
        <v>14.335234978474444</v>
      </c>
      <c r="W549" s="76">
        <f t="shared" si="66"/>
        <v>0.97918271710891014</v>
      </c>
    </row>
    <row r="550" spans="2:23" x14ac:dyDescent="0.3">
      <c r="B550">
        <v>37</v>
      </c>
      <c r="C550">
        <v>5</v>
      </c>
      <c r="D550">
        <v>423</v>
      </c>
      <c r="I550" s="72">
        <f t="shared" si="72"/>
        <v>1.7000527852242309E-2</v>
      </c>
      <c r="K550" s="75">
        <f t="shared" si="67"/>
        <v>1.1612382412733817E-3</v>
      </c>
      <c r="P550" s="8">
        <v>2.9311254917659151E-4</v>
      </c>
      <c r="R550" s="73">
        <f t="shared" si="68"/>
        <v>2.0021348987472096E-5</v>
      </c>
      <c r="S550" s="73">
        <f t="shared" si="69"/>
        <v>2.044699997012428E-5</v>
      </c>
      <c r="T550" s="74">
        <f t="shared" si="70"/>
        <v>0.32176554937779794</v>
      </c>
      <c r="U550" s="75">
        <f t="shared" si="71"/>
        <v>2.1978521132363246E-2</v>
      </c>
      <c r="V550" s="60">
        <f>VLOOKUP(B550,metadata!$B$11:$BN$301,29,FALSE)*VLOOKUP(B550,metadata!$B$11:$BN$301,36,FALSE)*1000-T550</f>
        <v>14.318234450622203</v>
      </c>
      <c r="W550" s="76">
        <f t="shared" si="66"/>
        <v>0.9780214788676368</v>
      </c>
    </row>
    <row r="551" spans="2:23" x14ac:dyDescent="0.3">
      <c r="B551">
        <v>37</v>
      </c>
      <c r="C551">
        <v>5</v>
      </c>
      <c r="D551">
        <v>463</v>
      </c>
      <c r="I551" s="72">
        <f t="shared" si="72"/>
        <v>1.0635174696326818E-2</v>
      </c>
      <c r="K551" s="75">
        <f t="shared" si="67"/>
        <v>7.26446359038717E-4</v>
      </c>
      <c r="P551" s="8">
        <v>2.6587936740817046E-4</v>
      </c>
      <c r="R551" s="73">
        <f t="shared" si="68"/>
        <v>1.8161158975967926E-5</v>
      </c>
      <c r="S551" s="73">
        <f t="shared" si="69"/>
        <v>1.8569284385241828E-5</v>
      </c>
      <c r="T551" s="74">
        <f t="shared" si="70"/>
        <v>0.33240072407412474</v>
      </c>
      <c r="U551" s="75">
        <f t="shared" si="71"/>
        <v>2.2704967491401964E-2</v>
      </c>
      <c r="V551" s="60">
        <f>VLOOKUP(B551,metadata!$B$11:$BN$301,29,FALSE)*VLOOKUP(B551,metadata!$B$11:$BN$301,36,FALSE)*1000-T551</f>
        <v>14.307599275925876</v>
      </c>
      <c r="W551" s="76">
        <f t="shared" si="66"/>
        <v>0.97729503250859806</v>
      </c>
    </row>
    <row r="552" spans="2:23" x14ac:dyDescent="0.3">
      <c r="B552">
        <v>37</v>
      </c>
      <c r="C552">
        <v>5</v>
      </c>
      <c r="D552">
        <v>550</v>
      </c>
      <c r="I552" s="72">
        <f t="shared" si="72"/>
        <v>2.3888530867148525E-2</v>
      </c>
      <c r="K552" s="75">
        <f t="shared" si="67"/>
        <v>1.6317302504882871E-3</v>
      </c>
      <c r="P552" s="8">
        <v>2.7458081456492556E-4</v>
      </c>
      <c r="R552" s="73">
        <f>P552/(T552+V552)</f>
        <v>1.8755520120555023E-5</v>
      </c>
      <c r="S552" s="73">
        <f t="shared" si="69"/>
        <v>1.919125698655387E-5</v>
      </c>
      <c r="T552" s="74">
        <f t="shared" si="70"/>
        <v>0.35628925494127328</v>
      </c>
      <c r="U552" s="75">
        <f t="shared" si="71"/>
        <v>2.4336697741890252E-2</v>
      </c>
      <c r="V552" s="60">
        <f>VLOOKUP(B552,metadata!$B$11:$BN$301,29,FALSE)*VLOOKUP(B552,metadata!$B$11:$BN$301,36,FALSE)*1000-T552</f>
        <v>14.283710745058727</v>
      </c>
      <c r="W552" s="76">
        <f t="shared" si="66"/>
        <v>0.97566330225810971</v>
      </c>
    </row>
    <row r="553" spans="2:23" x14ac:dyDescent="0.3">
      <c r="B553">
        <v>37</v>
      </c>
      <c r="C553">
        <v>5</v>
      </c>
      <c r="D553">
        <v>640</v>
      </c>
      <c r="I553" s="72">
        <f t="shared" si="72"/>
        <v>1.9174138285702313E-2</v>
      </c>
      <c r="K553" s="75">
        <f t="shared" si="67"/>
        <v>1.3097088992966061E-3</v>
      </c>
      <c r="P553" s="8">
        <v>2.130459809522479E-4</v>
      </c>
      <c r="R553" s="73">
        <f t="shared" si="68"/>
        <v>1.4552321103295621E-5</v>
      </c>
      <c r="S553" s="73">
        <f t="shared" si="69"/>
        <v>1.4915310506826702E-5</v>
      </c>
      <c r="T553" s="74">
        <f t="shared" si="70"/>
        <v>0.37546339322697558</v>
      </c>
      <c r="U553" s="75">
        <f t="shared" si="71"/>
        <v>2.5646406641186857E-2</v>
      </c>
      <c r="V553" s="60">
        <f>VLOOKUP(B553,metadata!$B$11:$BN$301,29,FALSE)*VLOOKUP(B553,metadata!$B$11:$BN$301,36,FALSE)*1000-T553</f>
        <v>14.264536606773024</v>
      </c>
      <c r="W553" s="76">
        <f t="shared" si="66"/>
        <v>0.97435359335881311</v>
      </c>
    </row>
    <row r="554" spans="2:23" x14ac:dyDescent="0.3">
      <c r="B554">
        <v>37</v>
      </c>
      <c r="C554">
        <v>5</v>
      </c>
      <c r="D554">
        <v>730</v>
      </c>
      <c r="I554" s="72">
        <f t="shared" si="72"/>
        <v>1.8579639416604923E-2</v>
      </c>
      <c r="K554" s="75">
        <f t="shared" si="67"/>
        <v>1.2691010530467843E-3</v>
      </c>
      <c r="P554" s="8">
        <v>2.0644043796227691E-4</v>
      </c>
      <c r="R554" s="73">
        <f t="shared" si="68"/>
        <v>1.4101122811630936E-5</v>
      </c>
      <c r="S554" s="73">
        <f>IF(D554&gt;D553,P554/V553,0)</f>
        <v>1.4472284915603622E-5</v>
      </c>
      <c r="T554" s="74">
        <f t="shared" si="70"/>
        <v>0.39404303264358048</v>
      </c>
      <c r="U554" s="75">
        <f t="shared" si="71"/>
        <v>2.6915507694233638E-2</v>
      </c>
      <c r="V554" s="60">
        <f>VLOOKUP(B554,metadata!$B$11:$BN$301,29,FALSE)*VLOOKUP(B554,metadata!$B$11:$BN$301,36,FALSE)*1000-T554</f>
        <v>14.24595696735642</v>
      </c>
      <c r="W554" s="76">
        <f t="shared" si="66"/>
        <v>0.97308449230576632</v>
      </c>
    </row>
    <row r="555" spans="2:23" x14ac:dyDescent="0.3">
      <c r="B555">
        <v>40</v>
      </c>
      <c r="C555">
        <v>6</v>
      </c>
      <c r="D555">
        <v>0</v>
      </c>
      <c r="R555" s="73">
        <f>IF(D555&gt;D554,(U555-U554)/1/(D555-D554),0)</f>
        <v>0</v>
      </c>
      <c r="S555" s="71">
        <f>IF(D555&gt;D554,(U555-U554)/W554/(D555-D554),0)</f>
        <v>0</v>
      </c>
      <c r="U555" s="81">
        <f>100%-W555</f>
        <v>0</v>
      </c>
      <c r="W555" s="80">
        <v>1</v>
      </c>
    </row>
    <row r="556" spans="2:23" x14ac:dyDescent="0.3">
      <c r="B556">
        <v>40</v>
      </c>
      <c r="C556">
        <v>6</v>
      </c>
      <c r="D556" s="13">
        <v>0.17</v>
      </c>
      <c r="R556" s="73">
        <f>IF(D556&gt;D555,(U556-U555)/1/(D556-D555),0)</f>
        <v>7.4154117647058884E-2</v>
      </c>
      <c r="S556" s="74">
        <f t="shared" ref="S556:S586" si="73">IF(D556&gt;D555,(U556-U555)/W555/(D556-D555),0)</f>
        <v>7.4154117647058884E-2</v>
      </c>
      <c r="U556" s="81">
        <f t="shared" ref="U556:U619" si="74">100%-W556</f>
        <v>1.2606200000000012E-2</v>
      </c>
      <c r="W556" s="80">
        <v>0.98739379999999999</v>
      </c>
    </row>
    <row r="557" spans="2:23" x14ac:dyDescent="0.3">
      <c r="B557">
        <v>40</v>
      </c>
      <c r="C557">
        <v>6</v>
      </c>
      <c r="D557">
        <v>2.4700000000000002</v>
      </c>
      <c r="R557" s="73">
        <f t="shared" ref="R557:R620" si="75">IF(D557&gt;D556,(U557-U556)/1/(D557-D556),0)</f>
        <v>7.8991304347828808E-4</v>
      </c>
      <c r="S557" s="74">
        <f t="shared" si="73"/>
        <v>7.9999797798840553E-4</v>
      </c>
      <c r="U557" s="81">
        <f t="shared" si="74"/>
        <v>1.4423000000000075E-2</v>
      </c>
      <c r="W557" s="80">
        <v>0.98557699999999993</v>
      </c>
    </row>
    <row r="558" spans="2:23" x14ac:dyDescent="0.3">
      <c r="B558">
        <v>40</v>
      </c>
      <c r="C558">
        <v>6</v>
      </c>
      <c r="D558">
        <v>10.199999999999999</v>
      </c>
      <c r="R558" s="73">
        <f t="shared" si="75"/>
        <v>2.1463130659766025E-4</v>
      </c>
      <c r="S558" s="74">
        <f t="shared" si="73"/>
        <v>2.1777223555101251E-4</v>
      </c>
      <c r="U558" s="81">
        <f t="shared" si="74"/>
        <v>1.6082099999999988E-2</v>
      </c>
      <c r="W558" s="80">
        <v>0.98391790000000001</v>
      </c>
    </row>
    <row r="559" spans="2:23" x14ac:dyDescent="0.3">
      <c r="B559">
        <v>40</v>
      </c>
      <c r="C559">
        <v>6</v>
      </c>
      <c r="D559">
        <v>18.22</v>
      </c>
      <c r="R559" s="73">
        <f t="shared" si="75"/>
        <v>1.444638403990037E-4</v>
      </c>
      <c r="S559" s="74">
        <f>IF(D559&gt;D558,(U559-U558)/W558/(D559-D558),0)</f>
        <v>1.4682509627988647E-4</v>
      </c>
      <c r="U559" s="81">
        <f t="shared" si="74"/>
        <v>1.7240699999999998E-2</v>
      </c>
      <c r="W559" s="80">
        <v>0.9827593</v>
      </c>
    </row>
    <row r="560" spans="2:23" x14ac:dyDescent="0.3">
      <c r="B560">
        <v>40</v>
      </c>
      <c r="C560">
        <v>6</v>
      </c>
      <c r="D560">
        <v>38.270000000000003</v>
      </c>
      <c r="R560" s="73">
        <f t="shared" si="75"/>
        <v>1.3683790523690557E-4</v>
      </c>
      <c r="S560" s="74">
        <f t="shared" si="73"/>
        <v>1.3923847399552013E-4</v>
      </c>
      <c r="U560" s="81">
        <f t="shared" si="74"/>
        <v>1.9984299999999955E-2</v>
      </c>
      <c r="W560" s="80">
        <v>0.98001570000000005</v>
      </c>
    </row>
    <row r="561" spans="2:23" x14ac:dyDescent="0.3">
      <c r="B561">
        <v>40</v>
      </c>
      <c r="C561">
        <v>6</v>
      </c>
      <c r="D561">
        <v>51.16</v>
      </c>
      <c r="R561" s="73">
        <f t="shared" si="75"/>
        <v>7.9813809154387309E-5</v>
      </c>
      <c r="S561" s="74">
        <f t="shared" si="73"/>
        <v>8.1441357678644632E-5</v>
      </c>
      <c r="U561" s="81">
        <f t="shared" si="74"/>
        <v>2.1013100000000007E-2</v>
      </c>
      <c r="W561" s="80">
        <v>0.97898689999999999</v>
      </c>
    </row>
    <row r="562" spans="2:23" x14ac:dyDescent="0.3">
      <c r="B562">
        <v>40</v>
      </c>
      <c r="C562">
        <v>6</v>
      </c>
      <c r="D562">
        <v>70.34</v>
      </c>
      <c r="R562" s="73">
        <f t="shared" si="75"/>
        <v>5.1704900938473847E-5</v>
      </c>
      <c r="S562" s="74">
        <f t="shared" si="73"/>
        <v>5.2814701543477092E-5</v>
      </c>
      <c r="U562" s="81">
        <f t="shared" si="74"/>
        <v>2.2004799999999936E-2</v>
      </c>
      <c r="W562" s="80">
        <v>0.97799520000000006</v>
      </c>
    </row>
    <row r="563" spans="2:23" x14ac:dyDescent="0.3">
      <c r="B563">
        <v>40</v>
      </c>
      <c r="C563">
        <v>6</v>
      </c>
      <c r="D563">
        <v>86.09</v>
      </c>
      <c r="R563" s="73">
        <f t="shared" si="75"/>
        <v>4.8253968253974218E-5</v>
      </c>
      <c r="S563" s="74">
        <f t="shared" si="73"/>
        <v>4.9339678000438259E-5</v>
      </c>
      <c r="U563" s="81">
        <f t="shared" si="74"/>
        <v>2.2764800000000029E-2</v>
      </c>
      <c r="W563" s="80">
        <v>0.97723519999999997</v>
      </c>
    </row>
    <row r="564" spans="2:23" x14ac:dyDescent="0.3">
      <c r="B564">
        <v>40</v>
      </c>
      <c r="C564">
        <v>6</v>
      </c>
      <c r="D564">
        <v>111.14</v>
      </c>
      <c r="R564" s="73">
        <f t="shared" si="75"/>
        <v>4.6443113772452128E-5</v>
      </c>
      <c r="S564" s="74">
        <f t="shared" si="73"/>
        <v>4.7525011146192981E-5</v>
      </c>
      <c r="U564" s="81">
        <f t="shared" si="74"/>
        <v>2.3928199999999955E-2</v>
      </c>
      <c r="W564" s="80">
        <v>0.97607180000000004</v>
      </c>
    </row>
    <row r="565" spans="2:23" x14ac:dyDescent="0.3">
      <c r="B565">
        <v>40</v>
      </c>
      <c r="C565">
        <v>6</v>
      </c>
      <c r="D565">
        <v>140.22999999999999</v>
      </c>
      <c r="R565" s="73">
        <f t="shared" si="75"/>
        <v>4.1467858370577689E-5</v>
      </c>
      <c r="S565" s="74">
        <f t="shared" si="73"/>
        <v>4.2484434414125774E-5</v>
      </c>
      <c r="U565" s="81">
        <f t="shared" si="74"/>
        <v>2.513450000000006E-2</v>
      </c>
      <c r="W565" s="80">
        <v>0.97486549999999994</v>
      </c>
    </row>
    <row r="566" spans="2:23" x14ac:dyDescent="0.3">
      <c r="B566">
        <v>40</v>
      </c>
      <c r="C566">
        <v>6</v>
      </c>
      <c r="D566">
        <v>178.41</v>
      </c>
      <c r="R566" s="73">
        <f t="shared" si="75"/>
        <v>3.1595075955994822E-5</v>
      </c>
      <c r="S566" s="74">
        <f t="shared" si="73"/>
        <v>3.2409676982101455E-5</v>
      </c>
      <c r="U566" s="81">
        <f t="shared" si="74"/>
        <v>2.6340799999999942E-2</v>
      </c>
      <c r="W566" s="80">
        <v>0.97365920000000006</v>
      </c>
    </row>
    <row r="567" spans="2:23" x14ac:dyDescent="0.3">
      <c r="B567">
        <v>40</v>
      </c>
      <c r="C567">
        <v>6</v>
      </c>
      <c r="D567">
        <v>211.14</v>
      </c>
      <c r="R567" s="73">
        <f t="shared" si="75"/>
        <v>2.9666972196763076E-5</v>
      </c>
      <c r="S567" s="74">
        <f t="shared" si="73"/>
        <v>3.0469564912202417E-5</v>
      </c>
      <c r="U567" s="81">
        <f t="shared" si="74"/>
        <v>2.7311799999999997E-2</v>
      </c>
      <c r="W567" s="80">
        <v>0.9726882</v>
      </c>
    </row>
    <row r="568" spans="2:23" x14ac:dyDescent="0.3">
      <c r="B568">
        <v>40</v>
      </c>
      <c r="C568">
        <v>6</v>
      </c>
      <c r="D568">
        <v>249.32</v>
      </c>
      <c r="R568" s="73">
        <f t="shared" si="75"/>
        <v>2.1574122577268038E-5</v>
      </c>
      <c r="S568" s="74">
        <f t="shared" si="73"/>
        <v>2.2179895445701958E-5</v>
      </c>
      <c r="U568" s="81">
        <f t="shared" si="74"/>
        <v>2.8135500000000091E-2</v>
      </c>
      <c r="W568" s="80">
        <v>0.97186449999999991</v>
      </c>
    </row>
    <row r="569" spans="2:23" x14ac:dyDescent="0.3">
      <c r="B569">
        <v>40</v>
      </c>
      <c r="C569">
        <v>6</v>
      </c>
      <c r="D569">
        <v>280.23</v>
      </c>
      <c r="R569" s="73">
        <f t="shared" si="75"/>
        <v>2.5700420575860926E-5</v>
      </c>
      <c r="S569" s="74">
        <f t="shared" si="73"/>
        <v>2.6444448352482192E-5</v>
      </c>
      <c r="U569" s="81">
        <f t="shared" si="74"/>
        <v>2.8929899999999953E-2</v>
      </c>
      <c r="W569" s="80">
        <v>0.97107010000000005</v>
      </c>
    </row>
    <row r="570" spans="2:23" x14ac:dyDescent="0.3">
      <c r="B570">
        <v>40</v>
      </c>
      <c r="C570">
        <v>6</v>
      </c>
      <c r="D570">
        <v>322.95</v>
      </c>
      <c r="R570" s="73">
        <f t="shared" si="75"/>
        <v>1.7902621722846687E-5</v>
      </c>
      <c r="S570" s="74">
        <f t="shared" si="73"/>
        <v>1.8435972565571408E-5</v>
      </c>
      <c r="U570" s="81">
        <f t="shared" si="74"/>
        <v>2.9694699999999963E-2</v>
      </c>
      <c r="W570" s="80">
        <v>0.97030530000000004</v>
      </c>
    </row>
    <row r="571" spans="2:23" x14ac:dyDescent="0.3">
      <c r="B571">
        <v>40</v>
      </c>
      <c r="C571">
        <v>6</v>
      </c>
      <c r="D571">
        <v>378.4</v>
      </c>
      <c r="R571" s="73">
        <f t="shared" si="75"/>
        <v>1.8037871956717886E-5</v>
      </c>
      <c r="S571" s="74">
        <f t="shared" si="73"/>
        <v>1.8589893260108843E-5</v>
      </c>
      <c r="U571" s="81">
        <f t="shared" si="74"/>
        <v>3.0694899999999969E-2</v>
      </c>
      <c r="W571" s="80">
        <v>0.96930510000000003</v>
      </c>
    </row>
    <row r="572" spans="2:23" x14ac:dyDescent="0.3">
      <c r="B572">
        <v>40</v>
      </c>
      <c r="C572">
        <v>6</v>
      </c>
      <c r="D572">
        <v>432.94</v>
      </c>
      <c r="R572" s="73">
        <f t="shared" si="75"/>
        <v>1.2944627796112654E-5</v>
      </c>
      <c r="S572" s="74">
        <f t="shared" si="73"/>
        <v>1.3354544194715012E-5</v>
      </c>
      <c r="U572" s="81">
        <f t="shared" si="74"/>
        <v>3.1400899999999954E-2</v>
      </c>
      <c r="W572" s="80">
        <v>0.96859910000000005</v>
      </c>
    </row>
    <row r="573" spans="2:23" x14ac:dyDescent="0.3">
      <c r="B573">
        <v>40</v>
      </c>
      <c r="C573">
        <v>6</v>
      </c>
      <c r="D573">
        <v>517.48</v>
      </c>
      <c r="R573" s="73">
        <f t="shared" si="75"/>
        <v>1.1132008516678824E-5</v>
      </c>
      <c r="S573" s="74">
        <f t="shared" si="73"/>
        <v>1.1492895788029148E-5</v>
      </c>
      <c r="U573" s="81">
        <f t="shared" si="74"/>
        <v>3.2341999999999982E-2</v>
      </c>
      <c r="W573" s="80">
        <v>0.96765800000000002</v>
      </c>
    </row>
    <row r="574" spans="2:23" x14ac:dyDescent="0.3">
      <c r="B574">
        <v>40</v>
      </c>
      <c r="C574">
        <v>6</v>
      </c>
      <c r="D574">
        <v>545.66</v>
      </c>
      <c r="R574" s="73">
        <f t="shared" si="75"/>
        <v>5.2164655784286557E-6</v>
      </c>
      <c r="S574" s="74">
        <f t="shared" si="73"/>
        <v>5.3908153277590384E-6</v>
      </c>
      <c r="U574" s="81">
        <f t="shared" si="74"/>
        <v>3.2489000000000101E-2</v>
      </c>
      <c r="W574" s="80">
        <v>0.9675109999999999</v>
      </c>
    </row>
    <row r="575" spans="2:23" x14ac:dyDescent="0.3">
      <c r="B575">
        <v>40</v>
      </c>
      <c r="C575">
        <v>6</v>
      </c>
      <c r="D575">
        <v>589.29</v>
      </c>
      <c r="R575" s="73">
        <f t="shared" si="75"/>
        <v>1.0786156314459701E-5</v>
      </c>
      <c r="S575" s="74">
        <f t="shared" si="73"/>
        <v>1.1148355227444133E-5</v>
      </c>
      <c r="U575" s="81">
        <f t="shared" si="74"/>
        <v>3.2959599999999978E-2</v>
      </c>
      <c r="W575" s="80">
        <v>0.96704040000000002</v>
      </c>
    </row>
    <row r="576" spans="2:23" x14ac:dyDescent="0.3">
      <c r="B576">
        <v>40</v>
      </c>
      <c r="C576">
        <v>6</v>
      </c>
      <c r="D576">
        <v>619.29</v>
      </c>
      <c r="R576" s="73">
        <f t="shared" si="75"/>
        <v>1.0783333333334403E-5</v>
      </c>
      <c r="S576" s="74">
        <f t="shared" si="73"/>
        <v>1.1150861260123573E-5</v>
      </c>
      <c r="U576" s="81">
        <f t="shared" si="74"/>
        <v>3.328310000000001E-2</v>
      </c>
      <c r="W576" s="80">
        <v>0.96671689999999999</v>
      </c>
    </row>
    <row r="577" spans="2:23" x14ac:dyDescent="0.3">
      <c r="B577">
        <v>40</v>
      </c>
      <c r="C577">
        <v>6</v>
      </c>
      <c r="D577">
        <v>732.05</v>
      </c>
      <c r="R577" s="73">
        <f t="shared" si="75"/>
        <v>9.9308265342320343E-6</v>
      </c>
      <c r="S577" s="74">
        <f t="shared" si="73"/>
        <v>1.0272735000528113E-5</v>
      </c>
      <c r="U577" s="81">
        <f t="shared" si="74"/>
        <v>3.4402900000000014E-2</v>
      </c>
      <c r="W577" s="80">
        <v>0.96559709999999999</v>
      </c>
    </row>
    <row r="578" spans="2:23" x14ac:dyDescent="0.3">
      <c r="B578">
        <v>40</v>
      </c>
      <c r="C578">
        <v>6</v>
      </c>
      <c r="D578">
        <v>764.12</v>
      </c>
      <c r="R578" s="73">
        <f t="shared" si="75"/>
        <v>6.9317118802621846E-6</v>
      </c>
      <c r="S578" s="74">
        <f t="shared" si="73"/>
        <v>7.1786792651533283E-6</v>
      </c>
      <c r="U578" s="81">
        <f t="shared" si="74"/>
        <v>3.4625200000000023E-2</v>
      </c>
      <c r="W578" s="80">
        <v>0.96537479999999998</v>
      </c>
    </row>
    <row r="579" spans="2:23" x14ac:dyDescent="0.3">
      <c r="B579">
        <v>40</v>
      </c>
      <c r="C579">
        <v>6</v>
      </c>
      <c r="D579">
        <v>824.82</v>
      </c>
      <c r="R579" s="73">
        <f t="shared" si="75"/>
        <v>7.9341021416780812E-6</v>
      </c>
      <c r="S579" s="74">
        <f t="shared" si="73"/>
        <v>8.2186754218963263E-6</v>
      </c>
      <c r="U579" s="81">
        <f t="shared" si="74"/>
        <v>3.5106799999999883E-2</v>
      </c>
      <c r="W579" s="80">
        <v>0.96489320000000012</v>
      </c>
    </row>
    <row r="580" spans="2:23" x14ac:dyDescent="0.3">
      <c r="B580">
        <v>40</v>
      </c>
      <c r="C580">
        <v>6</v>
      </c>
      <c r="D580">
        <v>939.35</v>
      </c>
      <c r="R580" s="73">
        <f t="shared" si="75"/>
        <v>8.0869641142077228E-6</v>
      </c>
      <c r="S580" s="74">
        <f t="shared" si="73"/>
        <v>8.3812012709880437E-6</v>
      </c>
      <c r="U580" s="81">
        <f t="shared" si="74"/>
        <v>3.6033000000000093E-2</v>
      </c>
      <c r="W580" s="80">
        <v>0.96396699999999991</v>
      </c>
    </row>
    <row r="581" spans="2:23" x14ac:dyDescent="0.3">
      <c r="B581">
        <v>40</v>
      </c>
      <c r="C581">
        <v>6</v>
      </c>
      <c r="D581">
        <v>1026.3900000000001</v>
      </c>
      <c r="R581" s="73">
        <f t="shared" si="75"/>
        <v>1.405101102941018E-5</v>
      </c>
      <c r="S581" s="74">
        <f t="shared" si="73"/>
        <v>1.4576236561428121E-5</v>
      </c>
      <c r="U581" s="81">
        <f t="shared" si="74"/>
        <v>3.7255999999999956E-2</v>
      </c>
      <c r="W581" s="80">
        <v>0.96274400000000004</v>
      </c>
    </row>
    <row r="582" spans="2:23" x14ac:dyDescent="0.3">
      <c r="B582">
        <v>40</v>
      </c>
      <c r="C582">
        <v>6</v>
      </c>
      <c r="D582">
        <v>1089.3800000000001</v>
      </c>
      <c r="R582" s="73">
        <f t="shared" si="75"/>
        <v>1.4119701539925845E-5</v>
      </c>
      <c r="S582" s="74">
        <f t="shared" si="73"/>
        <v>1.4666101829692883E-5</v>
      </c>
      <c r="U582" s="81">
        <f t="shared" si="74"/>
        <v>3.8145399999999885E-2</v>
      </c>
      <c r="W582" s="80">
        <v>0.96185460000000012</v>
      </c>
    </row>
    <row r="583" spans="2:23" x14ac:dyDescent="0.3">
      <c r="B583">
        <v>40</v>
      </c>
      <c r="C583">
        <v>6</v>
      </c>
      <c r="D583">
        <v>1178.72</v>
      </c>
      <c r="R583" s="73">
        <f t="shared" si="75"/>
        <v>1.2444593687039491E-5</v>
      </c>
      <c r="S583" s="74">
        <f t="shared" si="73"/>
        <v>1.2938123586495808E-5</v>
      </c>
      <c r="U583" s="81">
        <f t="shared" si="74"/>
        <v>3.9257199999999992E-2</v>
      </c>
      <c r="W583" s="80">
        <v>0.96074280000000001</v>
      </c>
    </row>
    <row r="584" spans="2:23" x14ac:dyDescent="0.3">
      <c r="B584">
        <v>40</v>
      </c>
      <c r="C584">
        <v>6</v>
      </c>
      <c r="D584">
        <v>1254.31</v>
      </c>
      <c r="R584" s="73">
        <f t="shared" si="75"/>
        <v>8.822595581426465E-6</v>
      </c>
      <c r="S584" s="74">
        <f t="shared" si="73"/>
        <v>9.1830983083364927E-6</v>
      </c>
      <c r="U584" s="81">
        <f t="shared" si="74"/>
        <v>3.9924100000000018E-2</v>
      </c>
      <c r="W584" s="80">
        <v>0.96007589999999998</v>
      </c>
    </row>
    <row r="585" spans="2:23" x14ac:dyDescent="0.3">
      <c r="B585">
        <v>40</v>
      </c>
      <c r="C585">
        <v>6</v>
      </c>
      <c r="D585">
        <v>1421.52</v>
      </c>
      <c r="R585" s="73">
        <f t="shared" si="75"/>
        <v>1.3963279708150581E-5</v>
      </c>
      <c r="S585" s="74">
        <f t="shared" si="73"/>
        <v>1.4543933149608882E-5</v>
      </c>
      <c r="U585" s="81">
        <f t="shared" si="74"/>
        <v>4.2258899999999877E-2</v>
      </c>
      <c r="W585" s="80">
        <v>0.95774110000000012</v>
      </c>
    </row>
    <row r="586" spans="2:23" x14ac:dyDescent="0.3">
      <c r="B586">
        <v>40</v>
      </c>
      <c r="C586">
        <v>6</v>
      </c>
      <c r="D586">
        <v>1475.35</v>
      </c>
      <c r="R586" s="73">
        <f t="shared" si="75"/>
        <v>1.1012446591121321E-5</v>
      </c>
      <c r="S586" s="74">
        <f t="shared" si="73"/>
        <v>1.1498354399869986E-5</v>
      </c>
      <c r="U586" s="81">
        <f t="shared" si="74"/>
        <v>4.2851699999999937E-2</v>
      </c>
      <c r="W586" s="80">
        <v>0.95714830000000006</v>
      </c>
    </row>
    <row r="587" spans="2:23" x14ac:dyDescent="0.3">
      <c r="B587">
        <v>40</v>
      </c>
      <c r="C587">
        <v>6</v>
      </c>
      <c r="D587">
        <v>1640.27</v>
      </c>
      <c r="R587" s="73">
        <f t="shared" si="75"/>
        <v>9.4360902255639509E-6</v>
      </c>
      <c r="S587" s="74">
        <f t="shared" ref="S587:S618" si="76">IF(D587&gt;D586,(U587-U586)/W586/(D587-D586),0)</f>
        <v>9.8585456669190655E-6</v>
      </c>
      <c r="U587" s="81">
        <f t="shared" si="74"/>
        <v>4.4407899999999945E-2</v>
      </c>
      <c r="W587" s="80">
        <v>0.95559210000000006</v>
      </c>
    </row>
    <row r="588" spans="2:23" x14ac:dyDescent="0.3">
      <c r="B588">
        <v>40</v>
      </c>
      <c r="C588">
        <v>6</v>
      </c>
      <c r="D588">
        <v>1790.3</v>
      </c>
      <c r="R588" s="73">
        <f t="shared" si="75"/>
        <v>7.4078517629813757E-6</v>
      </c>
      <c r="S588" s="74">
        <f t="shared" si="76"/>
        <v>7.7521065347666394E-6</v>
      </c>
      <c r="U588" s="81">
        <f t="shared" si="74"/>
        <v>4.551930000000004E-2</v>
      </c>
      <c r="W588" s="80">
        <v>0.95448069999999996</v>
      </c>
    </row>
    <row r="589" spans="2:23" x14ac:dyDescent="0.3">
      <c r="B589">
        <v>40</v>
      </c>
      <c r="C589">
        <v>6</v>
      </c>
      <c r="D589">
        <v>1934</v>
      </c>
      <c r="R589" s="73">
        <f>IF(D589&gt;D588,(U589-U588)/1/(D589-D588),0)</f>
        <v>9.3347251217810479E-6</v>
      </c>
      <c r="S589" s="74">
        <f t="shared" si="76"/>
        <v>9.7798992916054238E-6</v>
      </c>
      <c r="U589" s="81">
        <f t="shared" si="74"/>
        <v>4.6860699999999977E-2</v>
      </c>
      <c r="W589" s="80">
        <v>0.95313930000000002</v>
      </c>
    </row>
    <row r="590" spans="2:23" x14ac:dyDescent="0.3">
      <c r="B590">
        <v>40</v>
      </c>
      <c r="C590">
        <v>6</v>
      </c>
      <c r="D590">
        <v>2067.4699999999998</v>
      </c>
      <c r="R590" s="73">
        <f t="shared" si="75"/>
        <v>6.8187607702107304E-6</v>
      </c>
      <c r="S590" s="74">
        <f t="shared" si="76"/>
        <v>7.1540023270583115E-6</v>
      </c>
      <c r="U590" s="81">
        <f t="shared" si="74"/>
        <v>4.7770800000000002E-2</v>
      </c>
      <c r="W590" s="80">
        <v>0.9522292</v>
      </c>
    </row>
    <row r="591" spans="2:23" x14ac:dyDescent="0.3">
      <c r="B591">
        <v>40</v>
      </c>
      <c r="C591">
        <v>6</v>
      </c>
      <c r="D591">
        <v>2190.84</v>
      </c>
      <c r="R591" s="73">
        <f t="shared" si="75"/>
        <v>6.0525249250221852E-6</v>
      </c>
      <c r="S591" s="74">
        <f t="shared" si="76"/>
        <v>6.3561639624390686E-6</v>
      </c>
      <c r="U591" s="81">
        <f t="shared" si="74"/>
        <v>4.8517499999999991E-2</v>
      </c>
      <c r="W591" s="80">
        <v>0.95148250000000001</v>
      </c>
    </row>
    <row r="592" spans="2:23" x14ac:dyDescent="0.3">
      <c r="B592">
        <v>40</v>
      </c>
      <c r="C592">
        <v>6</v>
      </c>
      <c r="D592">
        <v>2370.4899999999998</v>
      </c>
      <c r="R592" s="73">
        <f t="shared" si="75"/>
        <v>5.9738380183690429E-6</v>
      </c>
      <c r="S592" s="74">
        <f>IF(D592&gt;D591,(U592-U591)/W591/(D592-D591),0)</f>
        <v>6.2784528547493442E-6</v>
      </c>
      <c r="U592" s="81">
        <f t="shared" si="74"/>
        <v>4.9590699999999988E-2</v>
      </c>
      <c r="W592" s="80">
        <v>0.95040930000000001</v>
      </c>
    </row>
    <row r="593" spans="2:23" x14ac:dyDescent="0.3">
      <c r="B593">
        <v>40</v>
      </c>
      <c r="C593">
        <v>6</v>
      </c>
      <c r="D593">
        <v>2519.12</v>
      </c>
      <c r="R593" s="73">
        <f t="shared" si="75"/>
        <v>7.8517123057258181E-6</v>
      </c>
      <c r="S593" s="74">
        <f t="shared" si="76"/>
        <v>8.2614009624335734E-6</v>
      </c>
      <c r="U593" s="81">
        <f t="shared" si="74"/>
        <v>5.0757700000000017E-2</v>
      </c>
      <c r="W593" s="80">
        <v>0.94924229999999998</v>
      </c>
    </row>
    <row r="594" spans="2:23" x14ac:dyDescent="0.3">
      <c r="B594">
        <v>40</v>
      </c>
      <c r="C594">
        <v>6</v>
      </c>
      <c r="D594">
        <v>2638.89</v>
      </c>
      <c r="R594" s="73">
        <f t="shared" si="75"/>
        <v>6.4289888953832221E-6</v>
      </c>
      <c r="S594" s="74">
        <f t="shared" si="76"/>
        <v>6.7727585416107379E-6</v>
      </c>
      <c r="U594" s="81">
        <f t="shared" si="74"/>
        <v>5.1527700000000065E-2</v>
      </c>
      <c r="W594" s="80">
        <v>0.94847229999999993</v>
      </c>
    </row>
    <row r="595" spans="2:23" x14ac:dyDescent="0.3">
      <c r="B595">
        <v>40</v>
      </c>
      <c r="C595">
        <v>6</v>
      </c>
      <c r="D595">
        <v>2735.56</v>
      </c>
      <c r="R595" s="73">
        <f t="shared" si="75"/>
        <v>6.7590772731965932E-6</v>
      </c>
      <c r="S595" s="74">
        <f t="shared" si="76"/>
        <v>7.1262779874505493E-6</v>
      </c>
      <c r="U595" s="81">
        <f t="shared" si="74"/>
        <v>5.218109999999998E-2</v>
      </c>
      <c r="W595" s="80">
        <v>0.94781890000000002</v>
      </c>
    </row>
    <row r="596" spans="2:23" x14ac:dyDescent="0.3">
      <c r="B596">
        <v>40</v>
      </c>
      <c r="C596">
        <v>6</v>
      </c>
      <c r="D596">
        <v>2848.12</v>
      </c>
      <c r="R596" s="73">
        <f t="shared" si="75"/>
        <v>4.973347547974409E-6</v>
      </c>
      <c r="S596" s="74">
        <f t="shared" si="76"/>
        <v>5.2471495851943957E-6</v>
      </c>
      <c r="U596" s="81">
        <f t="shared" si="74"/>
        <v>5.2740899999999979E-2</v>
      </c>
      <c r="W596" s="80">
        <v>0.94725910000000002</v>
      </c>
    </row>
    <row r="597" spans="2:23" x14ac:dyDescent="0.3">
      <c r="B597">
        <v>40</v>
      </c>
      <c r="C597">
        <v>6</v>
      </c>
      <c r="D597">
        <v>2989.53</v>
      </c>
      <c r="R597" s="73">
        <f t="shared" si="75"/>
        <v>8.5828442118660749E-6</v>
      </c>
      <c r="S597" s="74">
        <f t="shared" si="76"/>
        <v>9.0607144464128917E-6</v>
      </c>
      <c r="U597" s="81">
        <f t="shared" si="74"/>
        <v>5.3954599999999964E-2</v>
      </c>
      <c r="W597" s="80">
        <v>0.94604540000000004</v>
      </c>
    </row>
    <row r="598" spans="2:23" x14ac:dyDescent="0.3">
      <c r="B598">
        <v>40</v>
      </c>
      <c r="C598">
        <v>6</v>
      </c>
      <c r="D598">
        <v>3102.08</v>
      </c>
      <c r="R598" s="73">
        <f t="shared" si="75"/>
        <v>5.3896046201689393E-6</v>
      </c>
      <c r="S598" s="74">
        <f t="shared" si="76"/>
        <v>5.696983062513637E-6</v>
      </c>
      <c r="U598" s="81">
        <f t="shared" si="74"/>
        <v>5.4561199999999976E-2</v>
      </c>
      <c r="W598" s="80">
        <v>0.94543880000000002</v>
      </c>
    </row>
    <row r="599" spans="2:23" x14ac:dyDescent="0.3">
      <c r="B599">
        <v>41</v>
      </c>
      <c r="C599">
        <v>6</v>
      </c>
      <c r="D599">
        <v>0</v>
      </c>
      <c r="R599" s="73">
        <f t="shared" si="75"/>
        <v>0</v>
      </c>
      <c r="S599" s="74">
        <f t="shared" si="76"/>
        <v>0</v>
      </c>
      <c r="U599" s="81">
        <f t="shared" si="74"/>
        <v>0</v>
      </c>
      <c r="W599" s="80">
        <v>1</v>
      </c>
    </row>
    <row r="600" spans="2:23" x14ac:dyDescent="0.3">
      <c r="B600">
        <v>41</v>
      </c>
      <c r="C600">
        <v>6</v>
      </c>
      <c r="D600">
        <v>1.3</v>
      </c>
      <c r="R600" s="73">
        <f t="shared" si="75"/>
        <v>4.5205384615385133E-3</v>
      </c>
      <c r="S600" s="73">
        <f t="shared" si="76"/>
        <v>4.5205384615385133E-3</v>
      </c>
      <c r="U600" s="81">
        <f t="shared" si="74"/>
        <v>5.876700000000068E-3</v>
      </c>
      <c r="W600" s="80">
        <v>0.99412329999999993</v>
      </c>
    </row>
    <row r="601" spans="2:23" x14ac:dyDescent="0.3">
      <c r="B601">
        <v>41</v>
      </c>
      <c r="C601">
        <v>6</v>
      </c>
      <c r="D601">
        <v>5.89</v>
      </c>
      <c r="R601" s="73">
        <f t="shared" si="75"/>
        <v>6.3006535947710126E-4</v>
      </c>
      <c r="S601" s="74">
        <f t="shared" si="76"/>
        <v>6.3378995289326923E-4</v>
      </c>
      <c r="U601" s="81">
        <f t="shared" si="74"/>
        <v>8.7686999999999626E-3</v>
      </c>
      <c r="W601" s="80">
        <v>0.99123130000000004</v>
      </c>
    </row>
    <row r="602" spans="2:23" x14ac:dyDescent="0.3">
      <c r="B602">
        <v>41</v>
      </c>
      <c r="C602">
        <v>6</v>
      </c>
      <c r="D602">
        <v>18.5</v>
      </c>
      <c r="R602" s="73">
        <f t="shared" si="75"/>
        <v>4.0134020618556979E-4</v>
      </c>
      <c r="S602" s="74">
        <f t="shared" si="76"/>
        <v>4.0489057012784986E-4</v>
      </c>
      <c r="U602" s="81">
        <f t="shared" si="74"/>
        <v>1.3829599999999997E-2</v>
      </c>
      <c r="W602" s="80">
        <v>0.9861704</v>
      </c>
    </row>
    <row r="603" spans="2:23" x14ac:dyDescent="0.3">
      <c r="B603">
        <v>41</v>
      </c>
      <c r="C603">
        <v>6</v>
      </c>
      <c r="D603">
        <v>32.82</v>
      </c>
      <c r="R603" s="73">
        <f t="shared" si="75"/>
        <v>1.6958798882681951E-4</v>
      </c>
      <c r="S603" s="74">
        <f t="shared" si="76"/>
        <v>1.7196621276284455E-4</v>
      </c>
      <c r="U603" s="81">
        <f t="shared" si="74"/>
        <v>1.6258100000000053E-2</v>
      </c>
      <c r="W603" s="80">
        <v>0.98374189999999995</v>
      </c>
    </row>
    <row r="604" spans="2:23" x14ac:dyDescent="0.3">
      <c r="B604">
        <v>41</v>
      </c>
      <c r="C604">
        <v>6</v>
      </c>
      <c r="D604">
        <v>54.01</v>
      </c>
      <c r="R604" s="73">
        <f t="shared" si="75"/>
        <v>9.0103822557805182E-5</v>
      </c>
      <c r="S604" s="74">
        <f t="shared" si="76"/>
        <v>9.1592949896517767E-5</v>
      </c>
      <c r="U604" s="81">
        <f t="shared" si="74"/>
        <v>1.8167399999999945E-2</v>
      </c>
      <c r="W604" s="80">
        <v>0.98183260000000006</v>
      </c>
    </row>
    <row r="605" spans="2:23" x14ac:dyDescent="0.3">
      <c r="B605">
        <v>41</v>
      </c>
      <c r="C605">
        <v>6</v>
      </c>
      <c r="D605">
        <v>87.8</v>
      </c>
      <c r="R605" s="73">
        <f t="shared" si="75"/>
        <v>5.5406925125779861E-5</v>
      </c>
      <c r="S605" s="74">
        <f t="shared" si="76"/>
        <v>5.6432150578194144E-5</v>
      </c>
      <c r="U605" s="81">
        <f t="shared" si="74"/>
        <v>2.0039600000000046E-2</v>
      </c>
      <c r="W605" s="80">
        <v>0.97996039999999995</v>
      </c>
    </row>
    <row r="606" spans="2:23" x14ac:dyDescent="0.3">
      <c r="B606">
        <v>41</v>
      </c>
      <c r="C606">
        <v>6</v>
      </c>
      <c r="D606">
        <v>140.49</v>
      </c>
      <c r="R606" s="73">
        <f t="shared" si="75"/>
        <v>3.72898083127726E-5</v>
      </c>
      <c r="S606" s="74">
        <f t="shared" si="76"/>
        <v>3.8052362435025542E-5</v>
      </c>
      <c r="U606" s="81">
        <f t="shared" si="74"/>
        <v>2.2004400000000035E-2</v>
      </c>
      <c r="W606" s="80">
        <v>0.97799559999999996</v>
      </c>
    </row>
    <row r="607" spans="2:23" x14ac:dyDescent="0.3">
      <c r="B607">
        <v>41</v>
      </c>
      <c r="C607">
        <v>6</v>
      </c>
      <c r="D607">
        <v>212.65</v>
      </c>
      <c r="R607" s="73">
        <f t="shared" si="75"/>
        <v>3.1592294900221672E-5</v>
      </c>
      <c r="S607" s="74">
        <f t="shared" si="76"/>
        <v>3.2303105351620879E-5</v>
      </c>
      <c r="U607" s="81">
        <f t="shared" si="74"/>
        <v>2.4284100000000031E-2</v>
      </c>
      <c r="W607" s="80">
        <v>0.97571589999999997</v>
      </c>
    </row>
    <row r="608" spans="2:23" x14ac:dyDescent="0.3">
      <c r="B608">
        <v>41</v>
      </c>
      <c r="C608">
        <v>6</v>
      </c>
      <c r="D608">
        <v>283.08999999999997</v>
      </c>
      <c r="R608" s="73">
        <f t="shared" si="75"/>
        <v>2.947047132311058E-5</v>
      </c>
      <c r="S608" s="74">
        <f t="shared" si="76"/>
        <v>3.0203946992265457E-5</v>
      </c>
      <c r="U608" s="81">
        <f t="shared" si="74"/>
        <v>2.6359999999999939E-2</v>
      </c>
      <c r="W608" s="80">
        <v>0.97364000000000006</v>
      </c>
    </row>
    <row r="609" spans="2:23" x14ac:dyDescent="0.3">
      <c r="B609">
        <v>41</v>
      </c>
      <c r="C609">
        <v>6</v>
      </c>
      <c r="D609">
        <v>379.87</v>
      </c>
      <c r="R609" s="73">
        <f t="shared" si="75"/>
        <v>2.1064269477165859E-5</v>
      </c>
      <c r="S609" s="74">
        <f t="shared" si="76"/>
        <v>2.1634556383433158E-5</v>
      </c>
      <c r="U609" s="81">
        <f t="shared" si="74"/>
        <v>2.8398600000000052E-2</v>
      </c>
      <c r="W609" s="80">
        <v>0.97160139999999995</v>
      </c>
    </row>
    <row r="610" spans="2:23" x14ac:dyDescent="0.3">
      <c r="B610">
        <v>41</v>
      </c>
      <c r="C610">
        <v>6</v>
      </c>
      <c r="D610">
        <v>432.03</v>
      </c>
      <c r="R610" s="73">
        <f t="shared" si="75"/>
        <v>1.6936349693251134E-5</v>
      </c>
      <c r="S610" s="74">
        <f t="shared" si="76"/>
        <v>1.7431376378472835E-5</v>
      </c>
      <c r="U610" s="81">
        <f t="shared" si="74"/>
        <v>2.928200000000003E-2</v>
      </c>
      <c r="W610" s="80">
        <v>0.97071799999999997</v>
      </c>
    </row>
    <row r="611" spans="2:23" x14ac:dyDescent="0.3">
      <c r="B611">
        <v>41</v>
      </c>
      <c r="C611">
        <v>6</v>
      </c>
      <c r="D611">
        <v>520.20000000000005</v>
      </c>
      <c r="R611" s="73">
        <f t="shared" si="75"/>
        <v>1.467959623454655E-5</v>
      </c>
      <c r="S611" s="74">
        <f t="shared" si="76"/>
        <v>1.5122410663598029E-5</v>
      </c>
      <c r="U611" s="81">
        <f t="shared" si="74"/>
        <v>3.0576300000000001E-2</v>
      </c>
      <c r="W611" s="80">
        <v>0.9694237</v>
      </c>
    </row>
    <row r="612" spans="2:23" x14ac:dyDescent="0.3">
      <c r="B612">
        <v>41</v>
      </c>
      <c r="C612">
        <v>6</v>
      </c>
      <c r="D612">
        <v>622.02</v>
      </c>
      <c r="R612" s="73">
        <f t="shared" si="75"/>
        <v>1.6178550383027971E-5</v>
      </c>
      <c r="S612" s="74">
        <f t="shared" si="76"/>
        <v>1.668883315213768E-5</v>
      </c>
      <c r="U612" s="81">
        <f t="shared" si="74"/>
        <v>3.2223599999999908E-2</v>
      </c>
      <c r="W612" s="80">
        <v>0.96777640000000009</v>
      </c>
    </row>
    <row r="613" spans="2:23" x14ac:dyDescent="0.3">
      <c r="B613">
        <v>41</v>
      </c>
      <c r="C613">
        <v>6</v>
      </c>
      <c r="D613">
        <v>733.83</v>
      </c>
      <c r="R613" s="73">
        <f t="shared" si="75"/>
        <v>1.2627671943476717E-5</v>
      </c>
      <c r="S613" s="74">
        <f t="shared" si="76"/>
        <v>1.3048129654201855E-5</v>
      </c>
      <c r="U613" s="81">
        <f t="shared" si="74"/>
        <v>3.363550000000004E-2</v>
      </c>
      <c r="W613" s="80">
        <v>0.96636449999999996</v>
      </c>
    </row>
    <row r="614" spans="2:23" x14ac:dyDescent="0.3">
      <c r="B614">
        <v>41</v>
      </c>
      <c r="C614">
        <v>6</v>
      </c>
      <c r="D614">
        <v>829.27</v>
      </c>
      <c r="R614" s="73">
        <f t="shared" si="75"/>
        <v>1.1401927912824646E-5</v>
      </c>
      <c r="S614" s="74">
        <f t="shared" si="76"/>
        <v>1.1798785978608122E-5</v>
      </c>
      <c r="U614" s="81">
        <f t="shared" si="74"/>
        <v>3.4723700000000024E-2</v>
      </c>
      <c r="W614" s="80">
        <v>0.96527629999999998</v>
      </c>
    </row>
    <row r="615" spans="2:23" x14ac:dyDescent="0.3">
      <c r="B615">
        <v>41</v>
      </c>
      <c r="C615">
        <v>6</v>
      </c>
      <c r="D615">
        <v>941.99</v>
      </c>
      <c r="R615" s="73">
        <f t="shared" si="75"/>
        <v>1.4614088005677943E-5</v>
      </c>
      <c r="S615" s="74">
        <f t="shared" si="76"/>
        <v>1.5139797802637383E-5</v>
      </c>
      <c r="U615" s="81">
        <f t="shared" si="74"/>
        <v>3.6371000000000042E-2</v>
      </c>
      <c r="W615" s="80">
        <v>0.96362899999999996</v>
      </c>
    </row>
    <row r="616" spans="2:23" x14ac:dyDescent="0.3">
      <c r="B616">
        <v>41</v>
      </c>
      <c r="C616">
        <v>6</v>
      </c>
      <c r="D616">
        <v>1026.53</v>
      </c>
      <c r="R616" s="73">
        <f t="shared" si="75"/>
        <v>1.6005441211259588E-5</v>
      </c>
      <c r="S616" s="74">
        <f t="shared" si="76"/>
        <v>1.660954704690248E-5</v>
      </c>
      <c r="U616" s="81">
        <f t="shared" si="74"/>
        <v>3.7724099999999927E-2</v>
      </c>
      <c r="W616" s="80">
        <v>0.96227590000000007</v>
      </c>
    </row>
    <row r="617" spans="2:23" x14ac:dyDescent="0.3">
      <c r="B617">
        <v>41</v>
      </c>
      <c r="C617">
        <v>6</v>
      </c>
      <c r="D617">
        <v>1178.72</v>
      </c>
      <c r="R617" s="73">
        <f t="shared" si="75"/>
        <v>1.3727577370393084E-5</v>
      </c>
      <c r="S617" s="74">
        <f t="shared" si="76"/>
        <v>1.4265739555976705E-5</v>
      </c>
      <c r="U617" s="81">
        <f t="shared" si="74"/>
        <v>3.9813300000000051E-2</v>
      </c>
      <c r="W617" s="80">
        <v>0.96018669999999995</v>
      </c>
    </row>
    <row r="618" spans="2:23" x14ac:dyDescent="0.3">
      <c r="B618">
        <v>41</v>
      </c>
      <c r="C618">
        <v>6</v>
      </c>
      <c r="D618">
        <v>1260.03</v>
      </c>
      <c r="R618" s="73">
        <f t="shared" si="75"/>
        <v>7.7456647398832007E-6</v>
      </c>
      <c r="S618" s="74">
        <f t="shared" si="76"/>
        <v>8.0668319399583453E-6</v>
      </c>
      <c r="U618" s="81">
        <f t="shared" si="74"/>
        <v>4.0443099999999954E-2</v>
      </c>
      <c r="W618" s="80">
        <v>0.95955690000000005</v>
      </c>
    </row>
    <row r="619" spans="2:23" x14ac:dyDescent="0.3">
      <c r="B619">
        <v>41</v>
      </c>
      <c r="C619">
        <v>6</v>
      </c>
      <c r="D619">
        <v>1427.25</v>
      </c>
      <c r="R619" s="73">
        <f t="shared" si="75"/>
        <v>1.1745006578160964E-5</v>
      </c>
      <c r="S619" s="74">
        <f t="shared" ref="S619:S633" si="77">IF(D619&gt;D618,(U619-U618)/W618/(D619-D618),0)</f>
        <v>1.2240031391740254E-5</v>
      </c>
      <c r="U619" s="81">
        <f t="shared" si="74"/>
        <v>4.2407100000000031E-2</v>
      </c>
      <c r="W619" s="80">
        <v>0.95759289999999997</v>
      </c>
    </row>
    <row r="620" spans="2:23" x14ac:dyDescent="0.3">
      <c r="B620">
        <v>41</v>
      </c>
      <c r="C620">
        <v>6</v>
      </c>
      <c r="D620">
        <v>1479.93</v>
      </c>
      <c r="R620" s="73">
        <f t="shared" si="75"/>
        <v>6.3287775246780334E-6</v>
      </c>
      <c r="S620" s="74">
        <f t="shared" si="77"/>
        <v>6.6090480878440448E-6</v>
      </c>
      <c r="U620" s="81">
        <f t="shared" ref="U620:U632" si="78">100%-W620</f>
        <v>4.274050000000007E-2</v>
      </c>
      <c r="W620" s="80">
        <v>0.95725949999999993</v>
      </c>
    </row>
    <row r="621" spans="2:23" x14ac:dyDescent="0.3">
      <c r="B621">
        <v>41</v>
      </c>
      <c r="C621">
        <v>6</v>
      </c>
      <c r="D621">
        <v>1642.56</v>
      </c>
      <c r="R621" s="73">
        <f t="shared" ref="R621:R684" si="79">IF(D621&gt;D620,(U621-U620)/1/(D621-D620),0)</f>
        <v>1.2304617844185381E-5</v>
      </c>
      <c r="S621" s="74">
        <f t="shared" si="77"/>
        <v>1.2854004420102784E-5</v>
      </c>
      <c r="U621" s="81">
        <f t="shared" si="78"/>
        <v>4.4741599999999937E-2</v>
      </c>
      <c r="W621" s="80">
        <v>0.95525840000000006</v>
      </c>
    </row>
    <row r="622" spans="2:23" x14ac:dyDescent="0.3">
      <c r="B622">
        <v>41</v>
      </c>
      <c r="C622">
        <v>6</v>
      </c>
      <c r="D622">
        <v>1794.89</v>
      </c>
      <c r="R622" s="73">
        <f t="shared" si="79"/>
        <v>8.2695463795712238E-6</v>
      </c>
      <c r="S622" s="74">
        <f t="shared" si="77"/>
        <v>8.6568685285271741E-6</v>
      </c>
      <c r="U622" s="81">
        <f t="shared" si="78"/>
        <v>4.6001300000000023E-2</v>
      </c>
      <c r="W622" s="80">
        <v>0.95399869999999998</v>
      </c>
    </row>
    <row r="623" spans="2:23" x14ac:dyDescent="0.3">
      <c r="B623">
        <v>41</v>
      </c>
      <c r="C623">
        <v>6</v>
      </c>
      <c r="D623">
        <v>1940.34</v>
      </c>
      <c r="R623" s="73">
        <f t="shared" si="79"/>
        <v>1.0699896871776946E-5</v>
      </c>
      <c r="S623" s="74">
        <f t="shared" si="77"/>
        <v>1.1215840096822928E-5</v>
      </c>
      <c r="U623" s="81">
        <f t="shared" si="78"/>
        <v>4.7557599999999978E-2</v>
      </c>
      <c r="W623" s="80">
        <v>0.95244240000000002</v>
      </c>
    </row>
    <row r="624" spans="2:23" x14ac:dyDescent="0.3">
      <c r="B624">
        <v>41</v>
      </c>
      <c r="C624">
        <v>6</v>
      </c>
      <c r="D624">
        <v>2069.7600000000002</v>
      </c>
      <c r="R624" s="73">
        <f t="shared" si="79"/>
        <v>9.7341987328072884E-6</v>
      </c>
      <c r="S624" s="74">
        <f t="shared" si="77"/>
        <v>1.0220249258965463E-5</v>
      </c>
      <c r="U624" s="81">
        <f t="shared" si="78"/>
        <v>4.88173999999999E-2</v>
      </c>
      <c r="W624" s="80">
        <v>0.9511826000000001</v>
      </c>
    </row>
    <row r="625" spans="2:23" x14ac:dyDescent="0.3">
      <c r="B625">
        <v>41</v>
      </c>
      <c r="C625">
        <v>6</v>
      </c>
      <c r="D625">
        <v>2192.3000000000002</v>
      </c>
      <c r="R625" s="73">
        <f t="shared" si="79"/>
        <v>8.4658070834019712E-6</v>
      </c>
      <c r="S625" s="74">
        <f t="shared" si="77"/>
        <v>8.9002964135403339E-6</v>
      </c>
      <c r="U625" s="81">
        <f t="shared" si="78"/>
        <v>4.9854799999999977E-2</v>
      </c>
      <c r="W625" s="80">
        <v>0.95014520000000002</v>
      </c>
    </row>
    <row r="626" spans="2:23" x14ac:dyDescent="0.3">
      <c r="B626">
        <v>41</v>
      </c>
      <c r="C626">
        <v>6</v>
      </c>
      <c r="D626">
        <v>2373.2600000000002</v>
      </c>
      <c r="R626" s="73">
        <f t="shared" si="79"/>
        <v>9.2136383731213404E-6</v>
      </c>
      <c r="S626" s="74">
        <f t="shared" si="77"/>
        <v>9.6970845857257821E-6</v>
      </c>
      <c r="U626" s="81">
        <f t="shared" si="78"/>
        <v>5.1522100000000015E-2</v>
      </c>
      <c r="W626" s="80">
        <v>0.94847789999999998</v>
      </c>
    </row>
    <row r="627" spans="2:23" x14ac:dyDescent="0.3">
      <c r="B627">
        <v>41</v>
      </c>
      <c r="C627">
        <v>6</v>
      </c>
      <c r="D627">
        <v>2520.96</v>
      </c>
      <c r="R627" s="73">
        <f t="shared" si="79"/>
        <v>1.1119160460392603E-5</v>
      </c>
      <c r="S627" s="74">
        <f t="shared" si="77"/>
        <v>1.1723162406201139E-5</v>
      </c>
      <c r="U627" s="81">
        <f t="shared" si="78"/>
        <v>5.3164400000000001E-2</v>
      </c>
      <c r="W627" s="80">
        <v>0.9468356</v>
      </c>
    </row>
    <row r="628" spans="2:23" x14ac:dyDescent="0.3">
      <c r="B628">
        <v>41</v>
      </c>
      <c r="C628">
        <v>6</v>
      </c>
      <c r="D628">
        <v>2639.14</v>
      </c>
      <c r="R628" s="73">
        <f t="shared" si="79"/>
        <v>7.9615840243688665E-6</v>
      </c>
      <c r="S628" s="74">
        <f t="shared" si="77"/>
        <v>8.4086234446284707E-6</v>
      </c>
      <c r="U628" s="81">
        <f t="shared" si="78"/>
        <v>5.4105299999999912E-2</v>
      </c>
      <c r="W628" s="80">
        <v>0.94589470000000009</v>
      </c>
    </row>
    <row r="629" spans="2:23" x14ac:dyDescent="0.3">
      <c r="B629">
        <v>41</v>
      </c>
      <c r="C629">
        <v>6</v>
      </c>
      <c r="D629">
        <v>2738.22</v>
      </c>
      <c r="R629" s="73">
        <f t="shared" si="79"/>
        <v>7.1225272507068206E-6</v>
      </c>
      <c r="S629" s="74">
        <f t="shared" si="77"/>
        <v>7.5299367368342588E-6</v>
      </c>
      <c r="U629" s="81">
        <f t="shared" si="78"/>
        <v>5.4810999999999943E-2</v>
      </c>
      <c r="W629" s="80">
        <v>0.94518900000000006</v>
      </c>
    </row>
    <row r="630" spans="2:23" x14ac:dyDescent="0.3">
      <c r="B630">
        <v>41</v>
      </c>
      <c r="C630">
        <v>6</v>
      </c>
      <c r="D630">
        <v>2849.12</v>
      </c>
      <c r="R630" s="73">
        <f t="shared" si="79"/>
        <v>7.1577998196579445E-6</v>
      </c>
      <c r="S630" s="74">
        <f t="shared" si="77"/>
        <v>7.5728767681997401E-6</v>
      </c>
      <c r="U630" s="81">
        <f t="shared" si="78"/>
        <v>5.560480000000001E-2</v>
      </c>
      <c r="W630" s="80">
        <v>0.94439519999999999</v>
      </c>
    </row>
    <row r="631" spans="2:23" x14ac:dyDescent="0.3">
      <c r="B631">
        <v>41</v>
      </c>
      <c r="C631">
        <v>6</v>
      </c>
      <c r="D631">
        <v>2990.93</v>
      </c>
      <c r="R631" s="73">
        <f t="shared" si="79"/>
        <v>1.0370213666172971E-5</v>
      </c>
      <c r="S631" s="74">
        <f t="shared" si="77"/>
        <v>1.0980798786538699E-5</v>
      </c>
      <c r="U631" s="81">
        <f t="shared" si="78"/>
        <v>5.7075399999999998E-2</v>
      </c>
      <c r="W631" s="80">
        <v>0.9429246</v>
      </c>
    </row>
    <row r="632" spans="2:23" x14ac:dyDescent="0.3">
      <c r="B632">
        <v>41</v>
      </c>
      <c r="C632">
        <v>6</v>
      </c>
      <c r="D632">
        <v>3102.09</v>
      </c>
      <c r="R632" s="73">
        <f t="shared" si="79"/>
        <v>6.7992083483264756E-6</v>
      </c>
      <c r="S632" s="74">
        <f t="shared" si="77"/>
        <v>7.2107656840498971E-6</v>
      </c>
      <c r="U632" s="81">
        <f t="shared" si="78"/>
        <v>5.7831199999999972E-2</v>
      </c>
      <c r="W632" s="80">
        <v>0.94216880000000003</v>
      </c>
    </row>
    <row r="633" spans="2:23" x14ac:dyDescent="0.3">
      <c r="B633">
        <v>46</v>
      </c>
      <c r="C633">
        <v>31</v>
      </c>
      <c r="D633">
        <v>0</v>
      </c>
      <c r="E633" s="64">
        <v>40998</v>
      </c>
      <c r="R633" s="73">
        <f t="shared" si="79"/>
        <v>0</v>
      </c>
      <c r="S633" s="74">
        <f t="shared" si="77"/>
        <v>0</v>
      </c>
      <c r="U633" s="81">
        <f t="shared" ref="U633:U667" si="80">100%-W633</f>
        <v>0</v>
      </c>
      <c r="W633" s="80">
        <v>1</v>
      </c>
    </row>
    <row r="634" spans="2:23" x14ac:dyDescent="0.3">
      <c r="B634">
        <v>46</v>
      </c>
      <c r="C634">
        <v>31</v>
      </c>
      <c r="D634">
        <v>5.1310000000000002</v>
      </c>
      <c r="E634" s="64">
        <f t="shared" ref="E634:E665" si="81">E633+D634-D633</f>
        <v>41003.131000000001</v>
      </c>
      <c r="R634" s="73">
        <f t="shared" si="79"/>
        <v>1.4714480608069794E-4</v>
      </c>
      <c r="S634" s="74">
        <f t="shared" ref="S634:S667" si="82">IF(D634&gt;D633,(U634-U633)/W633/(D634-D633),0)</f>
        <v>1.4714480608069794E-4</v>
      </c>
      <c r="U634" s="81">
        <f t="shared" si="80"/>
        <v>7.5500000000006118E-4</v>
      </c>
      <c r="W634" s="80">
        <v>0.99924499999999994</v>
      </c>
    </row>
    <row r="635" spans="2:23" x14ac:dyDescent="0.3">
      <c r="B635">
        <v>46</v>
      </c>
      <c r="C635">
        <v>31</v>
      </c>
      <c r="D635">
        <v>10.865</v>
      </c>
      <c r="E635" s="64">
        <f t="shared" si="81"/>
        <v>41008.864999999998</v>
      </c>
      <c r="R635" s="73">
        <f t="shared" si="79"/>
        <v>9.1733519358218769E-5</v>
      </c>
      <c r="S635" s="74">
        <f t="shared" si="82"/>
        <v>9.1802830495242699E-5</v>
      </c>
      <c r="U635" s="81">
        <f t="shared" si="80"/>
        <v>1.2810000000000876E-3</v>
      </c>
      <c r="W635" s="80">
        <v>0.99871899999999991</v>
      </c>
    </row>
    <row r="636" spans="2:23" x14ac:dyDescent="0.3">
      <c r="B636">
        <v>46</v>
      </c>
      <c r="C636">
        <v>31</v>
      </c>
      <c r="D636">
        <v>19.437000000000001</v>
      </c>
      <c r="E636" s="64">
        <f t="shared" si="81"/>
        <v>41017.436999999998</v>
      </c>
      <c r="R636" s="73">
        <f t="shared" si="79"/>
        <v>6.1362575828268246E-5</v>
      </c>
      <c r="S636" s="74">
        <f t="shared" si="82"/>
        <v>6.1441282110652002E-5</v>
      </c>
      <c r="U636" s="81">
        <f t="shared" si="80"/>
        <v>1.807000000000003E-3</v>
      </c>
      <c r="W636" s="80">
        <v>0.998193</v>
      </c>
    </row>
    <row r="637" spans="2:23" x14ac:dyDescent="0.3">
      <c r="B637">
        <v>46</v>
      </c>
      <c r="C637">
        <v>31</v>
      </c>
      <c r="D637">
        <v>30.181000000000001</v>
      </c>
      <c r="E637" s="64">
        <f t="shared" si="81"/>
        <v>41028.180999999997</v>
      </c>
      <c r="R637" s="73">
        <f t="shared" si="79"/>
        <v>5.9568131049885885E-5</v>
      </c>
      <c r="S637" s="74">
        <f t="shared" si="82"/>
        <v>5.9675965519579761E-5</v>
      </c>
      <c r="U637" s="81">
        <f t="shared" si="80"/>
        <v>2.446999999999977E-3</v>
      </c>
      <c r="W637" s="80">
        <v>0.99755300000000002</v>
      </c>
    </row>
    <row r="638" spans="2:23" x14ac:dyDescent="0.3">
      <c r="B638">
        <v>46</v>
      </c>
      <c r="C638">
        <v>31</v>
      </c>
      <c r="D638">
        <v>35.673999999999999</v>
      </c>
      <c r="E638" s="64">
        <f t="shared" si="81"/>
        <v>41033.673999999999</v>
      </c>
      <c r="R638" s="73">
        <f t="shared" si="79"/>
        <v>2.0826506462771422E-4</v>
      </c>
      <c r="S638" s="74">
        <f t="shared" si="82"/>
        <v>2.0877593935130686E-4</v>
      </c>
      <c r="U638" s="81">
        <f t="shared" si="80"/>
        <v>3.5910000000000108E-3</v>
      </c>
      <c r="W638" s="80">
        <v>0.99640899999999999</v>
      </c>
    </row>
    <row r="639" spans="2:23" x14ac:dyDescent="0.3">
      <c r="B639">
        <v>46</v>
      </c>
      <c r="C639">
        <v>31</v>
      </c>
      <c r="D639">
        <v>40.805</v>
      </c>
      <c r="E639" s="64">
        <f t="shared" si="81"/>
        <v>41038.805</v>
      </c>
      <c r="R639" s="73">
        <f t="shared" si="79"/>
        <v>3.519781718963115E-4</v>
      </c>
      <c r="S639" s="74">
        <f t="shared" si="82"/>
        <v>3.5324668072680146E-4</v>
      </c>
      <c r="U639" s="81">
        <f t="shared" si="80"/>
        <v>5.3969999999999851E-3</v>
      </c>
      <c r="W639" s="80">
        <v>0.99460300000000001</v>
      </c>
    </row>
    <row r="640" spans="2:23" x14ac:dyDescent="0.3">
      <c r="B640">
        <v>46</v>
      </c>
      <c r="C640">
        <v>31</v>
      </c>
      <c r="D640">
        <v>46.177999999999997</v>
      </c>
      <c r="E640" s="64">
        <f t="shared" si="81"/>
        <v>41044.178</v>
      </c>
      <c r="R640" s="73">
        <f t="shared" si="79"/>
        <v>3.9140145170295308E-4</v>
      </c>
      <c r="S640" s="74">
        <f t="shared" si="82"/>
        <v>3.935253077890908E-4</v>
      </c>
      <c r="U640" s="81">
        <f t="shared" si="80"/>
        <v>7.4999999999999512E-3</v>
      </c>
      <c r="W640" s="80">
        <v>0.99250000000000005</v>
      </c>
    </row>
    <row r="641" spans="2:23" x14ac:dyDescent="0.3">
      <c r="B641">
        <v>46</v>
      </c>
      <c r="C641">
        <v>31</v>
      </c>
      <c r="D641">
        <v>49.920999999999999</v>
      </c>
      <c r="E641" s="64">
        <f t="shared" si="81"/>
        <v>41047.921000000002</v>
      </c>
      <c r="R641" s="73">
        <f t="shared" si="79"/>
        <v>4.2773176596315086E-4</v>
      </c>
      <c r="S641" s="74">
        <f t="shared" si="82"/>
        <v>4.3096399593264568E-4</v>
      </c>
      <c r="U641" s="81">
        <f t="shared" si="80"/>
        <v>9.1010000000000257E-3</v>
      </c>
      <c r="W641" s="80">
        <v>0.99089899999999997</v>
      </c>
    </row>
    <row r="642" spans="2:23" x14ac:dyDescent="0.3">
      <c r="B642">
        <v>46</v>
      </c>
      <c r="C642">
        <v>31</v>
      </c>
      <c r="D642">
        <v>56.078000000000003</v>
      </c>
      <c r="E642" s="64">
        <f t="shared" si="81"/>
        <v>41054.078000000001</v>
      </c>
      <c r="R642" s="73">
        <f t="shared" si="79"/>
        <v>1.5965567646580406E-4</v>
      </c>
      <c r="S642" s="74">
        <f t="shared" si="82"/>
        <v>1.6112204822671541E-4</v>
      </c>
      <c r="U642" s="81">
        <f t="shared" si="80"/>
        <v>1.0083999999999982E-2</v>
      </c>
      <c r="W642" s="80">
        <v>0.98991600000000002</v>
      </c>
    </row>
    <row r="643" spans="2:23" x14ac:dyDescent="0.3">
      <c r="B643">
        <v>46</v>
      </c>
      <c r="C643">
        <v>31</v>
      </c>
      <c r="D643">
        <v>60.302999999999997</v>
      </c>
      <c r="E643" s="64">
        <f t="shared" si="81"/>
        <v>41058.303</v>
      </c>
      <c r="R643" s="73">
        <f t="shared" si="79"/>
        <v>6.00710059171608E-4</v>
      </c>
      <c r="S643" s="74">
        <f t="shared" si="82"/>
        <v>6.0682932609595962E-4</v>
      </c>
      <c r="U643" s="81">
        <f t="shared" si="80"/>
        <v>1.2622000000000022E-2</v>
      </c>
      <c r="W643" s="80">
        <v>0.98737799999999998</v>
      </c>
    </row>
    <row r="644" spans="2:23" x14ac:dyDescent="0.3">
      <c r="B644">
        <v>46</v>
      </c>
      <c r="C644">
        <v>31</v>
      </c>
      <c r="D644">
        <v>64.468999999999994</v>
      </c>
      <c r="E644" s="64">
        <f t="shared" si="81"/>
        <v>41062.468999999997</v>
      </c>
      <c r="R644" s="73">
        <f t="shared" si="79"/>
        <v>6.2554008641382602E-4</v>
      </c>
      <c r="S644" s="74">
        <f t="shared" si="82"/>
        <v>6.3353658519212108E-4</v>
      </c>
      <c r="U644" s="81">
        <f t="shared" si="80"/>
        <v>1.5228000000000019E-2</v>
      </c>
      <c r="W644" s="80">
        <v>0.98477199999999998</v>
      </c>
    </row>
    <row r="645" spans="2:23" x14ac:dyDescent="0.3">
      <c r="B645">
        <v>46</v>
      </c>
      <c r="C645">
        <v>31</v>
      </c>
      <c r="D645">
        <v>68.814999999999998</v>
      </c>
      <c r="E645" s="64">
        <f t="shared" si="81"/>
        <v>41066.815000000002</v>
      </c>
      <c r="R645" s="73">
        <f t="shared" si="79"/>
        <v>4.9976990335939939E-4</v>
      </c>
      <c r="S645" s="74">
        <f t="shared" si="82"/>
        <v>5.0749808418537438E-4</v>
      </c>
      <c r="U645" s="81">
        <f t="shared" si="80"/>
        <v>1.7399999999999971E-2</v>
      </c>
      <c r="W645" s="80">
        <v>0.98260000000000003</v>
      </c>
    </row>
    <row r="646" spans="2:23" x14ac:dyDescent="0.3">
      <c r="B646">
        <v>46</v>
      </c>
      <c r="C646">
        <v>31</v>
      </c>
      <c r="D646">
        <v>74.489999999999995</v>
      </c>
      <c r="E646" s="64">
        <f t="shared" si="81"/>
        <v>41072.49</v>
      </c>
      <c r="R646" s="73">
        <f t="shared" si="79"/>
        <v>6.0422907488987085E-4</v>
      </c>
      <c r="S646" s="74">
        <f t="shared" si="82"/>
        <v>6.1492883664753797E-4</v>
      </c>
      <c r="U646" s="81">
        <f t="shared" si="80"/>
        <v>2.0828999999999986E-2</v>
      </c>
      <c r="W646" s="80">
        <v>0.97917100000000001</v>
      </c>
    </row>
    <row r="647" spans="2:23" x14ac:dyDescent="0.3">
      <c r="B647">
        <v>46</v>
      </c>
      <c r="C647">
        <v>31</v>
      </c>
      <c r="D647">
        <v>79.197999999999993</v>
      </c>
      <c r="E647" s="64">
        <f t="shared" si="81"/>
        <v>41077.197999999997</v>
      </c>
      <c r="R647" s="73">
        <f t="shared" si="79"/>
        <v>6.4103653355989082E-4</v>
      </c>
      <c r="S647" s="74">
        <f t="shared" si="82"/>
        <v>6.5467271146703776E-4</v>
      </c>
      <c r="U647" s="81">
        <f t="shared" si="80"/>
        <v>2.3846999999999952E-2</v>
      </c>
      <c r="W647" s="80">
        <v>0.97615300000000005</v>
      </c>
    </row>
    <row r="648" spans="2:23" x14ac:dyDescent="0.3">
      <c r="B648">
        <v>46</v>
      </c>
      <c r="C648">
        <v>31</v>
      </c>
      <c r="D648">
        <v>83.97</v>
      </c>
      <c r="E648" s="64">
        <f t="shared" si="81"/>
        <v>41081.97</v>
      </c>
      <c r="R648" s="73">
        <f t="shared" si="79"/>
        <v>7.6341156747693792E-4</v>
      </c>
      <c r="S648" s="74">
        <f t="shared" si="82"/>
        <v>7.8206138533297334E-4</v>
      </c>
      <c r="U648" s="81">
        <f t="shared" si="80"/>
        <v>2.7489999999999903E-2</v>
      </c>
      <c r="W648" s="80">
        <v>0.9725100000000001</v>
      </c>
    </row>
    <row r="649" spans="2:23" x14ac:dyDescent="0.3">
      <c r="B649">
        <v>46</v>
      </c>
      <c r="C649">
        <v>31</v>
      </c>
      <c r="D649">
        <v>89.144999999999996</v>
      </c>
      <c r="E649" s="64">
        <f t="shared" si="81"/>
        <v>41087.144999999997</v>
      </c>
      <c r="R649" s="73">
        <f t="shared" si="79"/>
        <v>6.5932367149760065E-4</v>
      </c>
      <c r="S649" s="74">
        <f t="shared" si="82"/>
        <v>6.7796081428221882E-4</v>
      </c>
      <c r="U649" s="81">
        <f t="shared" si="80"/>
        <v>3.0901999999999985E-2</v>
      </c>
      <c r="W649" s="80">
        <v>0.96909800000000001</v>
      </c>
    </row>
    <row r="650" spans="2:23" x14ac:dyDescent="0.3">
      <c r="B650">
        <v>46</v>
      </c>
      <c r="C650">
        <v>31</v>
      </c>
      <c r="D650">
        <v>96.236000000000004</v>
      </c>
      <c r="E650" s="64">
        <f t="shared" si="81"/>
        <v>41094.235999999997</v>
      </c>
      <c r="R650" s="73">
        <f t="shared" si="79"/>
        <v>5.3222394584685523E-4</v>
      </c>
      <c r="S650" s="74">
        <f t="shared" si="82"/>
        <v>5.4919517514931946E-4</v>
      </c>
      <c r="U650" s="81">
        <f t="shared" si="80"/>
        <v>3.467600000000004E-2</v>
      </c>
      <c r="W650" s="80">
        <v>0.96532399999999996</v>
      </c>
    </row>
    <row r="651" spans="2:23" x14ac:dyDescent="0.3">
      <c r="B651">
        <v>46</v>
      </c>
      <c r="C651">
        <v>31</v>
      </c>
      <c r="D651">
        <v>102.944</v>
      </c>
      <c r="E651" s="64">
        <f t="shared" si="81"/>
        <v>41100.944000000003</v>
      </c>
      <c r="R651" s="73">
        <f t="shared" si="79"/>
        <v>6.6010733452592091E-4</v>
      </c>
      <c r="S651" s="74">
        <f t="shared" si="82"/>
        <v>6.8381945805337985E-4</v>
      </c>
      <c r="U651" s="81">
        <f t="shared" si="80"/>
        <v>3.9103999999999917E-2</v>
      </c>
      <c r="W651" s="80">
        <v>0.96089600000000008</v>
      </c>
    </row>
    <row r="652" spans="2:23" x14ac:dyDescent="0.3">
      <c r="B652">
        <v>46</v>
      </c>
      <c r="C652">
        <v>31</v>
      </c>
      <c r="D652">
        <v>109.26900000000001</v>
      </c>
      <c r="E652" s="64">
        <f t="shared" si="81"/>
        <v>41107.269</v>
      </c>
      <c r="R652" s="73">
        <f t="shared" si="79"/>
        <v>8.0316205533598141E-4</v>
      </c>
      <c r="S652" s="74">
        <f t="shared" si="82"/>
        <v>8.3584701709236097E-4</v>
      </c>
      <c r="U652" s="81">
        <f t="shared" si="80"/>
        <v>4.4184000000000001E-2</v>
      </c>
      <c r="W652" s="80">
        <v>0.955816</v>
      </c>
    </row>
    <row r="653" spans="2:23" x14ac:dyDescent="0.3">
      <c r="B653">
        <v>46</v>
      </c>
      <c r="C653">
        <v>31</v>
      </c>
      <c r="D653">
        <v>114.827</v>
      </c>
      <c r="E653" s="64">
        <f t="shared" si="81"/>
        <v>41112.826999999997</v>
      </c>
      <c r="R653" s="73">
        <f t="shared" si="79"/>
        <v>8.4886649874053529E-4</v>
      </c>
      <c r="S653" s="74">
        <f t="shared" si="82"/>
        <v>8.8810660078983319E-4</v>
      </c>
      <c r="U653" s="81">
        <f t="shared" si="80"/>
        <v>4.890199999999989E-2</v>
      </c>
      <c r="W653" s="80">
        <v>0.95109800000000011</v>
      </c>
    </row>
    <row r="654" spans="2:23" x14ac:dyDescent="0.3">
      <c r="B654">
        <v>46</v>
      </c>
      <c r="C654">
        <v>31</v>
      </c>
      <c r="D654">
        <v>121.343</v>
      </c>
      <c r="E654" s="64">
        <f t="shared" si="81"/>
        <v>41119.343000000001</v>
      </c>
      <c r="R654" s="73">
        <f t="shared" si="79"/>
        <v>7.908225905463752E-4</v>
      </c>
      <c r="S654" s="74">
        <f t="shared" si="82"/>
        <v>8.3148381191672693E-4</v>
      </c>
      <c r="U654" s="81">
        <f t="shared" si="80"/>
        <v>5.4055000000000075E-2</v>
      </c>
      <c r="W654" s="80">
        <v>0.94594499999999992</v>
      </c>
    </row>
    <row r="655" spans="2:23" x14ac:dyDescent="0.3">
      <c r="B655">
        <v>46</v>
      </c>
      <c r="C655">
        <v>31</v>
      </c>
      <c r="D655">
        <v>126.901</v>
      </c>
      <c r="E655" s="64">
        <f t="shared" si="81"/>
        <v>41124.900999999998</v>
      </c>
      <c r="R655" s="73">
        <f t="shared" si="79"/>
        <v>7.3137819359479664E-4</v>
      </c>
      <c r="S655" s="74">
        <f t="shared" si="82"/>
        <v>7.7317200640079149E-4</v>
      </c>
      <c r="U655" s="81">
        <f t="shared" si="80"/>
        <v>5.8119999999999949E-2</v>
      </c>
      <c r="W655" s="80">
        <v>0.94188000000000005</v>
      </c>
    </row>
    <row r="656" spans="2:23" x14ac:dyDescent="0.3">
      <c r="B656">
        <v>46</v>
      </c>
      <c r="C656">
        <v>31</v>
      </c>
      <c r="D656">
        <v>133.226</v>
      </c>
      <c r="E656" s="64">
        <f t="shared" si="81"/>
        <v>41131.226000000002</v>
      </c>
      <c r="R656" s="73">
        <f t="shared" si="79"/>
        <v>5.1636363636363468E-4</v>
      </c>
      <c r="S656" s="74">
        <f t="shared" si="82"/>
        <v>5.4822656427956293E-4</v>
      </c>
      <c r="U656" s="81">
        <f t="shared" si="80"/>
        <v>6.1385999999999941E-2</v>
      </c>
      <c r="W656" s="80">
        <v>0.93861400000000006</v>
      </c>
    </row>
    <row r="657" spans="2:23" x14ac:dyDescent="0.3">
      <c r="B657">
        <v>46</v>
      </c>
      <c r="C657">
        <v>31</v>
      </c>
      <c r="D657">
        <v>137.63399999999999</v>
      </c>
      <c r="E657" s="64">
        <f t="shared" si="81"/>
        <v>41135.633999999998</v>
      </c>
      <c r="R657" s="73">
        <f t="shared" si="79"/>
        <v>5.5989110707807262E-4</v>
      </c>
      <c r="S657" s="74">
        <f t="shared" si="82"/>
        <v>5.96508369870972E-4</v>
      </c>
      <c r="U657" s="81">
        <f t="shared" si="80"/>
        <v>6.3854000000000077E-2</v>
      </c>
      <c r="W657" s="80">
        <v>0.93614599999999992</v>
      </c>
    </row>
    <row r="658" spans="2:23" x14ac:dyDescent="0.3">
      <c r="B658">
        <v>46</v>
      </c>
      <c r="C658">
        <v>31</v>
      </c>
      <c r="D658">
        <v>146.066</v>
      </c>
      <c r="E658" s="64">
        <f t="shared" si="81"/>
        <v>41144.065999999999</v>
      </c>
      <c r="R658" s="73">
        <f t="shared" si="79"/>
        <v>2.496442125237083E-4</v>
      </c>
      <c r="S658" s="74">
        <f t="shared" si="82"/>
        <v>2.6667230594769228E-4</v>
      </c>
      <c r="U658" s="81">
        <f t="shared" si="80"/>
        <v>6.595899999999999E-2</v>
      </c>
      <c r="W658" s="80">
        <v>0.93404100000000001</v>
      </c>
    </row>
    <row r="659" spans="2:23" x14ac:dyDescent="0.3">
      <c r="B659">
        <v>46</v>
      </c>
      <c r="C659">
        <v>31</v>
      </c>
      <c r="D659">
        <v>154.88200000000001</v>
      </c>
      <c r="E659" s="64">
        <f t="shared" si="81"/>
        <v>41152.881999999998</v>
      </c>
      <c r="R659" s="73">
        <f t="shared" si="79"/>
        <v>2.3888384754991511E-4</v>
      </c>
      <c r="S659" s="74">
        <f t="shared" si="82"/>
        <v>2.5575306389110877E-4</v>
      </c>
      <c r="U659" s="81">
        <f t="shared" si="80"/>
        <v>6.8065000000000042E-2</v>
      </c>
      <c r="W659" s="80">
        <v>0.93193499999999996</v>
      </c>
    </row>
    <row r="660" spans="2:23" x14ac:dyDescent="0.3">
      <c r="B660">
        <v>46</v>
      </c>
      <c r="C660">
        <v>31</v>
      </c>
      <c r="D660">
        <v>163.31399999999999</v>
      </c>
      <c r="E660" s="64">
        <f t="shared" si="81"/>
        <v>41161.313999999998</v>
      </c>
      <c r="R660" s="73">
        <f t="shared" si="79"/>
        <v>2.4964421252370912E-4</v>
      </c>
      <c r="S660" s="74">
        <f t="shared" si="82"/>
        <v>2.6787727955673857E-4</v>
      </c>
      <c r="U660" s="81">
        <f t="shared" si="80"/>
        <v>7.0169999999999955E-2</v>
      </c>
      <c r="W660" s="80">
        <v>0.92983000000000005</v>
      </c>
    </row>
    <row r="661" spans="2:23" x14ac:dyDescent="0.3">
      <c r="B661">
        <v>46</v>
      </c>
      <c r="C661">
        <v>31</v>
      </c>
      <c r="D661">
        <v>174.238</v>
      </c>
      <c r="E661" s="64">
        <f t="shared" si="81"/>
        <v>41172.237999999998</v>
      </c>
      <c r="R661" s="73">
        <f t="shared" si="79"/>
        <v>2.3251556206518639E-4</v>
      </c>
      <c r="S661" s="74">
        <f t="shared" si="82"/>
        <v>2.5006244374260495E-4</v>
      </c>
      <c r="U661" s="81">
        <f t="shared" si="80"/>
        <v>7.2710000000000052E-2</v>
      </c>
      <c r="W661" s="80">
        <v>0.92728999999999995</v>
      </c>
    </row>
    <row r="662" spans="2:23" x14ac:dyDescent="0.3">
      <c r="B662">
        <v>46</v>
      </c>
      <c r="C662">
        <v>31</v>
      </c>
      <c r="D662">
        <v>185.16200000000001</v>
      </c>
      <c r="E662" s="64">
        <f t="shared" si="81"/>
        <v>41183.161999999997</v>
      </c>
      <c r="R662" s="73">
        <f t="shared" si="79"/>
        <v>2.2601611131453148E-4</v>
      </c>
      <c r="S662" s="74">
        <f t="shared" si="82"/>
        <v>2.4373832491942271E-4</v>
      </c>
      <c r="U662" s="81">
        <f t="shared" si="80"/>
        <v>7.5178999999999996E-2</v>
      </c>
      <c r="W662" s="80">
        <v>0.924821</v>
      </c>
    </row>
    <row r="663" spans="2:23" x14ac:dyDescent="0.3">
      <c r="B663">
        <v>46</v>
      </c>
      <c r="C663">
        <v>31</v>
      </c>
      <c r="D663">
        <v>190.71899999999999</v>
      </c>
      <c r="E663" s="64">
        <f t="shared" si="81"/>
        <v>41188.718999999997</v>
      </c>
      <c r="R663" s="73">
        <f t="shared" si="79"/>
        <v>4.3098794313479235E-4</v>
      </c>
      <c r="S663" s="74">
        <f t="shared" si="82"/>
        <v>4.6602309326322866E-4</v>
      </c>
      <c r="U663" s="81">
        <f t="shared" si="80"/>
        <v>7.7574000000000032E-2</v>
      </c>
      <c r="W663" s="80">
        <v>0.92242599999999997</v>
      </c>
    </row>
    <row r="664" spans="2:23" x14ac:dyDescent="0.3">
      <c r="B664">
        <v>46</v>
      </c>
      <c r="C664">
        <v>31</v>
      </c>
      <c r="D664">
        <v>199.91800000000001</v>
      </c>
      <c r="E664" s="64">
        <f t="shared" si="81"/>
        <v>41197.917999999998</v>
      </c>
      <c r="R664" s="73">
        <f t="shared" si="79"/>
        <v>2.210022828568267E-4</v>
      </c>
      <c r="S664" s="74">
        <f t="shared" si="82"/>
        <v>2.3958808929586408E-4</v>
      </c>
      <c r="U664" s="81">
        <f t="shared" si="80"/>
        <v>7.9606999999999983E-2</v>
      </c>
      <c r="W664" s="80">
        <v>0.92039300000000002</v>
      </c>
    </row>
    <row r="665" spans="2:23" x14ac:dyDescent="0.3">
      <c r="B665">
        <v>46</v>
      </c>
      <c r="C665">
        <v>31</v>
      </c>
      <c r="D665">
        <v>211.03399999999999</v>
      </c>
      <c r="E665" s="64">
        <f t="shared" si="81"/>
        <v>41209.034</v>
      </c>
      <c r="R665" s="73">
        <f t="shared" si="79"/>
        <v>1.6975530766462528E-4</v>
      </c>
      <c r="S665" s="74">
        <f t="shared" si="82"/>
        <v>1.8443785172706143E-4</v>
      </c>
      <c r="U665" s="81">
        <f t="shared" si="80"/>
        <v>8.1493999999999955E-2</v>
      </c>
      <c r="W665" s="80">
        <v>0.91850600000000004</v>
      </c>
    </row>
    <row r="666" spans="2:23" x14ac:dyDescent="0.3">
      <c r="B666">
        <v>46</v>
      </c>
      <c r="C666">
        <v>31</v>
      </c>
      <c r="D666">
        <v>226.55699999999999</v>
      </c>
      <c r="E666" s="64">
        <f t="shared" ref="E666:E697" si="83">E665+D666-D665</f>
        <v>41224.557000000001</v>
      </c>
      <c r="R666" s="73">
        <f t="shared" si="79"/>
        <v>1.4501062938864932E-4</v>
      </c>
      <c r="S666" s="74">
        <f t="shared" si="82"/>
        <v>1.5787662724973958E-4</v>
      </c>
      <c r="U666" s="81">
        <f t="shared" si="80"/>
        <v>8.3744999999999958E-2</v>
      </c>
      <c r="W666" s="80">
        <v>0.91625500000000004</v>
      </c>
    </row>
    <row r="667" spans="2:23" x14ac:dyDescent="0.3">
      <c r="B667">
        <v>46</v>
      </c>
      <c r="C667">
        <v>31</v>
      </c>
      <c r="D667">
        <v>242.27099999999999</v>
      </c>
      <c r="E667" s="64">
        <f t="shared" si="83"/>
        <v>41240.271000000001</v>
      </c>
      <c r="R667" s="73">
        <f t="shared" si="79"/>
        <v>1.2472954053709825E-4</v>
      </c>
      <c r="S667" s="74">
        <f t="shared" si="82"/>
        <v>1.3612972429847395E-4</v>
      </c>
      <c r="U667" s="81">
        <f t="shared" si="80"/>
        <v>8.570499999999992E-2</v>
      </c>
      <c r="W667" s="80">
        <v>0.91429500000000008</v>
      </c>
    </row>
    <row r="668" spans="2:23" x14ac:dyDescent="0.3">
      <c r="B668">
        <v>46</v>
      </c>
      <c r="C668">
        <v>31</v>
      </c>
      <c r="D668">
        <v>254.208</v>
      </c>
      <c r="E668" s="64">
        <f t="shared" si="83"/>
        <v>41252.207999999999</v>
      </c>
      <c r="R668" s="73">
        <f t="shared" si="79"/>
        <v>7.1207170980994185E-5</v>
      </c>
      <c r="S668" s="74">
        <f t="shared" ref="S668:S731" si="84">IF(D668&gt;D667,(U668-U667)/W667/(D668-D667),0)</f>
        <v>7.7882052270869E-5</v>
      </c>
      <c r="U668" s="81">
        <f t="shared" ref="U668:U731" si="85">100%-W668</f>
        <v>8.6555000000000049E-2</v>
      </c>
      <c r="W668" s="80">
        <v>0.91344499999999995</v>
      </c>
    </row>
    <row r="669" spans="2:23" x14ac:dyDescent="0.3">
      <c r="B669">
        <v>46</v>
      </c>
      <c r="C669">
        <v>31</v>
      </c>
      <c r="D669">
        <v>266.83199999999999</v>
      </c>
      <c r="E669" s="64">
        <f t="shared" si="83"/>
        <v>41264.832000000002</v>
      </c>
      <c r="R669" s="73">
        <f t="shared" si="79"/>
        <v>3.4299746514576749E-5</v>
      </c>
      <c r="S669" s="74">
        <f t="shared" si="84"/>
        <v>3.754987603476591E-5</v>
      </c>
      <c r="U669" s="81">
        <f t="shared" si="85"/>
        <v>8.6988000000000065E-2</v>
      </c>
      <c r="W669" s="80">
        <v>0.91301199999999993</v>
      </c>
    </row>
    <row r="670" spans="2:23" x14ac:dyDescent="0.3">
      <c r="B670">
        <v>46</v>
      </c>
      <c r="C670">
        <v>31</v>
      </c>
      <c r="D670">
        <v>282.19499999999999</v>
      </c>
      <c r="E670" s="64">
        <f t="shared" si="83"/>
        <v>41280.195</v>
      </c>
      <c r="R670" s="73">
        <f t="shared" si="79"/>
        <v>3.5605025060207262E-5</v>
      </c>
      <c r="S670" s="74">
        <f t="shared" si="84"/>
        <v>3.8997324307026918E-5</v>
      </c>
      <c r="U670" s="81">
        <f t="shared" si="85"/>
        <v>8.7535000000000029E-2</v>
      </c>
      <c r="W670" s="80">
        <v>0.91246499999999997</v>
      </c>
    </row>
    <row r="671" spans="2:23" x14ac:dyDescent="0.3">
      <c r="B671">
        <v>46</v>
      </c>
      <c r="C671">
        <v>31</v>
      </c>
      <c r="D671">
        <v>296.63099999999997</v>
      </c>
      <c r="E671" s="64">
        <f t="shared" si="83"/>
        <v>41294.631000000001</v>
      </c>
      <c r="R671" s="73">
        <f t="shared" si="79"/>
        <v>4.0177334441598473E-6</v>
      </c>
      <c r="S671" s="74">
        <f t="shared" si="84"/>
        <v>4.4031644437428804E-6</v>
      </c>
      <c r="U671" s="81">
        <f t="shared" si="85"/>
        <v>8.7592999999999921E-2</v>
      </c>
      <c r="W671" s="80">
        <v>0.91240700000000008</v>
      </c>
    </row>
    <row r="672" spans="2:23" x14ac:dyDescent="0.3">
      <c r="B672">
        <v>46</v>
      </c>
      <c r="C672">
        <v>31</v>
      </c>
      <c r="D672">
        <v>309.911</v>
      </c>
      <c r="E672" s="64">
        <f t="shared" si="83"/>
        <v>41307.911</v>
      </c>
      <c r="R672" s="73">
        <f t="shared" si="79"/>
        <v>-1.3780120481922651E-5</v>
      </c>
      <c r="S672" s="74">
        <f t="shared" si="84"/>
        <v>-1.5103041166850594E-5</v>
      </c>
      <c r="U672" s="81">
        <f t="shared" si="85"/>
        <v>8.7409999999999988E-2</v>
      </c>
      <c r="W672" s="80">
        <v>0.91259000000000001</v>
      </c>
    </row>
    <row r="673" spans="2:23" x14ac:dyDescent="0.3">
      <c r="B673">
        <v>46</v>
      </c>
      <c r="C673">
        <v>31</v>
      </c>
      <c r="D673">
        <v>329.95100000000002</v>
      </c>
      <c r="E673" s="64">
        <f t="shared" si="83"/>
        <v>41327.951000000001</v>
      </c>
      <c r="R673" s="73">
        <f t="shared" si="79"/>
        <v>4.1117764471060185E-5</v>
      </c>
      <c r="S673" s="74">
        <f t="shared" si="84"/>
        <v>4.5056119912622519E-5</v>
      </c>
      <c r="U673" s="81">
        <f t="shared" si="85"/>
        <v>8.8234000000000035E-2</v>
      </c>
      <c r="W673" s="80">
        <v>0.91176599999999997</v>
      </c>
    </row>
    <row r="674" spans="2:23" x14ac:dyDescent="0.3">
      <c r="B674">
        <v>46</v>
      </c>
      <c r="C674">
        <v>31</v>
      </c>
      <c r="D674">
        <v>341.29899999999998</v>
      </c>
      <c r="E674" s="64">
        <f t="shared" si="83"/>
        <v>41339.298999999999</v>
      </c>
      <c r="R674" s="73">
        <f t="shared" si="79"/>
        <v>2.4233345082826511E-5</v>
      </c>
      <c r="S674" s="74">
        <f t="shared" si="84"/>
        <v>2.6578469785917126E-5</v>
      </c>
      <c r="U674" s="81">
        <f t="shared" si="85"/>
        <v>8.8508999999999949E-2</v>
      </c>
      <c r="W674" s="80">
        <v>0.91149100000000005</v>
      </c>
    </row>
    <row r="675" spans="2:23" x14ac:dyDescent="0.3">
      <c r="B675">
        <v>46</v>
      </c>
      <c r="C675">
        <v>31</v>
      </c>
      <c r="D675">
        <v>352.40600000000001</v>
      </c>
      <c r="E675" s="64">
        <f t="shared" si="83"/>
        <v>41350.406000000003</v>
      </c>
      <c r="R675" s="73">
        <f t="shared" si="79"/>
        <v>1.2352570451067222E-4</v>
      </c>
      <c r="S675" s="74">
        <f t="shared" si="84"/>
        <v>1.3552048732315758E-4</v>
      </c>
      <c r="U675" s="81">
        <f t="shared" si="85"/>
        <v>8.9880999999999989E-2</v>
      </c>
      <c r="W675" s="80">
        <v>0.91011900000000001</v>
      </c>
    </row>
    <row r="676" spans="2:23" x14ac:dyDescent="0.3">
      <c r="B676">
        <v>46</v>
      </c>
      <c r="C676">
        <v>31</v>
      </c>
      <c r="D676">
        <v>365.44499999999999</v>
      </c>
      <c r="E676" s="64">
        <f t="shared" si="83"/>
        <v>41363.445</v>
      </c>
      <c r="R676" s="73">
        <f t="shared" si="79"/>
        <v>1.4732724902216063E-4</v>
      </c>
      <c r="S676" s="74">
        <f t="shared" si="84"/>
        <v>1.6187690732987733E-4</v>
      </c>
      <c r="U676" s="81">
        <f t="shared" si="85"/>
        <v>9.1801999999999939E-2</v>
      </c>
      <c r="W676" s="80">
        <v>0.90819800000000006</v>
      </c>
    </row>
    <row r="677" spans="2:23" x14ac:dyDescent="0.3">
      <c r="B677">
        <v>46</v>
      </c>
      <c r="C677">
        <v>31</v>
      </c>
      <c r="D677">
        <v>375.58600000000001</v>
      </c>
      <c r="E677" s="64">
        <f t="shared" si="83"/>
        <v>41373.586000000003</v>
      </c>
      <c r="R677" s="73">
        <f t="shared" si="79"/>
        <v>1.7138349275219543E-4</v>
      </c>
      <c r="S677" s="74">
        <f t="shared" si="84"/>
        <v>1.8870719022965853E-4</v>
      </c>
      <c r="U677" s="81">
        <f t="shared" si="85"/>
        <v>9.3539999999999957E-2</v>
      </c>
      <c r="W677" s="80">
        <v>0.90646000000000004</v>
      </c>
    </row>
    <row r="678" spans="2:23" x14ac:dyDescent="0.3">
      <c r="B678">
        <v>46</v>
      </c>
      <c r="C678">
        <v>31</v>
      </c>
      <c r="D678">
        <v>383.07100000000003</v>
      </c>
      <c r="E678" s="64">
        <f t="shared" si="83"/>
        <v>41381.071000000004</v>
      </c>
      <c r="R678" s="73">
        <f t="shared" si="79"/>
        <v>2.9325317301268441E-4</v>
      </c>
      <c r="S678" s="74">
        <f t="shared" si="84"/>
        <v>3.2351474197723498E-4</v>
      </c>
      <c r="U678" s="81">
        <f t="shared" si="85"/>
        <v>9.5734999999999904E-2</v>
      </c>
      <c r="W678" s="80">
        <v>0.9042650000000001</v>
      </c>
    </row>
    <row r="679" spans="2:23" x14ac:dyDescent="0.3">
      <c r="B679">
        <v>46</v>
      </c>
      <c r="C679">
        <v>31</v>
      </c>
      <c r="D679">
        <v>390.315</v>
      </c>
      <c r="E679" s="64">
        <f t="shared" si="83"/>
        <v>41388.315000000002</v>
      </c>
      <c r="R679" s="73">
        <f t="shared" si="79"/>
        <v>4.039204859193963E-4</v>
      </c>
      <c r="S679" s="74">
        <f t="shared" si="84"/>
        <v>4.4668375522595281E-4</v>
      </c>
      <c r="U679" s="81">
        <f t="shared" si="85"/>
        <v>9.8660999999999999E-2</v>
      </c>
      <c r="W679" s="80">
        <v>0.901339</v>
      </c>
    </row>
    <row r="680" spans="2:23" x14ac:dyDescent="0.3">
      <c r="B680">
        <v>46</v>
      </c>
      <c r="C680">
        <v>31</v>
      </c>
      <c r="D680">
        <v>400.69799999999998</v>
      </c>
      <c r="E680" s="64">
        <f t="shared" si="83"/>
        <v>41398.697999999997</v>
      </c>
      <c r="R680" s="73">
        <f t="shared" si="79"/>
        <v>4.6682076471155298E-4</v>
      </c>
      <c r="S680" s="74">
        <f t="shared" si="84"/>
        <v>5.1791918990696389E-4</v>
      </c>
      <c r="U680" s="81">
        <f t="shared" si="85"/>
        <v>0.10350800000000004</v>
      </c>
      <c r="W680" s="80">
        <v>0.89649199999999996</v>
      </c>
    </row>
    <row r="681" spans="2:23" x14ac:dyDescent="0.3">
      <c r="B681">
        <v>46</v>
      </c>
      <c r="C681">
        <v>31</v>
      </c>
      <c r="D681">
        <v>411.322</v>
      </c>
      <c r="E681" s="64">
        <f t="shared" si="83"/>
        <v>41409.322</v>
      </c>
      <c r="R681" s="73">
        <f t="shared" si="79"/>
        <v>5.2513177710842218E-4</v>
      </c>
      <c r="S681" s="74">
        <f t="shared" si="84"/>
        <v>5.8576292605892993E-4</v>
      </c>
      <c r="U681" s="81">
        <f t="shared" si="85"/>
        <v>0.10908699999999993</v>
      </c>
      <c r="W681" s="80">
        <v>0.89091300000000007</v>
      </c>
    </row>
    <row r="682" spans="2:23" x14ac:dyDescent="0.3">
      <c r="B682">
        <v>46</v>
      </c>
      <c r="C682">
        <v>31</v>
      </c>
      <c r="D682">
        <v>419.291</v>
      </c>
      <c r="E682" s="64">
        <f t="shared" si="83"/>
        <v>41417.290999999997</v>
      </c>
      <c r="R682" s="73">
        <f t="shared" si="79"/>
        <v>4.0168151587402723E-4</v>
      </c>
      <c r="S682" s="74">
        <f t="shared" si="84"/>
        <v>4.5086502932837117E-4</v>
      </c>
      <c r="U682" s="81">
        <f t="shared" si="85"/>
        <v>0.11228800000000005</v>
      </c>
      <c r="W682" s="80">
        <v>0.88771199999999995</v>
      </c>
    </row>
    <row r="683" spans="2:23" x14ac:dyDescent="0.3">
      <c r="B683">
        <v>46</v>
      </c>
      <c r="C683">
        <v>31</v>
      </c>
      <c r="D683">
        <v>426.53399999999999</v>
      </c>
      <c r="E683" s="64">
        <f t="shared" si="83"/>
        <v>41424.534</v>
      </c>
      <c r="R683" s="73">
        <f t="shared" si="79"/>
        <v>3.4088085047631438E-4</v>
      </c>
      <c r="S683" s="74">
        <f t="shared" si="84"/>
        <v>3.8399937195432123E-4</v>
      </c>
      <c r="U683" s="81">
        <f t="shared" si="85"/>
        <v>0.114757</v>
      </c>
      <c r="W683" s="80">
        <v>0.885243</v>
      </c>
    </row>
    <row r="684" spans="2:23" x14ac:dyDescent="0.3">
      <c r="B684">
        <v>46</v>
      </c>
      <c r="C684">
        <v>31</v>
      </c>
      <c r="D684">
        <v>432.08800000000002</v>
      </c>
      <c r="E684" s="64">
        <f t="shared" si="83"/>
        <v>41430.088000000003</v>
      </c>
      <c r="R684" s="73">
        <f t="shared" si="79"/>
        <v>5.9272596326972538E-4</v>
      </c>
      <c r="S684" s="74">
        <f t="shared" si="84"/>
        <v>6.6956300503898407E-4</v>
      </c>
      <c r="U684" s="81">
        <f t="shared" si="85"/>
        <v>0.11804900000000007</v>
      </c>
      <c r="W684" s="80">
        <v>0.88195099999999993</v>
      </c>
    </row>
    <row r="685" spans="2:23" x14ac:dyDescent="0.3">
      <c r="B685">
        <v>46</v>
      </c>
      <c r="C685">
        <v>31</v>
      </c>
      <c r="D685">
        <v>443.68700000000001</v>
      </c>
      <c r="E685" s="64">
        <f t="shared" si="83"/>
        <v>41441.686999999998</v>
      </c>
      <c r="R685" s="73">
        <f t="shared" ref="R685:R748" si="86">IF(D685&gt;D684,(U685-U684)/1/(D685-D684),0)</f>
        <v>4.9737046297093873E-4</v>
      </c>
      <c r="S685" s="74">
        <f t="shared" si="84"/>
        <v>5.6394341972619653E-4</v>
      </c>
      <c r="U685" s="81">
        <f t="shared" si="85"/>
        <v>0.12381799999999998</v>
      </c>
      <c r="W685" s="80">
        <v>0.87618200000000002</v>
      </c>
    </row>
    <row r="686" spans="2:23" x14ac:dyDescent="0.3">
      <c r="B686">
        <v>46</v>
      </c>
      <c r="C686">
        <v>31</v>
      </c>
      <c r="D686">
        <v>454.61200000000002</v>
      </c>
      <c r="E686" s="64">
        <f t="shared" si="83"/>
        <v>41452.612000000001</v>
      </c>
      <c r="R686" s="73">
        <f t="shared" si="86"/>
        <v>5.6466819221967718E-4</v>
      </c>
      <c r="S686" s="74">
        <f t="shared" si="84"/>
        <v>6.444644973529213E-4</v>
      </c>
      <c r="U686" s="81">
        <f t="shared" si="85"/>
        <v>0.12998699999999996</v>
      </c>
      <c r="W686" s="80">
        <v>0.87001300000000004</v>
      </c>
    </row>
    <row r="687" spans="2:23" x14ac:dyDescent="0.3">
      <c r="B687">
        <v>46</v>
      </c>
      <c r="C687">
        <v>31</v>
      </c>
      <c r="D687">
        <v>465.72699999999998</v>
      </c>
      <c r="E687" s="64">
        <f t="shared" si="83"/>
        <v>41463.726999999999</v>
      </c>
      <c r="R687" s="73">
        <f t="shared" si="86"/>
        <v>4.5065227170490891E-4</v>
      </c>
      <c r="S687" s="74">
        <f t="shared" si="84"/>
        <v>5.1798337692069991E-4</v>
      </c>
      <c r="U687" s="81">
        <f t="shared" si="85"/>
        <v>0.134996</v>
      </c>
      <c r="W687" s="80">
        <v>0.865004</v>
      </c>
    </row>
    <row r="688" spans="2:23" x14ac:dyDescent="0.3">
      <c r="B688">
        <v>46</v>
      </c>
      <c r="C688">
        <v>31</v>
      </c>
      <c r="D688">
        <v>475.31</v>
      </c>
      <c r="E688" s="64">
        <f t="shared" si="83"/>
        <v>41473.31</v>
      </c>
      <c r="R688" s="73">
        <f t="shared" si="86"/>
        <v>4.3170197224251755E-4</v>
      </c>
      <c r="S688" s="74">
        <f t="shared" si="84"/>
        <v>4.9907511669601253E-4</v>
      </c>
      <c r="U688" s="81">
        <f t="shared" si="85"/>
        <v>0.13913300000000006</v>
      </c>
      <c r="W688" s="80">
        <v>0.86086699999999994</v>
      </c>
    </row>
    <row r="689" spans="2:23" x14ac:dyDescent="0.3">
      <c r="B689">
        <v>46</v>
      </c>
      <c r="C689">
        <v>31</v>
      </c>
      <c r="D689">
        <v>490.06700000000001</v>
      </c>
      <c r="E689" s="64">
        <f t="shared" si="83"/>
        <v>41488.067000000003</v>
      </c>
      <c r="R689" s="73">
        <f t="shared" si="86"/>
        <v>5.3615233448532336E-4</v>
      </c>
      <c r="S689" s="74">
        <f t="shared" si="84"/>
        <v>6.22805072659683E-4</v>
      </c>
      <c r="U689" s="81">
        <f t="shared" si="85"/>
        <v>0.14704499999999998</v>
      </c>
      <c r="W689" s="80">
        <v>0.85295500000000002</v>
      </c>
    </row>
    <row r="690" spans="2:23" x14ac:dyDescent="0.3">
      <c r="B690">
        <v>46</v>
      </c>
      <c r="C690">
        <v>31</v>
      </c>
      <c r="D690">
        <v>497.15800000000002</v>
      </c>
      <c r="E690" s="64">
        <f t="shared" si="83"/>
        <v>41495.158000000003</v>
      </c>
      <c r="R690" s="73">
        <f t="shared" si="86"/>
        <v>5.0148075024680728E-4</v>
      </c>
      <c r="S690" s="74">
        <f t="shared" si="84"/>
        <v>5.8793341998910535E-4</v>
      </c>
      <c r="U690" s="81">
        <f t="shared" si="85"/>
        <v>0.1506010000000001</v>
      </c>
      <c r="W690" s="80">
        <v>0.8493989999999999</v>
      </c>
    </row>
    <row r="691" spans="2:23" x14ac:dyDescent="0.3">
      <c r="B691">
        <v>46</v>
      </c>
      <c r="C691">
        <v>31</v>
      </c>
      <c r="D691">
        <v>513.06399999999996</v>
      </c>
      <c r="E691" s="64">
        <f t="shared" si="83"/>
        <v>41511.063999999998</v>
      </c>
      <c r="R691" s="73">
        <f t="shared" si="86"/>
        <v>6.852759964792706E-5</v>
      </c>
      <c r="S691" s="74">
        <f t="shared" si="84"/>
        <v>8.0677749382713042E-5</v>
      </c>
      <c r="U691" s="81">
        <f t="shared" si="85"/>
        <v>0.15169100000000002</v>
      </c>
      <c r="W691" s="80">
        <v>0.84830899999999998</v>
      </c>
    </row>
    <row r="692" spans="2:23" x14ac:dyDescent="0.3">
      <c r="B692">
        <v>46</v>
      </c>
      <c r="C692">
        <v>31</v>
      </c>
      <c r="D692">
        <v>521.68799999999999</v>
      </c>
      <c r="E692" s="64">
        <f t="shared" si="83"/>
        <v>41519.688000000002</v>
      </c>
      <c r="R692" s="73">
        <f t="shared" si="86"/>
        <v>4.0398886827457353E-4</v>
      </c>
      <c r="S692" s="74">
        <f t="shared" si="84"/>
        <v>4.7622843595266994E-4</v>
      </c>
      <c r="U692" s="81">
        <f t="shared" si="85"/>
        <v>0.15517499999999995</v>
      </c>
      <c r="W692" s="80">
        <v>0.84482500000000005</v>
      </c>
    </row>
    <row r="693" spans="2:23" x14ac:dyDescent="0.3">
      <c r="B693">
        <v>46</v>
      </c>
      <c r="C693">
        <v>31</v>
      </c>
      <c r="D693">
        <v>533.57000000000005</v>
      </c>
      <c r="E693" s="64">
        <f t="shared" si="83"/>
        <v>41531.57</v>
      </c>
      <c r="R693" s="73">
        <f t="shared" si="86"/>
        <v>2.4431913819223067E-4</v>
      </c>
      <c r="S693" s="74">
        <f t="shared" si="84"/>
        <v>2.8919496723254004E-4</v>
      </c>
      <c r="U693" s="81">
        <f t="shared" si="85"/>
        <v>0.15807800000000005</v>
      </c>
      <c r="W693" s="80">
        <v>0.84192199999999995</v>
      </c>
    </row>
    <row r="694" spans="2:23" x14ac:dyDescent="0.3">
      <c r="B694">
        <v>46</v>
      </c>
      <c r="C694">
        <v>31</v>
      </c>
      <c r="D694">
        <v>546.02700000000004</v>
      </c>
      <c r="E694" s="64">
        <f t="shared" si="83"/>
        <v>41544.027000000002</v>
      </c>
      <c r="R694" s="73">
        <f t="shared" si="86"/>
        <v>2.3898209841856057E-4</v>
      </c>
      <c r="S694" s="74">
        <f t="shared" si="84"/>
        <v>2.8385301538451374E-4</v>
      </c>
      <c r="U694" s="81">
        <f t="shared" si="85"/>
        <v>0.16105500000000006</v>
      </c>
      <c r="W694" s="80">
        <v>0.83894499999999994</v>
      </c>
    </row>
    <row r="695" spans="2:23" x14ac:dyDescent="0.3">
      <c r="B695">
        <v>46</v>
      </c>
      <c r="C695">
        <v>31</v>
      </c>
      <c r="D695">
        <v>562.70000000000005</v>
      </c>
      <c r="E695" s="64">
        <f t="shared" si="83"/>
        <v>41560.699999999997</v>
      </c>
      <c r="R695" s="73">
        <f t="shared" si="86"/>
        <v>5.224014874347478E-5</v>
      </c>
      <c r="S695" s="74">
        <f t="shared" si="84"/>
        <v>6.2268859989003791E-5</v>
      </c>
      <c r="U695" s="81">
        <f t="shared" si="85"/>
        <v>0.16192600000000001</v>
      </c>
      <c r="W695" s="80">
        <v>0.83807399999999999</v>
      </c>
    </row>
    <row r="696" spans="2:23" x14ac:dyDescent="0.3">
      <c r="B696">
        <v>46</v>
      </c>
      <c r="C696">
        <v>31</v>
      </c>
      <c r="D696">
        <v>584.35500000000002</v>
      </c>
      <c r="E696" s="64">
        <f t="shared" si="83"/>
        <v>41582.355000000003</v>
      </c>
      <c r="R696" s="73">
        <f t="shared" si="86"/>
        <v>2.3130916647425757E-4</v>
      </c>
      <c r="S696" s="74">
        <f t="shared" si="84"/>
        <v>2.7600088592923485E-4</v>
      </c>
      <c r="U696" s="81">
        <f t="shared" si="85"/>
        <v>0.16693500000000006</v>
      </c>
      <c r="W696" s="80">
        <v>0.83306499999999994</v>
      </c>
    </row>
    <row r="697" spans="2:23" x14ac:dyDescent="0.3">
      <c r="B697">
        <v>46</v>
      </c>
      <c r="C697">
        <v>31</v>
      </c>
      <c r="D697">
        <v>597.57899999999995</v>
      </c>
      <c r="E697" s="64">
        <f t="shared" si="83"/>
        <v>41595.578999999998</v>
      </c>
      <c r="R697" s="73">
        <f t="shared" si="86"/>
        <v>1.3180580762250059E-4</v>
      </c>
      <c r="S697" s="74">
        <f t="shared" si="84"/>
        <v>1.5821791531573238E-4</v>
      </c>
      <c r="U697" s="81">
        <f t="shared" si="85"/>
        <v>0.16867799999999999</v>
      </c>
      <c r="W697" s="80">
        <v>0.83132200000000001</v>
      </c>
    </row>
    <row r="698" spans="2:23" x14ac:dyDescent="0.3">
      <c r="B698">
        <v>46</v>
      </c>
      <c r="C698">
        <v>31</v>
      </c>
      <c r="D698">
        <v>617.70100000000002</v>
      </c>
      <c r="E698" s="64">
        <f t="shared" ref="E698:E721" si="87">E697+D698-D697</f>
        <v>41615.701000000001</v>
      </c>
      <c r="R698" s="73">
        <f t="shared" si="86"/>
        <v>5.4119868800312679E-5</v>
      </c>
      <c r="S698" s="74">
        <f t="shared" si="84"/>
        <v>6.5100970262200062E-5</v>
      </c>
      <c r="U698" s="81">
        <f t="shared" si="85"/>
        <v>0.16976699999999989</v>
      </c>
      <c r="W698" s="80">
        <v>0.83023300000000011</v>
      </c>
    </row>
    <row r="699" spans="2:23" x14ac:dyDescent="0.3">
      <c r="B699">
        <v>46</v>
      </c>
      <c r="C699">
        <v>31</v>
      </c>
      <c r="D699">
        <v>633.03200000000004</v>
      </c>
      <c r="E699" s="64">
        <f t="shared" si="87"/>
        <v>41631.031999999999</v>
      </c>
      <c r="R699" s="73">
        <f t="shared" si="86"/>
        <v>5.6878220598792901E-5</v>
      </c>
      <c r="S699" s="74">
        <f t="shared" si="84"/>
        <v>6.8508744652155342E-5</v>
      </c>
      <c r="U699" s="81">
        <f t="shared" si="85"/>
        <v>0.17063899999999999</v>
      </c>
      <c r="W699" s="80">
        <v>0.82936100000000001</v>
      </c>
    </row>
    <row r="700" spans="2:23" x14ac:dyDescent="0.3">
      <c r="B700">
        <v>46</v>
      </c>
      <c r="C700">
        <v>31</v>
      </c>
      <c r="D700">
        <v>667.52700000000004</v>
      </c>
      <c r="E700" s="64">
        <f t="shared" si="87"/>
        <v>41665.527000000002</v>
      </c>
      <c r="R700" s="73">
        <f t="shared" si="86"/>
        <v>1.2668502681548648E-5</v>
      </c>
      <c r="S700" s="74">
        <f t="shared" si="84"/>
        <v>1.5275016164913285E-5</v>
      </c>
      <c r="U700" s="81">
        <f t="shared" si="85"/>
        <v>0.17107600000000001</v>
      </c>
      <c r="W700" s="80">
        <v>0.82892399999999999</v>
      </c>
    </row>
    <row r="701" spans="2:23" x14ac:dyDescent="0.3">
      <c r="B701">
        <v>46</v>
      </c>
      <c r="C701">
        <v>31</v>
      </c>
      <c r="D701">
        <v>684.39099999999996</v>
      </c>
      <c r="E701" s="64">
        <f t="shared" si="87"/>
        <v>41682.391000000003</v>
      </c>
      <c r="R701" s="73">
        <f t="shared" si="86"/>
        <v>8.6574952561723918E-6</v>
      </c>
      <c r="S701" s="74">
        <f t="shared" si="84"/>
        <v>1.0444256959832735E-5</v>
      </c>
      <c r="U701" s="81">
        <f t="shared" si="85"/>
        <v>0.1712220000000001</v>
      </c>
      <c r="W701" s="80">
        <v>0.8287779999999999</v>
      </c>
    </row>
    <row r="702" spans="2:23" x14ac:dyDescent="0.3">
      <c r="B702">
        <v>46</v>
      </c>
      <c r="C702">
        <v>31</v>
      </c>
      <c r="D702">
        <v>708.53700000000003</v>
      </c>
      <c r="E702" s="64">
        <f t="shared" si="87"/>
        <v>41706.536999999997</v>
      </c>
      <c r="R702" s="73">
        <f t="shared" si="86"/>
        <v>7.819100472127869E-5</v>
      </c>
      <c r="S702" s="74">
        <f t="shared" si="84"/>
        <v>9.4344932806226389E-5</v>
      </c>
      <c r="U702" s="81">
        <f t="shared" si="85"/>
        <v>0.1731100000000001</v>
      </c>
      <c r="W702" s="80">
        <v>0.8268899999999999</v>
      </c>
    </row>
    <row r="703" spans="2:23" x14ac:dyDescent="0.3">
      <c r="B703">
        <v>46</v>
      </c>
      <c r="C703">
        <v>31</v>
      </c>
      <c r="D703">
        <v>722.71900000000005</v>
      </c>
      <c r="E703" s="64">
        <f t="shared" si="87"/>
        <v>41720.718999999997</v>
      </c>
      <c r="R703" s="73">
        <f t="shared" si="86"/>
        <v>1.1260753067267288E-4</v>
      </c>
      <c r="S703" s="74">
        <f t="shared" si="84"/>
        <v>1.3618199600028166E-4</v>
      </c>
      <c r="U703" s="81">
        <f t="shared" si="85"/>
        <v>0.17470699999999995</v>
      </c>
      <c r="W703" s="80">
        <v>0.82529300000000005</v>
      </c>
    </row>
    <row r="704" spans="2:23" x14ac:dyDescent="0.3">
      <c r="B704">
        <v>46</v>
      </c>
      <c r="C704">
        <v>31</v>
      </c>
      <c r="D704">
        <v>739.58299999999997</v>
      </c>
      <c r="E704" s="64">
        <f t="shared" si="87"/>
        <v>41737.582999999999</v>
      </c>
      <c r="R704" s="73">
        <f t="shared" si="86"/>
        <v>-2.5735294117643296E-5</v>
      </c>
      <c r="S704" s="74">
        <f t="shared" si="84"/>
        <v>-3.1183221131941374E-5</v>
      </c>
      <c r="U704" s="81">
        <f t="shared" si="85"/>
        <v>0.17427300000000001</v>
      </c>
      <c r="W704" s="80">
        <v>0.82572699999999999</v>
      </c>
    </row>
    <row r="705" spans="2:23" x14ac:dyDescent="0.3">
      <c r="B705">
        <v>46</v>
      </c>
      <c r="C705">
        <v>31</v>
      </c>
      <c r="D705">
        <v>749.452</v>
      </c>
      <c r="E705" s="64">
        <f t="shared" si="87"/>
        <v>41747.451999999997</v>
      </c>
      <c r="R705" s="73">
        <f t="shared" si="86"/>
        <v>2.6841625291316291E-4</v>
      </c>
      <c r="S705" s="74">
        <f t="shared" si="84"/>
        <v>3.2506658122256259E-4</v>
      </c>
      <c r="U705" s="81">
        <f t="shared" si="85"/>
        <v>0.17692200000000002</v>
      </c>
      <c r="W705" s="80">
        <v>0.82307799999999998</v>
      </c>
    </row>
    <row r="706" spans="2:23" x14ac:dyDescent="0.3">
      <c r="B706">
        <v>46</v>
      </c>
      <c r="C706">
        <v>31</v>
      </c>
      <c r="D706">
        <v>760.28</v>
      </c>
      <c r="E706" s="64">
        <f t="shared" si="87"/>
        <v>41758.28</v>
      </c>
      <c r="R706" s="73">
        <f t="shared" si="86"/>
        <v>2.7826006649426854E-4</v>
      </c>
      <c r="S706" s="74">
        <f t="shared" si="84"/>
        <v>3.3807253564579359E-4</v>
      </c>
      <c r="U706" s="81">
        <f t="shared" si="85"/>
        <v>0.17993499999999996</v>
      </c>
      <c r="W706" s="80">
        <v>0.82006500000000004</v>
      </c>
    </row>
    <row r="707" spans="2:23" x14ac:dyDescent="0.3">
      <c r="B707">
        <v>46</v>
      </c>
      <c r="C707">
        <v>31</v>
      </c>
      <c r="D707">
        <v>776.28200000000004</v>
      </c>
      <c r="E707" s="64">
        <f t="shared" si="87"/>
        <v>41774.281999999999</v>
      </c>
      <c r="R707" s="73">
        <f t="shared" si="86"/>
        <v>2.2684664416947924E-5</v>
      </c>
      <c r="S707" s="74">
        <f t="shared" si="84"/>
        <v>2.7662032176654198E-5</v>
      </c>
      <c r="U707" s="81">
        <f t="shared" si="85"/>
        <v>0.18029799999999996</v>
      </c>
      <c r="W707" s="80">
        <v>0.81970200000000004</v>
      </c>
    </row>
    <row r="708" spans="2:23" x14ac:dyDescent="0.3">
      <c r="B708">
        <v>46</v>
      </c>
      <c r="C708">
        <v>31</v>
      </c>
      <c r="D708">
        <v>786.72699999999998</v>
      </c>
      <c r="E708" s="64">
        <f t="shared" si="87"/>
        <v>41784.726999999999</v>
      </c>
      <c r="R708" s="73">
        <f t="shared" si="86"/>
        <v>4.7955959789373594E-4</v>
      </c>
      <c r="S708" s="74">
        <f t="shared" si="84"/>
        <v>5.8504139052208723E-4</v>
      </c>
      <c r="U708" s="81">
        <f t="shared" si="85"/>
        <v>0.185307</v>
      </c>
      <c r="W708" s="80">
        <v>0.814693</v>
      </c>
    </row>
    <row r="709" spans="2:23" x14ac:dyDescent="0.3">
      <c r="B709">
        <v>46</v>
      </c>
      <c r="C709">
        <v>31</v>
      </c>
      <c r="D709">
        <v>799.09900000000005</v>
      </c>
      <c r="E709" s="64">
        <f t="shared" si="87"/>
        <v>41797.099000000002</v>
      </c>
      <c r="R709" s="73">
        <f t="shared" si="86"/>
        <v>4.5578726155835091E-4</v>
      </c>
      <c r="S709" s="74">
        <f t="shared" si="84"/>
        <v>5.5945891465662635E-4</v>
      </c>
      <c r="U709" s="81">
        <f t="shared" si="85"/>
        <v>0.19094599999999995</v>
      </c>
      <c r="W709" s="80">
        <v>0.80905400000000005</v>
      </c>
    </row>
    <row r="710" spans="2:23" x14ac:dyDescent="0.3">
      <c r="B710">
        <v>46</v>
      </c>
      <c r="C710">
        <v>31</v>
      </c>
      <c r="D710">
        <v>810.20699999999999</v>
      </c>
      <c r="E710" s="64">
        <f t="shared" si="87"/>
        <v>41808.207000000002</v>
      </c>
      <c r="R710" s="73">
        <f t="shared" si="86"/>
        <v>3.8692833993518583E-4</v>
      </c>
      <c r="S710" s="74">
        <f t="shared" si="84"/>
        <v>4.7824785482203396E-4</v>
      </c>
      <c r="U710" s="81">
        <f t="shared" si="85"/>
        <v>0.19524399999999997</v>
      </c>
      <c r="W710" s="80">
        <v>0.80475600000000003</v>
      </c>
    </row>
    <row r="711" spans="2:23" x14ac:dyDescent="0.3">
      <c r="B711">
        <v>46</v>
      </c>
      <c r="C711">
        <v>31</v>
      </c>
      <c r="D711">
        <v>820.83100000000002</v>
      </c>
      <c r="E711" s="64">
        <f t="shared" si="87"/>
        <v>41818.830999999998</v>
      </c>
      <c r="R711" s="73">
        <f t="shared" si="86"/>
        <v>3.6153990963856231E-4</v>
      </c>
      <c r="S711" s="74">
        <f t="shared" si="84"/>
        <v>4.4925407159258495E-4</v>
      </c>
      <c r="U711" s="81">
        <f t="shared" si="85"/>
        <v>0.19908500000000007</v>
      </c>
      <c r="W711" s="80">
        <v>0.80091499999999993</v>
      </c>
    </row>
    <row r="712" spans="2:23" x14ac:dyDescent="0.3">
      <c r="B712">
        <v>46</v>
      </c>
      <c r="C712">
        <v>31</v>
      </c>
      <c r="D712">
        <v>829.24800000000005</v>
      </c>
      <c r="E712" s="64">
        <f t="shared" si="87"/>
        <v>41827.248</v>
      </c>
      <c r="R712" s="73">
        <f t="shared" si="86"/>
        <v>3.4893667577521172E-4</v>
      </c>
      <c r="S712" s="74">
        <f t="shared" si="84"/>
        <v>4.3567254424653273E-4</v>
      </c>
      <c r="U712" s="81">
        <f t="shared" si="85"/>
        <v>0.20202200000000003</v>
      </c>
      <c r="W712" s="80">
        <v>0.79797799999999997</v>
      </c>
    </row>
    <row r="713" spans="2:23" x14ac:dyDescent="0.3">
      <c r="B713">
        <v>46</v>
      </c>
      <c r="C713">
        <v>31</v>
      </c>
      <c r="D713">
        <v>842.02499999999998</v>
      </c>
      <c r="E713" s="64">
        <f t="shared" si="87"/>
        <v>41840.025000000001</v>
      </c>
      <c r="R713" s="73">
        <f t="shared" si="86"/>
        <v>4.2889567191046092E-5</v>
      </c>
      <c r="S713" s="74">
        <f t="shared" si="84"/>
        <v>5.3747806569913078E-5</v>
      </c>
      <c r="U713" s="81">
        <f t="shared" si="85"/>
        <v>0.20257000000000003</v>
      </c>
      <c r="W713" s="80">
        <v>0.79742999999999997</v>
      </c>
    </row>
    <row r="714" spans="2:23" x14ac:dyDescent="0.3">
      <c r="B714">
        <v>46</v>
      </c>
      <c r="C714">
        <v>31</v>
      </c>
      <c r="D714">
        <v>857.69200000000001</v>
      </c>
      <c r="E714" s="64">
        <f t="shared" si="87"/>
        <v>41855.692000000003</v>
      </c>
      <c r="R714" s="73">
        <f t="shared" si="86"/>
        <v>3.5297121337844029E-4</v>
      </c>
      <c r="S714" s="74">
        <f t="shared" si="84"/>
        <v>4.4263598482429848E-4</v>
      </c>
      <c r="U714" s="81">
        <f t="shared" si="85"/>
        <v>0.20810000000000006</v>
      </c>
      <c r="W714" s="80">
        <v>0.79189999999999994</v>
      </c>
    </row>
    <row r="715" spans="2:23" x14ac:dyDescent="0.3">
      <c r="B715">
        <v>46</v>
      </c>
      <c r="C715">
        <v>31</v>
      </c>
      <c r="D715">
        <v>870.31799999999998</v>
      </c>
      <c r="E715" s="64">
        <f t="shared" si="87"/>
        <v>41868.317999999999</v>
      </c>
      <c r="R715" s="73">
        <f t="shared" si="86"/>
        <v>3.7422778393790497E-4</v>
      </c>
      <c r="S715" s="74">
        <f t="shared" si="84"/>
        <v>4.7256949607009092E-4</v>
      </c>
      <c r="U715" s="81">
        <f t="shared" si="85"/>
        <v>0.21282500000000004</v>
      </c>
      <c r="W715" s="80">
        <v>0.78717499999999996</v>
      </c>
    </row>
    <row r="716" spans="2:23" x14ac:dyDescent="0.3">
      <c r="B716">
        <v>46</v>
      </c>
      <c r="C716">
        <v>31</v>
      </c>
      <c r="D716">
        <v>883.399</v>
      </c>
      <c r="E716" s="64">
        <f t="shared" si="87"/>
        <v>41881.398999999998</v>
      </c>
      <c r="R716" s="73">
        <f t="shared" si="86"/>
        <v>1.3209999235532066E-4</v>
      </c>
      <c r="S716" s="74">
        <f t="shared" si="84"/>
        <v>1.6781527913782918E-4</v>
      </c>
      <c r="U716" s="81">
        <f t="shared" si="85"/>
        <v>0.21455299999999999</v>
      </c>
      <c r="W716" s="80">
        <v>0.78544700000000001</v>
      </c>
    </row>
    <row r="717" spans="2:23" x14ac:dyDescent="0.3">
      <c r="B717">
        <v>46</v>
      </c>
      <c r="C717">
        <v>31</v>
      </c>
      <c r="D717">
        <v>894.57899999999995</v>
      </c>
      <c r="E717" s="64">
        <f t="shared" si="87"/>
        <v>41892.578999999998</v>
      </c>
      <c r="R717" s="73">
        <f t="shared" si="86"/>
        <v>2.3971377459748808E-4</v>
      </c>
      <c r="S717" s="74">
        <f t="shared" si="84"/>
        <v>3.0519408005567282E-4</v>
      </c>
      <c r="U717" s="81">
        <f t="shared" si="85"/>
        <v>0.2172329999999999</v>
      </c>
      <c r="W717" s="80">
        <v>0.7827670000000001</v>
      </c>
    </row>
    <row r="718" spans="2:23" x14ac:dyDescent="0.3">
      <c r="B718">
        <v>46</v>
      </c>
      <c r="C718">
        <v>31</v>
      </c>
      <c r="D718">
        <v>907.50800000000004</v>
      </c>
      <c r="E718" s="64">
        <f t="shared" si="87"/>
        <v>41905.508000000002</v>
      </c>
      <c r="R718" s="73">
        <f t="shared" si="86"/>
        <v>2.7627813442649134E-4</v>
      </c>
      <c r="S718" s="74">
        <f t="shared" si="84"/>
        <v>3.5295066657957131E-4</v>
      </c>
      <c r="U718" s="81">
        <f t="shared" si="85"/>
        <v>0.22080500000000003</v>
      </c>
      <c r="W718" s="80">
        <v>0.77919499999999997</v>
      </c>
    </row>
    <row r="719" spans="2:23" x14ac:dyDescent="0.3">
      <c r="B719">
        <v>46</v>
      </c>
      <c r="C719">
        <v>31</v>
      </c>
      <c r="D719">
        <v>921.197</v>
      </c>
      <c r="E719" s="64">
        <f t="shared" si="87"/>
        <v>41919.197</v>
      </c>
      <c r="R719" s="73">
        <f t="shared" si="86"/>
        <v>1.3046972021330696E-4</v>
      </c>
      <c r="S719" s="74">
        <f t="shared" si="84"/>
        <v>1.6744168046933946E-4</v>
      </c>
      <c r="U719" s="81">
        <f t="shared" si="85"/>
        <v>0.22259099999999998</v>
      </c>
      <c r="W719" s="80">
        <v>0.77740900000000002</v>
      </c>
    </row>
    <row r="720" spans="2:23" x14ac:dyDescent="0.3">
      <c r="B720">
        <v>46</v>
      </c>
      <c r="C720">
        <v>31</v>
      </c>
      <c r="D720">
        <v>934.27800000000002</v>
      </c>
      <c r="E720" s="64">
        <f t="shared" si="87"/>
        <v>41932.277999999998</v>
      </c>
      <c r="R720" s="73">
        <f t="shared" si="86"/>
        <v>-4.3574650256076494E-6</v>
      </c>
      <c r="S720" s="74">
        <f t="shared" si="84"/>
        <v>-5.6051126570539437E-6</v>
      </c>
      <c r="U720" s="81">
        <f t="shared" si="85"/>
        <v>0.22253400000000001</v>
      </c>
      <c r="W720" s="80">
        <v>0.77746599999999999</v>
      </c>
    </row>
    <row r="721" spans="2:23" x14ac:dyDescent="0.3">
      <c r="B721">
        <v>46</v>
      </c>
      <c r="C721">
        <v>31</v>
      </c>
      <c r="D721">
        <v>958.76700000000005</v>
      </c>
      <c r="E721" s="64">
        <f t="shared" si="87"/>
        <v>41956.767</v>
      </c>
      <c r="R721" s="73">
        <f t="shared" si="86"/>
        <v>1.4822981746906845E-4</v>
      </c>
      <c r="S721" s="74">
        <f t="shared" si="84"/>
        <v>1.9065762035776285E-4</v>
      </c>
      <c r="U721" s="81">
        <f t="shared" si="85"/>
        <v>0.22616400000000003</v>
      </c>
      <c r="W721" s="80">
        <v>0.77383599999999997</v>
      </c>
    </row>
    <row r="722" spans="2:23" x14ac:dyDescent="0.3">
      <c r="B722">
        <v>47</v>
      </c>
      <c r="C722">
        <v>31</v>
      </c>
      <c r="D722">
        <v>0</v>
      </c>
      <c r="E722" s="64">
        <v>40998</v>
      </c>
      <c r="R722" s="73">
        <f t="shared" si="86"/>
        <v>0</v>
      </c>
      <c r="S722" s="74">
        <f t="shared" si="84"/>
        <v>0</v>
      </c>
      <c r="U722" s="81">
        <f t="shared" si="85"/>
        <v>0</v>
      </c>
      <c r="W722" s="80">
        <v>1</v>
      </c>
    </row>
    <row r="723" spans="2:23" x14ac:dyDescent="0.3">
      <c r="B723">
        <v>47</v>
      </c>
      <c r="C723">
        <v>31</v>
      </c>
      <c r="D723">
        <v>10.081</v>
      </c>
      <c r="E723" s="64">
        <f t="shared" ref="E723:E754" si="88">E722+D723-D722</f>
        <v>41008.080999999998</v>
      </c>
      <c r="R723" s="73">
        <f t="shared" si="86"/>
        <v>3.12964983632578E-4</v>
      </c>
      <c r="S723" s="74">
        <f t="shared" si="84"/>
        <v>3.12964983632578E-4</v>
      </c>
      <c r="U723" s="81">
        <f t="shared" si="85"/>
        <v>3.1550000000000189E-3</v>
      </c>
      <c r="W723" s="80">
        <v>0.99684499999999998</v>
      </c>
    </row>
    <row r="724" spans="2:23" x14ac:dyDescent="0.3">
      <c r="B724">
        <v>47</v>
      </c>
      <c r="C724">
        <v>31</v>
      </c>
      <c r="D724">
        <v>16.419</v>
      </c>
      <c r="E724" s="64">
        <f t="shared" si="88"/>
        <v>41014.419000000002</v>
      </c>
      <c r="R724" s="73">
        <f t="shared" si="86"/>
        <v>2.9583464815398543E-4</v>
      </c>
      <c r="S724" s="74">
        <f t="shared" si="84"/>
        <v>2.967709605344717E-4</v>
      </c>
      <c r="U724" s="81">
        <f t="shared" si="85"/>
        <v>5.0299999999999789E-3</v>
      </c>
      <c r="W724" s="80">
        <v>0.99497000000000002</v>
      </c>
    </row>
    <row r="725" spans="2:23" x14ac:dyDescent="0.3">
      <c r="B725">
        <v>47</v>
      </c>
      <c r="C725">
        <v>31</v>
      </c>
      <c r="D725">
        <v>28.492000000000001</v>
      </c>
      <c r="E725" s="64">
        <f t="shared" si="88"/>
        <v>41026.491999999998</v>
      </c>
      <c r="R725" s="73">
        <f t="shared" si="86"/>
        <v>3.4125735111412154E-5</v>
      </c>
      <c r="S725" s="74">
        <f t="shared" si="84"/>
        <v>3.4298255335750979E-5</v>
      </c>
      <c r="U725" s="81">
        <f t="shared" si="85"/>
        <v>5.4420000000000579E-3</v>
      </c>
      <c r="W725" s="80">
        <v>0.99455799999999994</v>
      </c>
    </row>
    <row r="726" spans="2:23" x14ac:dyDescent="0.3">
      <c r="B726">
        <v>47</v>
      </c>
      <c r="C726">
        <v>31</v>
      </c>
      <c r="D726">
        <v>38.512999999999998</v>
      </c>
      <c r="E726" s="64">
        <f t="shared" si="88"/>
        <v>41036.512999999999</v>
      </c>
      <c r="R726" s="73">
        <f t="shared" si="86"/>
        <v>5.7040215547348903E-4</v>
      </c>
      <c r="S726" s="74">
        <f t="shared" si="84"/>
        <v>5.7352326910395282E-4</v>
      </c>
      <c r="U726" s="81">
        <f t="shared" si="85"/>
        <v>1.115799999999989E-2</v>
      </c>
      <c r="W726" s="80">
        <v>0.98884200000000011</v>
      </c>
    </row>
    <row r="727" spans="2:23" x14ac:dyDescent="0.3">
      <c r="B727">
        <v>47</v>
      </c>
      <c r="C727">
        <v>31</v>
      </c>
      <c r="D727">
        <v>47.085000000000001</v>
      </c>
      <c r="E727" s="64">
        <f t="shared" si="88"/>
        <v>41045.084999999999</v>
      </c>
      <c r="R727" s="73">
        <f t="shared" si="86"/>
        <v>6.0545963602428102E-4</v>
      </c>
      <c r="S727" s="74">
        <f t="shared" si="84"/>
        <v>6.1229158553568824E-4</v>
      </c>
      <c r="U727" s="81">
        <f t="shared" si="85"/>
        <v>1.6348000000000029E-2</v>
      </c>
      <c r="W727" s="80">
        <v>0.98365199999999997</v>
      </c>
    </row>
    <row r="728" spans="2:23" x14ac:dyDescent="0.3">
      <c r="B728">
        <v>47</v>
      </c>
      <c r="C728">
        <v>31</v>
      </c>
      <c r="D728">
        <v>50.816000000000003</v>
      </c>
      <c r="E728" s="64">
        <f t="shared" si="88"/>
        <v>41048.815999999999</v>
      </c>
      <c r="R728" s="73">
        <f t="shared" si="86"/>
        <v>4.3768426695255824E-4</v>
      </c>
      <c r="S728" s="74">
        <f t="shared" si="84"/>
        <v>4.4495844765481926E-4</v>
      </c>
      <c r="U728" s="81">
        <f t="shared" si="85"/>
        <v>1.7981000000000025E-2</v>
      </c>
      <c r="W728" s="80">
        <v>0.98201899999999998</v>
      </c>
    </row>
    <row r="729" spans="2:23" x14ac:dyDescent="0.3">
      <c r="B729">
        <v>47</v>
      </c>
      <c r="C729">
        <v>31</v>
      </c>
      <c r="D729">
        <v>56.372999999999998</v>
      </c>
      <c r="E729" s="64">
        <f t="shared" si="88"/>
        <v>41054.373</v>
      </c>
      <c r="R729" s="73">
        <f t="shared" si="86"/>
        <v>1.0455281626776016E-4</v>
      </c>
      <c r="S729" s="74">
        <f t="shared" si="84"/>
        <v>1.0646720304572534E-4</v>
      </c>
      <c r="U729" s="81">
        <f t="shared" si="85"/>
        <v>1.8561999999999967E-2</v>
      </c>
      <c r="W729" s="80">
        <v>0.98143800000000003</v>
      </c>
    </row>
    <row r="730" spans="2:23" x14ac:dyDescent="0.3">
      <c r="B730">
        <v>47</v>
      </c>
      <c r="C730">
        <v>31</v>
      </c>
      <c r="D730">
        <v>63.273000000000003</v>
      </c>
      <c r="E730" s="64">
        <f t="shared" si="88"/>
        <v>41061.273000000001</v>
      </c>
      <c r="R730" s="73">
        <f t="shared" si="86"/>
        <v>6.3115942028987035E-4</v>
      </c>
      <c r="S730" s="74">
        <f t="shared" si="84"/>
        <v>6.4309657898906536E-4</v>
      </c>
      <c r="U730" s="81">
        <f t="shared" si="85"/>
        <v>2.2917000000000076E-2</v>
      </c>
      <c r="W730" s="80">
        <v>0.97708299999999992</v>
      </c>
    </row>
    <row r="731" spans="2:23" x14ac:dyDescent="0.3">
      <c r="B731">
        <v>47</v>
      </c>
      <c r="C731">
        <v>31</v>
      </c>
      <c r="D731">
        <v>73.813999999999993</v>
      </c>
      <c r="E731" s="64">
        <f t="shared" si="88"/>
        <v>41071.813999999998</v>
      </c>
      <c r="R731" s="73">
        <f t="shared" si="86"/>
        <v>5.8523859216392995E-4</v>
      </c>
      <c r="S731" s="74">
        <f t="shared" si="84"/>
        <v>5.9896507478272582E-4</v>
      </c>
      <c r="U731" s="81">
        <f t="shared" si="85"/>
        <v>2.9086000000000056E-2</v>
      </c>
      <c r="W731" s="80">
        <v>0.97091399999999994</v>
      </c>
    </row>
    <row r="732" spans="2:23" x14ac:dyDescent="0.3">
      <c r="B732">
        <v>47</v>
      </c>
      <c r="C732">
        <v>31</v>
      </c>
      <c r="D732">
        <v>79.947000000000003</v>
      </c>
      <c r="E732" s="64">
        <f t="shared" si="88"/>
        <v>41077.947</v>
      </c>
      <c r="R732" s="73">
        <f t="shared" si="86"/>
        <v>5.9187999347790911E-4</v>
      </c>
      <c r="S732" s="74">
        <f t="shared" ref="S732:S779" si="89">IF(D732&gt;D731,(U732-U731)/W731/(D732-D731),0)</f>
        <v>6.0961114318869552E-4</v>
      </c>
      <c r="U732" s="81">
        <f t="shared" ref="U732:U779" si="90">100%-W732</f>
        <v>3.2716000000000078E-2</v>
      </c>
      <c r="W732" s="80">
        <v>0.96728399999999992</v>
      </c>
    </row>
    <row r="733" spans="2:23" x14ac:dyDescent="0.3">
      <c r="B733">
        <v>47</v>
      </c>
      <c r="C733">
        <v>31</v>
      </c>
      <c r="D733">
        <v>88.188000000000002</v>
      </c>
      <c r="E733" s="64">
        <f t="shared" si="88"/>
        <v>41086.188000000002</v>
      </c>
      <c r="R733" s="73">
        <f t="shared" si="86"/>
        <v>7.1338429802206727E-4</v>
      </c>
      <c r="S733" s="74">
        <f t="shared" si="89"/>
        <v>7.3751276566351497E-4</v>
      </c>
      <c r="U733" s="81">
        <f t="shared" si="90"/>
        <v>3.8594999999999935E-2</v>
      </c>
      <c r="W733" s="80">
        <v>0.96140500000000007</v>
      </c>
    </row>
    <row r="734" spans="2:23" x14ac:dyDescent="0.3">
      <c r="B734">
        <v>47</v>
      </c>
      <c r="C734">
        <v>31</v>
      </c>
      <c r="D734">
        <v>100.837</v>
      </c>
      <c r="E734" s="64">
        <f t="shared" si="88"/>
        <v>41098.837</v>
      </c>
      <c r="R734" s="73">
        <f t="shared" si="86"/>
        <v>5.9103486441616239E-4</v>
      </c>
      <c r="S734" s="74">
        <f t="shared" si="89"/>
        <v>6.147615879012095E-4</v>
      </c>
      <c r="U734" s="81">
        <f t="shared" si="90"/>
        <v>4.6070999999999973E-2</v>
      </c>
      <c r="W734" s="80">
        <v>0.95392900000000003</v>
      </c>
    </row>
    <row r="735" spans="2:23" x14ac:dyDescent="0.3">
      <c r="B735">
        <v>47</v>
      </c>
      <c r="C735">
        <v>31</v>
      </c>
      <c r="D735">
        <v>110.22799999999999</v>
      </c>
      <c r="E735" s="64">
        <f t="shared" si="88"/>
        <v>41108.228000000003</v>
      </c>
      <c r="R735" s="73">
        <f t="shared" si="86"/>
        <v>4.7918219571931248E-4</v>
      </c>
      <c r="S735" s="74">
        <f t="shared" si="89"/>
        <v>5.0232480165642566E-4</v>
      </c>
      <c r="U735" s="81">
        <f t="shared" si="90"/>
        <v>5.0571000000000033E-2</v>
      </c>
      <c r="W735" s="80">
        <v>0.94942899999999997</v>
      </c>
    </row>
    <row r="736" spans="2:23" x14ac:dyDescent="0.3">
      <c r="B736">
        <v>47</v>
      </c>
      <c r="C736">
        <v>31</v>
      </c>
      <c r="D736">
        <v>121.152</v>
      </c>
      <c r="E736" s="64">
        <f t="shared" si="88"/>
        <v>41119.152000000002</v>
      </c>
      <c r="R736" s="73">
        <f t="shared" si="86"/>
        <v>3.1233980227023795E-4</v>
      </c>
      <c r="S736" s="74">
        <f t="shared" si="89"/>
        <v>3.2897647140569538E-4</v>
      </c>
      <c r="U736" s="81">
        <f t="shared" si="90"/>
        <v>5.3983000000000114E-2</v>
      </c>
      <c r="W736" s="80">
        <v>0.94601699999999989</v>
      </c>
    </row>
    <row r="737" spans="2:23" x14ac:dyDescent="0.3">
      <c r="B737">
        <v>47</v>
      </c>
      <c r="C737">
        <v>31</v>
      </c>
      <c r="D737">
        <v>141.274</v>
      </c>
      <c r="E737" s="64">
        <f t="shared" si="88"/>
        <v>41139.273999999998</v>
      </c>
      <c r="R737" s="73">
        <f t="shared" si="86"/>
        <v>2.3089156147499339E-4</v>
      </c>
      <c r="S737" s="74">
        <f t="shared" si="89"/>
        <v>2.4406703206707005E-4</v>
      </c>
      <c r="U737" s="81">
        <f t="shared" si="90"/>
        <v>5.8628999999999931E-2</v>
      </c>
      <c r="W737" s="80">
        <v>0.94137100000000007</v>
      </c>
    </row>
    <row r="738" spans="2:23" x14ac:dyDescent="0.3">
      <c r="B738">
        <v>47</v>
      </c>
      <c r="C738">
        <v>31</v>
      </c>
      <c r="D738">
        <v>160.63</v>
      </c>
      <c r="E738" s="64">
        <f t="shared" si="88"/>
        <v>41158.629999999997</v>
      </c>
      <c r="R738" s="73">
        <f t="shared" si="86"/>
        <v>1.8376730729489736E-4</v>
      </c>
      <c r="S738" s="74">
        <f t="shared" si="89"/>
        <v>1.9521241603458929E-4</v>
      </c>
      <c r="U738" s="81">
        <f t="shared" si="90"/>
        <v>6.2185999999999964E-2</v>
      </c>
      <c r="W738" s="80">
        <v>0.93781400000000004</v>
      </c>
    </row>
    <row r="739" spans="2:23" x14ac:dyDescent="0.3">
      <c r="B739">
        <v>47</v>
      </c>
      <c r="C739">
        <v>31</v>
      </c>
      <c r="D739">
        <v>191.48400000000001</v>
      </c>
      <c r="E739" s="64">
        <f t="shared" si="88"/>
        <v>41189.483999999997</v>
      </c>
      <c r="R739" s="73">
        <f t="shared" si="86"/>
        <v>1.1295131911583454E-4</v>
      </c>
      <c r="S739" s="74">
        <f t="shared" si="89"/>
        <v>1.2044106732873953E-4</v>
      </c>
      <c r="U739" s="81">
        <f t="shared" si="90"/>
        <v>6.5670999999999924E-2</v>
      </c>
      <c r="W739" s="80">
        <v>0.93432900000000008</v>
      </c>
    </row>
    <row r="740" spans="2:23" x14ac:dyDescent="0.3">
      <c r="B740">
        <v>47</v>
      </c>
      <c r="C740">
        <v>31</v>
      </c>
      <c r="D740">
        <v>214.864</v>
      </c>
      <c r="E740" s="64">
        <f t="shared" si="88"/>
        <v>41212.864000000001</v>
      </c>
      <c r="R740" s="73">
        <f t="shared" si="86"/>
        <v>1.1800684345594813E-4</v>
      </c>
      <c r="S740" s="74">
        <f t="shared" si="89"/>
        <v>1.2630116742169849E-4</v>
      </c>
      <c r="U740" s="81">
        <f t="shared" si="90"/>
        <v>6.8429999999999991E-2</v>
      </c>
      <c r="W740" s="80">
        <v>0.93157000000000001</v>
      </c>
    </row>
    <row r="741" spans="2:23" x14ac:dyDescent="0.3">
      <c r="B741">
        <v>47</v>
      </c>
      <c r="C741">
        <v>31</v>
      </c>
      <c r="D741">
        <v>239.58600000000001</v>
      </c>
      <c r="E741" s="64">
        <f t="shared" si="88"/>
        <v>41237.586000000003</v>
      </c>
      <c r="R741" s="73">
        <f t="shared" si="86"/>
        <v>8.8140118113422912E-5</v>
      </c>
      <c r="S741" s="74">
        <f t="shared" si="89"/>
        <v>9.4614594838201007E-5</v>
      </c>
      <c r="U741" s="81">
        <f t="shared" si="90"/>
        <v>7.0609000000000033E-2</v>
      </c>
      <c r="W741" s="80">
        <v>0.92939099999999997</v>
      </c>
    </row>
    <row r="742" spans="2:23" x14ac:dyDescent="0.3">
      <c r="B742">
        <v>47</v>
      </c>
      <c r="C742">
        <v>31</v>
      </c>
      <c r="D742">
        <v>262.774</v>
      </c>
      <c r="E742" s="64">
        <f t="shared" si="88"/>
        <v>41260.773999999998</v>
      </c>
      <c r="R742" s="73">
        <f t="shared" si="86"/>
        <v>7.5168190443334953E-5</v>
      </c>
      <c r="S742" s="74">
        <f t="shared" si="89"/>
        <v>8.0878973912309205E-5</v>
      </c>
      <c r="U742" s="81">
        <f t="shared" si="90"/>
        <v>7.2352000000000083E-2</v>
      </c>
      <c r="W742" s="80">
        <v>0.92764799999999992</v>
      </c>
    </row>
    <row r="743" spans="2:23" x14ac:dyDescent="0.3">
      <c r="B743">
        <v>47</v>
      </c>
      <c r="C743">
        <v>31</v>
      </c>
      <c r="D743">
        <v>283.471</v>
      </c>
      <c r="E743" s="64">
        <f t="shared" si="88"/>
        <v>41281.470999999998</v>
      </c>
      <c r="R743" s="73">
        <f t="shared" si="86"/>
        <v>2.106585495482398E-5</v>
      </c>
      <c r="S743" s="74">
        <f t="shared" si="89"/>
        <v>2.2708888452111123E-5</v>
      </c>
      <c r="U743" s="81">
        <f t="shared" si="90"/>
        <v>7.2788000000000075E-2</v>
      </c>
      <c r="W743" s="80">
        <v>0.92721199999999993</v>
      </c>
    </row>
    <row r="744" spans="2:23" x14ac:dyDescent="0.3">
      <c r="B744">
        <v>47</v>
      </c>
      <c r="C744">
        <v>31</v>
      </c>
      <c r="D744">
        <v>313.36599999999999</v>
      </c>
      <c r="E744" s="64">
        <f t="shared" si="88"/>
        <v>41311.366000000002</v>
      </c>
      <c r="R744" s="73">
        <f t="shared" si="86"/>
        <v>-1.9367787255397475E-5</v>
      </c>
      <c r="S744" s="74">
        <f t="shared" si="89"/>
        <v>-2.0888197365216883E-5</v>
      </c>
      <c r="U744" s="81">
        <f t="shared" si="90"/>
        <v>7.2208999999999968E-2</v>
      </c>
      <c r="W744" s="80">
        <v>0.92779100000000003</v>
      </c>
    </row>
    <row r="745" spans="2:23" x14ac:dyDescent="0.3">
      <c r="B745">
        <v>47</v>
      </c>
      <c r="C745">
        <v>31</v>
      </c>
      <c r="D745">
        <v>333.68</v>
      </c>
      <c r="E745" s="64">
        <f t="shared" si="88"/>
        <v>41331.68</v>
      </c>
      <c r="R745" s="73">
        <f t="shared" si="86"/>
        <v>2.8600964851823475E-5</v>
      </c>
      <c r="S745" s="74">
        <f t="shared" si="89"/>
        <v>3.0826947935282271E-5</v>
      </c>
      <c r="U745" s="81">
        <f t="shared" si="90"/>
        <v>7.278999999999991E-2</v>
      </c>
      <c r="W745" s="80">
        <v>0.92721000000000009</v>
      </c>
    </row>
    <row r="746" spans="2:23" x14ac:dyDescent="0.3">
      <c r="B746">
        <v>47</v>
      </c>
      <c r="C746">
        <v>31</v>
      </c>
      <c r="D746">
        <v>357.44299999999998</v>
      </c>
      <c r="E746" s="64">
        <f t="shared" si="88"/>
        <v>41355.442999999999</v>
      </c>
      <c r="R746" s="73">
        <f t="shared" si="86"/>
        <v>3.0593780246603285E-5</v>
      </c>
      <c r="S746" s="74">
        <f t="shared" si="89"/>
        <v>3.2995524472992398E-5</v>
      </c>
      <c r="U746" s="81">
        <f t="shared" si="90"/>
        <v>7.3516999999999944E-2</v>
      </c>
      <c r="W746" s="80">
        <v>0.92648300000000006</v>
      </c>
    </row>
    <row r="747" spans="2:23" x14ac:dyDescent="0.3">
      <c r="B747">
        <v>47</v>
      </c>
      <c r="C747">
        <v>31</v>
      </c>
      <c r="D747">
        <v>385.03899999999999</v>
      </c>
      <c r="E747" s="64">
        <f t="shared" si="88"/>
        <v>41383.038999999997</v>
      </c>
      <c r="R747" s="73">
        <f t="shared" si="86"/>
        <v>7.8960718944776111E-5</v>
      </c>
      <c r="S747" s="74">
        <f t="shared" si="89"/>
        <v>8.5226300908679511E-5</v>
      </c>
      <c r="U747" s="81">
        <f t="shared" si="90"/>
        <v>7.5695999999999986E-2</v>
      </c>
      <c r="W747" s="80">
        <v>0.92430400000000001</v>
      </c>
    </row>
    <row r="748" spans="2:23" x14ac:dyDescent="0.3">
      <c r="B748">
        <v>47</v>
      </c>
      <c r="C748">
        <v>31</v>
      </c>
      <c r="D748">
        <v>409.18599999999998</v>
      </c>
      <c r="E748" s="64">
        <f t="shared" si="88"/>
        <v>41407.186000000002</v>
      </c>
      <c r="R748" s="73">
        <f t="shared" si="86"/>
        <v>1.3827804696235483E-4</v>
      </c>
      <c r="S748" s="74">
        <f t="shared" si="89"/>
        <v>1.4960234615705962E-4</v>
      </c>
      <c r="U748" s="81">
        <f t="shared" si="90"/>
        <v>7.9034999999999966E-2</v>
      </c>
      <c r="W748" s="80">
        <v>0.92096500000000003</v>
      </c>
    </row>
    <row r="749" spans="2:23" x14ac:dyDescent="0.3">
      <c r="B749">
        <v>47</v>
      </c>
      <c r="C749">
        <v>31</v>
      </c>
      <c r="D749">
        <v>433.71600000000001</v>
      </c>
      <c r="E749" s="64">
        <f t="shared" si="88"/>
        <v>41431.716</v>
      </c>
      <c r="R749" s="73">
        <f t="shared" ref="R749:R812" si="91">IF(D749&gt;D748,(U749-U748)/1/(D749-D748),0)</f>
        <v>1.7166734610681088E-4</v>
      </c>
      <c r="S749" s="74">
        <f t="shared" si="89"/>
        <v>1.8639942463265254E-4</v>
      </c>
      <c r="U749" s="81">
        <f t="shared" si="90"/>
        <v>8.3246000000000042E-2</v>
      </c>
      <c r="W749" s="80">
        <v>0.91675399999999996</v>
      </c>
    </row>
    <row r="750" spans="2:23" x14ac:dyDescent="0.3">
      <c r="B750">
        <v>47</v>
      </c>
      <c r="C750">
        <v>31</v>
      </c>
      <c r="D750">
        <v>450.964</v>
      </c>
      <c r="E750" s="64">
        <f t="shared" si="88"/>
        <v>41448.964</v>
      </c>
      <c r="R750" s="73">
        <f t="shared" si="91"/>
        <v>2.1886595547309688E-4</v>
      </c>
      <c r="S750" s="74">
        <f t="shared" si="89"/>
        <v>2.3874011509423125E-4</v>
      </c>
      <c r="U750" s="81">
        <f t="shared" si="90"/>
        <v>8.7021000000000015E-2</v>
      </c>
      <c r="W750" s="80">
        <v>0.91297899999999998</v>
      </c>
    </row>
    <row r="751" spans="2:23" x14ac:dyDescent="0.3">
      <c r="B751">
        <v>47</v>
      </c>
      <c r="C751">
        <v>31</v>
      </c>
      <c r="D751">
        <v>470.512</v>
      </c>
      <c r="E751" s="64">
        <f t="shared" si="88"/>
        <v>41468.512000000002</v>
      </c>
      <c r="R751" s="73">
        <f t="shared" si="91"/>
        <v>1.9311438510333397E-4</v>
      </c>
      <c r="S751" s="74">
        <f t="shared" si="89"/>
        <v>2.1152116872713824E-4</v>
      </c>
      <c r="U751" s="81">
        <f t="shared" si="90"/>
        <v>9.0795999999999988E-2</v>
      </c>
      <c r="W751" s="80">
        <v>0.90920400000000001</v>
      </c>
    </row>
    <row r="752" spans="2:23" x14ac:dyDescent="0.3">
      <c r="B752">
        <v>47</v>
      </c>
      <c r="C752">
        <v>31</v>
      </c>
      <c r="D752">
        <v>489.29300000000001</v>
      </c>
      <c r="E752" s="64">
        <f t="shared" si="88"/>
        <v>41487.292999999998</v>
      </c>
      <c r="R752" s="73">
        <f t="shared" si="91"/>
        <v>2.7053937490016509E-4</v>
      </c>
      <c r="S752" s="74">
        <f t="shared" si="89"/>
        <v>2.9755629638691109E-4</v>
      </c>
      <c r="U752" s="81">
        <f t="shared" si="90"/>
        <v>9.587699999999999E-2</v>
      </c>
      <c r="W752" s="80">
        <v>0.90412300000000001</v>
      </c>
    </row>
    <row r="753" spans="2:23" x14ac:dyDescent="0.3">
      <c r="B753">
        <v>47</v>
      </c>
      <c r="C753">
        <v>31</v>
      </c>
      <c r="D753">
        <v>499.25799999999998</v>
      </c>
      <c r="E753" s="64">
        <f t="shared" si="88"/>
        <v>41497.258000000002</v>
      </c>
      <c r="R753" s="73">
        <f t="shared" si="91"/>
        <v>3.2052182639237715E-4</v>
      </c>
      <c r="S753" s="74">
        <f t="shared" si="89"/>
        <v>3.5451130697081829E-4</v>
      </c>
      <c r="U753" s="81">
        <f t="shared" si="90"/>
        <v>9.907100000000002E-2</v>
      </c>
      <c r="W753" s="80">
        <v>0.90092899999999998</v>
      </c>
    </row>
    <row r="754" spans="2:23" x14ac:dyDescent="0.3">
      <c r="B754">
        <v>47</v>
      </c>
      <c r="C754">
        <v>31</v>
      </c>
      <c r="D754">
        <v>512.29</v>
      </c>
      <c r="E754" s="64">
        <f t="shared" si="88"/>
        <v>41510.29</v>
      </c>
      <c r="R754" s="73">
        <f t="shared" si="91"/>
        <v>7.6734192758498852E-8</v>
      </c>
      <c r="S754" s="74">
        <f t="shared" si="89"/>
        <v>8.5172297437976632E-8</v>
      </c>
      <c r="U754" s="81">
        <f t="shared" si="90"/>
        <v>9.9072000000000049E-2</v>
      </c>
      <c r="W754" s="80">
        <v>0.90092799999999995</v>
      </c>
    </row>
    <row r="755" spans="2:23" x14ac:dyDescent="0.3">
      <c r="B755">
        <v>47</v>
      </c>
      <c r="C755">
        <v>31</v>
      </c>
      <c r="D755">
        <v>523.40499999999997</v>
      </c>
      <c r="E755" s="64">
        <f t="shared" ref="E755:E779" si="92">E754+D755-D754</f>
        <v>41521.404999999999</v>
      </c>
      <c r="R755" s="73">
        <f t="shared" si="91"/>
        <v>2.7422402159243698E-4</v>
      </c>
      <c r="S755" s="74">
        <f t="shared" si="89"/>
        <v>3.0437950823199747E-4</v>
      </c>
      <c r="U755" s="81">
        <f t="shared" si="90"/>
        <v>0.10211999999999999</v>
      </c>
      <c r="W755" s="80">
        <v>0.89788000000000001</v>
      </c>
    </row>
    <row r="756" spans="2:23" x14ac:dyDescent="0.3">
      <c r="B756">
        <v>47</v>
      </c>
      <c r="C756">
        <v>31</v>
      </c>
      <c r="D756">
        <v>544.86900000000003</v>
      </c>
      <c r="E756" s="64">
        <f t="shared" si="92"/>
        <v>41542.868999999999</v>
      </c>
      <c r="R756" s="73">
        <f t="shared" si="91"/>
        <v>1.1502981736861946E-4</v>
      </c>
      <c r="S756" s="74">
        <f t="shared" si="89"/>
        <v>1.2811268473361637E-4</v>
      </c>
      <c r="U756" s="81">
        <f t="shared" si="90"/>
        <v>0.10458900000000004</v>
      </c>
      <c r="W756" s="80">
        <v>0.89541099999999996</v>
      </c>
    </row>
    <row r="757" spans="2:23" x14ac:dyDescent="0.3">
      <c r="B757">
        <v>47</v>
      </c>
      <c r="C757">
        <v>31</v>
      </c>
      <c r="D757">
        <v>562.11599999999999</v>
      </c>
      <c r="E757" s="64">
        <f t="shared" si="92"/>
        <v>41560.116000000002</v>
      </c>
      <c r="R757" s="73">
        <f t="shared" si="91"/>
        <v>4.2094277265605332E-5</v>
      </c>
      <c r="S757" s="74">
        <f t="shared" si="89"/>
        <v>4.7011123680193048E-5</v>
      </c>
      <c r="U757" s="81">
        <f t="shared" si="90"/>
        <v>0.10531499999999994</v>
      </c>
      <c r="W757" s="80">
        <v>0.89468500000000006</v>
      </c>
    </row>
    <row r="758" spans="2:23" x14ac:dyDescent="0.3">
      <c r="B758">
        <v>47</v>
      </c>
      <c r="C758">
        <v>31</v>
      </c>
      <c r="D758">
        <v>590.86300000000006</v>
      </c>
      <c r="E758" s="64">
        <f t="shared" si="92"/>
        <v>41588.862999999998</v>
      </c>
      <c r="R758" s="73">
        <f t="shared" si="91"/>
        <v>1.4144084600132588E-4</v>
      </c>
      <c r="S758" s="74">
        <f t="shared" si="89"/>
        <v>1.5809010545759218E-4</v>
      </c>
      <c r="U758" s="81">
        <f t="shared" si="90"/>
        <v>0.10938100000000006</v>
      </c>
      <c r="W758" s="80">
        <v>0.89061899999999994</v>
      </c>
    </row>
    <row r="759" spans="2:23" x14ac:dyDescent="0.3">
      <c r="B759">
        <v>47</v>
      </c>
      <c r="C759">
        <v>31</v>
      </c>
      <c r="D759">
        <v>620.375</v>
      </c>
      <c r="E759" s="64">
        <f t="shared" si="92"/>
        <v>41618.375</v>
      </c>
      <c r="R759" s="73">
        <f t="shared" si="91"/>
        <v>5.9060721062612878E-5</v>
      </c>
      <c r="S759" s="74">
        <f t="shared" si="89"/>
        <v>6.6314238818858436E-5</v>
      </c>
      <c r="U759" s="81">
        <f t="shared" si="90"/>
        <v>0.11112399999999989</v>
      </c>
      <c r="W759" s="80">
        <v>0.88887600000000011</v>
      </c>
    </row>
    <row r="760" spans="2:23" x14ac:dyDescent="0.3">
      <c r="B760">
        <v>47</v>
      </c>
      <c r="C760">
        <v>31</v>
      </c>
      <c r="D760">
        <v>656.78599999999994</v>
      </c>
      <c r="E760" s="64">
        <f t="shared" si="92"/>
        <v>41654.786</v>
      </c>
      <c r="R760" s="73">
        <f t="shared" si="91"/>
        <v>8.0195545302263173E-6</v>
      </c>
      <c r="S760" s="74">
        <f t="shared" si="89"/>
        <v>9.0221296673847814E-6</v>
      </c>
      <c r="U760" s="81">
        <f t="shared" si="90"/>
        <v>0.11141599999999996</v>
      </c>
      <c r="W760" s="80">
        <v>0.88858400000000004</v>
      </c>
    </row>
    <row r="761" spans="2:23" x14ac:dyDescent="0.3">
      <c r="B761">
        <v>47</v>
      </c>
      <c r="C761">
        <v>31</v>
      </c>
      <c r="D761">
        <v>678.63300000000004</v>
      </c>
      <c r="E761" s="64">
        <f t="shared" si="92"/>
        <v>41676.633000000002</v>
      </c>
      <c r="R761" s="73">
        <f t="shared" si="91"/>
        <v>1.3365679498332436E-5</v>
      </c>
      <c r="S761" s="74">
        <f t="shared" si="89"/>
        <v>1.5041548686823572E-5</v>
      </c>
      <c r="U761" s="81">
        <f t="shared" si="90"/>
        <v>0.11170800000000003</v>
      </c>
      <c r="W761" s="80">
        <v>0.88829199999999997</v>
      </c>
    </row>
    <row r="762" spans="2:23" x14ac:dyDescent="0.3">
      <c r="B762">
        <v>47</v>
      </c>
      <c r="C762">
        <v>31</v>
      </c>
      <c r="D762">
        <v>713.51099999999997</v>
      </c>
      <c r="E762" s="64">
        <f t="shared" si="92"/>
        <v>41711.510999999999</v>
      </c>
      <c r="R762" s="73">
        <f t="shared" si="91"/>
        <v>6.6632261024141221E-5</v>
      </c>
      <c r="S762" s="74">
        <f t="shared" si="89"/>
        <v>7.5011663984524485E-5</v>
      </c>
      <c r="U762" s="81">
        <f t="shared" si="90"/>
        <v>0.11403200000000002</v>
      </c>
      <c r="W762" s="80">
        <v>0.88596799999999998</v>
      </c>
    </row>
    <row r="763" spans="2:23" x14ac:dyDescent="0.3">
      <c r="B763">
        <v>47</v>
      </c>
      <c r="C763">
        <v>31</v>
      </c>
      <c r="D763">
        <v>725.39300000000003</v>
      </c>
      <c r="E763" s="64">
        <f t="shared" si="92"/>
        <v>41723.392999999996</v>
      </c>
      <c r="R763" s="73">
        <f t="shared" si="91"/>
        <v>9.7710823093752022E-5</v>
      </c>
      <c r="S763" s="74">
        <f t="shared" si="89"/>
        <v>1.1028707932312683E-4</v>
      </c>
      <c r="U763" s="81">
        <f t="shared" si="90"/>
        <v>0.11519299999999999</v>
      </c>
      <c r="W763" s="80">
        <v>0.88480700000000001</v>
      </c>
    </row>
    <row r="764" spans="2:23" x14ac:dyDescent="0.3">
      <c r="B764">
        <v>47</v>
      </c>
      <c r="C764">
        <v>31</v>
      </c>
      <c r="D764">
        <v>741.87400000000002</v>
      </c>
      <c r="E764" s="64">
        <f t="shared" si="92"/>
        <v>41739.873999999996</v>
      </c>
      <c r="R764" s="73">
        <f t="shared" si="91"/>
        <v>6.0675929860369879E-8</v>
      </c>
      <c r="S764" s="74">
        <f t="shared" si="89"/>
        <v>6.8575327569029043E-8</v>
      </c>
      <c r="U764" s="81">
        <f t="shared" si="90"/>
        <v>0.11519400000000002</v>
      </c>
      <c r="W764" s="80">
        <v>0.88480599999999998</v>
      </c>
    </row>
    <row r="765" spans="2:23" x14ac:dyDescent="0.3">
      <c r="B765">
        <v>47</v>
      </c>
      <c r="C765">
        <v>31</v>
      </c>
      <c r="D765">
        <v>760.27099999999996</v>
      </c>
      <c r="E765" s="64">
        <f t="shared" si="92"/>
        <v>41758.270999999993</v>
      </c>
      <c r="R765" s="73">
        <f t="shared" si="91"/>
        <v>1.5785182366689771E-4</v>
      </c>
      <c r="S765" s="74">
        <f t="shared" si="89"/>
        <v>1.7840275005695904E-4</v>
      </c>
      <c r="U765" s="81">
        <f t="shared" si="90"/>
        <v>0.11809799999999993</v>
      </c>
      <c r="W765" s="80">
        <v>0.88190200000000007</v>
      </c>
    </row>
    <row r="766" spans="2:23" x14ac:dyDescent="0.3">
      <c r="B766">
        <v>47</v>
      </c>
      <c r="C766">
        <v>31</v>
      </c>
      <c r="D766">
        <v>775.77200000000005</v>
      </c>
      <c r="E766" s="64">
        <f t="shared" si="92"/>
        <v>41773.77199999999</v>
      </c>
      <c r="R766" s="73">
        <f t="shared" si="91"/>
        <v>3.0965744145569787E-6</v>
      </c>
      <c r="S766" s="74">
        <f t="shared" si="89"/>
        <v>3.5112454836897735E-6</v>
      </c>
      <c r="U766" s="81">
        <f t="shared" si="90"/>
        <v>0.11814599999999997</v>
      </c>
      <c r="W766" s="80">
        <v>0.88185400000000003</v>
      </c>
    </row>
    <row r="767" spans="2:23" x14ac:dyDescent="0.3">
      <c r="B767">
        <v>47</v>
      </c>
      <c r="C767">
        <v>31</v>
      </c>
      <c r="D767">
        <v>779.11800000000005</v>
      </c>
      <c r="E767" s="64">
        <f t="shared" si="92"/>
        <v>41777.117999999995</v>
      </c>
      <c r="R767" s="73">
        <f t="shared" si="91"/>
        <v>3.7895995218172312E-4</v>
      </c>
      <c r="S767" s="74">
        <f t="shared" si="89"/>
        <v>4.29730944330607E-4</v>
      </c>
      <c r="U767" s="81">
        <f t="shared" si="90"/>
        <v>0.11941400000000002</v>
      </c>
      <c r="W767" s="80">
        <v>0.88058599999999998</v>
      </c>
    </row>
    <row r="768" spans="2:23" x14ac:dyDescent="0.3">
      <c r="B768">
        <v>47</v>
      </c>
      <c r="C768">
        <v>31</v>
      </c>
      <c r="D768">
        <v>784.60199999999998</v>
      </c>
      <c r="E768" s="64">
        <f t="shared" si="92"/>
        <v>41782.601999999992</v>
      </c>
      <c r="R768" s="73">
        <f t="shared" si="91"/>
        <v>2.5000000000000548E-4</v>
      </c>
      <c r="S768" s="74">
        <f t="shared" si="89"/>
        <v>2.8390185626390324E-4</v>
      </c>
      <c r="U768" s="81">
        <f t="shared" si="90"/>
        <v>0.12078500000000003</v>
      </c>
      <c r="W768" s="80">
        <v>0.87921499999999997</v>
      </c>
    </row>
    <row r="769" spans="2:23" x14ac:dyDescent="0.3">
      <c r="B769">
        <v>47</v>
      </c>
      <c r="C769">
        <v>31</v>
      </c>
      <c r="D769">
        <v>790.88</v>
      </c>
      <c r="E769" s="64">
        <f t="shared" si="92"/>
        <v>41788.87999999999</v>
      </c>
      <c r="R769" s="73">
        <f t="shared" si="91"/>
        <v>3.2048423064670394E-4</v>
      </c>
      <c r="S769" s="74">
        <f t="shared" si="89"/>
        <v>3.6451178681744961E-4</v>
      </c>
      <c r="U769" s="81">
        <f t="shared" si="90"/>
        <v>0.12279700000000005</v>
      </c>
      <c r="W769" s="80">
        <v>0.87720299999999995</v>
      </c>
    </row>
    <row r="770" spans="2:23" x14ac:dyDescent="0.3">
      <c r="B770">
        <v>47</v>
      </c>
      <c r="C770">
        <v>31</v>
      </c>
      <c r="D770">
        <v>797.46</v>
      </c>
      <c r="E770" s="64">
        <f t="shared" si="92"/>
        <v>41795.459999999992</v>
      </c>
      <c r="R770" s="73">
        <f t="shared" si="91"/>
        <v>3.4756838905773766E-4</v>
      </c>
      <c r="S770" s="74">
        <f t="shared" si="89"/>
        <v>3.9622343865415154E-4</v>
      </c>
      <c r="U770" s="81">
        <f t="shared" si="90"/>
        <v>0.12508399999999997</v>
      </c>
      <c r="W770" s="80">
        <v>0.87491600000000003</v>
      </c>
    </row>
    <row r="771" spans="2:23" x14ac:dyDescent="0.3">
      <c r="B771">
        <v>47</v>
      </c>
      <c r="C771">
        <v>31</v>
      </c>
      <c r="D771">
        <v>813.09400000000005</v>
      </c>
      <c r="E771" s="64">
        <f t="shared" si="92"/>
        <v>41811.09399999999</v>
      </c>
      <c r="R771" s="73">
        <f t="shared" si="91"/>
        <v>3.7584751183319037E-4</v>
      </c>
      <c r="S771" s="74">
        <f t="shared" si="89"/>
        <v>4.2958125332396522E-4</v>
      </c>
      <c r="U771" s="81">
        <f t="shared" si="90"/>
        <v>0.13096000000000008</v>
      </c>
      <c r="W771" s="80">
        <v>0.86903999999999992</v>
      </c>
    </row>
    <row r="772" spans="2:23" x14ac:dyDescent="0.3">
      <c r="B772">
        <v>47</v>
      </c>
      <c r="C772">
        <v>31</v>
      </c>
      <c r="D772">
        <v>826.85799999999995</v>
      </c>
      <c r="E772" s="64">
        <f t="shared" si="92"/>
        <v>41824.857999999993</v>
      </c>
      <c r="R772" s="73">
        <f t="shared" si="91"/>
        <v>3.0565242662016802E-4</v>
      </c>
      <c r="S772" s="74">
        <f t="shared" si="89"/>
        <v>3.5171272509915315E-4</v>
      </c>
      <c r="U772" s="81">
        <f t="shared" si="90"/>
        <v>0.13516700000000004</v>
      </c>
      <c r="W772" s="80">
        <v>0.86483299999999996</v>
      </c>
    </row>
    <row r="773" spans="2:23" x14ac:dyDescent="0.3">
      <c r="B773">
        <v>47</v>
      </c>
      <c r="C773">
        <v>31</v>
      </c>
      <c r="D773">
        <v>842.31</v>
      </c>
      <c r="E773" s="64">
        <f t="shared" si="92"/>
        <v>41840.30999999999</v>
      </c>
      <c r="R773" s="73">
        <f t="shared" si="91"/>
        <v>7.1058762619721235E-5</v>
      </c>
      <c r="S773" s="74">
        <f t="shared" si="89"/>
        <v>8.2164721535511753E-5</v>
      </c>
      <c r="U773" s="81">
        <f t="shared" si="90"/>
        <v>0.13626499999999997</v>
      </c>
      <c r="W773" s="80">
        <v>0.86373500000000003</v>
      </c>
    </row>
    <row r="774" spans="2:23" x14ac:dyDescent="0.3">
      <c r="B774">
        <v>47</v>
      </c>
      <c r="C774">
        <v>31</v>
      </c>
      <c r="D774">
        <v>854.86599999999999</v>
      </c>
      <c r="E774" s="64">
        <f t="shared" si="92"/>
        <v>41852.865999999995</v>
      </c>
      <c r="R774" s="73">
        <f t="shared" si="91"/>
        <v>2.6951258362536181E-4</v>
      </c>
      <c r="S774" s="74">
        <f t="shared" si="89"/>
        <v>3.1203156480328085E-4</v>
      </c>
      <c r="U774" s="81">
        <f t="shared" si="90"/>
        <v>0.13964900000000002</v>
      </c>
      <c r="W774" s="80">
        <v>0.86035099999999998</v>
      </c>
    </row>
    <row r="775" spans="2:23" x14ac:dyDescent="0.3">
      <c r="B775">
        <v>47</v>
      </c>
      <c r="C775">
        <v>31</v>
      </c>
      <c r="D775">
        <v>873.45799999999997</v>
      </c>
      <c r="E775" s="64">
        <f t="shared" si="92"/>
        <v>41871.457999999991</v>
      </c>
      <c r="R775" s="73">
        <f t="shared" si="91"/>
        <v>1.4264199655765269E-4</v>
      </c>
      <c r="S775" s="74">
        <f t="shared" si="89"/>
        <v>1.6579511915212826E-4</v>
      </c>
      <c r="U775" s="81">
        <f t="shared" si="90"/>
        <v>0.1423009999999999</v>
      </c>
      <c r="W775" s="80">
        <v>0.8576990000000001</v>
      </c>
    </row>
    <row r="776" spans="2:23" x14ac:dyDescent="0.3">
      <c r="B776">
        <v>47</v>
      </c>
      <c r="C776">
        <v>31</v>
      </c>
      <c r="D776">
        <v>884.08199999999999</v>
      </c>
      <c r="E776" s="64">
        <f t="shared" si="92"/>
        <v>41882.081999999995</v>
      </c>
      <c r="R776" s="73">
        <f t="shared" si="91"/>
        <v>1.7319277108451018E-5</v>
      </c>
      <c r="S776" s="74">
        <f t="shared" si="89"/>
        <v>2.019272158233951E-5</v>
      </c>
      <c r="U776" s="81">
        <f t="shared" si="90"/>
        <v>0.14248500000000008</v>
      </c>
      <c r="W776" s="80">
        <v>0.85751499999999992</v>
      </c>
    </row>
    <row r="777" spans="2:23" x14ac:dyDescent="0.3">
      <c r="B777">
        <v>47</v>
      </c>
      <c r="C777">
        <v>31</v>
      </c>
      <c r="D777">
        <v>907.98599999999999</v>
      </c>
      <c r="E777" s="64">
        <f t="shared" si="92"/>
        <v>41905.98599999999</v>
      </c>
      <c r="R777" s="73">
        <f t="shared" si="91"/>
        <v>1.3391064257027691E-4</v>
      </c>
      <c r="S777" s="74">
        <f t="shared" si="89"/>
        <v>1.5616128297496476E-4</v>
      </c>
      <c r="U777" s="81">
        <f t="shared" si="90"/>
        <v>0.14568599999999998</v>
      </c>
      <c r="W777" s="80">
        <v>0.85431400000000002</v>
      </c>
    </row>
    <row r="778" spans="2:23" x14ac:dyDescent="0.3">
      <c r="B778">
        <v>47</v>
      </c>
      <c r="C778">
        <v>31</v>
      </c>
      <c r="D778">
        <v>935.75199999999995</v>
      </c>
      <c r="E778" s="64">
        <f t="shared" si="92"/>
        <v>41933.751999999993</v>
      </c>
      <c r="R778" s="73">
        <f t="shared" si="91"/>
        <v>4.285817186487164E-5</v>
      </c>
      <c r="S778" s="74">
        <f t="shared" si="89"/>
        <v>5.016676756423474E-5</v>
      </c>
      <c r="U778" s="81">
        <f t="shared" si="90"/>
        <v>0.14687600000000001</v>
      </c>
      <c r="W778" s="80">
        <v>0.85312399999999999</v>
      </c>
    </row>
    <row r="779" spans="2:23" x14ac:dyDescent="0.3">
      <c r="B779">
        <v>47</v>
      </c>
      <c r="C779">
        <v>31</v>
      </c>
      <c r="D779">
        <v>958.93200000000002</v>
      </c>
      <c r="E779" s="64">
        <f t="shared" si="92"/>
        <v>41956.931999999993</v>
      </c>
      <c r="R779" s="73">
        <f t="shared" si="91"/>
        <v>8.2916307161344865E-5</v>
      </c>
      <c r="S779" s="74">
        <f t="shared" si="89"/>
        <v>9.7191389717491092E-5</v>
      </c>
      <c r="U779" s="81">
        <f t="shared" si="90"/>
        <v>0.14879799999999999</v>
      </c>
      <c r="W779" s="80">
        <v>0.85120200000000001</v>
      </c>
    </row>
    <row r="780" spans="2:23" x14ac:dyDescent="0.3">
      <c r="B780">
        <v>50</v>
      </c>
      <c r="C780">
        <v>33</v>
      </c>
      <c r="D780">
        <v>0</v>
      </c>
      <c r="R780" s="73">
        <f t="shared" si="91"/>
        <v>0</v>
      </c>
      <c r="S780" s="74">
        <f t="shared" ref="S780:S843" si="93">IF(D780&gt;D779,(U780-U779)/W779/(D780-D779),0)</f>
        <v>0</v>
      </c>
      <c r="U780" s="81">
        <f t="shared" ref="U780:U843" si="94">100%-W780</f>
        <v>0</v>
      </c>
      <c r="W780" s="80">
        <v>1</v>
      </c>
    </row>
    <row r="781" spans="2:23" x14ac:dyDescent="0.3">
      <c r="B781">
        <v>50</v>
      </c>
      <c r="C781">
        <v>33</v>
      </c>
      <c r="D781">
        <v>6</v>
      </c>
      <c r="R781" s="73">
        <f t="shared" si="91"/>
        <v>1.4604273796715399E-3</v>
      </c>
      <c r="S781" s="74">
        <f t="shared" si="93"/>
        <v>1.4604273796715399E-3</v>
      </c>
      <c r="U781" s="81">
        <f t="shared" si="94"/>
        <v>8.762564278029239E-3</v>
      </c>
      <c r="W781" s="80">
        <v>0.99123743572197076</v>
      </c>
    </row>
    <row r="782" spans="2:23" x14ac:dyDescent="0.3">
      <c r="B782">
        <v>50</v>
      </c>
      <c r="C782">
        <v>33</v>
      </c>
      <c r="D782">
        <v>14</v>
      </c>
      <c r="R782" s="73">
        <f t="shared" si="91"/>
        <v>4.0387580865507838E-3</v>
      </c>
      <c r="S782" s="74">
        <f t="shared" si="93"/>
        <v>4.0744608113081832E-3</v>
      </c>
      <c r="U782" s="81">
        <f t="shared" si="94"/>
        <v>4.107262897043551E-2</v>
      </c>
      <c r="W782" s="80">
        <v>0.95892737102956449</v>
      </c>
    </row>
    <row r="783" spans="2:23" x14ac:dyDescent="0.3">
      <c r="B783">
        <v>50</v>
      </c>
      <c r="C783">
        <v>33</v>
      </c>
      <c r="D783">
        <v>21</v>
      </c>
      <c r="R783" s="73">
        <f t="shared" si="91"/>
        <v>3.5757925887625053E-3</v>
      </c>
      <c r="S783" s="74">
        <f t="shared" si="93"/>
        <v>3.7289503843479931E-3</v>
      </c>
      <c r="U783" s="81">
        <f t="shared" si="94"/>
        <v>6.6103177091773047E-2</v>
      </c>
      <c r="W783" s="80">
        <v>0.93389682290822695</v>
      </c>
    </row>
    <row r="784" spans="2:23" x14ac:dyDescent="0.3">
      <c r="B784">
        <v>50</v>
      </c>
      <c r="C784">
        <v>33</v>
      </c>
      <c r="D784">
        <v>28</v>
      </c>
      <c r="R784" s="73">
        <f t="shared" si="91"/>
        <v>1.9741863251760178E-3</v>
      </c>
      <c r="S784" s="74">
        <f t="shared" si="93"/>
        <v>2.1139233764906158E-3</v>
      </c>
      <c r="U784" s="81">
        <f t="shared" si="94"/>
        <v>7.9922481368005172E-2</v>
      </c>
      <c r="W784" s="80">
        <v>0.92007751863199483</v>
      </c>
    </row>
    <row r="785" spans="2:23" x14ac:dyDescent="0.3">
      <c r="B785">
        <v>50</v>
      </c>
      <c r="C785">
        <v>33</v>
      </c>
      <c r="D785">
        <v>35</v>
      </c>
      <c r="R785" s="73">
        <f t="shared" si="91"/>
        <v>1.1252558806847152E-3</v>
      </c>
      <c r="S785" s="74">
        <f t="shared" si="93"/>
        <v>1.2230011688121531E-3</v>
      </c>
      <c r="U785" s="81">
        <f t="shared" si="94"/>
        <v>8.7799272532798178E-2</v>
      </c>
      <c r="W785" s="80">
        <v>0.91220072746720182</v>
      </c>
    </row>
    <row r="786" spans="2:23" x14ac:dyDescent="0.3">
      <c r="B786">
        <v>50</v>
      </c>
      <c r="C786">
        <v>33</v>
      </c>
      <c r="D786">
        <v>42</v>
      </c>
      <c r="R786" s="73">
        <f t="shared" si="91"/>
        <v>8.6235728047241126E-4</v>
      </c>
      <c r="S786" s="74">
        <f t="shared" si="93"/>
        <v>9.4535912382663308E-4</v>
      </c>
      <c r="U786" s="81">
        <f t="shared" si="94"/>
        <v>9.3835773496105057E-2</v>
      </c>
      <c r="W786" s="80">
        <v>0.90616422650389494</v>
      </c>
    </row>
    <row r="787" spans="2:23" x14ac:dyDescent="0.3">
      <c r="B787">
        <v>50</v>
      </c>
      <c r="C787">
        <v>33</v>
      </c>
      <c r="D787">
        <v>50</v>
      </c>
      <c r="R787" s="73">
        <f t="shared" si="91"/>
        <v>6.4423406541329331E-4</v>
      </c>
      <c r="S787" s="74">
        <f t="shared" si="93"/>
        <v>7.1094625738960817E-4</v>
      </c>
      <c r="U787" s="81">
        <f t="shared" si="94"/>
        <v>9.8989646019411404E-2</v>
      </c>
      <c r="W787" s="80">
        <v>0.9010103539805886</v>
      </c>
    </row>
    <row r="788" spans="2:23" x14ac:dyDescent="0.3">
      <c r="B788">
        <v>50</v>
      </c>
      <c r="C788">
        <v>33</v>
      </c>
      <c r="D788">
        <v>62</v>
      </c>
      <c r="R788" s="73">
        <f t="shared" si="91"/>
        <v>4.0406996204179574E-4</v>
      </c>
      <c r="S788" s="74">
        <f t="shared" si="93"/>
        <v>4.4846317276671502E-4</v>
      </c>
      <c r="U788" s="81">
        <f t="shared" si="94"/>
        <v>0.10383848556391295</v>
      </c>
      <c r="W788" s="80">
        <v>0.89616151443608705</v>
      </c>
    </row>
    <row r="789" spans="2:23" x14ac:dyDescent="0.3">
      <c r="B789">
        <v>50</v>
      </c>
      <c r="C789">
        <v>33</v>
      </c>
      <c r="D789">
        <v>71</v>
      </c>
      <c r="R789" s="73">
        <f t="shared" si="91"/>
        <v>3.7489175423450268E-4</v>
      </c>
      <c r="S789" s="74">
        <f t="shared" si="93"/>
        <v>4.1833056675102221E-4</v>
      </c>
      <c r="U789" s="81">
        <f t="shared" si="94"/>
        <v>0.10721251135202348</v>
      </c>
      <c r="W789" s="80">
        <v>0.89278748864797652</v>
      </c>
    </row>
    <row r="790" spans="2:23" x14ac:dyDescent="0.3">
      <c r="B790">
        <v>50</v>
      </c>
      <c r="C790">
        <v>33</v>
      </c>
      <c r="D790">
        <v>84</v>
      </c>
      <c r="R790" s="73">
        <f t="shared" si="91"/>
        <v>2.6738277760386995E-4</v>
      </c>
      <c r="S790" s="74">
        <f t="shared" si="93"/>
        <v>2.9949207510601461E-4</v>
      </c>
      <c r="U790" s="81">
        <f t="shared" si="94"/>
        <v>0.11068848746087379</v>
      </c>
      <c r="W790" s="80">
        <v>0.88931151253912621</v>
      </c>
    </row>
    <row r="791" spans="2:23" x14ac:dyDescent="0.3">
      <c r="B791">
        <v>50</v>
      </c>
      <c r="C791">
        <v>33</v>
      </c>
      <c r="D791">
        <v>98</v>
      </c>
      <c r="R791" s="73">
        <f t="shared" si="91"/>
        <v>2.4444685858742473E-4</v>
      </c>
      <c r="S791" s="74">
        <f t="shared" si="93"/>
        <v>2.7487202756376101E-4</v>
      </c>
      <c r="U791" s="81">
        <f t="shared" si="94"/>
        <v>0.11411074348109773</v>
      </c>
      <c r="W791" s="80">
        <v>0.88588925651890227</v>
      </c>
    </row>
    <row r="792" spans="2:23" x14ac:dyDescent="0.3">
      <c r="B792">
        <v>50</v>
      </c>
      <c r="C792">
        <v>33</v>
      </c>
      <c r="D792">
        <v>112</v>
      </c>
      <c r="R792" s="73">
        <f t="shared" si="91"/>
        <v>2.2108399989054624E-4</v>
      </c>
      <c r="S792" s="74">
        <f t="shared" si="93"/>
        <v>2.49561667289312E-4</v>
      </c>
      <c r="U792" s="81">
        <f t="shared" si="94"/>
        <v>0.11720591947956538</v>
      </c>
      <c r="W792" s="80">
        <v>0.88279408052043462</v>
      </c>
    </row>
    <row r="793" spans="2:23" x14ac:dyDescent="0.3">
      <c r="B793">
        <v>50</v>
      </c>
      <c r="C793">
        <v>33</v>
      </c>
      <c r="D793">
        <v>126</v>
      </c>
      <c r="R793" s="73">
        <f t="shared" si="91"/>
        <v>1.7918738477432479E-4</v>
      </c>
      <c r="S793" s="74">
        <f t="shared" si="93"/>
        <v>2.0297755584030224E-4</v>
      </c>
      <c r="U793" s="81">
        <f t="shared" si="94"/>
        <v>0.11971454286640593</v>
      </c>
      <c r="W793" s="80">
        <v>0.88028545713359407</v>
      </c>
    </row>
    <row r="794" spans="2:23" x14ac:dyDescent="0.3">
      <c r="B794">
        <v>50</v>
      </c>
      <c r="C794">
        <v>33</v>
      </c>
      <c r="D794">
        <v>140</v>
      </c>
      <c r="R794" s="73">
        <f t="shared" si="91"/>
        <v>1.6502212578747448E-4</v>
      </c>
      <c r="S794" s="74">
        <f t="shared" si="93"/>
        <v>1.8746433267774677E-4</v>
      </c>
      <c r="U794" s="81">
        <f t="shared" si="94"/>
        <v>0.12202485262743057</v>
      </c>
      <c r="W794" s="80">
        <v>0.87797514737256943</v>
      </c>
    </row>
    <row r="795" spans="2:23" x14ac:dyDescent="0.3">
      <c r="B795">
        <v>50</v>
      </c>
      <c r="C795">
        <v>33</v>
      </c>
      <c r="D795">
        <v>154</v>
      </c>
      <c r="R795" s="73">
        <f t="shared" si="91"/>
        <v>1.4927353055613609E-4</v>
      </c>
      <c r="S795" s="74">
        <f t="shared" si="93"/>
        <v>1.7002022324077445E-4</v>
      </c>
      <c r="U795" s="81">
        <f t="shared" si="94"/>
        <v>0.12411468205521647</v>
      </c>
      <c r="W795" s="80">
        <v>0.87588531794478353</v>
      </c>
    </row>
    <row r="796" spans="2:23" x14ac:dyDescent="0.3">
      <c r="B796">
        <v>50</v>
      </c>
      <c r="C796">
        <v>33</v>
      </c>
      <c r="D796">
        <v>168</v>
      </c>
      <c r="R796" s="73">
        <f t="shared" si="91"/>
        <v>1.6572351030739809E-4</v>
      </c>
      <c r="S796" s="74">
        <f t="shared" si="93"/>
        <v>1.8920685951930228E-4</v>
      </c>
      <c r="U796" s="81">
        <f t="shared" si="94"/>
        <v>0.12643481119952005</v>
      </c>
      <c r="W796" s="80">
        <v>0.87356518880047995</v>
      </c>
    </row>
    <row r="797" spans="2:23" x14ac:dyDescent="0.3">
      <c r="B797">
        <v>50</v>
      </c>
      <c r="C797">
        <v>33</v>
      </c>
      <c r="D797">
        <v>182</v>
      </c>
      <c r="R797" s="73">
        <f t="shared" si="91"/>
        <v>1.543146962669931E-4</v>
      </c>
      <c r="S797" s="74">
        <f t="shared" si="93"/>
        <v>1.7664931964480809E-4</v>
      </c>
      <c r="U797" s="81">
        <f t="shared" si="94"/>
        <v>0.12859521694725795</v>
      </c>
      <c r="W797" s="80">
        <v>0.87140478305274205</v>
      </c>
    </row>
    <row r="798" spans="2:23" x14ac:dyDescent="0.3">
      <c r="B798">
        <v>50</v>
      </c>
      <c r="C798">
        <v>33</v>
      </c>
      <c r="D798">
        <v>196</v>
      </c>
      <c r="R798" s="73">
        <f t="shared" si="91"/>
        <v>1.5844739421987702E-4</v>
      </c>
      <c r="S798" s="74">
        <f t="shared" si="93"/>
        <v>1.8182984222877161E-4</v>
      </c>
      <c r="U798" s="81">
        <f t="shared" si="94"/>
        <v>0.13081348046633623</v>
      </c>
      <c r="W798" s="80">
        <v>0.86918651953366377</v>
      </c>
    </row>
    <row r="799" spans="2:23" x14ac:dyDescent="0.3">
      <c r="B799">
        <v>50</v>
      </c>
      <c r="C799">
        <v>33</v>
      </c>
      <c r="D799">
        <v>210</v>
      </c>
      <c r="R799" s="73">
        <f t="shared" si="91"/>
        <v>1.5090283799039174E-4</v>
      </c>
      <c r="S799" s="74">
        <f t="shared" si="93"/>
        <v>1.7361387297096391E-4</v>
      </c>
      <c r="U799" s="81">
        <f t="shared" si="94"/>
        <v>0.13292612019820171</v>
      </c>
      <c r="W799" s="80">
        <v>0.86707387980179829</v>
      </c>
    </row>
    <row r="800" spans="2:23" x14ac:dyDescent="0.3">
      <c r="B800">
        <v>50</v>
      </c>
      <c r="C800">
        <v>33</v>
      </c>
      <c r="D800">
        <v>224</v>
      </c>
      <c r="R800" s="73">
        <f t="shared" si="91"/>
        <v>1.0622717894336648E-4</v>
      </c>
      <c r="S800" s="74">
        <f t="shared" si="93"/>
        <v>1.2251225808768295E-4</v>
      </c>
      <c r="U800" s="81">
        <f t="shared" si="94"/>
        <v>0.13441330070340884</v>
      </c>
      <c r="W800" s="80">
        <v>0.86558669929659116</v>
      </c>
    </row>
    <row r="801" spans="2:23" x14ac:dyDescent="0.3">
      <c r="B801">
        <v>50</v>
      </c>
      <c r="C801">
        <v>33</v>
      </c>
      <c r="D801">
        <v>238</v>
      </c>
      <c r="R801" s="73">
        <f t="shared" si="91"/>
        <v>1.1986712156376271E-4</v>
      </c>
      <c r="S801" s="74">
        <f t="shared" si="93"/>
        <v>1.3848078033219701E-4</v>
      </c>
      <c r="U801" s="81">
        <f t="shared" si="94"/>
        <v>0.13609144040530152</v>
      </c>
      <c r="W801" s="80">
        <v>0.86390855959469848</v>
      </c>
    </row>
    <row r="802" spans="2:23" x14ac:dyDescent="0.3">
      <c r="B802">
        <v>50</v>
      </c>
      <c r="C802">
        <v>33</v>
      </c>
      <c r="D802">
        <v>252</v>
      </c>
      <c r="R802" s="73">
        <f t="shared" si="91"/>
        <v>1.0553098572220674E-4</v>
      </c>
      <c r="S802" s="74">
        <f t="shared" si="93"/>
        <v>1.2215527274288897E-4</v>
      </c>
      <c r="U802" s="81">
        <f t="shared" si="94"/>
        <v>0.13756887420541242</v>
      </c>
      <c r="W802" s="80">
        <v>0.86243112579458758</v>
      </c>
    </row>
    <row r="803" spans="2:23" x14ac:dyDescent="0.3">
      <c r="B803">
        <v>50</v>
      </c>
      <c r="C803">
        <v>33</v>
      </c>
      <c r="D803">
        <v>266</v>
      </c>
      <c r="R803" s="73">
        <f t="shared" si="91"/>
        <v>1.0933415522542043E-4</v>
      </c>
      <c r="S803" s="74">
        <f t="shared" si="93"/>
        <v>1.2677436140154044E-4</v>
      </c>
      <c r="U803" s="81">
        <f t="shared" si="94"/>
        <v>0.1390995523785683</v>
      </c>
      <c r="W803" s="80">
        <v>0.8609004476214317</v>
      </c>
    </row>
    <row r="804" spans="2:23" x14ac:dyDescent="0.3">
      <c r="B804">
        <v>50</v>
      </c>
      <c r="C804">
        <v>33</v>
      </c>
      <c r="D804">
        <v>280</v>
      </c>
      <c r="R804" s="73">
        <f t="shared" si="91"/>
        <v>1.4146898259239014E-4</v>
      </c>
      <c r="S804" s="74">
        <f t="shared" si="93"/>
        <v>1.6432676157069329E-4</v>
      </c>
      <c r="U804" s="81">
        <f t="shared" si="94"/>
        <v>0.14108011813486177</v>
      </c>
      <c r="W804" s="80">
        <v>0.85891988186513823</v>
      </c>
    </row>
    <row r="805" spans="2:23" x14ac:dyDescent="0.3">
      <c r="B805">
        <v>50</v>
      </c>
      <c r="C805">
        <v>33</v>
      </c>
      <c r="D805">
        <v>294</v>
      </c>
      <c r="R805" s="73">
        <f t="shared" si="91"/>
        <v>2.0385509690457049E-4</v>
      </c>
      <c r="S805" s="74">
        <f t="shared" si="93"/>
        <v>2.3733889645434757E-4</v>
      </c>
      <c r="U805" s="81">
        <f t="shared" si="94"/>
        <v>0.14393408949152575</v>
      </c>
      <c r="W805" s="80">
        <v>0.85606591050847425</v>
      </c>
    </row>
    <row r="806" spans="2:23" x14ac:dyDescent="0.3">
      <c r="B806">
        <v>50</v>
      </c>
      <c r="C806">
        <v>33</v>
      </c>
      <c r="D806">
        <v>308</v>
      </c>
      <c r="R806" s="73">
        <f t="shared" si="91"/>
        <v>1.0610192129187743E-4</v>
      </c>
      <c r="S806" s="74">
        <f t="shared" si="93"/>
        <v>1.2394129936660656E-4</v>
      </c>
      <c r="U806" s="81">
        <f t="shared" si="94"/>
        <v>0.14541951638961204</v>
      </c>
      <c r="W806" s="80">
        <v>0.85458048361038796</v>
      </c>
    </row>
    <row r="807" spans="2:23" x14ac:dyDescent="0.3">
      <c r="B807">
        <v>50</v>
      </c>
      <c r="C807">
        <v>33</v>
      </c>
      <c r="D807">
        <v>322</v>
      </c>
      <c r="R807" s="73">
        <f t="shared" si="91"/>
        <v>1.3291619977813727E-4</v>
      </c>
      <c r="S807" s="74">
        <f t="shared" si="93"/>
        <v>1.5553385822315963E-4</v>
      </c>
      <c r="U807" s="81">
        <f t="shared" si="94"/>
        <v>0.14728034318650596</v>
      </c>
      <c r="W807" s="80">
        <v>0.85271965681349404</v>
      </c>
    </row>
    <row r="808" spans="2:23" x14ac:dyDescent="0.3">
      <c r="B808">
        <v>50</v>
      </c>
      <c r="C808">
        <v>33</v>
      </c>
      <c r="D808">
        <v>336</v>
      </c>
      <c r="R808" s="73">
        <f t="shared" si="91"/>
        <v>1.3109846916515528E-4</v>
      </c>
      <c r="S808" s="74">
        <f t="shared" si="93"/>
        <v>1.5374158214559488E-4</v>
      </c>
      <c r="U808" s="81">
        <f t="shared" si="94"/>
        <v>0.14911572175481813</v>
      </c>
      <c r="W808" s="80">
        <v>0.85088427824518187</v>
      </c>
    </row>
    <row r="809" spans="2:23" x14ac:dyDescent="0.3">
      <c r="B809">
        <v>50</v>
      </c>
      <c r="C809">
        <v>33</v>
      </c>
      <c r="D809">
        <v>350</v>
      </c>
      <c r="R809" s="73">
        <f t="shared" si="91"/>
        <v>1.354272435588531E-4</v>
      </c>
      <c r="S809" s="74">
        <f t="shared" si="93"/>
        <v>1.591605897786136E-4</v>
      </c>
      <c r="U809" s="81">
        <f t="shared" si="94"/>
        <v>0.15101170316464207</v>
      </c>
      <c r="W809" s="80">
        <v>0.84898829683535793</v>
      </c>
    </row>
    <row r="810" spans="2:23" x14ac:dyDescent="0.3">
      <c r="B810">
        <v>50</v>
      </c>
      <c r="C810">
        <v>33</v>
      </c>
      <c r="D810">
        <v>364</v>
      </c>
      <c r="R810" s="73">
        <f t="shared" si="91"/>
        <v>1.2518431583308232E-4</v>
      </c>
      <c r="S810" s="74">
        <f t="shared" si="93"/>
        <v>1.4745116781905297E-4</v>
      </c>
      <c r="U810" s="81">
        <f t="shared" si="94"/>
        <v>0.15276428358630523</v>
      </c>
      <c r="W810" s="80">
        <v>0.84723571641369477</v>
      </c>
    </row>
    <row r="811" spans="2:23" x14ac:dyDescent="0.3">
      <c r="B811">
        <v>51</v>
      </c>
      <c r="C811">
        <v>33</v>
      </c>
      <c r="D811">
        <v>0</v>
      </c>
      <c r="R811" s="73">
        <f t="shared" si="91"/>
        <v>0</v>
      </c>
      <c r="S811" s="74">
        <f t="shared" si="93"/>
        <v>0</v>
      </c>
      <c r="U811" s="81">
        <f t="shared" si="94"/>
        <v>0</v>
      </c>
      <c r="W811" s="80">
        <v>1</v>
      </c>
    </row>
    <row r="812" spans="2:23" x14ac:dyDescent="0.3">
      <c r="B812">
        <v>51</v>
      </c>
      <c r="C812">
        <v>33</v>
      </c>
      <c r="D812">
        <v>6</v>
      </c>
      <c r="R812" s="73">
        <f t="shared" si="91"/>
        <v>6.7573746320030256E-5</v>
      </c>
      <c r="S812" s="74">
        <f t="shared" si="93"/>
        <v>6.7573746320030256E-5</v>
      </c>
      <c r="U812" s="81">
        <f t="shared" si="94"/>
        <v>4.0544247792018151E-4</v>
      </c>
      <c r="W812" s="80">
        <v>0.99959455752207982</v>
      </c>
    </row>
    <row r="813" spans="2:23" x14ac:dyDescent="0.3">
      <c r="B813">
        <v>51</v>
      </c>
      <c r="C813">
        <v>33</v>
      </c>
      <c r="D813">
        <v>14</v>
      </c>
      <c r="R813" s="73">
        <f t="shared" ref="R813:R876" si="95">IF(D813&gt;D812,(U813-U812)/1/(D813-D812),0)</f>
        <v>2.3855219700052999E-5</v>
      </c>
      <c r="S813" s="74">
        <f t="shared" si="93"/>
        <v>2.3864895542437032E-5</v>
      </c>
      <c r="U813" s="81">
        <f t="shared" si="94"/>
        <v>5.962842355206055E-4</v>
      </c>
      <c r="W813" s="80">
        <v>0.99940371576447939</v>
      </c>
    </row>
    <row r="814" spans="2:23" x14ac:dyDescent="0.3">
      <c r="B814">
        <v>51</v>
      </c>
      <c r="C814">
        <v>33</v>
      </c>
      <c r="D814">
        <v>21</v>
      </c>
      <c r="R814" s="73">
        <f t="shared" si="95"/>
        <v>1.3261319878158215E-5</v>
      </c>
      <c r="S814" s="74">
        <f t="shared" si="93"/>
        <v>1.3269232112084113E-5</v>
      </c>
      <c r="U814" s="81">
        <f t="shared" si="94"/>
        <v>6.89113474667713E-4</v>
      </c>
      <c r="W814" s="80">
        <v>0.99931088652533229</v>
      </c>
    </row>
    <row r="815" spans="2:23" x14ac:dyDescent="0.3">
      <c r="B815">
        <v>51</v>
      </c>
      <c r="C815">
        <v>33</v>
      </c>
      <c r="D815">
        <v>28</v>
      </c>
      <c r="R815" s="73">
        <f t="shared" si="95"/>
        <v>1.1710790771478155E-5</v>
      </c>
      <c r="S815" s="74">
        <f t="shared" si="93"/>
        <v>1.1718866400222379E-5</v>
      </c>
      <c r="U815" s="81">
        <f t="shared" si="94"/>
        <v>7.7108901006806008E-4</v>
      </c>
      <c r="W815" s="80">
        <v>0.99922891098993194</v>
      </c>
    </row>
    <row r="816" spans="2:23" x14ac:dyDescent="0.3">
      <c r="B816">
        <v>51</v>
      </c>
      <c r="C816">
        <v>33</v>
      </c>
      <c r="D816">
        <v>35</v>
      </c>
      <c r="R816" s="73">
        <f t="shared" si="95"/>
        <v>1.1154765005365924E-5</v>
      </c>
      <c r="S816" s="74">
        <f t="shared" si="93"/>
        <v>1.1163372959570342E-5</v>
      </c>
      <c r="U816" s="81">
        <f t="shared" si="94"/>
        <v>8.4917236510562155E-4</v>
      </c>
      <c r="W816" s="80">
        <v>0.99915082763489438</v>
      </c>
    </row>
    <row r="817" spans="2:23" x14ac:dyDescent="0.3">
      <c r="B817">
        <v>51</v>
      </c>
      <c r="C817">
        <v>33</v>
      </c>
      <c r="D817">
        <v>42</v>
      </c>
      <c r="R817" s="73">
        <f t="shared" si="95"/>
        <v>9.4163678431291586E-6</v>
      </c>
      <c r="S817" s="74">
        <f t="shared" si="93"/>
        <v>9.4243707583356469E-6</v>
      </c>
      <c r="U817" s="81">
        <f t="shared" si="94"/>
        <v>9.1508694000752566E-4</v>
      </c>
      <c r="W817" s="80">
        <v>0.99908491305999247</v>
      </c>
    </row>
    <row r="818" spans="2:23" x14ac:dyDescent="0.3">
      <c r="B818">
        <v>51</v>
      </c>
      <c r="C818">
        <v>33</v>
      </c>
      <c r="D818">
        <v>50</v>
      </c>
      <c r="R818" s="73">
        <f t="shared" si="95"/>
        <v>1.5921597406945431E-5</v>
      </c>
      <c r="S818" s="74">
        <f t="shared" si="93"/>
        <v>1.5936180397500789E-5</v>
      </c>
      <c r="U818" s="81">
        <f t="shared" si="94"/>
        <v>1.0424597192630891E-3</v>
      </c>
      <c r="W818" s="80">
        <v>0.99895754028073691</v>
      </c>
    </row>
    <row r="819" spans="2:23" x14ac:dyDescent="0.3">
      <c r="B819">
        <v>51</v>
      </c>
      <c r="C819">
        <v>33</v>
      </c>
      <c r="D819">
        <v>62</v>
      </c>
      <c r="R819" s="73">
        <f t="shared" si="95"/>
        <v>6.2263493944003656E-6</v>
      </c>
      <c r="S819" s="74">
        <f t="shared" si="93"/>
        <v>6.2328468862155791E-6</v>
      </c>
      <c r="U819" s="81">
        <f t="shared" si="94"/>
        <v>1.1171759119958935E-3</v>
      </c>
      <c r="W819" s="80">
        <v>0.99888282408800411</v>
      </c>
    </row>
    <row r="820" spans="2:23" x14ac:dyDescent="0.3">
      <c r="B820">
        <v>51</v>
      </c>
      <c r="C820">
        <v>33</v>
      </c>
      <c r="D820">
        <v>71</v>
      </c>
      <c r="R820" s="73">
        <f t="shared" si="95"/>
        <v>6.5478591232774148E-6</v>
      </c>
      <c r="S820" s="74">
        <f t="shared" si="93"/>
        <v>6.5551824151703822E-6</v>
      </c>
      <c r="U820" s="81">
        <f t="shared" si="94"/>
        <v>1.1761066441053902E-3</v>
      </c>
      <c r="W820" s="80">
        <v>0.99882389335589461</v>
      </c>
    </row>
    <row r="821" spans="2:23" x14ac:dyDescent="0.3">
      <c r="B821">
        <v>51</v>
      </c>
      <c r="C821">
        <v>33</v>
      </c>
      <c r="D821">
        <v>84</v>
      </c>
      <c r="R821" s="73">
        <f t="shared" si="95"/>
        <v>9.1892771309797479E-6</v>
      </c>
      <c r="S821" s="74">
        <f t="shared" si="93"/>
        <v>9.2000974266896949E-6</v>
      </c>
      <c r="U821" s="81">
        <f t="shared" si="94"/>
        <v>1.295567246808127E-3</v>
      </c>
      <c r="W821" s="80">
        <v>0.99870443275319187</v>
      </c>
    </row>
    <row r="822" spans="2:23" x14ac:dyDescent="0.3">
      <c r="B822">
        <v>51</v>
      </c>
      <c r="C822">
        <v>33</v>
      </c>
      <c r="D822">
        <v>98</v>
      </c>
      <c r="R822" s="73">
        <f t="shared" si="95"/>
        <v>8.6417485890238098E-6</v>
      </c>
      <c r="S822" s="74">
        <f t="shared" si="93"/>
        <v>8.6529590793950455E-6</v>
      </c>
      <c r="U822" s="81">
        <f t="shared" si="94"/>
        <v>1.4165517270544603E-3</v>
      </c>
      <c r="W822" s="80">
        <v>0.99858344827294554</v>
      </c>
    </row>
    <row r="823" spans="2:23" x14ac:dyDescent="0.3">
      <c r="B823">
        <v>51</v>
      </c>
      <c r="C823">
        <v>33</v>
      </c>
      <c r="D823">
        <v>112</v>
      </c>
      <c r="R823" s="73">
        <f t="shared" si="95"/>
        <v>1.1364975205192212E-5</v>
      </c>
      <c r="S823" s="74">
        <f t="shared" si="93"/>
        <v>1.1381097117970448E-5</v>
      </c>
      <c r="U823" s="81">
        <f t="shared" si="94"/>
        <v>1.5756613799271513E-3</v>
      </c>
      <c r="W823" s="80">
        <v>0.99842433862007285</v>
      </c>
    </row>
    <row r="824" spans="2:23" x14ac:dyDescent="0.3">
      <c r="B824">
        <v>51</v>
      </c>
      <c r="C824">
        <v>33</v>
      </c>
      <c r="D824">
        <v>126</v>
      </c>
      <c r="R824" s="73">
        <f t="shared" si="95"/>
        <v>1.8205345124557214E-5</v>
      </c>
      <c r="S824" s="74">
        <f t="shared" si="93"/>
        <v>1.8234075853678517E-5</v>
      </c>
      <c r="U824" s="81">
        <f t="shared" si="94"/>
        <v>1.8305362116709523E-3</v>
      </c>
      <c r="W824" s="80">
        <v>0.99816946378832905</v>
      </c>
    </row>
    <row r="825" spans="2:23" x14ac:dyDescent="0.3">
      <c r="B825">
        <v>51</v>
      </c>
      <c r="C825">
        <v>33</v>
      </c>
      <c r="D825">
        <v>140</v>
      </c>
      <c r="R825" s="73">
        <f t="shared" si="95"/>
        <v>1.2430817342304731E-5</v>
      </c>
      <c r="S825" s="74">
        <f t="shared" si="93"/>
        <v>1.2453614133943091E-5</v>
      </c>
      <c r="U825" s="81">
        <f t="shared" si="94"/>
        <v>2.0045676544632185E-3</v>
      </c>
      <c r="W825" s="80">
        <v>0.99799543234553678</v>
      </c>
    </row>
    <row r="826" spans="2:23" x14ac:dyDescent="0.3">
      <c r="B826">
        <v>51</v>
      </c>
      <c r="C826">
        <v>33</v>
      </c>
      <c r="D826">
        <v>154</v>
      </c>
      <c r="R826" s="73">
        <f t="shared" si="95"/>
        <v>8.919170832471274E-6</v>
      </c>
      <c r="S826" s="74">
        <f t="shared" si="93"/>
        <v>8.9370858256425195E-6</v>
      </c>
      <c r="U826" s="81">
        <f t="shared" si="94"/>
        <v>2.1294360461178163E-3</v>
      </c>
      <c r="W826" s="80">
        <v>0.99787056395388218</v>
      </c>
    </row>
    <row r="827" spans="2:23" x14ac:dyDescent="0.3">
      <c r="B827">
        <v>51</v>
      </c>
      <c r="C827">
        <v>33</v>
      </c>
      <c r="D827">
        <v>168</v>
      </c>
      <c r="R827" s="73">
        <f t="shared" si="95"/>
        <v>1.1673217653710274E-5</v>
      </c>
      <c r="S827" s="74">
        <f t="shared" si="93"/>
        <v>1.169812806929313E-5</v>
      </c>
      <c r="U827" s="81">
        <f t="shared" si="94"/>
        <v>2.2928610932697602E-3</v>
      </c>
      <c r="W827" s="80">
        <v>0.99770713890673024</v>
      </c>
    </row>
    <row r="828" spans="2:23" x14ac:dyDescent="0.3">
      <c r="B828">
        <v>51</v>
      </c>
      <c r="C828">
        <v>33</v>
      </c>
      <c r="D828">
        <v>182</v>
      </c>
      <c r="R828" s="73">
        <f t="shared" si="95"/>
        <v>1.7925089314561682E-5</v>
      </c>
      <c r="S828" s="74">
        <f t="shared" si="93"/>
        <v>1.7966283507005551E-5</v>
      </c>
      <c r="U828" s="81">
        <f t="shared" si="94"/>
        <v>2.5438123436736237E-3</v>
      </c>
      <c r="W828" s="80">
        <v>0.99745618765632638</v>
      </c>
    </row>
    <row r="829" spans="2:23" x14ac:dyDescent="0.3">
      <c r="B829">
        <v>51</v>
      </c>
      <c r="C829">
        <v>33</v>
      </c>
      <c r="D829">
        <v>196</v>
      </c>
      <c r="R829" s="73">
        <f t="shared" si="95"/>
        <v>1.6766771273038889E-5</v>
      </c>
      <c r="S829" s="74">
        <f t="shared" si="93"/>
        <v>1.6809531566930218E-5</v>
      </c>
      <c r="U829" s="81">
        <f t="shared" si="94"/>
        <v>2.7785471414961682E-3</v>
      </c>
      <c r="W829" s="80">
        <v>0.99722145285850383</v>
      </c>
    </row>
    <row r="830" spans="2:23" x14ac:dyDescent="0.3">
      <c r="B830">
        <v>51</v>
      </c>
      <c r="C830">
        <v>33</v>
      </c>
      <c r="D830">
        <v>210</v>
      </c>
      <c r="R830" s="73">
        <f t="shared" si="95"/>
        <v>1.4237860291953033E-5</v>
      </c>
      <c r="S830" s="74">
        <f t="shared" si="93"/>
        <v>1.4277531085137263E-5</v>
      </c>
      <c r="U830" s="81">
        <f t="shared" si="94"/>
        <v>2.9778771855835107E-3</v>
      </c>
      <c r="W830" s="80">
        <v>0.99702212281441649</v>
      </c>
    </row>
    <row r="831" spans="2:23" x14ac:dyDescent="0.3">
      <c r="B831">
        <v>51</v>
      </c>
      <c r="C831">
        <v>33</v>
      </c>
      <c r="D831">
        <v>224</v>
      </c>
      <c r="R831" s="73">
        <f t="shared" si="95"/>
        <v>1.4194603730413988E-5</v>
      </c>
      <c r="S831" s="74">
        <f t="shared" si="93"/>
        <v>1.4236999767211925E-5</v>
      </c>
      <c r="U831" s="81">
        <f t="shared" si="94"/>
        <v>3.1766016378093065E-3</v>
      </c>
      <c r="W831" s="80">
        <v>0.99682339836219069</v>
      </c>
    </row>
    <row r="832" spans="2:23" x14ac:dyDescent="0.3">
      <c r="B832">
        <v>51</v>
      </c>
      <c r="C832">
        <v>33</v>
      </c>
      <c r="D832">
        <v>238</v>
      </c>
      <c r="R832" s="73">
        <f t="shared" si="95"/>
        <v>1.6308207555501158E-5</v>
      </c>
      <c r="S832" s="74">
        <f t="shared" si="93"/>
        <v>1.6360177321575723E-5</v>
      </c>
      <c r="U832" s="81">
        <f t="shared" si="94"/>
        <v>3.4049165435863227E-3</v>
      </c>
      <c r="W832" s="80">
        <v>0.99659508345641368</v>
      </c>
    </row>
    <row r="833" spans="2:23" x14ac:dyDescent="0.3">
      <c r="B833">
        <v>51</v>
      </c>
      <c r="C833">
        <v>33</v>
      </c>
      <c r="D833">
        <v>252</v>
      </c>
      <c r="R833" s="73">
        <f t="shared" si="95"/>
        <v>1.5923247815717379E-5</v>
      </c>
      <c r="S833" s="74">
        <f t="shared" si="93"/>
        <v>1.5977650381830114E-5</v>
      </c>
      <c r="U833" s="81">
        <f t="shared" si="94"/>
        <v>3.627842013006366E-3</v>
      </c>
      <c r="W833" s="80">
        <v>0.99637215798699363</v>
      </c>
    </row>
    <row r="834" spans="2:23" x14ac:dyDescent="0.3">
      <c r="B834">
        <v>51</v>
      </c>
      <c r="C834">
        <v>33</v>
      </c>
      <c r="D834">
        <v>266</v>
      </c>
      <c r="R834" s="73">
        <f t="shared" si="95"/>
        <v>1.1903031645356585E-5</v>
      </c>
      <c r="S834" s="74">
        <f t="shared" si="93"/>
        <v>1.1946371192672332E-5</v>
      </c>
      <c r="U834" s="81">
        <f t="shared" si="94"/>
        <v>3.7944844560413582E-3</v>
      </c>
      <c r="W834" s="80">
        <v>0.99620551554395864</v>
      </c>
    </row>
    <row r="835" spans="2:23" x14ac:dyDescent="0.3">
      <c r="B835">
        <v>51</v>
      </c>
      <c r="C835">
        <v>33</v>
      </c>
      <c r="D835">
        <v>280</v>
      </c>
      <c r="R835" s="73">
        <f t="shared" si="95"/>
        <v>1.7402568348146019E-5</v>
      </c>
      <c r="S835" s="74">
        <f t="shared" si="93"/>
        <v>1.7468853641754515E-5</v>
      </c>
      <c r="U835" s="81">
        <f t="shared" si="94"/>
        <v>4.0381204129154025E-3</v>
      </c>
      <c r="W835" s="80">
        <v>0.9959618795870846</v>
      </c>
    </row>
    <row r="836" spans="2:23" x14ac:dyDescent="0.3">
      <c r="B836">
        <v>51</v>
      </c>
      <c r="C836">
        <v>33</v>
      </c>
      <c r="D836">
        <v>294</v>
      </c>
      <c r="R836" s="73">
        <f t="shared" si="95"/>
        <v>1.4638137003102664E-5</v>
      </c>
      <c r="S836" s="74">
        <f t="shared" si="93"/>
        <v>1.4697487226289708E-5</v>
      </c>
      <c r="U836" s="81">
        <f t="shared" si="94"/>
        <v>4.2430543309588398E-3</v>
      </c>
      <c r="W836" s="80">
        <v>0.99575694566904116</v>
      </c>
    </row>
    <row r="837" spans="2:23" x14ac:dyDescent="0.3">
      <c r="B837">
        <v>51</v>
      </c>
      <c r="C837">
        <v>33</v>
      </c>
      <c r="D837">
        <v>308</v>
      </c>
      <c r="R837" s="73">
        <f t="shared" si="95"/>
        <v>2.2674179784568489E-5</v>
      </c>
      <c r="S837" s="74">
        <f t="shared" si="93"/>
        <v>2.2770797515586388E-5</v>
      </c>
      <c r="U837" s="81">
        <f t="shared" si="94"/>
        <v>4.5604928479427986E-3</v>
      </c>
      <c r="W837" s="80">
        <v>0.9954395071520572</v>
      </c>
    </row>
    <row r="838" spans="2:23" x14ac:dyDescent="0.3">
      <c r="B838">
        <v>51</v>
      </c>
      <c r="C838">
        <v>33</v>
      </c>
      <c r="D838">
        <v>322</v>
      </c>
      <c r="R838" s="73">
        <f t="shared" si="95"/>
        <v>1.6866586830207746E-5</v>
      </c>
      <c r="S838" s="74">
        <f t="shared" si="93"/>
        <v>1.6943859178809255E-5</v>
      </c>
      <c r="U838" s="81">
        <f t="shared" si="94"/>
        <v>4.7966250635657071E-3</v>
      </c>
      <c r="W838" s="80">
        <v>0.99520337493643429</v>
      </c>
    </row>
    <row r="839" spans="2:23" x14ac:dyDescent="0.3">
      <c r="B839">
        <v>51</v>
      </c>
      <c r="C839">
        <v>33</v>
      </c>
      <c r="D839">
        <v>336</v>
      </c>
      <c r="R839" s="73">
        <f t="shared" si="95"/>
        <v>1.455882761882053E-5</v>
      </c>
      <c r="S839" s="74">
        <f t="shared" si="93"/>
        <v>1.4628997434570028E-5</v>
      </c>
      <c r="U839" s="81">
        <f t="shared" si="94"/>
        <v>5.0004486502291945E-3</v>
      </c>
      <c r="W839" s="80">
        <v>0.99499955134977081</v>
      </c>
    </row>
    <row r="840" spans="2:23" x14ac:dyDescent="0.3">
      <c r="B840">
        <v>51</v>
      </c>
      <c r="C840">
        <v>33</v>
      </c>
      <c r="D840">
        <v>350</v>
      </c>
      <c r="R840" s="73">
        <f t="shared" si="95"/>
        <v>1.7893237816574941E-5</v>
      </c>
      <c r="S840" s="74">
        <f t="shared" si="93"/>
        <v>1.7983161693190508E-5</v>
      </c>
      <c r="U840" s="81">
        <f t="shared" si="94"/>
        <v>5.2509539796612437E-3</v>
      </c>
      <c r="W840" s="80">
        <v>0.99474904602033876</v>
      </c>
    </row>
    <row r="841" spans="2:23" x14ac:dyDescent="0.3">
      <c r="B841">
        <v>51</v>
      </c>
      <c r="C841">
        <v>33</v>
      </c>
      <c r="D841">
        <v>364</v>
      </c>
      <c r="R841" s="73">
        <f t="shared" si="95"/>
        <v>1.7224488539706912E-5</v>
      </c>
      <c r="S841" s="74">
        <f t="shared" si="93"/>
        <v>1.7315410965827395E-5</v>
      </c>
      <c r="U841" s="81">
        <f t="shared" si="94"/>
        <v>5.4920968192171404E-3</v>
      </c>
      <c r="W841" s="80">
        <v>0.99450790318078286</v>
      </c>
    </row>
    <row r="842" spans="2:23" x14ac:dyDescent="0.3">
      <c r="B842">
        <v>52</v>
      </c>
      <c r="C842">
        <v>33</v>
      </c>
      <c r="D842">
        <v>0</v>
      </c>
      <c r="R842" s="73">
        <f t="shared" si="95"/>
        <v>0</v>
      </c>
      <c r="S842" s="74">
        <f t="shared" si="93"/>
        <v>0</v>
      </c>
      <c r="U842" s="81">
        <f t="shared" si="94"/>
        <v>0</v>
      </c>
      <c r="W842" s="80">
        <v>1</v>
      </c>
    </row>
    <row r="843" spans="2:23" x14ac:dyDescent="0.3">
      <c r="B843">
        <v>52</v>
      </c>
      <c r="C843">
        <v>33</v>
      </c>
      <c r="D843">
        <v>6</v>
      </c>
      <c r="R843" s="73">
        <f t="shared" si="95"/>
        <v>6.7273072312912241E-5</v>
      </c>
      <c r="S843" s="74">
        <f t="shared" si="93"/>
        <v>6.7273072312912241E-5</v>
      </c>
      <c r="U843" s="81">
        <f t="shared" si="94"/>
        <v>4.0363843387747345E-4</v>
      </c>
      <c r="W843" s="80">
        <v>0.99959636156612253</v>
      </c>
    </row>
    <row r="844" spans="2:23" x14ac:dyDescent="0.3">
      <c r="B844">
        <v>52</v>
      </c>
      <c r="C844">
        <v>33</v>
      </c>
      <c r="D844">
        <v>14</v>
      </c>
      <c r="R844" s="73">
        <f t="shared" si="95"/>
        <v>1.8407717858964778E-5</v>
      </c>
      <c r="S844" s="74">
        <f t="shared" ref="S844:S907" si="96">IF(D844&gt;D843,(U844-U843)/W843/(D844-D843),0)</f>
        <v>1.8415150921642407E-5</v>
      </c>
      <c r="U844" s="81">
        <f t="shared" ref="U844:U907" si="97">100%-W844</f>
        <v>5.5090017674919167E-4</v>
      </c>
      <c r="W844" s="80">
        <v>0.99944909982325081</v>
      </c>
    </row>
    <row r="845" spans="2:23" x14ac:dyDescent="0.3">
      <c r="B845">
        <v>52</v>
      </c>
      <c r="C845">
        <v>33</v>
      </c>
      <c r="D845">
        <v>21</v>
      </c>
      <c r="R845" s="73">
        <f t="shared" si="95"/>
        <v>1.8599820884765022E-5</v>
      </c>
      <c r="S845" s="74">
        <f t="shared" si="96"/>
        <v>1.8610073177367746E-5</v>
      </c>
      <c r="U845" s="81">
        <f t="shared" si="97"/>
        <v>6.8109892294254681E-4</v>
      </c>
      <c r="W845" s="80">
        <v>0.99931890107705745</v>
      </c>
    </row>
    <row r="846" spans="2:23" x14ac:dyDescent="0.3">
      <c r="B846">
        <v>52</v>
      </c>
      <c r="C846">
        <v>33</v>
      </c>
      <c r="D846">
        <v>28</v>
      </c>
      <c r="R846" s="73">
        <f t="shared" si="95"/>
        <v>1.7045264686504119E-5</v>
      </c>
      <c r="S846" s="74">
        <f t="shared" si="96"/>
        <v>1.7056882110538365E-5</v>
      </c>
      <c r="U846" s="81">
        <f t="shared" si="97"/>
        <v>8.0041577574807565E-4</v>
      </c>
      <c r="W846" s="80">
        <v>0.99919958422425192</v>
      </c>
    </row>
    <row r="847" spans="2:23" x14ac:dyDescent="0.3">
      <c r="B847">
        <v>52</v>
      </c>
      <c r="C847">
        <v>33</v>
      </c>
      <c r="D847">
        <v>35</v>
      </c>
      <c r="R847" s="73">
        <f t="shared" si="95"/>
        <v>1.0975758270327849E-5</v>
      </c>
      <c r="S847" s="74">
        <f t="shared" si="96"/>
        <v>1.0984550477819798E-5</v>
      </c>
      <c r="U847" s="81">
        <f t="shared" si="97"/>
        <v>8.772460836403706E-4</v>
      </c>
      <c r="W847" s="80">
        <v>0.99912275391635963</v>
      </c>
    </row>
    <row r="848" spans="2:23" x14ac:dyDescent="0.3">
      <c r="B848">
        <v>52</v>
      </c>
      <c r="C848">
        <v>33</v>
      </c>
      <c r="D848">
        <v>42</v>
      </c>
      <c r="R848" s="73">
        <f t="shared" si="95"/>
        <v>1.0298507405637203E-5</v>
      </c>
      <c r="S848" s="74">
        <f t="shared" si="96"/>
        <v>1.0307549663211183E-5</v>
      </c>
      <c r="U848" s="81">
        <f t="shared" si="97"/>
        <v>9.4933563547983102E-4</v>
      </c>
      <c r="W848" s="80">
        <v>0.99905066436452017</v>
      </c>
    </row>
    <row r="849" spans="2:23" x14ac:dyDescent="0.3">
      <c r="B849">
        <v>52</v>
      </c>
      <c r="C849">
        <v>33</v>
      </c>
      <c r="D849">
        <v>50</v>
      </c>
      <c r="R849" s="73">
        <f t="shared" si="95"/>
        <v>7.0354222889840168E-6</v>
      </c>
      <c r="S849" s="74">
        <f t="shared" si="96"/>
        <v>7.0421076126896271E-6</v>
      </c>
      <c r="U849" s="81">
        <f t="shared" si="97"/>
        <v>1.0056190137917032E-3</v>
      </c>
      <c r="W849" s="80">
        <v>0.9989943809862083</v>
      </c>
    </row>
    <row r="850" spans="2:23" x14ac:dyDescent="0.3">
      <c r="B850">
        <v>52</v>
      </c>
      <c r="C850">
        <v>33</v>
      </c>
      <c r="D850">
        <v>62</v>
      </c>
      <c r="R850" s="73">
        <f t="shared" si="95"/>
        <v>7.414109455178286E-6</v>
      </c>
      <c r="S850" s="74">
        <f t="shared" si="96"/>
        <v>7.4215727298276392E-6</v>
      </c>
      <c r="U850" s="81">
        <f t="shared" si="97"/>
        <v>1.0945883272538426E-3</v>
      </c>
      <c r="W850" s="80">
        <v>0.99890541167274616</v>
      </c>
    </row>
    <row r="851" spans="2:23" x14ac:dyDescent="0.3">
      <c r="B851">
        <v>52</v>
      </c>
      <c r="C851">
        <v>33</v>
      </c>
      <c r="D851">
        <v>71</v>
      </c>
      <c r="R851" s="73">
        <f t="shared" si="95"/>
        <v>7.8041433161245439E-6</v>
      </c>
      <c r="S851" s="74">
        <f t="shared" si="96"/>
        <v>7.8126950008768979E-6</v>
      </c>
      <c r="U851" s="81">
        <f t="shared" si="97"/>
        <v>1.1648256170989635E-3</v>
      </c>
      <c r="W851" s="80">
        <v>0.99883517438290104</v>
      </c>
    </row>
    <row r="852" spans="2:23" x14ac:dyDescent="0.3">
      <c r="B852">
        <v>52</v>
      </c>
      <c r="C852">
        <v>33</v>
      </c>
      <c r="D852">
        <v>84</v>
      </c>
      <c r="R852" s="73">
        <f t="shared" si="95"/>
        <v>7.957283475647546E-6</v>
      </c>
      <c r="S852" s="74">
        <f t="shared" si="96"/>
        <v>7.9665631324644754E-6</v>
      </c>
      <c r="U852" s="81">
        <f t="shared" si="97"/>
        <v>1.2682703022823816E-3</v>
      </c>
      <c r="W852" s="80">
        <v>0.99873172969771762</v>
      </c>
    </row>
    <row r="853" spans="2:23" x14ac:dyDescent="0.3">
      <c r="B853">
        <v>52</v>
      </c>
      <c r="C853">
        <v>33</v>
      </c>
      <c r="D853">
        <v>98</v>
      </c>
      <c r="R853" s="73">
        <f t="shared" si="95"/>
        <v>6.8626103174596054E-6</v>
      </c>
      <c r="S853" s="74">
        <f t="shared" si="96"/>
        <v>6.8713250149133498E-6</v>
      </c>
      <c r="U853" s="81">
        <f t="shared" si="97"/>
        <v>1.3643468467268161E-3</v>
      </c>
      <c r="W853" s="80">
        <v>0.99863565315327318</v>
      </c>
    </row>
    <row r="854" spans="2:23" x14ac:dyDescent="0.3">
      <c r="B854">
        <v>52</v>
      </c>
      <c r="C854">
        <v>33</v>
      </c>
      <c r="D854">
        <v>112</v>
      </c>
      <c r="R854" s="73">
        <f t="shared" si="95"/>
        <v>7.5534959288390906E-6</v>
      </c>
      <c r="S854" s="74">
        <f t="shared" si="96"/>
        <v>7.563815596797804E-6</v>
      </c>
      <c r="U854" s="81">
        <f t="shared" si="97"/>
        <v>1.4700957897305633E-3</v>
      </c>
      <c r="W854" s="80">
        <v>0.99852990421026944</v>
      </c>
    </row>
    <row r="855" spans="2:23" x14ac:dyDescent="0.3">
      <c r="B855">
        <v>52</v>
      </c>
      <c r="C855">
        <v>33</v>
      </c>
      <c r="D855">
        <v>126</v>
      </c>
      <c r="R855" s="73">
        <f t="shared" si="95"/>
        <v>6.2477343758844076E-6</v>
      </c>
      <c r="S855" s="74">
        <f t="shared" si="96"/>
        <v>6.2569326662536947E-6</v>
      </c>
      <c r="U855" s="81">
        <f t="shared" si="97"/>
        <v>1.557564070992945E-3</v>
      </c>
      <c r="W855" s="80">
        <v>0.99844243592900705</v>
      </c>
    </row>
    <row r="856" spans="2:23" x14ac:dyDescent="0.3">
      <c r="B856">
        <v>52</v>
      </c>
      <c r="C856">
        <v>33</v>
      </c>
      <c r="D856">
        <v>140</v>
      </c>
      <c r="R856" s="73">
        <f t="shared" si="95"/>
        <v>5.5857888071132929E-6</v>
      </c>
      <c r="S856" s="74">
        <f t="shared" si="96"/>
        <v>5.5945026033633684E-6</v>
      </c>
      <c r="U856" s="81">
        <f t="shared" si="97"/>
        <v>1.6357651142925311E-3</v>
      </c>
      <c r="W856" s="80">
        <v>0.99836423488570747</v>
      </c>
    </row>
    <row r="857" spans="2:23" x14ac:dyDescent="0.3">
      <c r="B857">
        <v>52</v>
      </c>
      <c r="C857">
        <v>33</v>
      </c>
      <c r="D857">
        <v>154</v>
      </c>
      <c r="R857" s="73">
        <f t="shared" si="95"/>
        <v>7.176702501935203E-6</v>
      </c>
      <c r="S857" s="74">
        <f t="shared" si="96"/>
        <v>7.1884611358867334E-6</v>
      </c>
      <c r="U857" s="81">
        <f t="shared" si="97"/>
        <v>1.736238949319624E-3</v>
      </c>
      <c r="W857" s="80">
        <v>0.99826376105068038</v>
      </c>
    </row>
    <row r="858" spans="2:23" x14ac:dyDescent="0.3">
      <c r="B858">
        <v>52</v>
      </c>
      <c r="C858">
        <v>33</v>
      </c>
      <c r="D858">
        <v>168</v>
      </c>
      <c r="R858" s="73">
        <f t="shared" si="95"/>
        <v>8.9327483423020023E-6</v>
      </c>
      <c r="S858" s="74">
        <f t="shared" si="96"/>
        <v>8.9482847027324871E-6</v>
      </c>
      <c r="U858" s="81">
        <f t="shared" si="97"/>
        <v>1.861297426111852E-3</v>
      </c>
      <c r="W858" s="80">
        <v>0.99813870257388815</v>
      </c>
    </row>
    <row r="859" spans="2:23" x14ac:dyDescent="0.3">
      <c r="B859">
        <v>52</v>
      </c>
      <c r="C859">
        <v>33</v>
      </c>
      <c r="D859">
        <v>182</v>
      </c>
      <c r="R859" s="73">
        <f t="shared" si="95"/>
        <v>7.9744593818717066E-6</v>
      </c>
      <c r="S859" s="74">
        <f t="shared" si="96"/>
        <v>7.9893299010528945E-6</v>
      </c>
      <c r="U859" s="81">
        <f t="shared" si="97"/>
        <v>1.9729398574580559E-3</v>
      </c>
      <c r="W859" s="80">
        <v>0.99802706014254194</v>
      </c>
    </row>
    <row r="860" spans="2:23" x14ac:dyDescent="0.3">
      <c r="B860">
        <v>52</v>
      </c>
      <c r="C860">
        <v>33</v>
      </c>
      <c r="D860">
        <v>196</v>
      </c>
      <c r="R860" s="73">
        <f t="shared" si="95"/>
        <v>7.1919008832426508E-6</v>
      </c>
      <c r="S860" s="74">
        <f t="shared" si="96"/>
        <v>7.2061181209009263E-6</v>
      </c>
      <c r="U860" s="81">
        <f t="shared" si="97"/>
        <v>2.073626469823453E-3</v>
      </c>
      <c r="W860" s="80">
        <v>0.99792637353017655</v>
      </c>
    </row>
    <row r="861" spans="2:23" x14ac:dyDescent="0.3">
      <c r="B861">
        <v>52</v>
      </c>
      <c r="C861">
        <v>33</v>
      </c>
      <c r="D861">
        <v>210</v>
      </c>
      <c r="R861" s="73">
        <f t="shared" si="95"/>
        <v>9.0870809194882574E-6</v>
      </c>
      <c r="S861" s="74">
        <f t="shared" si="96"/>
        <v>9.1059632859913278E-6</v>
      </c>
      <c r="U861" s="81">
        <f t="shared" si="97"/>
        <v>2.2008456026962886E-3</v>
      </c>
      <c r="W861" s="80">
        <v>0.99779915439730371</v>
      </c>
    </row>
    <row r="862" spans="2:23" x14ac:dyDescent="0.3">
      <c r="B862">
        <v>52</v>
      </c>
      <c r="C862">
        <v>33</v>
      </c>
      <c r="D862">
        <v>224</v>
      </c>
      <c r="R862" s="73">
        <f t="shared" si="95"/>
        <v>7.1399298070381633E-6</v>
      </c>
      <c r="S862" s="74">
        <f t="shared" si="96"/>
        <v>7.1556783502696635E-6</v>
      </c>
      <c r="U862" s="81">
        <f t="shared" si="97"/>
        <v>2.3008046199948229E-3</v>
      </c>
      <c r="W862" s="80">
        <v>0.99769919538000518</v>
      </c>
    </row>
    <row r="863" spans="2:23" x14ac:dyDescent="0.3">
      <c r="B863">
        <v>52</v>
      </c>
      <c r="C863">
        <v>33</v>
      </c>
      <c r="D863">
        <v>238</v>
      </c>
      <c r="R863" s="73">
        <f t="shared" si="95"/>
        <v>8.1397500146637322E-6</v>
      </c>
      <c r="S863" s="74">
        <f t="shared" si="96"/>
        <v>8.1585211778821289E-6</v>
      </c>
      <c r="U863" s="81">
        <f t="shared" si="97"/>
        <v>2.4147611202001151E-3</v>
      </c>
      <c r="W863" s="80">
        <v>0.99758523887979988</v>
      </c>
    </row>
    <row r="864" spans="2:23" x14ac:dyDescent="0.3">
      <c r="B864">
        <v>52</v>
      </c>
      <c r="C864">
        <v>33</v>
      </c>
      <c r="D864">
        <v>252</v>
      </c>
      <c r="R864" s="73">
        <f t="shared" si="95"/>
        <v>9.1365678143083355E-6</v>
      </c>
      <c r="S864" s="74">
        <f t="shared" si="96"/>
        <v>9.1586838479766328E-6</v>
      </c>
      <c r="U864" s="81">
        <f t="shared" si="97"/>
        <v>2.5426730696004318E-3</v>
      </c>
      <c r="W864" s="80">
        <v>0.99745732693039957</v>
      </c>
    </row>
    <row r="865" spans="2:23" x14ac:dyDescent="0.3">
      <c r="B865">
        <v>52</v>
      </c>
      <c r="C865">
        <v>33</v>
      </c>
      <c r="D865">
        <v>266</v>
      </c>
      <c r="R865" s="73">
        <f t="shared" si="95"/>
        <v>4.7347033034455296E-6</v>
      </c>
      <c r="S865" s="74">
        <f t="shared" si="96"/>
        <v>4.7467727947983754E-6</v>
      </c>
      <c r="U865" s="81">
        <f t="shared" si="97"/>
        <v>2.6089589158486692E-3</v>
      </c>
      <c r="W865" s="80">
        <v>0.99739104108415133</v>
      </c>
    </row>
    <row r="866" spans="2:23" x14ac:dyDescent="0.3">
      <c r="B866">
        <v>52</v>
      </c>
      <c r="C866">
        <v>33</v>
      </c>
      <c r="D866">
        <v>280</v>
      </c>
      <c r="R866" s="73">
        <f t="shared" si="95"/>
        <v>9.7829393016343355E-6</v>
      </c>
      <c r="S866" s="74">
        <f t="shared" si="96"/>
        <v>9.8085293517379144E-6</v>
      </c>
      <c r="U866" s="81">
        <f t="shared" si="97"/>
        <v>2.7459200660715499E-3</v>
      </c>
      <c r="W866" s="80">
        <v>0.99725407993392845</v>
      </c>
    </row>
    <row r="867" spans="2:23" x14ac:dyDescent="0.3">
      <c r="B867">
        <v>52</v>
      </c>
      <c r="C867">
        <v>33</v>
      </c>
      <c r="D867">
        <v>294</v>
      </c>
      <c r="R867" s="73">
        <f t="shared" si="95"/>
        <v>6.595796154592762E-6</v>
      </c>
      <c r="S867" s="74">
        <f t="shared" si="96"/>
        <v>6.6139575533546639E-6</v>
      </c>
      <c r="U867" s="81">
        <f t="shared" si="97"/>
        <v>2.8382612122358486E-3</v>
      </c>
      <c r="W867" s="80">
        <v>0.99716173878776415</v>
      </c>
    </row>
    <row r="868" spans="2:23" x14ac:dyDescent="0.3">
      <c r="B868">
        <v>52</v>
      </c>
      <c r="C868">
        <v>33</v>
      </c>
      <c r="D868">
        <v>308</v>
      </c>
      <c r="R868" s="73">
        <f t="shared" si="95"/>
        <v>3.6993505098115165E-6</v>
      </c>
      <c r="S868" s="74">
        <f t="shared" si="96"/>
        <v>3.709880118654338E-6</v>
      </c>
      <c r="U868" s="81">
        <f t="shared" si="97"/>
        <v>2.8900521193732098E-3</v>
      </c>
      <c r="W868" s="80">
        <v>0.99710994788062679</v>
      </c>
    </row>
    <row r="869" spans="2:23" x14ac:dyDescent="0.3">
      <c r="B869">
        <v>52</v>
      </c>
      <c r="C869">
        <v>33</v>
      </c>
      <c r="D869">
        <v>322</v>
      </c>
      <c r="R869" s="73">
        <f t="shared" si="95"/>
        <v>5.4373278789828938E-6</v>
      </c>
      <c r="S869" s="74">
        <f t="shared" si="96"/>
        <v>5.453087586318863E-6</v>
      </c>
      <c r="U869" s="81">
        <f t="shared" si="97"/>
        <v>2.9661747096789703E-3</v>
      </c>
      <c r="W869" s="80">
        <v>0.99703382529032103</v>
      </c>
    </row>
    <row r="870" spans="2:23" x14ac:dyDescent="0.3">
      <c r="B870">
        <v>52</v>
      </c>
      <c r="C870">
        <v>33</v>
      </c>
      <c r="D870">
        <v>336</v>
      </c>
      <c r="R870" s="73">
        <f t="shared" si="95"/>
        <v>3.6925321285075086E-6</v>
      </c>
      <c r="S870" s="74">
        <f t="shared" si="96"/>
        <v>3.7035174081805097E-6</v>
      </c>
      <c r="U870" s="81">
        <f t="shared" si="97"/>
        <v>3.0178701594780755E-3</v>
      </c>
      <c r="W870" s="80">
        <v>0.99698212984052192</v>
      </c>
    </row>
    <row r="871" spans="2:23" x14ac:dyDescent="0.3">
      <c r="B871">
        <v>52</v>
      </c>
      <c r="C871">
        <v>33</v>
      </c>
      <c r="D871">
        <v>350</v>
      </c>
      <c r="R871" s="73">
        <f t="shared" si="95"/>
        <v>7.1749357298811489E-6</v>
      </c>
      <c r="S871" s="74">
        <f t="shared" si="96"/>
        <v>7.1966542981355719E-6</v>
      </c>
      <c r="U871" s="81">
        <f t="shared" si="97"/>
        <v>3.1183192596964115E-3</v>
      </c>
      <c r="W871" s="80">
        <v>0.99688168074030359</v>
      </c>
    </row>
    <row r="872" spans="2:23" x14ac:dyDescent="0.3">
      <c r="B872">
        <v>52</v>
      </c>
      <c r="C872">
        <v>33</v>
      </c>
      <c r="D872">
        <v>364</v>
      </c>
      <c r="R872" s="73">
        <f t="shared" si="95"/>
        <v>8.195608451563466E-6</v>
      </c>
      <c r="S872" s="74">
        <f t="shared" si="96"/>
        <v>8.2212449179297274E-6</v>
      </c>
      <c r="U872" s="81">
        <f t="shared" si="97"/>
        <v>3.2330577780183001E-3</v>
      </c>
      <c r="W872" s="80">
        <v>0.9967669422219817</v>
      </c>
    </row>
    <row r="873" spans="2:23" x14ac:dyDescent="0.3">
      <c r="B873">
        <v>53</v>
      </c>
      <c r="C873">
        <v>33</v>
      </c>
      <c r="D873">
        <v>0</v>
      </c>
      <c r="R873" s="73">
        <f t="shared" si="95"/>
        <v>0</v>
      </c>
      <c r="S873" s="74">
        <f t="shared" si="96"/>
        <v>0</v>
      </c>
      <c r="U873" s="81">
        <f t="shared" si="97"/>
        <v>0</v>
      </c>
      <c r="W873" s="80">
        <v>1</v>
      </c>
    </row>
    <row r="874" spans="2:23" x14ac:dyDescent="0.3">
      <c r="B874">
        <v>53</v>
      </c>
      <c r="C874">
        <v>33</v>
      </c>
      <c r="D874">
        <v>6</v>
      </c>
      <c r="R874" s="73">
        <f t="shared" si="95"/>
        <v>3.8546482877062825E-5</v>
      </c>
      <c r="S874" s="74">
        <f t="shared" si="96"/>
        <v>3.8546482877062825E-5</v>
      </c>
      <c r="U874" s="81">
        <f t="shared" si="97"/>
        <v>2.3127889726237694E-4</v>
      </c>
      <c r="W874" s="80">
        <v>0.99976872110273762</v>
      </c>
    </row>
    <row r="875" spans="2:23" x14ac:dyDescent="0.3">
      <c r="B875">
        <v>53</v>
      </c>
      <c r="C875">
        <v>33</v>
      </c>
      <c r="D875">
        <v>14</v>
      </c>
      <c r="R875" s="73">
        <f t="shared" si="95"/>
        <v>1.193273728627986E-5</v>
      </c>
      <c r="S875" s="74">
        <f t="shared" si="96"/>
        <v>1.1935497715029669E-5</v>
      </c>
      <c r="U875" s="81">
        <f t="shared" si="97"/>
        <v>3.2674079555261581E-4</v>
      </c>
      <c r="W875" s="80">
        <v>0.99967325920444738</v>
      </c>
    </row>
    <row r="876" spans="2:23" x14ac:dyDescent="0.3">
      <c r="B876">
        <v>53</v>
      </c>
      <c r="C876">
        <v>33</v>
      </c>
      <c r="D876">
        <v>21</v>
      </c>
      <c r="R876" s="73">
        <f t="shared" si="95"/>
        <v>9.3037426978716449E-6</v>
      </c>
      <c r="S876" s="74">
        <f t="shared" si="96"/>
        <v>9.306783603750369E-6</v>
      </c>
      <c r="U876" s="81">
        <f t="shared" si="97"/>
        <v>3.9186699443771733E-4</v>
      </c>
      <c r="W876" s="80">
        <v>0.99960813300556228</v>
      </c>
    </row>
    <row r="877" spans="2:23" x14ac:dyDescent="0.3">
      <c r="B877">
        <v>53</v>
      </c>
      <c r="C877">
        <v>33</v>
      </c>
      <c r="D877">
        <v>28</v>
      </c>
      <c r="R877" s="73">
        <f t="shared" ref="R877:R940" si="98">IF(D877&gt;D876,(U877-U876)/1/(D877-D876),0)</f>
        <v>1.1064578063911337E-5</v>
      </c>
      <c r="S877" s="74">
        <f t="shared" si="96"/>
        <v>1.1068915606601779E-5</v>
      </c>
      <c r="U877" s="81">
        <f t="shared" si="97"/>
        <v>4.6931904088509668E-4</v>
      </c>
      <c r="W877" s="80">
        <v>0.9995306809591149</v>
      </c>
    </row>
    <row r="878" spans="2:23" x14ac:dyDescent="0.3">
      <c r="B878">
        <v>53</v>
      </c>
      <c r="C878">
        <v>33</v>
      </c>
      <c r="D878">
        <v>35</v>
      </c>
      <c r="R878" s="73">
        <f t="shared" si="98"/>
        <v>9.2424005816914094E-6</v>
      </c>
      <c r="S878" s="74">
        <f t="shared" si="96"/>
        <v>9.2467402529582414E-6</v>
      </c>
      <c r="U878" s="81">
        <f t="shared" si="97"/>
        <v>5.3401584495693655E-4</v>
      </c>
      <c r="W878" s="80">
        <v>0.99946598415504306</v>
      </c>
    </row>
    <row r="879" spans="2:23" x14ac:dyDescent="0.3">
      <c r="B879">
        <v>53</v>
      </c>
      <c r="C879">
        <v>33</v>
      </c>
      <c r="D879">
        <v>42</v>
      </c>
      <c r="R879" s="73">
        <f t="shared" si="98"/>
        <v>8.9938492836878182E-6</v>
      </c>
      <c r="S879" s="74">
        <f t="shared" si="96"/>
        <v>8.9986547078851241E-6</v>
      </c>
      <c r="U879" s="81">
        <f t="shared" si="97"/>
        <v>5.9697278994275127E-4</v>
      </c>
      <c r="W879" s="80">
        <v>0.99940302721005725</v>
      </c>
    </row>
    <row r="880" spans="2:23" x14ac:dyDescent="0.3">
      <c r="B880">
        <v>53</v>
      </c>
      <c r="C880">
        <v>33</v>
      </c>
      <c r="D880">
        <v>50</v>
      </c>
      <c r="R880" s="73">
        <f t="shared" si="98"/>
        <v>8.6631717705482059E-6</v>
      </c>
      <c r="S880" s="74">
        <f t="shared" si="96"/>
        <v>8.6683465375649272E-6</v>
      </c>
      <c r="U880" s="81">
        <f t="shared" si="97"/>
        <v>6.6627816410713692E-4</v>
      </c>
      <c r="W880" s="80">
        <v>0.99933372183589286</v>
      </c>
    </row>
    <row r="881" spans="2:23" x14ac:dyDescent="0.3">
      <c r="B881">
        <v>53</v>
      </c>
      <c r="C881">
        <v>33</v>
      </c>
      <c r="D881">
        <v>62</v>
      </c>
      <c r="R881" s="73">
        <f t="shared" si="98"/>
        <v>1.6175339761846191E-5</v>
      </c>
      <c r="S881" s="74">
        <f t="shared" si="96"/>
        <v>1.6186124222977486E-5</v>
      </c>
      <c r="U881" s="81">
        <f t="shared" si="97"/>
        <v>8.6038224124929119E-4</v>
      </c>
      <c r="W881" s="80">
        <v>0.99913961775875071</v>
      </c>
    </row>
    <row r="882" spans="2:23" x14ac:dyDescent="0.3">
      <c r="B882">
        <v>53</v>
      </c>
      <c r="C882">
        <v>33</v>
      </c>
      <c r="D882">
        <v>71</v>
      </c>
      <c r="R882" s="73">
        <f t="shared" si="98"/>
        <v>6.2326954664139305E-6</v>
      </c>
      <c r="S882" s="74">
        <f t="shared" si="96"/>
        <v>6.2380625846815916E-6</v>
      </c>
      <c r="U882" s="81">
        <f t="shared" si="97"/>
        <v>9.1647650044701656E-4</v>
      </c>
      <c r="W882" s="80">
        <v>0.99908352349955298</v>
      </c>
    </row>
    <row r="883" spans="2:23" x14ac:dyDescent="0.3">
      <c r="B883">
        <v>53</v>
      </c>
      <c r="C883">
        <v>33</v>
      </c>
      <c r="D883">
        <v>84</v>
      </c>
      <c r="R883" s="73">
        <f t="shared" si="98"/>
        <v>8.3787588602834973E-6</v>
      </c>
      <c r="S883" s="74">
        <f t="shared" si="96"/>
        <v>8.386444839901562E-6</v>
      </c>
      <c r="U883" s="81">
        <f t="shared" si="97"/>
        <v>1.025400365630702E-3</v>
      </c>
      <c r="W883" s="80">
        <v>0.9989745996343693</v>
      </c>
    </row>
    <row r="884" spans="2:23" x14ac:dyDescent="0.3">
      <c r="B884">
        <v>53</v>
      </c>
      <c r="C884">
        <v>33</v>
      </c>
      <c r="D884">
        <v>98</v>
      </c>
      <c r="R884" s="73">
        <f t="shared" si="98"/>
        <v>5.5736136410395557E-6</v>
      </c>
      <c r="S884" s="74">
        <f t="shared" si="96"/>
        <v>5.5793346928736045E-6</v>
      </c>
      <c r="U884" s="81">
        <f t="shared" si="97"/>
        <v>1.1034309566052558E-3</v>
      </c>
      <c r="W884" s="80">
        <v>0.99889656904339474</v>
      </c>
    </row>
    <row r="885" spans="2:23" x14ac:dyDescent="0.3">
      <c r="B885">
        <v>53</v>
      </c>
      <c r="C885">
        <v>33</v>
      </c>
      <c r="D885">
        <v>112</v>
      </c>
      <c r="R885" s="73">
        <f t="shared" si="98"/>
        <v>1.0334536233645522E-5</v>
      </c>
      <c r="S885" s="74">
        <f t="shared" si="96"/>
        <v>1.0345952277664257E-5</v>
      </c>
      <c r="U885" s="81">
        <f t="shared" si="97"/>
        <v>1.2481144638762931E-3</v>
      </c>
      <c r="W885" s="80">
        <v>0.99875188553612371</v>
      </c>
    </row>
    <row r="886" spans="2:23" x14ac:dyDescent="0.3">
      <c r="B886">
        <v>53</v>
      </c>
      <c r="C886">
        <v>33</v>
      </c>
      <c r="D886">
        <v>126</v>
      </c>
      <c r="R886" s="73">
        <f t="shared" si="98"/>
        <v>9.9116535110363055E-6</v>
      </c>
      <c r="S886" s="74">
        <f t="shared" si="96"/>
        <v>9.9240398487115669E-6</v>
      </c>
      <c r="U886" s="81">
        <f t="shared" si="97"/>
        <v>1.3868776130308014E-3</v>
      </c>
      <c r="W886" s="80">
        <v>0.9986131223869692</v>
      </c>
    </row>
    <row r="887" spans="2:23" x14ac:dyDescent="0.3">
      <c r="B887">
        <v>53</v>
      </c>
      <c r="C887">
        <v>33</v>
      </c>
      <c r="D887">
        <v>140</v>
      </c>
      <c r="R887" s="73">
        <f t="shared" si="98"/>
        <v>1.2091722260782717E-5</v>
      </c>
      <c r="S887" s="74">
        <f t="shared" si="96"/>
        <v>1.2108515289564854E-5</v>
      </c>
      <c r="U887" s="81">
        <f t="shared" si="97"/>
        <v>1.5561617246817594E-3</v>
      </c>
      <c r="W887" s="80">
        <v>0.99844383827531824</v>
      </c>
    </row>
    <row r="888" spans="2:23" x14ac:dyDescent="0.3">
      <c r="B888">
        <v>53</v>
      </c>
      <c r="C888">
        <v>33</v>
      </c>
      <c r="D888">
        <v>154</v>
      </c>
      <c r="R888" s="73">
        <f t="shared" si="98"/>
        <v>1.6046840869936891E-5</v>
      </c>
      <c r="S888" s="74">
        <f t="shared" si="96"/>
        <v>1.607185126972762E-5</v>
      </c>
      <c r="U888" s="81">
        <f t="shared" si="97"/>
        <v>1.7808174968608759E-3</v>
      </c>
      <c r="W888" s="80">
        <v>0.99821918250313912</v>
      </c>
    </row>
    <row r="889" spans="2:23" x14ac:dyDescent="0.3">
      <c r="B889">
        <v>53</v>
      </c>
      <c r="C889">
        <v>33</v>
      </c>
      <c r="D889">
        <v>168</v>
      </c>
      <c r="R889" s="73">
        <f t="shared" si="98"/>
        <v>1.6856847432475002E-5</v>
      </c>
      <c r="S889" s="74">
        <f t="shared" si="96"/>
        <v>1.6886919954998949E-5</v>
      </c>
      <c r="U889" s="81">
        <f t="shared" si="97"/>
        <v>2.0168133609155259E-3</v>
      </c>
      <c r="W889" s="80">
        <v>0.99798318663908447</v>
      </c>
    </row>
    <row r="890" spans="2:23" x14ac:dyDescent="0.3">
      <c r="B890">
        <v>53</v>
      </c>
      <c r="C890">
        <v>33</v>
      </c>
      <c r="D890">
        <v>182</v>
      </c>
      <c r="R890" s="73">
        <f t="shared" si="98"/>
        <v>1.551304381377675E-5</v>
      </c>
      <c r="S890" s="74">
        <f t="shared" si="96"/>
        <v>1.5544393955192916E-5</v>
      </c>
      <c r="U890" s="81">
        <f t="shared" si="97"/>
        <v>2.2339959743084004E-3</v>
      </c>
      <c r="W890" s="80">
        <v>0.9977660040256916</v>
      </c>
    </row>
    <row r="891" spans="2:23" x14ac:dyDescent="0.3">
      <c r="B891">
        <v>53</v>
      </c>
      <c r="C891">
        <v>33</v>
      </c>
      <c r="D891">
        <v>196</v>
      </c>
      <c r="R891" s="73">
        <f t="shared" si="98"/>
        <v>1.656881680867877E-5</v>
      </c>
      <c r="S891" s="74">
        <f t="shared" si="96"/>
        <v>1.6605914354496426E-5</v>
      </c>
      <c r="U891" s="81">
        <f t="shared" si="97"/>
        <v>2.4659594096299031E-3</v>
      </c>
      <c r="W891" s="80">
        <v>0.9975340405903701</v>
      </c>
    </row>
    <row r="892" spans="2:23" x14ac:dyDescent="0.3">
      <c r="B892">
        <v>53</v>
      </c>
      <c r="C892">
        <v>33</v>
      </c>
      <c r="D892">
        <v>210</v>
      </c>
      <c r="R892" s="73">
        <f t="shared" si="98"/>
        <v>1.6290477639219996E-5</v>
      </c>
      <c r="S892" s="74">
        <f t="shared" si="96"/>
        <v>1.6330748602402392E-5</v>
      </c>
      <c r="U892" s="81">
        <f t="shared" si="97"/>
        <v>2.6940260965789831E-3</v>
      </c>
      <c r="W892" s="80">
        <v>0.99730597390342102</v>
      </c>
    </row>
    <row r="893" spans="2:23" x14ac:dyDescent="0.3">
      <c r="B893">
        <v>53</v>
      </c>
      <c r="C893">
        <v>33</v>
      </c>
      <c r="D893">
        <v>224</v>
      </c>
      <c r="R893" s="73">
        <f t="shared" si="98"/>
        <v>1.3398910951787992E-5</v>
      </c>
      <c r="S893" s="74">
        <f t="shared" si="96"/>
        <v>1.3435105476552115E-5</v>
      </c>
      <c r="U893" s="81">
        <f t="shared" si="97"/>
        <v>2.8816108499040149E-3</v>
      </c>
      <c r="W893" s="80">
        <v>0.99711838915009599</v>
      </c>
    </row>
    <row r="894" spans="2:23" x14ac:dyDescent="0.3">
      <c r="B894">
        <v>53</v>
      </c>
      <c r="C894">
        <v>33</v>
      </c>
      <c r="D894">
        <v>238</v>
      </c>
      <c r="R894" s="73">
        <f t="shared" si="98"/>
        <v>1.4268876915000752E-5</v>
      </c>
      <c r="S894" s="74">
        <f t="shared" si="96"/>
        <v>1.4310113092150447E-5</v>
      </c>
      <c r="U894" s="81">
        <f t="shared" si="97"/>
        <v>3.0813751267140255E-3</v>
      </c>
      <c r="W894" s="80">
        <v>0.99691862487328597</v>
      </c>
    </row>
    <row r="895" spans="2:23" x14ac:dyDescent="0.3">
      <c r="B895">
        <v>53</v>
      </c>
      <c r="C895">
        <v>33</v>
      </c>
      <c r="D895">
        <v>252</v>
      </c>
      <c r="R895" s="73">
        <f t="shared" si="98"/>
        <v>1.8602782308569615E-5</v>
      </c>
      <c r="S895" s="74">
        <f t="shared" si="96"/>
        <v>1.8660281636261066E-5</v>
      </c>
      <c r="U895" s="81">
        <f t="shared" si="97"/>
        <v>3.3418140790340001E-3</v>
      </c>
      <c r="W895" s="80">
        <v>0.996658185920966</v>
      </c>
    </row>
    <row r="896" spans="2:23" x14ac:dyDescent="0.3">
      <c r="B896">
        <v>53</v>
      </c>
      <c r="C896">
        <v>33</v>
      </c>
      <c r="D896">
        <v>266</v>
      </c>
      <c r="R896" s="73">
        <f t="shared" si="98"/>
        <v>1.324839742233059E-5</v>
      </c>
      <c r="S896" s="74">
        <f t="shared" si="96"/>
        <v>1.3292819553865757E-5</v>
      </c>
      <c r="U896" s="81">
        <f t="shared" si="97"/>
        <v>3.5272916429466283E-3</v>
      </c>
      <c r="W896" s="80">
        <v>0.99647270835705337</v>
      </c>
    </row>
    <row r="897" spans="2:23" x14ac:dyDescent="0.3">
      <c r="B897">
        <v>53</v>
      </c>
      <c r="C897">
        <v>33</v>
      </c>
      <c r="D897">
        <v>280</v>
      </c>
      <c r="R897" s="73">
        <f t="shared" si="98"/>
        <v>1.6962854733118933E-5</v>
      </c>
      <c r="S897" s="74">
        <f t="shared" si="96"/>
        <v>1.7022899464137507E-5</v>
      </c>
      <c r="U897" s="81">
        <f t="shared" si="97"/>
        <v>3.7647716092102934E-3</v>
      </c>
      <c r="W897" s="80">
        <v>0.99623522839078971</v>
      </c>
    </row>
    <row r="898" spans="2:23" x14ac:dyDescent="0.3">
      <c r="B898">
        <v>53</v>
      </c>
      <c r="C898">
        <v>33</v>
      </c>
      <c r="D898">
        <v>294</v>
      </c>
      <c r="R898" s="73">
        <f t="shared" si="98"/>
        <v>1.8154503158428004E-5</v>
      </c>
      <c r="S898" s="74">
        <f t="shared" si="96"/>
        <v>1.8223109001829638E-5</v>
      </c>
      <c r="U898" s="81">
        <f t="shared" si="97"/>
        <v>4.0189346534282855E-3</v>
      </c>
      <c r="W898" s="80">
        <v>0.99598106534657171</v>
      </c>
    </row>
    <row r="899" spans="2:23" x14ac:dyDescent="0.3">
      <c r="B899">
        <v>53</v>
      </c>
      <c r="C899">
        <v>33</v>
      </c>
      <c r="D899">
        <v>308</v>
      </c>
      <c r="R899" s="73">
        <f t="shared" si="98"/>
        <v>1.2285531547624145E-5</v>
      </c>
      <c r="S899" s="74">
        <f t="shared" si="96"/>
        <v>1.2335105530695151E-5</v>
      </c>
      <c r="U899" s="81">
        <f t="shared" si="97"/>
        <v>4.1909320950950235E-3</v>
      </c>
      <c r="W899" s="80">
        <v>0.99580906790490498</v>
      </c>
    </row>
    <row r="900" spans="2:23" x14ac:dyDescent="0.3">
      <c r="B900">
        <v>53</v>
      </c>
      <c r="C900">
        <v>33</v>
      </c>
      <c r="D900">
        <v>322</v>
      </c>
      <c r="R900" s="73">
        <f t="shared" si="98"/>
        <v>1.6825447726599917E-5</v>
      </c>
      <c r="S900" s="74">
        <f t="shared" si="96"/>
        <v>1.6896258799891415E-5</v>
      </c>
      <c r="U900" s="81">
        <f t="shared" si="97"/>
        <v>4.4264883632674223E-3</v>
      </c>
      <c r="W900" s="80">
        <v>0.99557351163673258</v>
      </c>
    </row>
    <row r="901" spans="2:23" x14ac:dyDescent="0.3">
      <c r="B901">
        <v>53</v>
      </c>
      <c r="C901">
        <v>33</v>
      </c>
      <c r="D901">
        <v>336</v>
      </c>
      <c r="R901" s="73">
        <f t="shared" si="98"/>
        <v>1.210792202825463E-5</v>
      </c>
      <c r="S901" s="74">
        <f t="shared" si="96"/>
        <v>1.2161755899219423E-5</v>
      </c>
      <c r="U901" s="81">
        <f t="shared" si="97"/>
        <v>4.5959992716629872E-3</v>
      </c>
      <c r="W901" s="80">
        <v>0.99540400072833701</v>
      </c>
    </row>
    <row r="902" spans="2:23" x14ac:dyDescent="0.3">
      <c r="B902">
        <v>53</v>
      </c>
      <c r="C902">
        <v>33</v>
      </c>
      <c r="D902">
        <v>350</v>
      </c>
      <c r="R902" s="73">
        <f t="shared" si="98"/>
        <v>1.567412414590511E-5</v>
      </c>
      <c r="S902" s="74">
        <f t="shared" si="96"/>
        <v>1.5746495025573892E-5</v>
      </c>
      <c r="U902" s="81">
        <f t="shared" si="97"/>
        <v>4.8154370097056587E-3</v>
      </c>
      <c r="W902" s="80">
        <v>0.99518456299029434</v>
      </c>
    </row>
    <row r="903" spans="2:23" x14ac:dyDescent="0.3">
      <c r="B903">
        <v>53</v>
      </c>
      <c r="C903">
        <v>33</v>
      </c>
      <c r="D903">
        <v>364</v>
      </c>
      <c r="R903" s="73">
        <f t="shared" si="98"/>
        <v>1.7559489964965751E-5</v>
      </c>
      <c r="S903" s="74">
        <f t="shared" si="96"/>
        <v>1.7644455730104606E-5</v>
      </c>
      <c r="U903" s="81">
        <f t="shared" si="97"/>
        <v>5.0612698692151792E-3</v>
      </c>
      <c r="W903" s="80">
        <v>0.99493873013078482</v>
      </c>
    </row>
    <row r="904" spans="2:23" x14ac:dyDescent="0.3">
      <c r="B904">
        <v>54</v>
      </c>
      <c r="C904">
        <v>33</v>
      </c>
      <c r="D904">
        <v>0</v>
      </c>
      <c r="R904" s="73">
        <f t="shared" si="98"/>
        <v>0</v>
      </c>
      <c r="S904" s="74">
        <f t="shared" si="96"/>
        <v>0</v>
      </c>
      <c r="U904" s="81">
        <f t="shared" si="97"/>
        <v>0</v>
      </c>
      <c r="W904" s="80">
        <v>1</v>
      </c>
    </row>
    <row r="905" spans="2:23" x14ac:dyDescent="0.3">
      <c r="B905">
        <v>54</v>
      </c>
      <c r="C905">
        <v>33</v>
      </c>
      <c r="D905">
        <v>6</v>
      </c>
      <c r="R905" s="73">
        <f t="shared" si="98"/>
        <v>4.8261055729525992E-5</v>
      </c>
      <c r="S905" s="74">
        <f t="shared" si="96"/>
        <v>4.8261055729525992E-5</v>
      </c>
      <c r="U905" s="81">
        <f t="shared" si="97"/>
        <v>2.8956633437715595E-4</v>
      </c>
      <c r="W905" s="80">
        <v>0.99971043366562284</v>
      </c>
    </row>
    <row r="906" spans="2:23" x14ac:dyDescent="0.3">
      <c r="B906">
        <v>54</v>
      </c>
      <c r="C906">
        <v>33</v>
      </c>
      <c r="D906">
        <v>14</v>
      </c>
      <c r="R906" s="73">
        <f t="shared" si="98"/>
        <v>1.1468464328784345E-5</v>
      </c>
      <c r="S906" s="74">
        <f t="shared" si="96"/>
        <v>1.1471786171854887E-5</v>
      </c>
      <c r="U906" s="81">
        <f t="shared" si="97"/>
        <v>3.8131404900743071E-4</v>
      </c>
      <c r="W906" s="80">
        <v>0.99961868595099257</v>
      </c>
    </row>
    <row r="907" spans="2:23" x14ac:dyDescent="0.3">
      <c r="B907">
        <v>54</v>
      </c>
      <c r="C907">
        <v>33</v>
      </c>
      <c r="D907">
        <v>21</v>
      </c>
      <c r="R907" s="73">
        <f t="shared" si="98"/>
        <v>6.0640306261167912E-6</v>
      </c>
      <c r="S907" s="74">
        <f t="shared" si="96"/>
        <v>6.0663438082369807E-6</v>
      </c>
      <c r="U907" s="81">
        <f t="shared" si="97"/>
        <v>4.2376226339024825E-4</v>
      </c>
      <c r="W907" s="80">
        <v>0.99957623773660975</v>
      </c>
    </row>
    <row r="908" spans="2:23" x14ac:dyDescent="0.3">
      <c r="B908">
        <v>54</v>
      </c>
      <c r="C908">
        <v>33</v>
      </c>
      <c r="D908">
        <v>28</v>
      </c>
      <c r="R908" s="73">
        <f t="shared" si="98"/>
        <v>6.6069761154308182E-6</v>
      </c>
      <c r="S908" s="74">
        <f t="shared" ref="S908:S971" si="99">IF(D908&gt;D907,(U908-U907)/W907/(D908-D907),0)</f>
        <v>6.6097770895307831E-6</v>
      </c>
      <c r="U908" s="81">
        <f t="shared" ref="U908:U971" si="100">100%-W908</f>
        <v>4.7001109619826398E-4</v>
      </c>
      <c r="W908" s="80">
        <v>0.99952998890380174</v>
      </c>
    </row>
    <row r="909" spans="2:23" x14ac:dyDescent="0.3">
      <c r="B909">
        <v>54</v>
      </c>
      <c r="C909">
        <v>33</v>
      </c>
      <c r="D909">
        <v>35</v>
      </c>
      <c r="R909" s="73">
        <f t="shared" si="98"/>
        <v>6.3177075504088672E-6</v>
      </c>
      <c r="S909" s="74">
        <f t="shared" si="99"/>
        <v>6.3206783393638682E-6</v>
      </c>
      <c r="U909" s="81">
        <f t="shared" si="100"/>
        <v>5.1423504905112605E-4</v>
      </c>
      <c r="W909" s="80">
        <v>0.99948576495094887</v>
      </c>
    </row>
    <row r="910" spans="2:23" x14ac:dyDescent="0.3">
      <c r="B910">
        <v>54</v>
      </c>
      <c r="C910">
        <v>33</v>
      </c>
      <c r="D910">
        <v>42</v>
      </c>
      <c r="R910" s="73">
        <f t="shared" si="98"/>
        <v>7.6566291539340417E-6</v>
      </c>
      <c r="S910" s="74">
        <f t="shared" si="99"/>
        <v>7.6605684867455823E-6</v>
      </c>
      <c r="U910" s="81">
        <f t="shared" si="100"/>
        <v>5.6783145312866434E-4</v>
      </c>
      <c r="W910" s="80">
        <v>0.99943216854687134</v>
      </c>
    </row>
    <row r="911" spans="2:23" x14ac:dyDescent="0.3">
      <c r="B911">
        <v>54</v>
      </c>
      <c r="C911">
        <v>33</v>
      </c>
      <c r="D911">
        <v>50</v>
      </c>
      <c r="R911" s="73">
        <f t="shared" si="98"/>
        <v>1.6163641637922943E-6</v>
      </c>
      <c r="S911" s="74">
        <f t="shared" si="99"/>
        <v>1.6172825076687434E-6</v>
      </c>
      <c r="U911" s="81">
        <f t="shared" si="100"/>
        <v>5.807623664390027E-4</v>
      </c>
      <c r="W911" s="80">
        <v>0.999419237633561</v>
      </c>
    </row>
    <row r="912" spans="2:23" x14ac:dyDescent="0.3">
      <c r="B912">
        <v>54</v>
      </c>
      <c r="C912">
        <v>33</v>
      </c>
      <c r="D912">
        <v>62</v>
      </c>
      <c r="R912" s="73">
        <f t="shared" si="98"/>
        <v>2.6728741811625025E-6</v>
      </c>
      <c r="S912" s="74">
        <f t="shared" si="99"/>
        <v>2.6744273879411926E-6</v>
      </c>
      <c r="U912" s="81">
        <f t="shared" si="100"/>
        <v>6.1283685661295273E-4</v>
      </c>
      <c r="W912" s="80">
        <v>0.99938716314338705</v>
      </c>
    </row>
    <row r="913" spans="2:23" x14ac:dyDescent="0.3">
      <c r="B913">
        <v>54</v>
      </c>
      <c r="C913">
        <v>33</v>
      </c>
      <c r="D913">
        <v>71</v>
      </c>
      <c r="R913" s="73">
        <f t="shared" si="98"/>
        <v>2.8662428504460594E-6</v>
      </c>
      <c r="S913" s="74">
        <f t="shared" si="99"/>
        <v>2.8680004668369203E-6</v>
      </c>
      <c r="U913" s="81">
        <f t="shared" si="100"/>
        <v>6.3863304226696727E-4</v>
      </c>
      <c r="W913" s="80">
        <v>0.99936136695773303</v>
      </c>
    </row>
    <row r="914" spans="2:23" x14ac:dyDescent="0.3">
      <c r="B914">
        <v>54</v>
      </c>
      <c r="C914">
        <v>33</v>
      </c>
      <c r="D914">
        <v>84</v>
      </c>
      <c r="R914" s="73">
        <f t="shared" si="98"/>
        <v>5.9445584455347215E-6</v>
      </c>
      <c r="S914" s="74">
        <f t="shared" si="99"/>
        <v>5.9483572630301012E-6</v>
      </c>
      <c r="U914" s="81">
        <f t="shared" si="100"/>
        <v>7.1591230205891865E-4</v>
      </c>
      <c r="W914" s="80">
        <v>0.99928408769794108</v>
      </c>
    </row>
    <row r="915" spans="2:23" x14ac:dyDescent="0.3">
      <c r="B915">
        <v>54</v>
      </c>
      <c r="C915">
        <v>33</v>
      </c>
      <c r="D915">
        <v>98</v>
      </c>
      <c r="R915" s="73">
        <f t="shared" si="98"/>
        <v>5.4137603943206687E-6</v>
      </c>
      <c r="S915" s="74">
        <f t="shared" si="99"/>
        <v>5.4176389486921511E-6</v>
      </c>
      <c r="U915" s="81">
        <f t="shared" si="100"/>
        <v>7.9170494757940801E-4</v>
      </c>
      <c r="W915" s="80">
        <v>0.99920829505242059</v>
      </c>
    </row>
    <row r="916" spans="2:23" x14ac:dyDescent="0.3">
      <c r="B916">
        <v>54</v>
      </c>
      <c r="C916">
        <v>33</v>
      </c>
      <c r="D916">
        <v>112</v>
      </c>
      <c r="R916" s="73">
        <f t="shared" si="98"/>
        <v>8.9869496260410105E-6</v>
      </c>
      <c r="S916" s="74">
        <f t="shared" si="99"/>
        <v>8.9940702759773785E-6</v>
      </c>
      <c r="U916" s="81">
        <f t="shared" si="100"/>
        <v>9.1752224234398216E-4</v>
      </c>
      <c r="W916" s="80">
        <v>0.99908247775765602</v>
      </c>
    </row>
    <row r="917" spans="2:23" x14ac:dyDescent="0.3">
      <c r="B917">
        <v>54</v>
      </c>
      <c r="C917">
        <v>33</v>
      </c>
      <c r="D917">
        <v>126</v>
      </c>
      <c r="R917" s="73">
        <f t="shared" si="98"/>
        <v>8.0951434463992304E-6</v>
      </c>
      <c r="S917" s="74">
        <f t="shared" si="99"/>
        <v>8.1025777416975593E-6</v>
      </c>
      <c r="U917" s="81">
        <f t="shared" si="100"/>
        <v>1.0308542505935714E-3</v>
      </c>
      <c r="W917" s="80">
        <v>0.99896914574940643</v>
      </c>
    </row>
    <row r="918" spans="2:23" x14ac:dyDescent="0.3">
      <c r="B918">
        <v>54</v>
      </c>
      <c r="C918">
        <v>33</v>
      </c>
      <c r="D918">
        <v>140</v>
      </c>
      <c r="R918" s="73">
        <f t="shared" si="98"/>
        <v>1.0174814001728816E-5</v>
      </c>
      <c r="S918" s="74">
        <f t="shared" si="99"/>
        <v>1.0185313575521772E-5</v>
      </c>
      <c r="U918" s="81">
        <f t="shared" si="100"/>
        <v>1.1733016466177748E-3</v>
      </c>
      <c r="W918" s="80">
        <v>0.99882669835338223</v>
      </c>
    </row>
    <row r="919" spans="2:23" x14ac:dyDescent="0.3">
      <c r="B919">
        <v>54</v>
      </c>
      <c r="C919">
        <v>33</v>
      </c>
      <c r="D919">
        <v>154</v>
      </c>
      <c r="R919" s="73">
        <f t="shared" si="98"/>
        <v>6.2626272019361551E-6</v>
      </c>
      <c r="S919" s="74">
        <f t="shared" si="99"/>
        <v>6.2699837842344644E-6</v>
      </c>
      <c r="U919" s="81">
        <f t="shared" si="100"/>
        <v>1.260978427444881E-3</v>
      </c>
      <c r="W919" s="80">
        <v>0.99873902157255512</v>
      </c>
    </row>
    <row r="920" spans="2:23" x14ac:dyDescent="0.3">
      <c r="B920">
        <v>54</v>
      </c>
      <c r="C920">
        <v>33</v>
      </c>
      <c r="D920">
        <v>168</v>
      </c>
      <c r="R920" s="73">
        <f t="shared" si="98"/>
        <v>1.1644620615219076E-5</v>
      </c>
      <c r="S920" s="74">
        <f t="shared" si="99"/>
        <v>1.1659322769710298E-5</v>
      </c>
      <c r="U920" s="81">
        <f t="shared" si="100"/>
        <v>1.424003116057948E-3</v>
      </c>
      <c r="W920" s="80">
        <v>0.99857599688394205</v>
      </c>
    </row>
    <row r="921" spans="2:23" x14ac:dyDescent="0.3">
      <c r="B921">
        <v>54</v>
      </c>
      <c r="C921">
        <v>33</v>
      </c>
      <c r="D921">
        <v>182</v>
      </c>
      <c r="R921" s="73">
        <f t="shared" si="98"/>
        <v>1.0733028881881879E-5</v>
      </c>
      <c r="S921" s="74">
        <f t="shared" si="99"/>
        <v>1.0748334543764633E-5</v>
      </c>
      <c r="U921" s="81">
        <f t="shared" si="100"/>
        <v>1.5742655204042943E-3</v>
      </c>
      <c r="W921" s="80">
        <v>0.99842573447959571</v>
      </c>
    </row>
    <row r="922" spans="2:23" x14ac:dyDescent="0.3">
      <c r="B922">
        <v>54</v>
      </c>
      <c r="C922">
        <v>33</v>
      </c>
      <c r="D922">
        <v>196</v>
      </c>
      <c r="R922" s="73">
        <f t="shared" si="98"/>
        <v>1.231222551267841E-5</v>
      </c>
      <c r="S922" s="74">
        <f t="shared" si="99"/>
        <v>1.2331638786429965E-5</v>
      </c>
      <c r="U922" s="81">
        <f t="shared" si="100"/>
        <v>1.7466366775817921E-3</v>
      </c>
      <c r="W922" s="80">
        <v>0.99825336332241821</v>
      </c>
    </row>
    <row r="923" spans="2:23" x14ac:dyDescent="0.3">
      <c r="B923">
        <v>54</v>
      </c>
      <c r="C923">
        <v>33</v>
      </c>
      <c r="D923">
        <v>210</v>
      </c>
      <c r="R923" s="73">
        <f t="shared" si="98"/>
        <v>1.1265489066944071E-5</v>
      </c>
      <c r="S923" s="74">
        <f t="shared" si="99"/>
        <v>1.1285200211547414E-5</v>
      </c>
      <c r="U923" s="81">
        <f t="shared" si="100"/>
        <v>1.9043535245190091E-3</v>
      </c>
      <c r="W923" s="80">
        <v>0.99809564647548099</v>
      </c>
    </row>
    <row r="924" spans="2:23" x14ac:dyDescent="0.3">
      <c r="B924">
        <v>54</v>
      </c>
      <c r="C924">
        <v>33</v>
      </c>
      <c r="D924">
        <v>224</v>
      </c>
      <c r="R924" s="73">
        <f t="shared" si="98"/>
        <v>1.3349126557300156E-5</v>
      </c>
      <c r="S924" s="74">
        <f t="shared" si="99"/>
        <v>1.3374596517316927E-5</v>
      </c>
      <c r="U924" s="81">
        <f t="shared" si="100"/>
        <v>2.0912412963212113E-3</v>
      </c>
      <c r="W924" s="80">
        <v>0.99790875870367879</v>
      </c>
    </row>
    <row r="925" spans="2:23" x14ac:dyDescent="0.3">
      <c r="B925">
        <v>54</v>
      </c>
      <c r="C925">
        <v>33</v>
      </c>
      <c r="D925">
        <v>238</v>
      </c>
      <c r="R925" s="73">
        <f t="shared" si="98"/>
        <v>1.5589684604268494E-5</v>
      </c>
      <c r="S925" s="74">
        <f t="shared" si="99"/>
        <v>1.5622354717599715E-5</v>
      </c>
      <c r="U925" s="81">
        <f t="shared" si="100"/>
        <v>2.3094968807809702E-3</v>
      </c>
      <c r="W925" s="80">
        <v>0.99769050311921903</v>
      </c>
    </row>
    <row r="926" spans="2:23" x14ac:dyDescent="0.3">
      <c r="B926">
        <v>54</v>
      </c>
      <c r="C926">
        <v>33</v>
      </c>
      <c r="D926">
        <v>252</v>
      </c>
      <c r="R926" s="73">
        <f t="shared" si="98"/>
        <v>1.461995236655213E-5</v>
      </c>
      <c r="S926" s="74">
        <f t="shared" si="99"/>
        <v>1.465379526099901E-5</v>
      </c>
      <c r="U926" s="81">
        <f t="shared" si="100"/>
        <v>2.5141762139127E-3</v>
      </c>
      <c r="W926" s="80">
        <v>0.9974858237860873</v>
      </c>
    </row>
    <row r="927" spans="2:23" x14ac:dyDescent="0.3">
      <c r="B927">
        <v>54</v>
      </c>
      <c r="C927">
        <v>33</v>
      </c>
      <c r="D927">
        <v>266</v>
      </c>
      <c r="R927" s="73">
        <f t="shared" si="98"/>
        <v>1.0243584847596005E-5</v>
      </c>
      <c r="S927" s="74">
        <f t="shared" si="99"/>
        <v>1.0269403938709771E-5</v>
      </c>
      <c r="U927" s="81">
        <f t="shared" si="100"/>
        <v>2.657586401779044E-3</v>
      </c>
      <c r="W927" s="80">
        <v>0.99734241359822096</v>
      </c>
    </row>
    <row r="928" spans="2:23" x14ac:dyDescent="0.3">
      <c r="B928">
        <v>54</v>
      </c>
      <c r="C928">
        <v>33</v>
      </c>
      <c r="D928">
        <v>280</v>
      </c>
      <c r="R928" s="73">
        <f t="shared" si="98"/>
        <v>1.229424036874078E-5</v>
      </c>
      <c r="S928" s="74">
        <f t="shared" si="99"/>
        <v>1.2327000437478146E-5</v>
      </c>
      <c r="U928" s="81">
        <f t="shared" si="100"/>
        <v>2.829705766941415E-3</v>
      </c>
      <c r="W928" s="80">
        <v>0.99717029423305859</v>
      </c>
    </row>
    <row r="929" spans="2:23" x14ac:dyDescent="0.3">
      <c r="B929">
        <v>54</v>
      </c>
      <c r="C929">
        <v>33</v>
      </c>
      <c r="D929">
        <v>294</v>
      </c>
      <c r="R929" s="73">
        <f t="shared" si="98"/>
        <v>1.4618009922870037E-5</v>
      </c>
      <c r="S929" s="74">
        <f t="shared" si="99"/>
        <v>1.4659491971843194E-5</v>
      </c>
      <c r="U929" s="81">
        <f t="shared" si="100"/>
        <v>3.0343579058615955E-3</v>
      </c>
      <c r="W929" s="80">
        <v>0.9969656420941384</v>
      </c>
    </row>
    <row r="930" spans="2:23" x14ac:dyDescent="0.3">
      <c r="B930">
        <v>54</v>
      </c>
      <c r="C930">
        <v>33</v>
      </c>
      <c r="D930">
        <v>308</v>
      </c>
      <c r="R930" s="73">
        <f t="shared" si="98"/>
        <v>1.0501828811475861E-5</v>
      </c>
      <c r="S930" s="74">
        <f t="shared" si="99"/>
        <v>1.0533792106833935E-5</v>
      </c>
      <c r="U930" s="81">
        <f t="shared" si="100"/>
        <v>3.1813835092222575E-3</v>
      </c>
      <c r="W930" s="80">
        <v>0.99681861649077774</v>
      </c>
    </row>
    <row r="931" spans="2:23" x14ac:dyDescent="0.3">
      <c r="B931">
        <v>54</v>
      </c>
      <c r="C931">
        <v>33</v>
      </c>
      <c r="D931">
        <v>322</v>
      </c>
      <c r="R931" s="73">
        <f t="shared" si="98"/>
        <v>1.2499097956538855E-5</v>
      </c>
      <c r="S931" s="74">
        <f t="shared" si="99"/>
        <v>1.2538989290289295E-5</v>
      </c>
      <c r="U931" s="81">
        <f t="shared" si="100"/>
        <v>3.3563708806138015E-3</v>
      </c>
      <c r="W931" s="80">
        <v>0.9966436291193862</v>
      </c>
    </row>
    <row r="932" spans="2:23" x14ac:dyDescent="0.3">
      <c r="B932">
        <v>54</v>
      </c>
      <c r="C932">
        <v>33</v>
      </c>
      <c r="D932">
        <v>336</v>
      </c>
      <c r="R932" s="73">
        <f t="shared" si="98"/>
        <v>7.5468546057206557E-6</v>
      </c>
      <c r="S932" s="74">
        <f t="shared" si="99"/>
        <v>7.5722699520879904E-6</v>
      </c>
      <c r="U932" s="81">
        <f t="shared" si="100"/>
        <v>3.4620268450938907E-3</v>
      </c>
      <c r="W932" s="80">
        <v>0.99653797315490611</v>
      </c>
    </row>
    <row r="933" spans="2:23" x14ac:dyDescent="0.3">
      <c r="B933">
        <v>54</v>
      </c>
      <c r="C933">
        <v>33</v>
      </c>
      <c r="D933">
        <v>350</v>
      </c>
      <c r="R933" s="73">
        <f t="shared" si="98"/>
        <v>1.0262012173626164E-5</v>
      </c>
      <c r="S933" s="74">
        <f t="shared" si="99"/>
        <v>1.0297662959232757E-5</v>
      </c>
      <c r="U933" s="81">
        <f t="shared" si="100"/>
        <v>3.605695015524657E-3</v>
      </c>
      <c r="W933" s="80">
        <v>0.99639430498447534</v>
      </c>
    </row>
    <row r="934" spans="2:23" x14ac:dyDescent="0.3">
      <c r="B934">
        <v>54</v>
      </c>
      <c r="C934">
        <v>33</v>
      </c>
      <c r="D934">
        <v>364</v>
      </c>
      <c r="R934" s="73">
        <f t="shared" si="98"/>
        <v>1.1836799026966802E-5</v>
      </c>
      <c r="S934" s="74">
        <f t="shared" si="99"/>
        <v>1.1879633361765581E-5</v>
      </c>
      <c r="U934" s="81">
        <f t="shared" si="100"/>
        <v>3.7714102019021922E-3</v>
      </c>
      <c r="W934" s="80">
        <v>0.99622858979809781</v>
      </c>
    </row>
    <row r="935" spans="2:23" x14ac:dyDescent="0.3">
      <c r="B935">
        <v>55</v>
      </c>
      <c r="C935">
        <v>33</v>
      </c>
      <c r="D935">
        <v>0</v>
      </c>
      <c r="R935" s="73">
        <f t="shared" si="98"/>
        <v>0</v>
      </c>
      <c r="S935" s="74">
        <f t="shared" si="99"/>
        <v>0</v>
      </c>
      <c r="U935" s="81">
        <f t="shared" si="100"/>
        <v>0</v>
      </c>
      <c r="W935" s="80">
        <v>1</v>
      </c>
    </row>
    <row r="936" spans="2:23" x14ac:dyDescent="0.3">
      <c r="B936">
        <v>55</v>
      </c>
      <c r="C936">
        <v>33</v>
      </c>
      <c r="D936">
        <v>6</v>
      </c>
      <c r="R936" s="73">
        <f t="shared" si="98"/>
        <v>9.3748172361685089E-5</v>
      </c>
      <c r="S936" s="74">
        <f t="shared" si="99"/>
        <v>9.3748172361685089E-5</v>
      </c>
      <c r="U936" s="81">
        <f t="shared" si="100"/>
        <v>5.6248903417011054E-4</v>
      </c>
      <c r="W936" s="80">
        <v>0.99943751096582989</v>
      </c>
    </row>
    <row r="937" spans="2:23" x14ac:dyDescent="0.3">
      <c r="B937">
        <v>55</v>
      </c>
      <c r="C937">
        <v>33</v>
      </c>
      <c r="D937">
        <v>14</v>
      </c>
      <c r="R937" s="73">
        <f t="shared" si="98"/>
        <v>2.3912935693981563E-5</v>
      </c>
      <c r="S937" s="74">
        <f t="shared" si="99"/>
        <v>2.3926394028249686E-5</v>
      </c>
      <c r="U937" s="81">
        <f t="shared" si="100"/>
        <v>7.5379251972196304E-4</v>
      </c>
      <c r="W937" s="80">
        <v>0.99924620748027804</v>
      </c>
    </row>
    <row r="938" spans="2:23" x14ac:dyDescent="0.3">
      <c r="B938">
        <v>55</v>
      </c>
      <c r="C938">
        <v>33</v>
      </c>
      <c r="D938">
        <v>21</v>
      </c>
      <c r="R938" s="73">
        <f t="shared" si="98"/>
        <v>1.2932102428808712E-5</v>
      </c>
      <c r="S938" s="74">
        <f t="shared" si="99"/>
        <v>1.2941857904488418E-5</v>
      </c>
      <c r="U938" s="81">
        <f t="shared" si="100"/>
        <v>8.4431723672362402E-4</v>
      </c>
      <c r="W938" s="80">
        <v>0.99915568276327638</v>
      </c>
    </row>
    <row r="939" spans="2:23" x14ac:dyDescent="0.3">
      <c r="B939">
        <v>55</v>
      </c>
      <c r="C939">
        <v>33</v>
      </c>
      <c r="D939">
        <v>28</v>
      </c>
      <c r="R939" s="73">
        <f t="shared" si="98"/>
        <v>1.2657821655254991E-5</v>
      </c>
      <c r="S939" s="74">
        <f t="shared" si="99"/>
        <v>1.2668517903284475E-5</v>
      </c>
      <c r="U939" s="81">
        <f t="shared" si="100"/>
        <v>9.3292198831040896E-4</v>
      </c>
      <c r="W939" s="80">
        <v>0.99906707801168959</v>
      </c>
    </row>
    <row r="940" spans="2:23" x14ac:dyDescent="0.3">
      <c r="B940">
        <v>55</v>
      </c>
      <c r="C940">
        <v>33</v>
      </c>
      <c r="D940">
        <v>35</v>
      </c>
      <c r="R940" s="73">
        <f t="shared" si="98"/>
        <v>7.1303435154839486E-6</v>
      </c>
      <c r="S940" s="74">
        <f t="shared" si="99"/>
        <v>7.1370017813764054E-6</v>
      </c>
      <c r="U940" s="81">
        <f t="shared" si="100"/>
        <v>9.828343929187966E-4</v>
      </c>
      <c r="W940" s="80">
        <v>0.9990171656070812</v>
      </c>
    </row>
    <row r="941" spans="2:23" x14ac:dyDescent="0.3">
      <c r="B941">
        <v>55</v>
      </c>
      <c r="C941">
        <v>33</v>
      </c>
      <c r="D941">
        <v>42</v>
      </c>
      <c r="R941" s="73">
        <f t="shared" ref="R941:R1004" si="101">IF(D941&gt;D940,(U941-U940)/1/(D941-D940),0)</f>
        <v>5.4972914329860193E-6</v>
      </c>
      <c r="S941" s="74">
        <f t="shared" si="99"/>
        <v>5.5026996754809856E-6</v>
      </c>
      <c r="U941" s="81">
        <f t="shared" si="100"/>
        <v>1.0213154329496987E-3</v>
      </c>
      <c r="W941" s="80">
        <v>0.9989786845670503</v>
      </c>
    </row>
    <row r="942" spans="2:23" x14ac:dyDescent="0.3">
      <c r="B942">
        <v>55</v>
      </c>
      <c r="C942">
        <v>33</v>
      </c>
      <c r="D942">
        <v>50</v>
      </c>
      <c r="R942" s="73">
        <f t="shared" si="101"/>
        <v>3.619243799990457E-6</v>
      </c>
      <c r="S942" s="74">
        <f t="shared" si="99"/>
        <v>3.6229439685782782E-6</v>
      </c>
      <c r="U942" s="81">
        <f t="shared" si="100"/>
        <v>1.0502693833496224E-3</v>
      </c>
      <c r="W942" s="80">
        <v>0.99894973061665038</v>
      </c>
    </row>
    <row r="943" spans="2:23" x14ac:dyDescent="0.3">
      <c r="B943">
        <v>55</v>
      </c>
      <c r="C943">
        <v>33</v>
      </c>
      <c r="D943">
        <v>62</v>
      </c>
      <c r="R943" s="73">
        <f t="shared" si="101"/>
        <v>1.8210214346355464E-6</v>
      </c>
      <c r="S943" s="74">
        <f t="shared" si="99"/>
        <v>1.8229360085130935E-6</v>
      </c>
      <c r="U943" s="81">
        <f t="shared" si="100"/>
        <v>1.0721216405652489E-3</v>
      </c>
      <c r="W943" s="80">
        <v>0.99892787835943475</v>
      </c>
    </row>
    <row r="944" spans="2:23" x14ac:dyDescent="0.3">
      <c r="B944">
        <v>55</v>
      </c>
      <c r="C944">
        <v>33</v>
      </c>
      <c r="D944">
        <v>71</v>
      </c>
      <c r="R944" s="73">
        <f t="shared" si="101"/>
        <v>2.450862162538413E-6</v>
      </c>
      <c r="S944" s="74">
        <f t="shared" si="99"/>
        <v>2.4534926050552596E-6</v>
      </c>
      <c r="U944" s="81">
        <f t="shared" si="100"/>
        <v>1.0941794000280947E-3</v>
      </c>
      <c r="W944" s="80">
        <v>0.99890582059997191</v>
      </c>
    </row>
    <row r="945" spans="2:23" x14ac:dyDescent="0.3">
      <c r="B945">
        <v>55</v>
      </c>
      <c r="C945">
        <v>33</v>
      </c>
      <c r="D945">
        <v>84</v>
      </c>
      <c r="R945" s="73">
        <f t="shared" si="101"/>
        <v>5.6241637251648494E-6</v>
      </c>
      <c r="S945" s="74">
        <f t="shared" si="99"/>
        <v>5.6303243100403734E-6</v>
      </c>
      <c r="U945" s="81">
        <f t="shared" si="100"/>
        <v>1.1672935284552377E-3</v>
      </c>
      <c r="W945" s="80">
        <v>0.99883270647154476</v>
      </c>
    </row>
    <row r="946" spans="2:23" x14ac:dyDescent="0.3">
      <c r="B946">
        <v>55</v>
      </c>
      <c r="C946">
        <v>33</v>
      </c>
      <c r="D946">
        <v>98</v>
      </c>
      <c r="R946" s="73">
        <f t="shared" si="101"/>
        <v>5.7991303085226849E-6</v>
      </c>
      <c r="S946" s="74">
        <f t="shared" si="99"/>
        <v>5.8059075067821618E-6</v>
      </c>
      <c r="U946" s="81">
        <f t="shared" si="100"/>
        <v>1.2484813527745553E-3</v>
      </c>
      <c r="W946" s="80">
        <v>0.99875151864722544</v>
      </c>
    </row>
    <row r="947" spans="2:23" x14ac:dyDescent="0.3">
      <c r="B947">
        <v>55</v>
      </c>
      <c r="C947">
        <v>33</v>
      </c>
      <c r="D947">
        <v>112</v>
      </c>
      <c r="R947" s="73">
        <f t="shared" si="101"/>
        <v>1.0557541337489049E-5</v>
      </c>
      <c r="S947" s="74">
        <f t="shared" si="99"/>
        <v>1.0570738707650604E-5</v>
      </c>
      <c r="U947" s="81">
        <f t="shared" si="100"/>
        <v>1.396286931499402E-3</v>
      </c>
      <c r="W947" s="80">
        <v>0.9986037130685006</v>
      </c>
    </row>
    <row r="948" spans="2:23" x14ac:dyDescent="0.3">
      <c r="B948">
        <v>55</v>
      </c>
      <c r="C948">
        <v>33</v>
      </c>
      <c r="D948">
        <v>126</v>
      </c>
      <c r="R948" s="73">
        <f t="shared" si="101"/>
        <v>1.2138795250059089E-5</v>
      </c>
      <c r="S948" s="74">
        <f t="shared" si="99"/>
        <v>1.2155768190325576E-5</v>
      </c>
      <c r="U948" s="81">
        <f t="shared" si="100"/>
        <v>1.5662300650002292E-3</v>
      </c>
      <c r="W948" s="80">
        <v>0.99843376993499977</v>
      </c>
    </row>
    <row r="949" spans="2:23" x14ac:dyDescent="0.3">
      <c r="B949">
        <v>55</v>
      </c>
      <c r="C949">
        <v>33</v>
      </c>
      <c r="D949">
        <v>140</v>
      </c>
      <c r="R949" s="73">
        <f t="shared" si="101"/>
        <v>1.4244798769412284E-5</v>
      </c>
      <c r="S949" s="74">
        <f t="shared" si="99"/>
        <v>1.4267144399913128E-5</v>
      </c>
      <c r="U949" s="81">
        <f t="shared" si="100"/>
        <v>1.7656572477720012E-3</v>
      </c>
      <c r="W949" s="80">
        <v>0.998234342752228</v>
      </c>
    </row>
    <row r="950" spans="2:23" x14ac:dyDescent="0.3">
      <c r="B950">
        <v>55</v>
      </c>
      <c r="C950">
        <v>33</v>
      </c>
      <c r="D950">
        <v>154</v>
      </c>
      <c r="R950" s="73">
        <f t="shared" si="101"/>
        <v>7.7316613328247212E-6</v>
      </c>
      <c r="S950" s="74">
        <f t="shared" si="99"/>
        <v>7.7453369431348037E-6</v>
      </c>
      <c r="U950" s="81">
        <f t="shared" si="100"/>
        <v>1.8739005064315473E-3</v>
      </c>
      <c r="W950" s="80">
        <v>0.99812609949356845</v>
      </c>
    </row>
    <row r="951" spans="2:23" x14ac:dyDescent="0.3">
      <c r="B951">
        <v>55</v>
      </c>
      <c r="C951">
        <v>33</v>
      </c>
      <c r="D951">
        <v>168</v>
      </c>
      <c r="R951" s="73">
        <f t="shared" si="101"/>
        <v>2.2272055833549853E-5</v>
      </c>
      <c r="S951" s="74">
        <f t="shared" si="99"/>
        <v>2.231386980547879E-5</v>
      </c>
      <c r="U951" s="81">
        <f t="shared" si="100"/>
        <v>2.1857092881012452E-3</v>
      </c>
      <c r="W951" s="80">
        <v>0.99781429071189875</v>
      </c>
    </row>
    <row r="952" spans="2:23" x14ac:dyDescent="0.3">
      <c r="B952">
        <v>55</v>
      </c>
      <c r="C952">
        <v>33</v>
      </c>
      <c r="D952">
        <v>182</v>
      </c>
      <c r="R952" s="73">
        <f t="shared" si="101"/>
        <v>1.5657817368920834E-5</v>
      </c>
      <c r="S952" s="74">
        <f t="shared" si="99"/>
        <v>1.5692115772113902E-5</v>
      </c>
      <c r="U952" s="81">
        <f t="shared" si="100"/>
        <v>2.4049187312661369E-3</v>
      </c>
      <c r="W952" s="80">
        <v>0.99759508126873386</v>
      </c>
    </row>
    <row r="953" spans="2:23" x14ac:dyDescent="0.3">
      <c r="B953">
        <v>55</v>
      </c>
      <c r="C953">
        <v>33</v>
      </c>
      <c r="D953">
        <v>196</v>
      </c>
      <c r="R953" s="73">
        <f t="shared" si="101"/>
        <v>1.500046144581324E-5</v>
      </c>
      <c r="S953" s="74">
        <f t="shared" si="99"/>
        <v>1.5036623302849255E-5</v>
      </c>
      <c r="U953" s="81">
        <f t="shared" si="100"/>
        <v>2.6149251915075222E-3</v>
      </c>
      <c r="W953" s="80">
        <v>0.99738507480849248</v>
      </c>
    </row>
    <row r="954" spans="2:23" x14ac:dyDescent="0.3">
      <c r="B954">
        <v>55</v>
      </c>
      <c r="C954">
        <v>33</v>
      </c>
      <c r="D954">
        <v>210</v>
      </c>
      <c r="R954" s="73">
        <f t="shared" si="101"/>
        <v>1.2309821471164931E-5</v>
      </c>
      <c r="S954" s="74">
        <f t="shared" si="99"/>
        <v>1.2342095126627532E-5</v>
      </c>
      <c r="U954" s="81">
        <f t="shared" si="100"/>
        <v>2.7872626921038313E-3</v>
      </c>
      <c r="W954" s="80">
        <v>0.99721273730789617</v>
      </c>
    </row>
    <row r="955" spans="2:23" x14ac:dyDescent="0.3">
      <c r="B955">
        <v>55</v>
      </c>
      <c r="C955">
        <v>33</v>
      </c>
      <c r="D955">
        <v>224</v>
      </c>
      <c r="R955" s="73">
        <f t="shared" si="101"/>
        <v>1.1655768113215195E-5</v>
      </c>
      <c r="S955" s="74">
        <f t="shared" si="99"/>
        <v>1.1688346605641477E-5</v>
      </c>
      <c r="U955" s="81">
        <f t="shared" si="100"/>
        <v>2.950443445688844E-3</v>
      </c>
      <c r="W955" s="80">
        <v>0.99704955655431116</v>
      </c>
    </row>
    <row r="956" spans="2:23" x14ac:dyDescent="0.3">
      <c r="B956">
        <v>55</v>
      </c>
      <c r="C956">
        <v>33</v>
      </c>
      <c r="D956">
        <v>238</v>
      </c>
      <c r="R956" s="73">
        <f t="shared" si="101"/>
        <v>1.4352642874883501E-5</v>
      </c>
      <c r="S956" s="74">
        <f t="shared" si="99"/>
        <v>1.4395114847134166E-5</v>
      </c>
      <c r="U956" s="81">
        <f t="shared" si="100"/>
        <v>3.151380445937213E-3</v>
      </c>
      <c r="W956" s="80">
        <v>0.99684861955406279</v>
      </c>
    </row>
    <row r="957" spans="2:23" x14ac:dyDescent="0.3">
      <c r="B957">
        <v>55</v>
      </c>
      <c r="C957">
        <v>33</v>
      </c>
      <c r="D957">
        <v>252</v>
      </c>
      <c r="R957" s="73">
        <f t="shared" si="101"/>
        <v>1.7332852795585003E-5</v>
      </c>
      <c r="S957" s="74">
        <f t="shared" si="99"/>
        <v>1.7387647889143693E-5</v>
      </c>
      <c r="U957" s="81">
        <f t="shared" si="100"/>
        <v>3.3940403850754031E-3</v>
      </c>
      <c r="W957" s="80">
        <v>0.9966059596149246</v>
      </c>
    </row>
    <row r="958" spans="2:23" x14ac:dyDescent="0.3">
      <c r="B958">
        <v>55</v>
      </c>
      <c r="C958">
        <v>33</v>
      </c>
      <c r="D958">
        <v>266</v>
      </c>
      <c r="R958" s="73">
        <f t="shared" si="101"/>
        <v>1.2470848903886214E-5</v>
      </c>
      <c r="S958" s="74">
        <f t="shared" si="99"/>
        <v>1.2513319616014324E-5</v>
      </c>
      <c r="U958" s="81">
        <f t="shared" si="100"/>
        <v>3.5686322697298101E-3</v>
      </c>
      <c r="W958" s="80">
        <v>0.99643136773027019</v>
      </c>
    </row>
    <row r="959" spans="2:23" x14ac:dyDescent="0.3">
      <c r="B959">
        <v>55</v>
      </c>
      <c r="C959">
        <v>33</v>
      </c>
      <c r="D959">
        <v>280</v>
      </c>
      <c r="R959" s="73">
        <f t="shared" si="101"/>
        <v>1.7620950697215332E-5</v>
      </c>
      <c r="S959" s="74">
        <f t="shared" si="99"/>
        <v>1.7684058599392922E-5</v>
      </c>
      <c r="U959" s="81">
        <f t="shared" si="100"/>
        <v>3.8153255794908247E-3</v>
      </c>
      <c r="W959" s="80">
        <v>0.99618467442050918</v>
      </c>
    </row>
    <row r="960" spans="2:23" x14ac:dyDescent="0.3">
      <c r="B960">
        <v>55</v>
      </c>
      <c r="C960">
        <v>33</v>
      </c>
      <c r="D960">
        <v>294</v>
      </c>
      <c r="R960" s="73">
        <f t="shared" si="101"/>
        <v>1.9238953207133059E-5</v>
      </c>
      <c r="S960" s="74">
        <f t="shared" si="99"/>
        <v>1.9312637205872052E-5</v>
      </c>
      <c r="U960" s="81">
        <f t="shared" si="100"/>
        <v>4.0846709243906876E-3</v>
      </c>
      <c r="W960" s="80">
        <v>0.99591532907560931</v>
      </c>
    </row>
    <row r="961" spans="2:23" x14ac:dyDescent="0.3">
      <c r="B961">
        <v>55</v>
      </c>
      <c r="C961">
        <v>33</v>
      </c>
      <c r="D961">
        <v>308</v>
      </c>
      <c r="R961" s="73">
        <f t="shared" si="101"/>
        <v>1.7466920397628855E-5</v>
      </c>
      <c r="S961" s="74">
        <f t="shared" si="99"/>
        <v>1.7538559642255268E-5</v>
      </c>
      <c r="U961" s="81">
        <f t="shared" si="100"/>
        <v>4.3292078099574915E-3</v>
      </c>
      <c r="W961" s="80">
        <v>0.99567079219004251</v>
      </c>
    </row>
    <row r="962" spans="2:23" x14ac:dyDescent="0.3">
      <c r="B962">
        <v>55</v>
      </c>
      <c r="C962">
        <v>33</v>
      </c>
      <c r="D962">
        <v>322</v>
      </c>
      <c r="R962" s="73">
        <f t="shared" si="101"/>
        <v>1.6804000724980816E-5</v>
      </c>
      <c r="S962" s="74">
        <f t="shared" si="99"/>
        <v>1.6877065046790543E-5</v>
      </c>
      <c r="U962" s="81">
        <f t="shared" si="100"/>
        <v>4.564463820107223E-3</v>
      </c>
      <c r="W962" s="80">
        <v>0.99543553617989278</v>
      </c>
    </row>
    <row r="963" spans="2:23" x14ac:dyDescent="0.3">
      <c r="B963">
        <v>55</v>
      </c>
      <c r="C963">
        <v>33</v>
      </c>
      <c r="D963">
        <v>336</v>
      </c>
      <c r="R963" s="73">
        <f t="shared" si="101"/>
        <v>1.5708704492729225E-5</v>
      </c>
      <c r="S963" s="74">
        <f t="shared" si="99"/>
        <v>1.5780735087088938E-5</v>
      </c>
      <c r="U963" s="81">
        <f t="shared" si="100"/>
        <v>4.7843856830054321E-3</v>
      </c>
      <c r="W963" s="80">
        <v>0.99521561431699457</v>
      </c>
    </row>
    <row r="964" spans="2:23" x14ac:dyDescent="0.3">
      <c r="B964">
        <v>55</v>
      </c>
      <c r="C964">
        <v>33</v>
      </c>
      <c r="D964">
        <v>350</v>
      </c>
      <c r="R964" s="73">
        <f t="shared" si="101"/>
        <v>1.6688037371576886E-5</v>
      </c>
      <c r="S964" s="74">
        <f t="shared" si="99"/>
        <v>1.6768263210007713E-5</v>
      </c>
      <c r="U964" s="81">
        <f t="shared" si="100"/>
        <v>5.0180182062075085E-3</v>
      </c>
      <c r="W964" s="80">
        <v>0.99498198179379249</v>
      </c>
    </row>
    <row r="965" spans="2:23" x14ac:dyDescent="0.3">
      <c r="B965">
        <v>55</v>
      </c>
      <c r="C965">
        <v>33</v>
      </c>
      <c r="D965">
        <v>364</v>
      </c>
      <c r="R965" s="73">
        <f t="shared" si="101"/>
        <v>1.6531280981644881E-5</v>
      </c>
      <c r="S965" s="74">
        <f t="shared" si="99"/>
        <v>1.66146536159797E-5</v>
      </c>
      <c r="U965" s="81">
        <f t="shared" si="100"/>
        <v>5.2494561399505368E-3</v>
      </c>
      <c r="W965" s="80">
        <v>0.99475054386004946</v>
      </c>
    </row>
    <row r="966" spans="2:23" x14ac:dyDescent="0.3">
      <c r="B966">
        <v>57</v>
      </c>
      <c r="C966">
        <v>33</v>
      </c>
      <c r="D966">
        <v>0</v>
      </c>
      <c r="R966" s="73">
        <f t="shared" si="101"/>
        <v>0</v>
      </c>
      <c r="S966" s="74">
        <f t="shared" si="99"/>
        <v>0</v>
      </c>
      <c r="U966" s="81">
        <f t="shared" si="100"/>
        <v>0</v>
      </c>
      <c r="W966" s="80">
        <v>1</v>
      </c>
    </row>
    <row r="967" spans="2:23" x14ac:dyDescent="0.3">
      <c r="B967">
        <v>57</v>
      </c>
      <c r="C967">
        <v>33</v>
      </c>
      <c r="D967">
        <v>6</v>
      </c>
      <c r="R967" s="73">
        <f t="shared" si="101"/>
        <v>1.130381242974136E-3</v>
      </c>
      <c r="S967" s="74">
        <f t="shared" si="99"/>
        <v>1.130381242974136E-3</v>
      </c>
      <c r="U967" s="81">
        <f t="shared" si="100"/>
        <v>6.7822874578448156E-3</v>
      </c>
      <c r="W967" s="80">
        <v>0.99321771254215518</v>
      </c>
    </row>
    <row r="968" spans="2:23" x14ac:dyDescent="0.3">
      <c r="B968">
        <v>57</v>
      </c>
      <c r="C968">
        <v>33</v>
      </c>
      <c r="D968">
        <v>14</v>
      </c>
      <c r="R968" s="73">
        <f t="shared" si="101"/>
        <v>2.2941839730571539E-3</v>
      </c>
      <c r="S968" s="74">
        <f t="shared" si="99"/>
        <v>2.3098500400130367E-3</v>
      </c>
      <c r="U968" s="81">
        <f t="shared" si="100"/>
        <v>2.5135759242302047E-2</v>
      </c>
      <c r="W968" s="80">
        <v>0.97486424075769795</v>
      </c>
    </row>
    <row r="969" spans="2:23" x14ac:dyDescent="0.3">
      <c r="B969">
        <v>57</v>
      </c>
      <c r="C969">
        <v>33</v>
      </c>
      <c r="D969">
        <v>21</v>
      </c>
      <c r="R969" s="73">
        <f t="shared" si="101"/>
        <v>1.8384874464353329E-3</v>
      </c>
      <c r="S969" s="74">
        <f t="shared" si="99"/>
        <v>1.8858907420856851E-3</v>
      </c>
      <c r="U969" s="81">
        <f t="shared" si="100"/>
        <v>3.8005171367349377E-2</v>
      </c>
      <c r="W969" s="80">
        <v>0.96199482863265062</v>
      </c>
    </row>
    <row r="970" spans="2:23" x14ac:dyDescent="0.3">
      <c r="B970">
        <v>57</v>
      </c>
      <c r="C970">
        <v>33</v>
      </c>
      <c r="D970">
        <v>28</v>
      </c>
      <c r="R970" s="73">
        <f t="shared" si="101"/>
        <v>1.141946254203417E-3</v>
      </c>
      <c r="S970" s="74">
        <f t="shared" si="99"/>
        <v>1.1870606995118091E-3</v>
      </c>
      <c r="U970" s="81">
        <f t="shared" si="100"/>
        <v>4.5998795146773297E-2</v>
      </c>
      <c r="W970" s="80">
        <v>0.9540012048532267</v>
      </c>
    </row>
    <row r="971" spans="2:23" x14ac:dyDescent="0.3">
      <c r="B971">
        <v>57</v>
      </c>
      <c r="C971">
        <v>33</v>
      </c>
      <c r="D971">
        <v>35</v>
      </c>
      <c r="R971" s="73">
        <f t="shared" si="101"/>
        <v>7.7143591431207332E-4</v>
      </c>
      <c r="S971" s="74">
        <f t="shared" si="99"/>
        <v>8.0863201260920729E-4</v>
      </c>
      <c r="U971" s="81">
        <f t="shared" si="100"/>
        <v>5.139884654695781E-2</v>
      </c>
      <c r="W971" s="80">
        <v>0.94860115345304219</v>
      </c>
    </row>
    <row r="972" spans="2:23" x14ac:dyDescent="0.3">
      <c r="B972">
        <v>57</v>
      </c>
      <c r="C972">
        <v>33</v>
      </c>
      <c r="D972">
        <v>42</v>
      </c>
      <c r="R972" s="73">
        <f t="shared" si="101"/>
        <v>5.4439836114634447E-4</v>
      </c>
      <c r="S972" s="74">
        <f t="shared" ref="S972:S1035" si="102">IF(D972&gt;D971,(U972-U971)/W971/(D972-D971),0)</f>
        <v>5.7389595106927449E-4</v>
      </c>
      <c r="U972" s="81">
        <f t="shared" ref="U972:U1035" si="103">100%-W972</f>
        <v>5.5209635074982222E-2</v>
      </c>
      <c r="W972" s="80">
        <v>0.94479036492501778</v>
      </c>
    </row>
    <row r="973" spans="2:23" x14ac:dyDescent="0.3">
      <c r="B973">
        <v>57</v>
      </c>
      <c r="C973">
        <v>33</v>
      </c>
      <c r="D973">
        <v>50</v>
      </c>
      <c r="R973" s="73">
        <f t="shared" si="101"/>
        <v>4.6111764246753451E-4</v>
      </c>
      <c r="S973" s="74">
        <f t="shared" si="102"/>
        <v>4.880634472856109E-4</v>
      </c>
      <c r="U973" s="81">
        <f t="shared" si="103"/>
        <v>5.8898576214722498E-2</v>
      </c>
      <c r="W973" s="80">
        <v>0.9411014237852775</v>
      </c>
    </row>
    <row r="974" spans="2:23" x14ac:dyDescent="0.3">
      <c r="B974">
        <v>57</v>
      </c>
      <c r="C974">
        <v>33</v>
      </c>
      <c r="D974">
        <v>62</v>
      </c>
      <c r="R974" s="73">
        <f t="shared" si="101"/>
        <v>2.8900772877648212E-4</v>
      </c>
      <c r="S974" s="74">
        <f t="shared" si="102"/>
        <v>3.070951987449361E-4</v>
      </c>
      <c r="U974" s="81">
        <f t="shared" si="103"/>
        <v>6.2366668960040283E-2</v>
      </c>
      <c r="W974" s="80">
        <v>0.93763333103995972</v>
      </c>
    </row>
    <row r="975" spans="2:23" x14ac:dyDescent="0.3">
      <c r="B975">
        <v>57</v>
      </c>
      <c r="C975">
        <v>33</v>
      </c>
      <c r="D975">
        <v>71</v>
      </c>
      <c r="R975" s="73">
        <f t="shared" si="101"/>
        <v>2.4333059215404026E-4</v>
      </c>
      <c r="S975" s="74">
        <f t="shared" si="102"/>
        <v>2.5951572336294228E-4</v>
      </c>
      <c r="U975" s="81">
        <f t="shared" si="103"/>
        <v>6.4556644289426646E-2</v>
      </c>
      <c r="W975" s="80">
        <v>0.93544335571057335</v>
      </c>
    </row>
    <row r="976" spans="2:23" x14ac:dyDescent="0.3">
      <c r="B976">
        <v>57</v>
      </c>
      <c r="C976">
        <v>33</v>
      </c>
      <c r="D976">
        <v>84</v>
      </c>
      <c r="R976" s="73">
        <f t="shared" si="101"/>
        <v>2.0841860463898071E-4</v>
      </c>
      <c r="S976" s="74">
        <f t="shared" si="102"/>
        <v>2.2280195093230803E-4</v>
      </c>
      <c r="U976" s="81">
        <f t="shared" si="103"/>
        <v>6.7266086149733395E-2</v>
      </c>
      <c r="W976" s="80">
        <v>0.9327339138502666</v>
      </c>
    </row>
    <row r="977" spans="2:23" x14ac:dyDescent="0.3">
      <c r="B977">
        <v>57</v>
      </c>
      <c r="C977">
        <v>33</v>
      </c>
      <c r="D977">
        <v>98</v>
      </c>
      <c r="R977" s="73">
        <f t="shared" si="101"/>
        <v>1.840714361519399E-4</v>
      </c>
      <c r="S977" s="74">
        <f t="shared" si="102"/>
        <v>1.9734613850600182E-4</v>
      </c>
      <c r="U977" s="81">
        <f t="shared" si="103"/>
        <v>6.9843086255860554E-2</v>
      </c>
      <c r="W977" s="80">
        <v>0.93015691374413945</v>
      </c>
    </row>
    <row r="978" spans="2:23" x14ac:dyDescent="0.3">
      <c r="B978">
        <v>57</v>
      </c>
      <c r="C978">
        <v>33</v>
      </c>
      <c r="D978">
        <v>112</v>
      </c>
      <c r="R978" s="73">
        <f t="shared" si="101"/>
        <v>1.8924868645753268E-4</v>
      </c>
      <c r="S978" s="74">
        <f t="shared" si="102"/>
        <v>2.0345888275533452E-4</v>
      </c>
      <c r="U978" s="81">
        <f t="shared" si="103"/>
        <v>7.2492567866266011E-2</v>
      </c>
      <c r="W978" s="80">
        <v>0.92750743213373399</v>
      </c>
    </row>
    <row r="979" spans="2:23" x14ac:dyDescent="0.3">
      <c r="B979">
        <v>57</v>
      </c>
      <c r="C979">
        <v>33</v>
      </c>
      <c r="D979">
        <v>126</v>
      </c>
      <c r="R979" s="73">
        <f t="shared" si="101"/>
        <v>1.5610695593524078E-4</v>
      </c>
      <c r="S979" s="74">
        <f t="shared" si="102"/>
        <v>1.6830803778694926E-4</v>
      </c>
      <c r="U979" s="81">
        <f t="shared" si="103"/>
        <v>7.4678065249359382E-2</v>
      </c>
      <c r="W979" s="80">
        <v>0.92532193475064062</v>
      </c>
    </row>
    <row r="980" spans="2:23" x14ac:dyDescent="0.3">
      <c r="B980">
        <v>57</v>
      </c>
      <c r="C980">
        <v>33</v>
      </c>
      <c r="D980">
        <v>140</v>
      </c>
      <c r="R980" s="73">
        <f t="shared" si="101"/>
        <v>1.3053897693595027E-4</v>
      </c>
      <c r="S980" s="74">
        <f t="shared" si="102"/>
        <v>1.4107411921573915E-4</v>
      </c>
      <c r="U980" s="81">
        <f t="shared" si="103"/>
        <v>7.6505610926462686E-2</v>
      </c>
      <c r="W980" s="80">
        <v>0.92349438907353731</v>
      </c>
    </row>
    <row r="981" spans="2:23" x14ac:dyDescent="0.3">
      <c r="B981">
        <v>57</v>
      </c>
      <c r="C981">
        <v>33</v>
      </c>
      <c r="D981">
        <v>154</v>
      </c>
      <c r="R981" s="73">
        <f t="shared" si="101"/>
        <v>1.1488385802591436E-4</v>
      </c>
      <c r="S981" s="74">
        <f t="shared" si="102"/>
        <v>1.2440125179446674E-4</v>
      </c>
      <c r="U981" s="81">
        <f t="shared" si="103"/>
        <v>7.8113984938825487E-2</v>
      </c>
      <c r="W981" s="80">
        <v>0.92188601506117451</v>
      </c>
    </row>
    <row r="982" spans="2:23" x14ac:dyDescent="0.3">
      <c r="B982">
        <v>57</v>
      </c>
      <c r="C982">
        <v>33</v>
      </c>
      <c r="D982">
        <v>168</v>
      </c>
      <c r="R982" s="73">
        <f t="shared" si="101"/>
        <v>1.384202447018899E-4</v>
      </c>
      <c r="S982" s="74">
        <f t="shared" si="102"/>
        <v>1.5014897985268235E-4</v>
      </c>
      <c r="U982" s="81">
        <f t="shared" si="103"/>
        <v>8.0051868364651946E-2</v>
      </c>
      <c r="W982" s="80">
        <v>0.91994813163534805</v>
      </c>
    </row>
    <row r="983" spans="2:23" x14ac:dyDescent="0.3">
      <c r="B983">
        <v>57</v>
      </c>
      <c r="C983">
        <v>33</v>
      </c>
      <c r="D983">
        <v>182</v>
      </c>
      <c r="R983" s="73">
        <f t="shared" si="101"/>
        <v>1.1472129756747083E-4</v>
      </c>
      <c r="S983" s="74">
        <f t="shared" si="102"/>
        <v>1.2470409322266489E-4</v>
      </c>
      <c r="U983" s="81">
        <f t="shared" si="103"/>
        <v>8.1657966530596537E-2</v>
      </c>
      <c r="W983" s="80">
        <v>0.91834203346940346</v>
      </c>
    </row>
    <row r="984" spans="2:23" x14ac:dyDescent="0.3">
      <c r="B984">
        <v>57</v>
      </c>
      <c r="C984">
        <v>33</v>
      </c>
      <c r="D984">
        <v>196</v>
      </c>
      <c r="R984" s="73">
        <f t="shared" si="101"/>
        <v>1.3706727624513654E-4</v>
      </c>
      <c r="S984" s="74">
        <f t="shared" si="102"/>
        <v>1.4925514813615815E-4</v>
      </c>
      <c r="U984" s="81">
        <f t="shared" si="103"/>
        <v>8.3576908398028449E-2</v>
      </c>
      <c r="W984" s="80">
        <v>0.91642309160197155</v>
      </c>
    </row>
    <row r="985" spans="2:23" x14ac:dyDescent="0.3">
      <c r="B985">
        <v>57</v>
      </c>
      <c r="C985">
        <v>33</v>
      </c>
      <c r="D985">
        <v>210</v>
      </c>
      <c r="R985" s="73">
        <f t="shared" si="101"/>
        <v>1.310628252095666E-4</v>
      </c>
      <c r="S985" s="74">
        <f t="shared" si="102"/>
        <v>1.4301562936444522E-4</v>
      </c>
      <c r="U985" s="81">
        <f t="shared" si="103"/>
        <v>8.5411787950962381E-2</v>
      </c>
      <c r="W985" s="80">
        <v>0.91458821204903762</v>
      </c>
    </row>
    <row r="986" spans="2:23" x14ac:dyDescent="0.3">
      <c r="B986">
        <v>57</v>
      </c>
      <c r="C986">
        <v>33</v>
      </c>
      <c r="D986">
        <v>224</v>
      </c>
      <c r="R986" s="73">
        <f t="shared" si="101"/>
        <v>1.0197951746014424E-4</v>
      </c>
      <c r="S986" s="74">
        <f t="shared" si="102"/>
        <v>1.1150320561389039E-4</v>
      </c>
      <c r="U986" s="81">
        <f t="shared" si="103"/>
        <v>8.68395011954044E-2</v>
      </c>
      <c r="W986" s="80">
        <v>0.9131604988045956</v>
      </c>
    </row>
    <row r="987" spans="2:23" x14ac:dyDescent="0.3">
      <c r="B987">
        <v>57</v>
      </c>
      <c r="C987">
        <v>33</v>
      </c>
      <c r="D987">
        <v>238</v>
      </c>
      <c r="R987" s="73">
        <f t="shared" si="101"/>
        <v>1.2862061863248644E-4</v>
      </c>
      <c r="S987" s="74">
        <f t="shared" si="102"/>
        <v>1.4085214899337161E-4</v>
      </c>
      <c r="U987" s="81">
        <f t="shared" si="103"/>
        <v>8.8640189856259211E-2</v>
      </c>
      <c r="W987" s="80">
        <v>0.91135981014374079</v>
      </c>
    </row>
    <row r="988" spans="2:23" x14ac:dyDescent="0.3">
      <c r="B988">
        <v>57</v>
      </c>
      <c r="C988">
        <v>33</v>
      </c>
      <c r="D988">
        <v>252</v>
      </c>
      <c r="R988" s="73">
        <f t="shared" si="101"/>
        <v>1.2085683605452178E-4</v>
      </c>
      <c r="S988" s="74">
        <f t="shared" si="102"/>
        <v>1.3261154892869382E-4</v>
      </c>
      <c r="U988" s="81">
        <f t="shared" si="103"/>
        <v>9.0332185561022516E-2</v>
      </c>
      <c r="W988" s="80">
        <v>0.90966781443897748</v>
      </c>
    </row>
    <row r="989" spans="2:23" x14ac:dyDescent="0.3">
      <c r="B989">
        <v>57</v>
      </c>
      <c r="C989">
        <v>33</v>
      </c>
      <c r="D989">
        <v>266</v>
      </c>
      <c r="R989" s="73">
        <f t="shared" si="101"/>
        <v>1.0483073741056139E-4</v>
      </c>
      <c r="S989" s="74">
        <f t="shared" si="102"/>
        <v>1.152406798906192E-4</v>
      </c>
      <c r="U989" s="81">
        <f t="shared" si="103"/>
        <v>9.1799815884770375E-2</v>
      </c>
      <c r="W989" s="80">
        <v>0.90820018411522963</v>
      </c>
    </row>
    <row r="990" spans="2:23" x14ac:dyDescent="0.3">
      <c r="B990">
        <v>57</v>
      </c>
      <c r="C990">
        <v>33</v>
      </c>
      <c r="D990">
        <v>280</v>
      </c>
      <c r="R990" s="73">
        <f t="shared" si="101"/>
        <v>1.1903857475583011E-4</v>
      </c>
      <c r="S990" s="74">
        <f t="shared" si="102"/>
        <v>1.3107085512408008E-4</v>
      </c>
      <c r="U990" s="81">
        <f t="shared" si="103"/>
        <v>9.3466355931351996E-2</v>
      </c>
      <c r="W990" s="80">
        <v>0.906533644068648</v>
      </c>
    </row>
    <row r="991" spans="2:23" x14ac:dyDescent="0.3">
      <c r="B991">
        <v>57</v>
      </c>
      <c r="C991">
        <v>33</v>
      </c>
      <c r="D991">
        <v>294</v>
      </c>
      <c r="R991" s="73">
        <f t="shared" si="101"/>
        <v>1.1143571006227981E-4</v>
      </c>
      <c r="S991" s="74">
        <f t="shared" si="102"/>
        <v>1.2292506824362412E-4</v>
      </c>
      <c r="U991" s="81">
        <f t="shared" si="103"/>
        <v>9.5026455872223914E-2</v>
      </c>
      <c r="W991" s="80">
        <v>0.90497354412777609</v>
      </c>
    </row>
    <row r="992" spans="2:23" x14ac:dyDescent="0.3">
      <c r="B992">
        <v>57</v>
      </c>
      <c r="C992">
        <v>33</v>
      </c>
      <c r="D992">
        <v>308</v>
      </c>
      <c r="R992" s="73">
        <f t="shared" si="101"/>
        <v>7.9606716703071819E-5</v>
      </c>
      <c r="S992" s="74">
        <f t="shared" si="102"/>
        <v>8.7965794381091752E-5</v>
      </c>
      <c r="U992" s="81">
        <f t="shared" si="103"/>
        <v>9.6140949906066919E-2</v>
      </c>
      <c r="W992" s="80">
        <v>0.90385905009393308</v>
      </c>
    </row>
    <row r="993" spans="2:23" x14ac:dyDescent="0.3">
      <c r="B993">
        <v>57</v>
      </c>
      <c r="C993">
        <v>33</v>
      </c>
      <c r="D993">
        <v>322</v>
      </c>
      <c r="R993" s="73">
        <f t="shared" si="101"/>
        <v>8.6542365349503593E-5</v>
      </c>
      <c r="S993" s="74">
        <f t="shared" si="102"/>
        <v>9.5747633815814235E-5</v>
      </c>
      <c r="U993" s="81">
        <f t="shared" si="103"/>
        <v>9.735254302095997E-2</v>
      </c>
      <c r="W993" s="80">
        <v>0.90264745697904003</v>
      </c>
    </row>
    <row r="994" spans="2:23" x14ac:dyDescent="0.3">
      <c r="B994">
        <v>57</v>
      </c>
      <c r="C994">
        <v>33</v>
      </c>
      <c r="D994">
        <v>336</v>
      </c>
      <c r="R994" s="73">
        <f t="shared" si="101"/>
        <v>5.6437506022775719E-5</v>
      </c>
      <c r="S994" s="74">
        <f t="shared" si="102"/>
        <v>6.2524417020637802E-5</v>
      </c>
      <c r="U994" s="81">
        <f t="shared" si="103"/>
        <v>9.814266810527883E-2</v>
      </c>
      <c r="W994" s="80">
        <v>0.90185733189472117</v>
      </c>
    </row>
    <row r="995" spans="2:23" x14ac:dyDescent="0.3">
      <c r="B995">
        <v>57</v>
      </c>
      <c r="C995">
        <v>33</v>
      </c>
      <c r="D995">
        <v>350</v>
      </c>
      <c r="R995" s="73">
        <f t="shared" si="101"/>
        <v>7.5675821723971849E-5</v>
      </c>
      <c r="S995" s="74">
        <f t="shared" si="102"/>
        <v>8.3911078889810378E-5</v>
      </c>
      <c r="U995" s="81">
        <f t="shared" si="103"/>
        <v>9.9202129609414436E-2</v>
      </c>
      <c r="W995" s="80">
        <v>0.90079787039058556</v>
      </c>
    </row>
    <row r="996" spans="2:23" x14ac:dyDescent="0.3">
      <c r="B996">
        <v>57</v>
      </c>
      <c r="C996">
        <v>33</v>
      </c>
      <c r="D996">
        <v>364</v>
      </c>
      <c r="R996" s="73">
        <f t="shared" si="101"/>
        <v>9.2630421211032618E-5</v>
      </c>
      <c r="S996" s="74">
        <f t="shared" si="102"/>
        <v>1.0283152775535327E-4</v>
      </c>
      <c r="U996" s="81">
        <f t="shared" si="103"/>
        <v>0.10049895550636889</v>
      </c>
      <c r="W996" s="80">
        <v>0.89950104449363111</v>
      </c>
    </row>
    <row r="997" spans="2:23" x14ac:dyDescent="0.3">
      <c r="B997">
        <v>58</v>
      </c>
      <c r="C997">
        <v>33</v>
      </c>
      <c r="D997">
        <v>0</v>
      </c>
      <c r="R997" s="73">
        <f t="shared" si="101"/>
        <v>0</v>
      </c>
      <c r="S997" s="74">
        <f t="shared" si="102"/>
        <v>0</v>
      </c>
      <c r="U997" s="81">
        <f t="shared" si="103"/>
        <v>0</v>
      </c>
      <c r="W997" s="80">
        <v>1</v>
      </c>
    </row>
    <row r="998" spans="2:23" x14ac:dyDescent="0.3">
      <c r="B998">
        <v>58</v>
      </c>
      <c r="C998">
        <v>33</v>
      </c>
      <c r="D998">
        <v>6</v>
      </c>
      <c r="R998" s="73">
        <f t="shared" si="101"/>
        <v>2.9088890452784916E-4</v>
      </c>
      <c r="S998" s="74">
        <f t="shared" si="102"/>
        <v>2.9088890452784916E-4</v>
      </c>
      <c r="U998" s="81">
        <f t="shared" si="103"/>
        <v>1.7453334271670951E-3</v>
      </c>
      <c r="W998" s="80">
        <v>0.9982546665728329</v>
      </c>
    </row>
    <row r="999" spans="2:23" x14ac:dyDescent="0.3">
      <c r="B999">
        <v>58</v>
      </c>
      <c r="C999">
        <v>33</v>
      </c>
      <c r="D999">
        <v>14</v>
      </c>
      <c r="R999" s="73">
        <f t="shared" si="101"/>
        <v>1.7423568068164474E-4</v>
      </c>
      <c r="S999" s="74">
        <f t="shared" si="102"/>
        <v>1.7454031172208146E-4</v>
      </c>
      <c r="U999" s="81">
        <f t="shared" si="103"/>
        <v>3.139218872620253E-3</v>
      </c>
      <c r="W999" s="80">
        <v>0.99686078112737975</v>
      </c>
    </row>
    <row r="1000" spans="2:23" x14ac:dyDescent="0.3">
      <c r="B1000">
        <v>58</v>
      </c>
      <c r="C1000">
        <v>33</v>
      </c>
      <c r="D1000">
        <v>21</v>
      </c>
      <c r="R1000" s="73">
        <f t="shared" si="101"/>
        <v>2.4332904695266246E-4</v>
      </c>
      <c r="S1000" s="74">
        <f t="shared" si="102"/>
        <v>2.4409531557403064E-4</v>
      </c>
      <c r="U1000" s="81">
        <f t="shared" si="103"/>
        <v>4.8425222012888902E-3</v>
      </c>
      <c r="W1000" s="80">
        <v>0.99515747779871111</v>
      </c>
    </row>
    <row r="1001" spans="2:23" x14ac:dyDescent="0.3">
      <c r="B1001">
        <v>58</v>
      </c>
      <c r="C1001">
        <v>33</v>
      </c>
      <c r="D1001">
        <v>28</v>
      </c>
      <c r="R1001" s="73">
        <f t="shared" si="101"/>
        <v>3.8678906239210587E-4</v>
      </c>
      <c r="S1001" s="74">
        <f t="shared" si="102"/>
        <v>3.886712113621288E-4</v>
      </c>
      <c r="U1001" s="81">
        <f t="shared" si="103"/>
        <v>7.5500456380336312E-3</v>
      </c>
      <c r="W1001" s="80">
        <v>0.99244995436196637</v>
      </c>
    </row>
    <row r="1002" spans="2:23" x14ac:dyDescent="0.3">
      <c r="B1002">
        <v>58</v>
      </c>
      <c r="C1002">
        <v>33</v>
      </c>
      <c r="D1002">
        <v>35</v>
      </c>
      <c r="R1002" s="73">
        <f t="shared" si="101"/>
        <v>4.2194424375909179E-4</v>
      </c>
      <c r="S1002" s="74">
        <f t="shared" si="102"/>
        <v>4.2515417720015355E-4</v>
      </c>
      <c r="U1002" s="81">
        <f t="shared" si="103"/>
        <v>1.0503655344347274E-2</v>
      </c>
      <c r="W1002" s="80">
        <v>0.98949634465565273</v>
      </c>
    </row>
    <row r="1003" spans="2:23" x14ac:dyDescent="0.3">
      <c r="B1003">
        <v>58</v>
      </c>
      <c r="C1003">
        <v>33</v>
      </c>
      <c r="D1003">
        <v>42</v>
      </c>
      <c r="R1003" s="73">
        <f t="shared" si="101"/>
        <v>4.7917455128113469E-4</v>
      </c>
      <c r="S1003" s="74">
        <f t="shared" si="102"/>
        <v>4.8426106257915349E-4</v>
      </c>
      <c r="U1003" s="81">
        <f t="shared" si="103"/>
        <v>1.3857877203315216E-2</v>
      </c>
      <c r="W1003" s="80">
        <v>0.98614212279668478</v>
      </c>
    </row>
    <row r="1004" spans="2:23" x14ac:dyDescent="0.3">
      <c r="B1004">
        <v>58</v>
      </c>
      <c r="C1004">
        <v>33</v>
      </c>
      <c r="D1004">
        <v>50</v>
      </c>
      <c r="R1004" s="73">
        <f t="shared" si="101"/>
        <v>5.3305876751845449E-4</v>
      </c>
      <c r="S1004" s="74">
        <f t="shared" si="102"/>
        <v>5.4054963802449443E-4</v>
      </c>
      <c r="U1004" s="81">
        <f t="shared" si="103"/>
        <v>1.8122347343462852E-2</v>
      </c>
      <c r="W1004" s="80">
        <v>0.98187765265653715</v>
      </c>
    </row>
    <row r="1005" spans="2:23" x14ac:dyDescent="0.3">
      <c r="B1005">
        <v>58</v>
      </c>
      <c r="C1005">
        <v>33</v>
      </c>
      <c r="D1005">
        <v>62</v>
      </c>
      <c r="R1005" s="73">
        <f t="shared" ref="R1005:R1068" si="104">IF(D1005&gt;D1004,(U1005-U1004)/1/(D1005-D1004),0)</f>
        <v>5.3793675069543911E-4</v>
      </c>
      <c r="S1005" s="74">
        <f t="shared" si="102"/>
        <v>5.4786535699230391E-4</v>
      </c>
      <c r="U1005" s="81">
        <f t="shared" si="103"/>
        <v>2.4577588351808122E-2</v>
      </c>
      <c r="W1005" s="80">
        <v>0.97542241164819188</v>
      </c>
    </row>
    <row r="1006" spans="2:23" x14ac:dyDescent="0.3">
      <c r="B1006">
        <v>58</v>
      </c>
      <c r="C1006">
        <v>33</v>
      </c>
      <c r="D1006">
        <v>71</v>
      </c>
      <c r="R1006" s="73">
        <f t="shared" si="104"/>
        <v>6.4258990665197772E-4</v>
      </c>
      <c r="S1006" s="74">
        <f t="shared" si="102"/>
        <v>6.5878115878656104E-4</v>
      </c>
      <c r="U1006" s="81">
        <f t="shared" si="103"/>
        <v>3.0360897511675922E-2</v>
      </c>
      <c r="W1006" s="80">
        <v>0.96963910248832408</v>
      </c>
    </row>
    <row r="1007" spans="2:23" x14ac:dyDescent="0.3">
      <c r="B1007">
        <v>58</v>
      </c>
      <c r="C1007">
        <v>33</v>
      </c>
      <c r="D1007">
        <v>84</v>
      </c>
      <c r="R1007" s="73">
        <f t="shared" si="104"/>
        <v>4.7414806554163953E-4</v>
      </c>
      <c r="S1007" s="74">
        <f t="shared" si="102"/>
        <v>4.8899437360236712E-4</v>
      </c>
      <c r="U1007" s="81">
        <f t="shared" si="103"/>
        <v>3.6524822363717235E-2</v>
      </c>
      <c r="W1007" s="80">
        <v>0.96347517763628276</v>
      </c>
    </row>
    <row r="1008" spans="2:23" x14ac:dyDescent="0.3">
      <c r="B1008">
        <v>58</v>
      </c>
      <c r="C1008">
        <v>33</v>
      </c>
      <c r="D1008">
        <v>98</v>
      </c>
      <c r="R1008" s="73">
        <f t="shared" si="104"/>
        <v>4.9059486112610988E-4</v>
      </c>
      <c r="S1008" s="74">
        <f t="shared" si="102"/>
        <v>5.0919304670588223E-4</v>
      </c>
      <c r="U1008" s="81">
        <f t="shared" si="103"/>
        <v>4.3393150419482773E-2</v>
      </c>
      <c r="W1008" s="80">
        <v>0.95660684958051723</v>
      </c>
    </row>
    <row r="1009" spans="2:23" x14ac:dyDescent="0.3">
      <c r="B1009">
        <v>58</v>
      </c>
      <c r="C1009">
        <v>33</v>
      </c>
      <c r="D1009">
        <v>112</v>
      </c>
      <c r="R1009" s="73">
        <f t="shared" si="104"/>
        <v>5.1811582644404176E-4</v>
      </c>
      <c r="S1009" s="74">
        <f t="shared" si="102"/>
        <v>5.4161835311051902E-4</v>
      </c>
      <c r="U1009" s="81">
        <f t="shared" si="103"/>
        <v>5.0646771989699357E-2</v>
      </c>
      <c r="W1009" s="80">
        <v>0.94935322801030064</v>
      </c>
    </row>
    <row r="1010" spans="2:23" x14ac:dyDescent="0.3">
      <c r="B1010">
        <v>58</v>
      </c>
      <c r="C1010">
        <v>33</v>
      </c>
      <c r="D1010">
        <v>126</v>
      </c>
      <c r="R1010" s="73">
        <f t="shared" si="104"/>
        <v>5.1470869019805605E-4</v>
      </c>
      <c r="S1010" s="74">
        <f t="shared" si="102"/>
        <v>5.421677358982671E-4</v>
      </c>
      <c r="U1010" s="81">
        <f t="shared" si="103"/>
        <v>5.7852693652472142E-2</v>
      </c>
      <c r="W1010" s="80">
        <v>0.94214730634752786</v>
      </c>
    </row>
    <row r="1011" spans="2:23" x14ac:dyDescent="0.3">
      <c r="B1011">
        <v>58</v>
      </c>
      <c r="C1011">
        <v>33</v>
      </c>
      <c r="D1011">
        <v>140</v>
      </c>
      <c r="R1011" s="73">
        <f t="shared" si="104"/>
        <v>4.573985308190135E-4</v>
      </c>
      <c r="S1011" s="74">
        <f t="shared" si="102"/>
        <v>4.8548515474956295E-4</v>
      </c>
      <c r="U1011" s="81">
        <f t="shared" si="103"/>
        <v>6.4256273083938331E-2</v>
      </c>
      <c r="W1011" s="80">
        <v>0.93574372691606167</v>
      </c>
    </row>
    <row r="1012" spans="2:23" x14ac:dyDescent="0.3">
      <c r="B1012">
        <v>58</v>
      </c>
      <c r="C1012">
        <v>33</v>
      </c>
      <c r="D1012">
        <v>154</v>
      </c>
      <c r="R1012" s="73">
        <f t="shared" si="104"/>
        <v>4.5039638460987145E-4</v>
      </c>
      <c r="S1012" s="74">
        <f t="shared" si="102"/>
        <v>4.8132450333837298E-4</v>
      </c>
      <c r="U1012" s="81">
        <f t="shared" si="103"/>
        <v>7.0561822468476532E-2</v>
      </c>
      <c r="W1012" s="80">
        <v>0.92943817753152347</v>
      </c>
    </row>
    <row r="1013" spans="2:23" x14ac:dyDescent="0.3">
      <c r="B1013">
        <v>58</v>
      </c>
      <c r="C1013">
        <v>33</v>
      </c>
      <c r="D1013">
        <v>168</v>
      </c>
      <c r="R1013" s="73">
        <f t="shared" si="104"/>
        <v>3.9831413239296447E-4</v>
      </c>
      <c r="S1013" s="74">
        <f t="shared" si="102"/>
        <v>4.2855365964290288E-4</v>
      </c>
      <c r="U1013" s="81">
        <f t="shared" si="103"/>
        <v>7.6138220321978034E-2</v>
      </c>
      <c r="W1013" s="80">
        <v>0.92386177967802197</v>
      </c>
    </row>
    <row r="1014" spans="2:23" x14ac:dyDescent="0.3">
      <c r="B1014">
        <v>58</v>
      </c>
      <c r="C1014">
        <v>33</v>
      </c>
      <c r="D1014">
        <v>182</v>
      </c>
      <c r="R1014" s="73">
        <f t="shared" si="104"/>
        <v>4.3782292728486043E-4</v>
      </c>
      <c r="S1014" s="74">
        <f t="shared" si="102"/>
        <v>4.7390522794161643E-4</v>
      </c>
      <c r="U1014" s="81">
        <f t="shared" si="103"/>
        <v>8.226774130396608E-2</v>
      </c>
      <c r="W1014" s="80">
        <v>0.91773225869603392</v>
      </c>
    </row>
    <row r="1015" spans="2:23" x14ac:dyDescent="0.3">
      <c r="B1015">
        <v>58</v>
      </c>
      <c r="C1015">
        <v>33</v>
      </c>
      <c r="D1015">
        <v>196</v>
      </c>
      <c r="R1015" s="73">
        <f t="shared" si="104"/>
        <v>4.0551391508639574E-4</v>
      </c>
      <c r="S1015" s="74">
        <f t="shared" si="102"/>
        <v>4.4186516409761267E-4</v>
      </c>
      <c r="U1015" s="81">
        <f t="shared" si="103"/>
        <v>8.794493611517562E-2</v>
      </c>
      <c r="W1015" s="80">
        <v>0.91205506388482438</v>
      </c>
    </row>
    <row r="1016" spans="2:23" x14ac:dyDescent="0.3">
      <c r="B1016">
        <v>58</v>
      </c>
      <c r="C1016">
        <v>33</v>
      </c>
      <c r="D1016">
        <v>210</v>
      </c>
      <c r="R1016" s="73">
        <f t="shared" si="104"/>
        <v>4.1895120422492341E-4</v>
      </c>
      <c r="S1016" s="74">
        <f t="shared" si="102"/>
        <v>4.593485863018345E-4</v>
      </c>
      <c r="U1016" s="81">
        <f t="shared" si="103"/>
        <v>9.3810252974324548E-2</v>
      </c>
      <c r="W1016" s="80">
        <v>0.90618974702567545</v>
      </c>
    </row>
    <row r="1017" spans="2:23" x14ac:dyDescent="0.3">
      <c r="B1017">
        <v>58</v>
      </c>
      <c r="C1017">
        <v>33</v>
      </c>
      <c r="D1017">
        <v>224</v>
      </c>
      <c r="R1017" s="73">
        <f t="shared" si="104"/>
        <v>3.5712386612537665E-4</v>
      </c>
      <c r="S1017" s="74">
        <f t="shared" si="102"/>
        <v>3.940939160893619E-4</v>
      </c>
      <c r="U1017" s="81">
        <f t="shared" si="103"/>
        <v>9.8809987100079821E-2</v>
      </c>
      <c r="W1017" s="80">
        <v>0.90119001289992018</v>
      </c>
    </row>
    <row r="1018" spans="2:23" x14ac:dyDescent="0.3">
      <c r="B1018">
        <v>58</v>
      </c>
      <c r="C1018">
        <v>33</v>
      </c>
      <c r="D1018">
        <v>238</v>
      </c>
      <c r="R1018" s="73">
        <f t="shared" si="104"/>
        <v>3.6105922358820042E-4</v>
      </c>
      <c r="S1018" s="74">
        <f t="shared" si="102"/>
        <v>4.0064716477089621E-4</v>
      </c>
      <c r="U1018" s="81">
        <f t="shared" si="103"/>
        <v>0.10386481623031463</v>
      </c>
      <c r="W1018" s="80">
        <v>0.89613518376968537</v>
      </c>
    </row>
    <row r="1019" spans="2:23" x14ac:dyDescent="0.3">
      <c r="B1019">
        <v>58</v>
      </c>
      <c r="C1019">
        <v>33</v>
      </c>
      <c r="D1019">
        <v>252</v>
      </c>
      <c r="R1019" s="73">
        <f t="shared" si="104"/>
        <v>4.0966323834158914E-4</v>
      </c>
      <c r="S1019" s="74">
        <f t="shared" si="102"/>
        <v>4.5714446409558243E-4</v>
      </c>
      <c r="U1019" s="81">
        <f t="shared" si="103"/>
        <v>0.10960010156709687</v>
      </c>
      <c r="W1019" s="80">
        <v>0.89039989843290313</v>
      </c>
    </row>
    <row r="1020" spans="2:23" x14ac:dyDescent="0.3">
      <c r="B1020">
        <v>58</v>
      </c>
      <c r="C1020">
        <v>33</v>
      </c>
      <c r="D1020">
        <v>266</v>
      </c>
      <c r="R1020" s="73">
        <f t="shared" si="104"/>
        <v>3.4129640614899426E-4</v>
      </c>
      <c r="S1020" s="74">
        <f t="shared" si="102"/>
        <v>3.8330687902107054E-4</v>
      </c>
      <c r="U1020" s="81">
        <f t="shared" si="103"/>
        <v>0.11437825125318279</v>
      </c>
      <c r="W1020" s="80">
        <v>0.88562174874681721</v>
      </c>
    </row>
    <row r="1021" spans="2:23" x14ac:dyDescent="0.3">
      <c r="B1021">
        <v>58</v>
      </c>
      <c r="C1021">
        <v>33</v>
      </c>
      <c r="D1021">
        <v>280</v>
      </c>
      <c r="R1021" s="73">
        <f t="shared" si="104"/>
        <v>3.5072023798376247E-4</v>
      </c>
      <c r="S1021" s="74">
        <f t="shared" si="102"/>
        <v>3.9601583687397322E-4</v>
      </c>
      <c r="U1021" s="81">
        <f t="shared" si="103"/>
        <v>0.11928833458495547</v>
      </c>
      <c r="W1021" s="80">
        <v>0.88071166541504453</v>
      </c>
    </row>
    <row r="1022" spans="2:23" x14ac:dyDescent="0.3">
      <c r="B1022">
        <v>58</v>
      </c>
      <c r="C1022">
        <v>33</v>
      </c>
      <c r="D1022">
        <v>294</v>
      </c>
      <c r="R1022" s="73">
        <f t="shared" si="104"/>
        <v>3.298489123698202E-4</v>
      </c>
      <c r="S1022" s="74">
        <f t="shared" si="102"/>
        <v>3.7452542679149766E-4</v>
      </c>
      <c r="U1022" s="81">
        <f t="shared" si="103"/>
        <v>0.12390621935813295</v>
      </c>
      <c r="W1022" s="80">
        <v>0.87609378064186705</v>
      </c>
    </row>
    <row r="1023" spans="2:23" x14ac:dyDescent="0.3">
      <c r="B1023">
        <v>58</v>
      </c>
      <c r="C1023">
        <v>33</v>
      </c>
      <c r="D1023">
        <v>308</v>
      </c>
      <c r="R1023" s="73">
        <f t="shared" si="104"/>
        <v>3.2533563085351824E-4</v>
      </c>
      <c r="S1023" s="74">
        <f t="shared" si="102"/>
        <v>3.7134795160303753E-4</v>
      </c>
      <c r="U1023" s="81">
        <f t="shared" si="103"/>
        <v>0.12846091819008221</v>
      </c>
      <c r="W1023" s="80">
        <v>0.87153908180991779</v>
      </c>
    </row>
    <row r="1024" spans="2:23" x14ac:dyDescent="0.3">
      <c r="B1024">
        <v>58</v>
      </c>
      <c r="C1024">
        <v>33</v>
      </c>
      <c r="D1024">
        <v>322</v>
      </c>
      <c r="R1024" s="73">
        <f t="shared" si="104"/>
        <v>3.3363980415723749E-4</v>
      </c>
      <c r="S1024" s="74">
        <f t="shared" si="102"/>
        <v>3.8281680204675449E-4</v>
      </c>
      <c r="U1024" s="81">
        <f t="shared" si="103"/>
        <v>0.13313187544828353</v>
      </c>
      <c r="W1024" s="80">
        <v>0.86686812455171647</v>
      </c>
    </row>
    <row r="1025" spans="2:23" x14ac:dyDescent="0.3">
      <c r="B1025">
        <v>58</v>
      </c>
      <c r="C1025">
        <v>33</v>
      </c>
      <c r="D1025">
        <v>336</v>
      </c>
      <c r="R1025" s="73">
        <f t="shared" si="104"/>
        <v>3.0238829395257127E-4</v>
      </c>
      <c r="S1025" s="74">
        <f t="shared" si="102"/>
        <v>3.4882848427371269E-4</v>
      </c>
      <c r="U1025" s="81">
        <f t="shared" si="103"/>
        <v>0.13736531156361953</v>
      </c>
      <c r="W1025" s="80">
        <v>0.86263468843638047</v>
      </c>
    </row>
    <row r="1026" spans="2:23" x14ac:dyDescent="0.3">
      <c r="B1026">
        <v>58</v>
      </c>
      <c r="C1026">
        <v>33</v>
      </c>
      <c r="D1026">
        <v>350</v>
      </c>
      <c r="R1026" s="73">
        <f t="shared" si="104"/>
        <v>2.9535726759374485E-4</v>
      </c>
      <c r="S1026" s="74">
        <f t="shared" si="102"/>
        <v>3.4238974104914806E-4</v>
      </c>
      <c r="U1026" s="81">
        <f t="shared" si="103"/>
        <v>0.14150031330993196</v>
      </c>
      <c r="W1026" s="80">
        <v>0.85849968669006804</v>
      </c>
    </row>
    <row r="1027" spans="2:23" x14ac:dyDescent="0.3">
      <c r="B1027">
        <v>58</v>
      </c>
      <c r="C1027">
        <v>33</v>
      </c>
      <c r="D1027">
        <v>364</v>
      </c>
      <c r="R1027" s="73">
        <f t="shared" si="104"/>
        <v>2.6973472673420221E-4</v>
      </c>
      <c r="S1027" s="74">
        <f t="shared" si="102"/>
        <v>3.1419315687133232E-4</v>
      </c>
      <c r="U1027" s="81">
        <f t="shared" si="103"/>
        <v>0.14527659948421079</v>
      </c>
      <c r="W1027" s="80">
        <v>0.85472340051578921</v>
      </c>
    </row>
    <row r="1028" spans="2:23" x14ac:dyDescent="0.3">
      <c r="B1028">
        <v>59</v>
      </c>
      <c r="C1028">
        <v>33</v>
      </c>
      <c r="D1028">
        <v>0</v>
      </c>
      <c r="R1028" s="73">
        <f t="shared" si="104"/>
        <v>0</v>
      </c>
      <c r="S1028" s="74">
        <f t="shared" si="102"/>
        <v>0</v>
      </c>
      <c r="U1028" s="81">
        <f t="shared" si="103"/>
        <v>0</v>
      </c>
      <c r="W1028" s="80">
        <v>1</v>
      </c>
    </row>
    <row r="1029" spans="2:23" x14ac:dyDescent="0.3">
      <c r="B1029">
        <v>59</v>
      </c>
      <c r="C1029">
        <v>33</v>
      </c>
      <c r="D1029">
        <v>6</v>
      </c>
      <c r="R1029" s="73">
        <f t="shared" si="104"/>
        <v>6.6499411952617812E-5</v>
      </c>
      <c r="S1029" s="74">
        <f t="shared" si="102"/>
        <v>6.6499411952617812E-5</v>
      </c>
      <c r="U1029" s="81">
        <f t="shared" si="103"/>
        <v>3.9899647171570685E-4</v>
      </c>
      <c r="W1029" s="80">
        <v>0.99960100352828429</v>
      </c>
    </row>
    <row r="1030" spans="2:23" x14ac:dyDescent="0.3">
      <c r="B1030">
        <v>59</v>
      </c>
      <c r="C1030">
        <v>33</v>
      </c>
      <c r="D1030">
        <v>14</v>
      </c>
      <c r="R1030" s="73">
        <f t="shared" si="104"/>
        <v>2.123856835584137E-5</v>
      </c>
      <c r="S1030" s="74">
        <f t="shared" si="102"/>
        <v>2.1247045852170766E-5</v>
      </c>
      <c r="U1030" s="81">
        <f t="shared" si="103"/>
        <v>5.689050185624378E-4</v>
      </c>
      <c r="W1030" s="80">
        <v>0.99943109498143756</v>
      </c>
    </row>
    <row r="1031" spans="2:23" x14ac:dyDescent="0.3">
      <c r="B1031">
        <v>59</v>
      </c>
      <c r="C1031">
        <v>33</v>
      </c>
      <c r="D1031">
        <v>21</v>
      </c>
      <c r="R1031" s="73">
        <f t="shared" si="104"/>
        <v>1.6283982308288154E-5</v>
      </c>
      <c r="S1031" s="74">
        <f t="shared" si="102"/>
        <v>1.6293251620903988E-5</v>
      </c>
      <c r="U1031" s="81">
        <f t="shared" si="103"/>
        <v>6.8289289472045489E-4</v>
      </c>
      <c r="W1031" s="80">
        <v>0.99931710710527955</v>
      </c>
    </row>
    <row r="1032" spans="2:23" x14ac:dyDescent="0.3">
      <c r="B1032">
        <v>59</v>
      </c>
      <c r="C1032">
        <v>33</v>
      </c>
      <c r="D1032">
        <v>28</v>
      </c>
      <c r="R1032" s="73">
        <f t="shared" si="104"/>
        <v>1.8563027459299925E-5</v>
      </c>
      <c r="S1032" s="74">
        <f t="shared" si="102"/>
        <v>1.8575712681504493E-5</v>
      </c>
      <c r="U1032" s="81">
        <f t="shared" si="103"/>
        <v>8.1283408693555437E-4</v>
      </c>
      <c r="W1032" s="80">
        <v>0.99918716591306445</v>
      </c>
    </row>
    <row r="1033" spans="2:23" x14ac:dyDescent="0.3">
      <c r="B1033">
        <v>59</v>
      </c>
      <c r="C1033">
        <v>33</v>
      </c>
      <c r="D1033">
        <v>35</v>
      </c>
      <c r="R1033" s="73">
        <f t="shared" si="104"/>
        <v>1.3291049609517483E-5</v>
      </c>
      <c r="S1033" s="74">
        <f t="shared" si="102"/>
        <v>1.3301861816221414E-5</v>
      </c>
      <c r="U1033" s="81">
        <f t="shared" si="103"/>
        <v>9.0587143420217675E-4</v>
      </c>
      <c r="W1033" s="80">
        <v>0.99909412856579782</v>
      </c>
    </row>
    <row r="1034" spans="2:23" x14ac:dyDescent="0.3">
      <c r="B1034">
        <v>59</v>
      </c>
      <c r="C1034">
        <v>33</v>
      </c>
      <c r="D1034">
        <v>42</v>
      </c>
      <c r="R1034" s="73">
        <f t="shared" si="104"/>
        <v>1.5440664296341643E-5</v>
      </c>
      <c r="S1034" s="74">
        <f t="shared" si="102"/>
        <v>1.5454664235197493E-5</v>
      </c>
      <c r="U1034" s="81">
        <f t="shared" si="103"/>
        <v>1.0139560842765682E-3</v>
      </c>
      <c r="W1034" s="80">
        <v>0.99898604391572343</v>
      </c>
    </row>
    <row r="1035" spans="2:23" x14ac:dyDescent="0.3">
      <c r="B1035">
        <v>59</v>
      </c>
      <c r="C1035">
        <v>33</v>
      </c>
      <c r="D1035">
        <v>50</v>
      </c>
      <c r="R1035" s="73">
        <f t="shared" si="104"/>
        <v>1.36548623843602E-5</v>
      </c>
      <c r="S1035" s="74">
        <f t="shared" si="102"/>
        <v>1.3668721868062606E-5</v>
      </c>
      <c r="U1035" s="81">
        <f t="shared" si="103"/>
        <v>1.1231949833514498E-3</v>
      </c>
      <c r="W1035" s="80">
        <v>0.99887680501664855</v>
      </c>
    </row>
    <row r="1036" spans="2:23" x14ac:dyDescent="0.3">
      <c r="B1036">
        <v>59</v>
      </c>
      <c r="C1036">
        <v>33</v>
      </c>
      <c r="D1036">
        <v>62</v>
      </c>
      <c r="R1036" s="73">
        <f t="shared" si="104"/>
        <v>9.227503120508759E-6</v>
      </c>
      <c r="S1036" s="74">
        <f t="shared" ref="S1036:S1099" si="105">IF(D1036&gt;D1035,(U1036-U1035)/W1035/(D1036-D1035),0)</f>
        <v>9.2378790599256745E-6</v>
      </c>
      <c r="U1036" s="81">
        <f t="shared" ref="U1036:U1099" si="106">100%-W1036</f>
        <v>1.233925020797555E-3</v>
      </c>
      <c r="W1036" s="80">
        <v>0.99876607497920245</v>
      </c>
    </row>
    <row r="1037" spans="2:23" x14ac:dyDescent="0.3">
      <c r="B1037">
        <v>59</v>
      </c>
      <c r="C1037">
        <v>33</v>
      </c>
      <c r="D1037">
        <v>71</v>
      </c>
      <c r="R1037" s="73">
        <f t="shared" si="104"/>
        <v>1.005652715388747E-5</v>
      </c>
      <c r="S1037" s="74">
        <f t="shared" si="105"/>
        <v>1.006895148505808E-5</v>
      </c>
      <c r="U1037" s="81">
        <f t="shared" si="106"/>
        <v>1.3244337651825422E-3</v>
      </c>
      <c r="W1037" s="80">
        <v>0.99867556623481746</v>
      </c>
    </row>
    <row r="1038" spans="2:23" x14ac:dyDescent="0.3">
      <c r="B1038">
        <v>59</v>
      </c>
      <c r="C1038">
        <v>33</v>
      </c>
      <c r="D1038">
        <v>84</v>
      </c>
      <c r="R1038" s="73">
        <f t="shared" si="104"/>
        <v>9.5837130993711931E-6</v>
      </c>
      <c r="S1038" s="74">
        <f t="shared" si="105"/>
        <v>9.5964229259192537E-6</v>
      </c>
      <c r="U1038" s="81">
        <f t="shared" si="106"/>
        <v>1.4490220354743677E-3</v>
      </c>
      <c r="W1038" s="80">
        <v>0.99855097796452563</v>
      </c>
    </row>
    <row r="1039" spans="2:23" x14ac:dyDescent="0.3">
      <c r="B1039">
        <v>59</v>
      </c>
      <c r="C1039">
        <v>33</v>
      </c>
      <c r="D1039">
        <v>98</v>
      </c>
      <c r="R1039" s="73">
        <f t="shared" si="104"/>
        <v>9.498689468566215E-6</v>
      </c>
      <c r="S1039" s="74">
        <f t="shared" si="105"/>
        <v>9.5124732519201061E-6</v>
      </c>
      <c r="U1039" s="81">
        <f t="shared" si="106"/>
        <v>1.5820036880342947E-3</v>
      </c>
      <c r="W1039" s="80">
        <v>0.99841799631196571</v>
      </c>
    </row>
    <row r="1040" spans="2:23" x14ac:dyDescent="0.3">
      <c r="B1040">
        <v>59</v>
      </c>
      <c r="C1040">
        <v>33</v>
      </c>
      <c r="D1040">
        <v>112</v>
      </c>
      <c r="R1040" s="73">
        <f t="shared" si="104"/>
        <v>1.103992101971128E-5</v>
      </c>
      <c r="S1040" s="74">
        <f t="shared" si="105"/>
        <v>1.1057413889264218E-5</v>
      </c>
      <c r="U1040" s="81">
        <f t="shared" si="106"/>
        <v>1.7365625823102526E-3</v>
      </c>
      <c r="W1040" s="80">
        <v>0.99826343741768975</v>
      </c>
    </row>
    <row r="1041" spans="2:23" x14ac:dyDescent="0.3">
      <c r="B1041">
        <v>59</v>
      </c>
      <c r="C1041">
        <v>33</v>
      </c>
      <c r="D1041">
        <v>126</v>
      </c>
      <c r="R1041" s="73">
        <f t="shared" si="104"/>
        <v>8.265497682949771E-6</v>
      </c>
      <c r="S1041" s="74">
        <f t="shared" si="105"/>
        <v>8.2798762061555419E-6</v>
      </c>
      <c r="U1041" s="81">
        <f t="shared" si="106"/>
        <v>1.8522795498715494E-3</v>
      </c>
      <c r="W1041" s="80">
        <v>0.99814772045012845</v>
      </c>
    </row>
    <row r="1042" spans="2:23" x14ac:dyDescent="0.3">
      <c r="B1042">
        <v>59</v>
      </c>
      <c r="C1042">
        <v>33</v>
      </c>
      <c r="D1042">
        <v>140</v>
      </c>
      <c r="R1042" s="73">
        <f t="shared" si="104"/>
        <v>8.303188841437706E-6</v>
      </c>
      <c r="S1042" s="74">
        <f t="shared" si="105"/>
        <v>8.3185972089314291E-6</v>
      </c>
      <c r="U1042" s="81">
        <f t="shared" si="106"/>
        <v>1.9685241936516773E-3</v>
      </c>
      <c r="W1042" s="80">
        <v>0.99803147580634832</v>
      </c>
    </row>
    <row r="1043" spans="2:23" x14ac:dyDescent="0.3">
      <c r="B1043">
        <v>59</v>
      </c>
      <c r="C1043">
        <v>33</v>
      </c>
      <c r="D1043">
        <v>154</v>
      </c>
      <c r="R1043" s="73">
        <f t="shared" si="104"/>
        <v>1.0146583281134269E-5</v>
      </c>
      <c r="S1043" s="74">
        <f t="shared" si="105"/>
        <v>1.0166596472257E-5</v>
      </c>
      <c r="U1043" s="81">
        <f t="shared" si="106"/>
        <v>2.1105763595875571E-3</v>
      </c>
      <c r="W1043" s="80">
        <v>0.99788942364041244</v>
      </c>
    </row>
    <row r="1044" spans="2:23" x14ac:dyDescent="0.3">
      <c r="B1044">
        <v>59</v>
      </c>
      <c r="C1044">
        <v>33</v>
      </c>
      <c r="D1044">
        <v>168</v>
      </c>
      <c r="R1044" s="73">
        <f t="shared" si="104"/>
        <v>9.8807673317792751E-6</v>
      </c>
      <c r="S1044" s="74">
        <f t="shared" si="105"/>
        <v>9.9016655530160135E-6</v>
      </c>
      <c r="U1044" s="81">
        <f t="shared" si="106"/>
        <v>2.2489071022324669E-3</v>
      </c>
      <c r="W1044" s="80">
        <v>0.99775109289776753</v>
      </c>
    </row>
    <row r="1045" spans="2:23" x14ac:dyDescent="0.3">
      <c r="B1045">
        <v>59</v>
      </c>
      <c r="C1045">
        <v>33</v>
      </c>
      <c r="D1045">
        <v>182</v>
      </c>
      <c r="R1045" s="73">
        <f t="shared" si="104"/>
        <v>1.0966898026487648E-5</v>
      </c>
      <c r="S1045" s="74">
        <f t="shared" si="105"/>
        <v>1.0991617152366626E-5</v>
      </c>
      <c r="U1045" s="81">
        <f t="shared" si="106"/>
        <v>2.402443674603294E-3</v>
      </c>
      <c r="W1045" s="80">
        <v>0.99759755632539671</v>
      </c>
    </row>
    <row r="1046" spans="2:23" x14ac:dyDescent="0.3">
      <c r="B1046">
        <v>59</v>
      </c>
      <c r="C1046">
        <v>33</v>
      </c>
      <c r="D1046">
        <v>196</v>
      </c>
      <c r="R1046" s="73">
        <f t="shared" si="104"/>
        <v>1.2303773947730523E-5</v>
      </c>
      <c r="S1046" s="74">
        <f t="shared" si="105"/>
        <v>1.2333404256773534E-5</v>
      </c>
      <c r="U1046" s="81">
        <f t="shared" si="106"/>
        <v>2.5746965098715213E-3</v>
      </c>
      <c r="W1046" s="80">
        <v>0.99742530349012848</v>
      </c>
    </row>
    <row r="1047" spans="2:23" x14ac:dyDescent="0.3">
      <c r="B1047">
        <v>59</v>
      </c>
      <c r="C1047">
        <v>33</v>
      </c>
      <c r="D1047">
        <v>210</v>
      </c>
      <c r="R1047" s="73">
        <f t="shared" si="104"/>
        <v>9.3900309071557968E-6</v>
      </c>
      <c r="S1047" s="74">
        <f t="shared" si="105"/>
        <v>9.4142697947393007E-6</v>
      </c>
      <c r="U1047" s="81">
        <f t="shared" si="106"/>
        <v>2.7061569425717025E-3</v>
      </c>
      <c r="W1047" s="80">
        <v>0.9972938430574283</v>
      </c>
    </row>
    <row r="1048" spans="2:23" x14ac:dyDescent="0.3">
      <c r="B1048">
        <v>59</v>
      </c>
      <c r="C1048">
        <v>33</v>
      </c>
      <c r="D1048">
        <v>224</v>
      </c>
      <c r="R1048" s="73">
        <f t="shared" si="104"/>
        <v>8.5542819166268514E-6</v>
      </c>
      <c r="S1048" s="74">
        <f t="shared" si="105"/>
        <v>8.5774939614605251E-6</v>
      </c>
      <c r="U1048" s="81">
        <f t="shared" si="106"/>
        <v>2.8259168894044784E-3</v>
      </c>
      <c r="W1048" s="80">
        <v>0.99717408311059552</v>
      </c>
    </row>
    <row r="1049" spans="2:23" x14ac:dyDescent="0.3">
      <c r="B1049">
        <v>59</v>
      </c>
      <c r="C1049">
        <v>33</v>
      </c>
      <c r="D1049">
        <v>238</v>
      </c>
      <c r="R1049" s="73">
        <f t="shared" si="104"/>
        <v>9.7363078083009421E-6</v>
      </c>
      <c r="S1049" s="74">
        <f t="shared" si="105"/>
        <v>9.763899777588882E-6</v>
      </c>
      <c r="U1049" s="81">
        <f t="shared" si="106"/>
        <v>2.9622251987206916E-3</v>
      </c>
      <c r="W1049" s="80">
        <v>0.99703777480127931</v>
      </c>
    </row>
    <row r="1050" spans="2:23" x14ac:dyDescent="0.3">
      <c r="B1050">
        <v>59</v>
      </c>
      <c r="C1050">
        <v>33</v>
      </c>
      <c r="D1050">
        <v>252</v>
      </c>
      <c r="R1050" s="73">
        <f t="shared" si="104"/>
        <v>1.5428007794328546E-5</v>
      </c>
      <c r="S1050" s="74">
        <f t="shared" si="105"/>
        <v>1.5473844807337935E-5</v>
      </c>
      <c r="U1050" s="81">
        <f t="shared" si="106"/>
        <v>3.1782173078412912E-3</v>
      </c>
      <c r="W1050" s="80">
        <v>0.99682178269215871</v>
      </c>
    </row>
    <row r="1051" spans="2:23" x14ac:dyDescent="0.3">
      <c r="B1051">
        <v>59</v>
      </c>
      <c r="C1051">
        <v>33</v>
      </c>
      <c r="D1051">
        <v>266</v>
      </c>
      <c r="R1051" s="73">
        <f t="shared" si="104"/>
        <v>1.0509680441306291E-5</v>
      </c>
      <c r="S1051" s="74">
        <f t="shared" si="105"/>
        <v>1.0543188987024693E-5</v>
      </c>
      <c r="U1051" s="81">
        <f t="shared" si="106"/>
        <v>3.3253528340195793E-3</v>
      </c>
      <c r="W1051" s="80">
        <v>0.99667464716598042</v>
      </c>
    </row>
    <row r="1052" spans="2:23" x14ac:dyDescent="0.3">
      <c r="B1052">
        <v>59</v>
      </c>
      <c r="C1052">
        <v>33</v>
      </c>
      <c r="D1052">
        <v>280</v>
      </c>
      <c r="R1052" s="73">
        <f t="shared" si="104"/>
        <v>1.4486765968919307E-5</v>
      </c>
      <c r="S1052" s="74">
        <f t="shared" si="105"/>
        <v>1.4535100305914339E-5</v>
      </c>
      <c r="U1052" s="81">
        <f t="shared" si="106"/>
        <v>3.5281675575844496E-3</v>
      </c>
      <c r="W1052" s="80">
        <v>0.99647183244241555</v>
      </c>
    </row>
    <row r="1053" spans="2:23" x14ac:dyDescent="0.3">
      <c r="B1053">
        <v>59</v>
      </c>
      <c r="C1053">
        <v>33</v>
      </c>
      <c r="D1053">
        <v>294</v>
      </c>
      <c r="R1053" s="73">
        <f t="shared" si="104"/>
        <v>1.5021682767195938E-5</v>
      </c>
      <c r="S1053" s="74">
        <f t="shared" si="105"/>
        <v>1.5074869432462374E-5</v>
      </c>
      <c r="U1053" s="81">
        <f t="shared" si="106"/>
        <v>3.7384711163251927E-3</v>
      </c>
      <c r="W1053" s="80">
        <v>0.99626152888367481</v>
      </c>
    </row>
    <row r="1054" spans="2:23" x14ac:dyDescent="0.3">
      <c r="B1054">
        <v>59</v>
      </c>
      <c r="C1054">
        <v>33</v>
      </c>
      <c r="D1054">
        <v>308</v>
      </c>
      <c r="R1054" s="73">
        <f t="shared" si="104"/>
        <v>1.0544960275891771E-5</v>
      </c>
      <c r="S1054" s="74">
        <f t="shared" si="105"/>
        <v>1.0584530236460649E-5</v>
      </c>
      <c r="U1054" s="81">
        <f t="shared" si="106"/>
        <v>3.8861005601876775E-3</v>
      </c>
      <c r="W1054" s="80">
        <v>0.99611389943981232</v>
      </c>
    </row>
    <row r="1055" spans="2:23" x14ac:dyDescent="0.3">
      <c r="B1055">
        <v>59</v>
      </c>
      <c r="C1055">
        <v>33</v>
      </c>
      <c r="D1055">
        <v>322</v>
      </c>
      <c r="R1055" s="73">
        <f t="shared" si="104"/>
        <v>1.232799220105393E-5</v>
      </c>
      <c r="S1055" s="74">
        <f t="shared" si="105"/>
        <v>1.2376086919364203E-5</v>
      </c>
      <c r="U1055" s="81">
        <f t="shared" si="106"/>
        <v>4.0586924510024325E-3</v>
      </c>
      <c r="W1055" s="80">
        <v>0.99594130754899757</v>
      </c>
    </row>
    <row r="1056" spans="2:23" x14ac:dyDescent="0.3">
      <c r="B1056">
        <v>59</v>
      </c>
      <c r="C1056">
        <v>33</v>
      </c>
      <c r="D1056">
        <v>336</v>
      </c>
      <c r="R1056" s="73">
        <f t="shared" si="104"/>
        <v>9.2122048456766414E-6</v>
      </c>
      <c r="S1056" s="74">
        <f t="shared" si="105"/>
        <v>9.2497467228744561E-6</v>
      </c>
      <c r="U1056" s="81">
        <f t="shared" si="106"/>
        <v>4.1876633188419055E-3</v>
      </c>
      <c r="W1056" s="80">
        <v>0.99581233668115809</v>
      </c>
    </row>
    <row r="1057" spans="2:23" x14ac:dyDescent="0.3">
      <c r="B1057">
        <v>59</v>
      </c>
      <c r="C1057">
        <v>33</v>
      </c>
      <c r="D1057">
        <v>350</v>
      </c>
      <c r="R1057" s="73">
        <f t="shared" si="104"/>
        <v>1.3972002115106693E-5</v>
      </c>
      <c r="S1057" s="74">
        <f t="shared" si="105"/>
        <v>1.4030758206583944E-5</v>
      </c>
      <c r="U1057" s="81">
        <f t="shared" si="106"/>
        <v>4.3832713484533992E-3</v>
      </c>
      <c r="W1057" s="80">
        <v>0.9956167286515466</v>
      </c>
    </row>
    <row r="1058" spans="2:23" x14ac:dyDescent="0.3">
      <c r="B1058">
        <v>59</v>
      </c>
      <c r="C1058">
        <v>33</v>
      </c>
      <c r="D1058">
        <v>364</v>
      </c>
      <c r="R1058" s="73">
        <f t="shared" si="104"/>
        <v>1.3699411914306189E-5</v>
      </c>
      <c r="S1058" s="74">
        <f t="shared" si="105"/>
        <v>1.375972452055977E-5</v>
      </c>
      <c r="U1058" s="81">
        <f t="shared" si="106"/>
        <v>4.5750631152536858E-3</v>
      </c>
      <c r="W1058" s="80">
        <v>0.99542493688474631</v>
      </c>
    </row>
    <row r="1059" spans="2:23" x14ac:dyDescent="0.3">
      <c r="B1059">
        <v>60</v>
      </c>
      <c r="C1059">
        <v>33</v>
      </c>
      <c r="D1059">
        <v>0</v>
      </c>
      <c r="R1059" s="73">
        <f t="shared" si="104"/>
        <v>0</v>
      </c>
      <c r="S1059" s="74">
        <f t="shared" si="105"/>
        <v>0</v>
      </c>
      <c r="U1059" s="81">
        <f t="shared" si="106"/>
        <v>0</v>
      </c>
      <c r="W1059" s="80">
        <v>1</v>
      </c>
    </row>
    <row r="1060" spans="2:23" x14ac:dyDescent="0.3">
      <c r="B1060">
        <v>60</v>
      </c>
      <c r="C1060">
        <v>33</v>
      </c>
      <c r="D1060">
        <v>6</v>
      </c>
      <c r="R1060" s="73">
        <f t="shared" si="104"/>
        <v>6.0050738983241647E-5</v>
      </c>
      <c r="S1060" s="74">
        <f t="shared" si="105"/>
        <v>6.0050738983241647E-5</v>
      </c>
      <c r="U1060" s="81">
        <f t="shared" si="106"/>
        <v>3.6030443389944988E-4</v>
      </c>
      <c r="W1060" s="80">
        <v>0.99963969556610055</v>
      </c>
    </row>
    <row r="1061" spans="2:23" x14ac:dyDescent="0.3">
      <c r="B1061">
        <v>60</v>
      </c>
      <c r="C1061">
        <v>33</v>
      </c>
      <c r="D1061">
        <v>14</v>
      </c>
      <c r="R1061" s="73">
        <f t="shared" si="104"/>
        <v>2.3335211389419186E-5</v>
      </c>
      <c r="S1061" s="74">
        <f t="shared" si="105"/>
        <v>2.3343622200001119E-5</v>
      </c>
      <c r="U1061" s="81">
        <f t="shared" si="106"/>
        <v>5.4698612501480337E-4</v>
      </c>
      <c r="W1061" s="80">
        <v>0.9994530138749852</v>
      </c>
    </row>
    <row r="1062" spans="2:23" x14ac:dyDescent="0.3">
      <c r="B1062">
        <v>60</v>
      </c>
      <c r="C1062">
        <v>33</v>
      </c>
      <c r="D1062">
        <v>21</v>
      </c>
      <c r="R1062" s="73">
        <f t="shared" si="104"/>
        <v>1.7191011545847346E-5</v>
      </c>
      <c r="S1062" s="74">
        <f t="shared" si="105"/>
        <v>1.7200419936897255E-5</v>
      </c>
      <c r="U1062" s="81">
        <f t="shared" si="106"/>
        <v>6.6732320583573479E-4</v>
      </c>
      <c r="W1062" s="80">
        <v>0.99933267679416427</v>
      </c>
    </row>
    <row r="1063" spans="2:23" x14ac:dyDescent="0.3">
      <c r="B1063">
        <v>60</v>
      </c>
      <c r="C1063">
        <v>33</v>
      </c>
      <c r="D1063">
        <v>28</v>
      </c>
      <c r="R1063" s="73">
        <f t="shared" si="104"/>
        <v>1.7046260744835173E-5</v>
      </c>
      <c r="S1063" s="74">
        <f t="shared" si="105"/>
        <v>1.7057643706317276E-5</v>
      </c>
      <c r="U1063" s="81">
        <f t="shared" si="106"/>
        <v>7.86647031049581E-4</v>
      </c>
      <c r="W1063" s="80">
        <v>0.99921335296895042</v>
      </c>
    </row>
    <row r="1064" spans="2:23" x14ac:dyDescent="0.3">
      <c r="B1064">
        <v>60</v>
      </c>
      <c r="C1064">
        <v>33</v>
      </c>
      <c r="D1064">
        <v>35</v>
      </c>
      <c r="R1064" s="73">
        <f t="shared" si="104"/>
        <v>1.1147176958111896E-5</v>
      </c>
      <c r="S1064" s="74">
        <f t="shared" si="105"/>
        <v>1.1155952755225323E-5</v>
      </c>
      <c r="U1064" s="81">
        <f t="shared" si="106"/>
        <v>8.6467726975636428E-4</v>
      </c>
      <c r="W1064" s="80">
        <v>0.99913532273024364</v>
      </c>
    </row>
    <row r="1065" spans="2:23" x14ac:dyDescent="0.3">
      <c r="B1065">
        <v>60</v>
      </c>
      <c r="C1065">
        <v>33</v>
      </c>
      <c r="D1065">
        <v>42</v>
      </c>
      <c r="R1065" s="73">
        <f t="shared" si="104"/>
        <v>1.103974883373152E-5</v>
      </c>
      <c r="S1065" s="74">
        <f t="shared" si="105"/>
        <v>1.1049302914808607E-5</v>
      </c>
      <c r="U1065" s="81">
        <f t="shared" si="106"/>
        <v>9.4195551159248492E-4</v>
      </c>
      <c r="W1065" s="80">
        <v>0.99905804448840752</v>
      </c>
    </row>
    <row r="1066" spans="2:23" x14ac:dyDescent="0.3">
      <c r="B1066">
        <v>60</v>
      </c>
      <c r="C1066">
        <v>33</v>
      </c>
      <c r="D1066">
        <v>50</v>
      </c>
      <c r="R1066" s="73">
        <f t="shared" si="104"/>
        <v>8.4450332812069373E-6</v>
      </c>
      <c r="S1066" s="74">
        <f t="shared" si="105"/>
        <v>8.4529956270272826E-6</v>
      </c>
      <c r="U1066" s="81">
        <f t="shared" si="106"/>
        <v>1.0095157778421404E-3</v>
      </c>
      <c r="W1066" s="80">
        <v>0.99899048422215786</v>
      </c>
    </row>
    <row r="1067" spans="2:23" x14ac:dyDescent="0.3">
      <c r="B1067">
        <v>60</v>
      </c>
      <c r="C1067">
        <v>33</v>
      </c>
      <c r="D1067">
        <v>62</v>
      </c>
      <c r="R1067" s="73">
        <f t="shared" si="104"/>
        <v>7.4015822146925965E-6</v>
      </c>
      <c r="S1067" s="74">
        <f t="shared" si="105"/>
        <v>7.4090617794579664E-6</v>
      </c>
      <c r="U1067" s="81">
        <f t="shared" si="106"/>
        <v>1.0983347644184516E-3</v>
      </c>
      <c r="W1067" s="80">
        <v>0.99890166523558155</v>
      </c>
    </row>
    <row r="1068" spans="2:23" x14ac:dyDescent="0.3">
      <c r="B1068">
        <v>60</v>
      </c>
      <c r="C1068">
        <v>33</v>
      </c>
      <c r="D1068">
        <v>71</v>
      </c>
      <c r="R1068" s="73">
        <f t="shared" si="104"/>
        <v>1.0602393551686598E-5</v>
      </c>
      <c r="S1068" s="74">
        <f t="shared" si="105"/>
        <v>1.0614051333257236E-5</v>
      </c>
      <c r="U1068" s="81">
        <f t="shared" si="106"/>
        <v>1.1937563063836309E-3</v>
      </c>
      <c r="W1068" s="80">
        <v>0.99880624369361637</v>
      </c>
    </row>
    <row r="1069" spans="2:23" x14ac:dyDescent="0.3">
      <c r="B1069">
        <v>60</v>
      </c>
      <c r="C1069">
        <v>33</v>
      </c>
      <c r="D1069">
        <v>84</v>
      </c>
      <c r="R1069" s="73">
        <f t="shared" ref="R1069:R1132" si="107">IF(D1069&gt;D1068,(U1069-U1068)/1/(D1069-D1068),0)</f>
        <v>1.0138484647720807E-5</v>
      </c>
      <c r="S1069" s="74">
        <f t="shared" si="105"/>
        <v>1.0150601992863378E-5</v>
      </c>
      <c r="U1069" s="81">
        <f t="shared" si="106"/>
        <v>1.3255566068040014E-3</v>
      </c>
      <c r="W1069" s="80">
        <v>0.998674443393196</v>
      </c>
    </row>
    <row r="1070" spans="2:23" x14ac:dyDescent="0.3">
      <c r="B1070">
        <v>60</v>
      </c>
      <c r="C1070">
        <v>33</v>
      </c>
      <c r="D1070">
        <v>98</v>
      </c>
      <c r="R1070" s="73">
        <f t="shared" si="107"/>
        <v>1.0507550421090528E-5</v>
      </c>
      <c r="S1070" s="74">
        <f t="shared" si="105"/>
        <v>1.0521497261298713E-5</v>
      </c>
      <c r="U1070" s="81">
        <f t="shared" si="106"/>
        <v>1.4726623126992688E-3</v>
      </c>
      <c r="W1070" s="80">
        <v>0.99852733768730073</v>
      </c>
    </row>
    <row r="1071" spans="2:23" x14ac:dyDescent="0.3">
      <c r="B1071">
        <v>60</v>
      </c>
      <c r="C1071">
        <v>33</v>
      </c>
      <c r="D1071">
        <v>112</v>
      </c>
      <c r="R1071" s="73">
        <f t="shared" si="107"/>
        <v>1.0802234633860192E-5</v>
      </c>
      <c r="S1071" s="74">
        <f t="shared" si="105"/>
        <v>1.0818166139426246E-5</v>
      </c>
      <c r="U1071" s="81">
        <f t="shared" si="106"/>
        <v>1.6238935975733115E-3</v>
      </c>
      <c r="W1071" s="80">
        <v>0.99837610640242669</v>
      </c>
    </row>
    <row r="1072" spans="2:23" x14ac:dyDescent="0.3">
      <c r="B1072">
        <v>60</v>
      </c>
      <c r="C1072">
        <v>33</v>
      </c>
      <c r="D1072">
        <v>126</v>
      </c>
      <c r="R1072" s="73">
        <f t="shared" si="107"/>
        <v>1.006558754620571E-5</v>
      </c>
      <c r="S1072" s="74">
        <f t="shared" si="105"/>
        <v>1.0081959575811865E-5</v>
      </c>
      <c r="U1072" s="81">
        <f t="shared" si="106"/>
        <v>1.7648118232201915E-3</v>
      </c>
      <c r="W1072" s="80">
        <v>0.99823518817677981</v>
      </c>
    </row>
    <row r="1073" spans="2:23" x14ac:dyDescent="0.3">
      <c r="B1073">
        <v>60</v>
      </c>
      <c r="C1073">
        <v>33</v>
      </c>
      <c r="D1073">
        <v>140</v>
      </c>
      <c r="R1073" s="73">
        <f t="shared" si="107"/>
        <v>9.1469610437996559E-6</v>
      </c>
      <c r="S1073" s="74">
        <f t="shared" si="105"/>
        <v>9.1631322479285304E-6</v>
      </c>
      <c r="U1073" s="81">
        <f t="shared" si="106"/>
        <v>1.8928692778333867E-3</v>
      </c>
      <c r="W1073" s="80">
        <v>0.99810713072216661</v>
      </c>
    </row>
    <row r="1074" spans="2:23" x14ac:dyDescent="0.3">
      <c r="B1074">
        <v>60</v>
      </c>
      <c r="C1074">
        <v>33</v>
      </c>
      <c r="D1074">
        <v>154</v>
      </c>
      <c r="R1074" s="73">
        <f t="shared" si="107"/>
        <v>7.1915558543007255E-6</v>
      </c>
      <c r="S1074" s="74">
        <f t="shared" si="105"/>
        <v>7.2051943453177968E-6</v>
      </c>
      <c r="U1074" s="81">
        <f t="shared" si="106"/>
        <v>1.9935510597935968E-3</v>
      </c>
      <c r="W1074" s="80">
        <v>0.9980064489402064</v>
      </c>
    </row>
    <row r="1075" spans="2:23" x14ac:dyDescent="0.3">
      <c r="B1075">
        <v>60</v>
      </c>
      <c r="C1075">
        <v>33</v>
      </c>
      <c r="D1075">
        <v>168</v>
      </c>
      <c r="R1075" s="73">
        <f t="shared" si="107"/>
        <v>1.1303999360152378E-5</v>
      </c>
      <c r="S1075" s="74">
        <f t="shared" si="105"/>
        <v>1.1326579474667938E-5</v>
      </c>
      <c r="U1075" s="81">
        <f t="shared" si="106"/>
        <v>2.1518070508357301E-3</v>
      </c>
      <c r="W1075" s="80">
        <v>0.99784819294916427</v>
      </c>
    </row>
    <row r="1076" spans="2:23" x14ac:dyDescent="0.3">
      <c r="B1076">
        <v>60</v>
      </c>
      <c r="C1076">
        <v>33</v>
      </c>
      <c r="D1076">
        <v>182</v>
      </c>
      <c r="R1076" s="73">
        <f t="shared" si="107"/>
        <v>1.405015830165311E-5</v>
      </c>
      <c r="S1076" s="74">
        <f t="shared" si="105"/>
        <v>1.4080456727718802E-5</v>
      </c>
      <c r="U1076" s="81">
        <f t="shared" si="106"/>
        <v>2.3485092670588736E-3</v>
      </c>
      <c r="W1076" s="80">
        <v>0.99765149073294113</v>
      </c>
    </row>
    <row r="1077" spans="2:23" x14ac:dyDescent="0.3">
      <c r="B1077">
        <v>60</v>
      </c>
      <c r="C1077">
        <v>33</v>
      </c>
      <c r="D1077">
        <v>196</v>
      </c>
      <c r="R1077" s="73">
        <f t="shared" si="107"/>
        <v>1.314802136302497E-5</v>
      </c>
      <c r="S1077" s="74">
        <f t="shared" si="105"/>
        <v>1.3178972301605602E-5</v>
      </c>
      <c r="U1077" s="81">
        <f t="shared" si="106"/>
        <v>2.5325815661412232E-3</v>
      </c>
      <c r="W1077" s="80">
        <v>0.99746741843385878</v>
      </c>
    </row>
    <row r="1078" spans="2:23" x14ac:dyDescent="0.3">
      <c r="B1078">
        <v>60</v>
      </c>
      <c r="C1078">
        <v>33</v>
      </c>
      <c r="D1078">
        <v>210</v>
      </c>
      <c r="R1078" s="73">
        <f t="shared" si="107"/>
        <v>1.0094170638947591E-5</v>
      </c>
      <c r="S1078" s="74">
        <f t="shared" si="105"/>
        <v>1.0119799857519784E-5</v>
      </c>
      <c r="U1078" s="81">
        <f t="shared" si="106"/>
        <v>2.6738999550864895E-3</v>
      </c>
      <c r="W1078" s="80">
        <v>0.99732610004491351</v>
      </c>
    </row>
    <row r="1079" spans="2:23" x14ac:dyDescent="0.3">
      <c r="B1079">
        <v>60</v>
      </c>
      <c r="C1079">
        <v>33</v>
      </c>
      <c r="D1079">
        <v>224</v>
      </c>
      <c r="R1079" s="73">
        <f t="shared" si="107"/>
        <v>1.1242314067120126E-5</v>
      </c>
      <c r="S1079" s="74">
        <f t="shared" si="105"/>
        <v>1.127245548533608E-5</v>
      </c>
      <c r="U1079" s="81">
        <f t="shared" si="106"/>
        <v>2.8312923520261712E-3</v>
      </c>
      <c r="W1079" s="80">
        <v>0.99716870764797383</v>
      </c>
    </row>
    <row r="1080" spans="2:23" x14ac:dyDescent="0.3">
      <c r="B1080">
        <v>60</v>
      </c>
      <c r="C1080">
        <v>33</v>
      </c>
      <c r="D1080">
        <v>238</v>
      </c>
      <c r="R1080" s="73">
        <f t="shared" si="107"/>
        <v>1.1748778116866493E-5</v>
      </c>
      <c r="S1080" s="74">
        <f t="shared" si="105"/>
        <v>1.1782136790652392E-5</v>
      </c>
      <c r="U1080" s="81">
        <f t="shared" si="106"/>
        <v>2.9957752456623021E-3</v>
      </c>
      <c r="W1080" s="80">
        <v>0.9970042247543377</v>
      </c>
    </row>
    <row r="1081" spans="2:23" x14ac:dyDescent="0.3">
      <c r="B1081">
        <v>60</v>
      </c>
      <c r="C1081">
        <v>33</v>
      </c>
      <c r="D1081">
        <v>252</v>
      </c>
      <c r="R1081" s="73">
        <f t="shared" si="107"/>
        <v>1.24869228509009E-5</v>
      </c>
      <c r="S1081" s="74">
        <f t="shared" si="105"/>
        <v>1.2524443268008905E-5</v>
      </c>
      <c r="U1081" s="81">
        <f t="shared" si="106"/>
        <v>3.1705921655749147E-3</v>
      </c>
      <c r="W1081" s="80">
        <v>0.99682940783442509</v>
      </c>
    </row>
    <row r="1082" spans="2:23" x14ac:dyDescent="0.3">
      <c r="B1082">
        <v>60</v>
      </c>
      <c r="C1082">
        <v>33</v>
      </c>
      <c r="D1082">
        <v>266</v>
      </c>
      <c r="R1082" s="73">
        <f t="shared" si="107"/>
        <v>1.0622216762393563E-5</v>
      </c>
      <c r="S1082" s="74">
        <f t="shared" si="105"/>
        <v>1.0656002600755864E-5</v>
      </c>
      <c r="U1082" s="81">
        <f t="shared" si="106"/>
        <v>3.3193032002484246E-3</v>
      </c>
      <c r="W1082" s="80">
        <v>0.99668069679975158</v>
      </c>
    </row>
    <row r="1083" spans="2:23" x14ac:dyDescent="0.3">
      <c r="B1083">
        <v>60</v>
      </c>
      <c r="C1083">
        <v>33</v>
      </c>
      <c r="D1083">
        <v>280</v>
      </c>
      <c r="R1083" s="73">
        <f t="shared" si="107"/>
        <v>1.4674163664138032E-5</v>
      </c>
      <c r="S1083" s="74">
        <f t="shared" si="105"/>
        <v>1.4723033877605334E-5</v>
      </c>
      <c r="U1083" s="81">
        <f t="shared" si="106"/>
        <v>3.5247414915463571E-3</v>
      </c>
      <c r="W1083" s="80">
        <v>0.99647525850845364</v>
      </c>
    </row>
    <row r="1084" spans="2:23" x14ac:dyDescent="0.3">
      <c r="B1084">
        <v>60</v>
      </c>
      <c r="C1084">
        <v>33</v>
      </c>
      <c r="D1084">
        <v>294</v>
      </c>
      <c r="R1084" s="73">
        <f t="shared" si="107"/>
        <v>1.4623024001094085E-5</v>
      </c>
      <c r="S1084" s="74">
        <f t="shared" si="105"/>
        <v>1.4674748696703373E-5</v>
      </c>
      <c r="U1084" s="81">
        <f t="shared" si="106"/>
        <v>3.7294638275616743E-3</v>
      </c>
      <c r="W1084" s="80">
        <v>0.99627053617243833</v>
      </c>
    </row>
    <row r="1085" spans="2:23" x14ac:dyDescent="0.3">
      <c r="B1085">
        <v>60</v>
      </c>
      <c r="C1085">
        <v>33</v>
      </c>
      <c r="D1085">
        <v>308</v>
      </c>
      <c r="R1085" s="73">
        <f t="shared" si="107"/>
        <v>1.315077485791738E-5</v>
      </c>
      <c r="S1085" s="74">
        <f t="shared" si="105"/>
        <v>1.3200003794592991E-5</v>
      </c>
      <c r="U1085" s="81">
        <f t="shared" si="106"/>
        <v>3.9135746755725176E-3</v>
      </c>
      <c r="W1085" s="80">
        <v>0.99608642532442748</v>
      </c>
    </row>
    <row r="1086" spans="2:23" x14ac:dyDescent="0.3">
      <c r="B1086">
        <v>60</v>
      </c>
      <c r="C1086">
        <v>33</v>
      </c>
      <c r="D1086">
        <v>322</v>
      </c>
      <c r="R1086" s="73">
        <f t="shared" si="107"/>
        <v>1.5509577229709327E-5</v>
      </c>
      <c r="S1086" s="74">
        <f t="shared" si="105"/>
        <v>1.5570513597409808E-5</v>
      </c>
      <c r="U1086" s="81">
        <f t="shared" si="106"/>
        <v>4.1307087567884482E-3</v>
      </c>
      <c r="W1086" s="80">
        <v>0.99586929124321155</v>
      </c>
    </row>
    <row r="1087" spans="2:23" x14ac:dyDescent="0.3">
      <c r="B1087">
        <v>60</v>
      </c>
      <c r="C1087">
        <v>33</v>
      </c>
      <c r="D1087">
        <v>336</v>
      </c>
      <c r="R1087" s="73">
        <f t="shared" si="107"/>
        <v>1.1942348062629218E-5</v>
      </c>
      <c r="S1087" s="74">
        <f t="shared" si="105"/>
        <v>1.1991883038908421E-5</v>
      </c>
      <c r="U1087" s="81">
        <f t="shared" si="106"/>
        <v>4.2979016296652572E-3</v>
      </c>
      <c r="W1087" s="80">
        <v>0.99570209837033474</v>
      </c>
    </row>
    <row r="1088" spans="2:23" x14ac:dyDescent="0.3">
      <c r="B1088">
        <v>60</v>
      </c>
      <c r="C1088">
        <v>33</v>
      </c>
      <c r="D1088">
        <v>350</v>
      </c>
      <c r="R1088" s="73">
        <f t="shared" si="107"/>
        <v>1.7569518627984821E-5</v>
      </c>
      <c r="S1088" s="74">
        <f t="shared" si="105"/>
        <v>1.764535663502251E-5</v>
      </c>
      <c r="U1088" s="81">
        <f t="shared" si="106"/>
        <v>4.5438748904570447E-3</v>
      </c>
      <c r="W1088" s="80">
        <v>0.99545612510954296</v>
      </c>
    </row>
    <row r="1089" spans="2:23" x14ac:dyDescent="0.3">
      <c r="B1089">
        <v>60</v>
      </c>
      <c r="C1089">
        <v>33</v>
      </c>
      <c r="D1089">
        <v>364</v>
      </c>
      <c r="R1089" s="73">
        <f t="shared" si="107"/>
        <v>1.4860592737650105E-5</v>
      </c>
      <c r="S1089" s="74">
        <f t="shared" si="105"/>
        <v>1.4928425636051817E-5</v>
      </c>
      <c r="U1089" s="81">
        <f t="shared" si="106"/>
        <v>4.7519231887841462E-3</v>
      </c>
      <c r="W1089" s="80">
        <v>0.99524807681121585</v>
      </c>
    </row>
    <row r="1090" spans="2:23" x14ac:dyDescent="0.3">
      <c r="B1090">
        <v>61</v>
      </c>
      <c r="C1090">
        <v>33</v>
      </c>
      <c r="D1090">
        <v>0</v>
      </c>
      <c r="R1090" s="73">
        <f t="shared" si="107"/>
        <v>0</v>
      </c>
      <c r="S1090" s="74">
        <f t="shared" si="105"/>
        <v>0</v>
      </c>
      <c r="U1090" s="81">
        <f t="shared" si="106"/>
        <v>0</v>
      </c>
      <c r="W1090" s="80">
        <v>1</v>
      </c>
    </row>
    <row r="1091" spans="2:23" x14ac:dyDescent="0.3">
      <c r="B1091">
        <v>61</v>
      </c>
      <c r="C1091">
        <v>33</v>
      </c>
      <c r="D1091">
        <v>6</v>
      </c>
      <c r="R1091" s="73">
        <f t="shared" si="107"/>
        <v>3.6693031404633203E-5</v>
      </c>
      <c r="S1091" s="74">
        <f t="shared" si="105"/>
        <v>3.6693031404633203E-5</v>
      </c>
      <c r="U1091" s="81">
        <f t="shared" si="106"/>
        <v>2.2015818842779922E-4</v>
      </c>
      <c r="W1091" s="80">
        <v>0.9997798418115722</v>
      </c>
    </row>
    <row r="1092" spans="2:23" x14ac:dyDescent="0.3">
      <c r="B1092">
        <v>61</v>
      </c>
      <c r="C1092">
        <v>33</v>
      </c>
      <c r="D1092">
        <v>14</v>
      </c>
      <c r="R1092" s="73">
        <f t="shared" si="107"/>
        <v>1.8900976410871073E-5</v>
      </c>
      <c r="S1092" s="74">
        <f t="shared" si="105"/>
        <v>1.8905138531922237E-5</v>
      </c>
      <c r="U1092" s="81">
        <f t="shared" si="106"/>
        <v>3.713659997147678E-4</v>
      </c>
      <c r="W1092" s="80">
        <v>0.99962863400028523</v>
      </c>
    </row>
    <row r="1093" spans="2:23" x14ac:dyDescent="0.3">
      <c r="B1093">
        <v>61</v>
      </c>
      <c r="C1093">
        <v>33</v>
      </c>
      <c r="D1093">
        <v>21</v>
      </c>
      <c r="R1093" s="73">
        <f t="shared" si="107"/>
        <v>1.0946657988318367E-5</v>
      </c>
      <c r="S1093" s="74">
        <f t="shared" si="105"/>
        <v>1.095072471514981E-5</v>
      </c>
      <c r="U1093" s="81">
        <f t="shared" si="106"/>
        <v>4.4799260563299637E-4</v>
      </c>
      <c r="W1093" s="80">
        <v>0.999552007394367</v>
      </c>
    </row>
    <row r="1094" spans="2:23" x14ac:dyDescent="0.3">
      <c r="B1094">
        <v>61</v>
      </c>
      <c r="C1094">
        <v>33</v>
      </c>
      <c r="D1094">
        <v>28</v>
      </c>
      <c r="R1094" s="73">
        <f t="shared" si="107"/>
        <v>9.3094349198669902E-6</v>
      </c>
      <c r="S1094" s="74">
        <f t="shared" si="105"/>
        <v>9.3136073470902553E-6</v>
      </c>
      <c r="U1094" s="81">
        <f t="shared" si="106"/>
        <v>5.1315865007206529E-4</v>
      </c>
      <c r="W1094" s="80">
        <v>0.99948684134992793</v>
      </c>
    </row>
    <row r="1095" spans="2:23" x14ac:dyDescent="0.3">
      <c r="B1095">
        <v>61</v>
      </c>
      <c r="C1095">
        <v>33</v>
      </c>
      <c r="D1095">
        <v>35</v>
      </c>
      <c r="R1095" s="73">
        <f t="shared" si="107"/>
        <v>1.3562468844033734E-5</v>
      </c>
      <c r="S1095" s="74">
        <f t="shared" si="105"/>
        <v>1.3569432115500369E-5</v>
      </c>
      <c r="U1095" s="81">
        <f t="shared" si="106"/>
        <v>6.0809593198030143E-4</v>
      </c>
      <c r="W1095" s="80">
        <v>0.9993919040680197</v>
      </c>
    </row>
    <row r="1096" spans="2:23" x14ac:dyDescent="0.3">
      <c r="B1096">
        <v>61</v>
      </c>
      <c r="C1096">
        <v>33</v>
      </c>
      <c r="D1096">
        <v>42</v>
      </c>
      <c r="R1096" s="73">
        <f t="shared" si="107"/>
        <v>6.9701609241341293E-6</v>
      </c>
      <c r="S1096" s="74">
        <f t="shared" si="105"/>
        <v>6.9744020296363464E-6</v>
      </c>
      <c r="U1096" s="81">
        <f t="shared" si="106"/>
        <v>6.5688705844924034E-4</v>
      </c>
      <c r="W1096" s="80">
        <v>0.99934311294155076</v>
      </c>
    </row>
    <row r="1097" spans="2:23" x14ac:dyDescent="0.3">
      <c r="B1097">
        <v>61</v>
      </c>
      <c r="C1097">
        <v>33</v>
      </c>
      <c r="D1097">
        <v>50</v>
      </c>
      <c r="R1097" s="73">
        <f t="shared" si="107"/>
        <v>6.642730993544621E-6</v>
      </c>
      <c r="S1097" s="74">
        <f t="shared" si="105"/>
        <v>6.6470973857936008E-6</v>
      </c>
      <c r="U1097" s="81">
        <f t="shared" si="106"/>
        <v>7.100289063975973E-4</v>
      </c>
      <c r="W1097" s="80">
        <v>0.9992899710936024</v>
      </c>
    </row>
    <row r="1098" spans="2:23" x14ac:dyDescent="0.3">
      <c r="B1098">
        <v>61</v>
      </c>
      <c r="C1098">
        <v>33</v>
      </c>
      <c r="D1098">
        <v>62</v>
      </c>
      <c r="R1098" s="73">
        <f t="shared" si="107"/>
        <v>4.6916374787098203E-6</v>
      </c>
      <c r="S1098" s="74">
        <f t="shared" si="105"/>
        <v>4.6949710438656643E-6</v>
      </c>
      <c r="U1098" s="81">
        <f t="shared" si="106"/>
        <v>7.6632855614211515E-4</v>
      </c>
      <c r="W1098" s="80">
        <v>0.99923367144385788</v>
      </c>
    </row>
    <row r="1099" spans="2:23" x14ac:dyDescent="0.3">
      <c r="B1099">
        <v>61</v>
      </c>
      <c r="C1099">
        <v>33</v>
      </c>
      <c r="D1099">
        <v>71</v>
      </c>
      <c r="R1099" s="73">
        <f t="shared" si="107"/>
        <v>5.7266576733254011E-6</v>
      </c>
      <c r="S1099" s="74">
        <f t="shared" si="105"/>
        <v>5.7310495402447557E-6</v>
      </c>
      <c r="U1099" s="81">
        <f t="shared" si="106"/>
        <v>8.1786847520204375E-4</v>
      </c>
      <c r="W1099" s="80">
        <v>0.99918213152479796</v>
      </c>
    </row>
    <row r="1100" spans="2:23" x14ac:dyDescent="0.3">
      <c r="B1100">
        <v>61</v>
      </c>
      <c r="C1100">
        <v>33</v>
      </c>
      <c r="D1100">
        <v>84</v>
      </c>
      <c r="R1100" s="73">
        <f t="shared" si="107"/>
        <v>1.2680801485164517E-5</v>
      </c>
      <c r="S1100" s="74">
        <f t="shared" ref="S1100:S1163" si="108">IF(D1100&gt;D1099,(U1100-U1099)/W1099/(D1100-D1099),0)</f>
        <v>1.2691181202182859E-5</v>
      </c>
      <c r="U1100" s="81">
        <f t="shared" ref="U1100:U1163" si="109">100%-W1100</f>
        <v>9.8271889450918248E-4</v>
      </c>
      <c r="W1100" s="80">
        <v>0.99901728110549082</v>
      </c>
    </row>
    <row r="1101" spans="2:23" x14ac:dyDescent="0.3">
      <c r="B1101">
        <v>61</v>
      </c>
      <c r="C1101">
        <v>33</v>
      </c>
      <c r="D1101">
        <v>98</v>
      </c>
      <c r="R1101" s="73">
        <f t="shared" si="107"/>
        <v>9.2221144973948983E-6</v>
      </c>
      <c r="S1101" s="74">
        <f t="shared" si="108"/>
        <v>9.2311861584515403E-6</v>
      </c>
      <c r="U1101" s="81">
        <f t="shared" si="109"/>
        <v>1.1118284974727111E-3</v>
      </c>
      <c r="W1101" s="80">
        <v>0.99888817150252729</v>
      </c>
    </row>
    <row r="1102" spans="2:23" x14ac:dyDescent="0.3">
      <c r="B1102">
        <v>61</v>
      </c>
      <c r="C1102">
        <v>33</v>
      </c>
      <c r="D1102">
        <v>112</v>
      </c>
      <c r="R1102" s="73">
        <f t="shared" si="107"/>
        <v>1.3350422595021743E-5</v>
      </c>
      <c r="S1102" s="74">
        <f t="shared" si="108"/>
        <v>1.3365282496978657E-5</v>
      </c>
      <c r="U1102" s="81">
        <f t="shared" si="109"/>
        <v>1.2987344138030155E-3</v>
      </c>
      <c r="W1102" s="80">
        <v>0.99870126558619698</v>
      </c>
    </row>
    <row r="1103" spans="2:23" x14ac:dyDescent="0.3">
      <c r="B1103">
        <v>61</v>
      </c>
      <c r="C1103">
        <v>33</v>
      </c>
      <c r="D1103">
        <v>126</v>
      </c>
      <c r="R1103" s="73">
        <f t="shared" si="107"/>
        <v>1.6171179802880265E-5</v>
      </c>
      <c r="S1103" s="74">
        <f t="shared" si="108"/>
        <v>1.6192209182180661E-5</v>
      </c>
      <c r="U1103" s="81">
        <f t="shared" si="109"/>
        <v>1.5251309310433392E-3</v>
      </c>
      <c r="W1103" s="80">
        <v>0.99847486906895666</v>
      </c>
    </row>
    <row r="1104" spans="2:23" x14ac:dyDescent="0.3">
      <c r="B1104">
        <v>61</v>
      </c>
      <c r="C1104">
        <v>33</v>
      </c>
      <c r="D1104">
        <v>140</v>
      </c>
      <c r="R1104" s="73">
        <f t="shared" si="107"/>
        <v>1.9400724398535969E-5</v>
      </c>
      <c r="S1104" s="74">
        <f t="shared" si="108"/>
        <v>1.9430358238887352E-5</v>
      </c>
      <c r="U1104" s="81">
        <f t="shared" si="109"/>
        <v>1.7967410726228428E-3</v>
      </c>
      <c r="W1104" s="80">
        <v>0.99820325892737716</v>
      </c>
    </row>
    <row r="1105" spans="2:23" x14ac:dyDescent="0.3">
      <c r="B1105">
        <v>61</v>
      </c>
      <c r="C1105">
        <v>33</v>
      </c>
      <c r="D1105">
        <v>154</v>
      </c>
      <c r="R1105" s="73">
        <f t="shared" si="107"/>
        <v>1.9625779771540292E-5</v>
      </c>
      <c r="S1105" s="74">
        <f t="shared" si="108"/>
        <v>1.9661105687662496E-5</v>
      </c>
      <c r="U1105" s="81">
        <f t="shared" si="109"/>
        <v>2.0715019894244069E-3</v>
      </c>
      <c r="W1105" s="80">
        <v>0.99792849801057559</v>
      </c>
    </row>
    <row r="1106" spans="2:23" x14ac:dyDescent="0.3">
      <c r="B1106">
        <v>61</v>
      </c>
      <c r="C1106">
        <v>33</v>
      </c>
      <c r="D1106">
        <v>168</v>
      </c>
      <c r="R1106" s="73">
        <f t="shared" si="107"/>
        <v>2.2452212607691558E-5</v>
      </c>
      <c r="S1106" s="74">
        <f t="shared" si="108"/>
        <v>2.2498818955918441E-5</v>
      </c>
      <c r="U1106" s="81">
        <f t="shared" si="109"/>
        <v>2.3858329659320887E-3</v>
      </c>
      <c r="W1106" s="80">
        <v>0.99761416703406791</v>
      </c>
    </row>
    <row r="1107" spans="2:23" x14ac:dyDescent="0.3">
      <c r="B1107">
        <v>61</v>
      </c>
      <c r="C1107">
        <v>33</v>
      </c>
      <c r="D1107">
        <v>182</v>
      </c>
      <c r="R1107" s="73">
        <f t="shared" si="107"/>
        <v>2.6395165599340281E-5</v>
      </c>
      <c r="S1107" s="74">
        <f t="shared" si="108"/>
        <v>2.6458290661422516E-5</v>
      </c>
      <c r="U1107" s="81">
        <f t="shared" si="109"/>
        <v>2.7553652843228527E-3</v>
      </c>
      <c r="W1107" s="80">
        <v>0.99724463471567715</v>
      </c>
    </row>
    <row r="1108" spans="2:23" x14ac:dyDescent="0.3">
      <c r="B1108">
        <v>61</v>
      </c>
      <c r="C1108">
        <v>33</v>
      </c>
      <c r="D1108">
        <v>196</v>
      </c>
      <c r="R1108" s="73">
        <f t="shared" si="107"/>
        <v>2.0785424559402861E-5</v>
      </c>
      <c r="S1108" s="74">
        <f t="shared" si="108"/>
        <v>2.0842854236392019E-5</v>
      </c>
      <c r="U1108" s="81">
        <f t="shared" si="109"/>
        <v>3.0463612281544927E-3</v>
      </c>
      <c r="W1108" s="80">
        <v>0.99695363877184551</v>
      </c>
    </row>
    <row r="1109" spans="2:23" x14ac:dyDescent="0.3">
      <c r="B1109">
        <v>61</v>
      </c>
      <c r="C1109">
        <v>33</v>
      </c>
      <c r="D1109">
        <v>210</v>
      </c>
      <c r="R1109" s="73">
        <f t="shared" si="107"/>
        <v>1.9464272454527975E-5</v>
      </c>
      <c r="S1109" s="74">
        <f t="shared" si="108"/>
        <v>1.9523748846040779E-5</v>
      </c>
      <c r="U1109" s="81">
        <f t="shared" si="109"/>
        <v>3.3188610425178844E-3</v>
      </c>
      <c r="W1109" s="80">
        <v>0.99668113895748212</v>
      </c>
    </row>
    <row r="1110" spans="2:23" x14ac:dyDescent="0.3">
      <c r="B1110">
        <v>61</v>
      </c>
      <c r="C1110">
        <v>33</v>
      </c>
      <c r="D1110">
        <v>224</v>
      </c>
      <c r="R1110" s="73">
        <f t="shared" si="107"/>
        <v>1.8783673535035677E-5</v>
      </c>
      <c r="S1110" s="74">
        <f t="shared" si="108"/>
        <v>1.8846221525455171E-5</v>
      </c>
      <c r="U1110" s="81">
        <f t="shared" si="109"/>
        <v>3.5818324720083838E-3</v>
      </c>
      <c r="W1110" s="80">
        <v>0.99641816752799162</v>
      </c>
    </row>
    <row r="1111" spans="2:23" x14ac:dyDescent="0.3">
      <c r="B1111">
        <v>61</v>
      </c>
      <c r="C1111">
        <v>33</v>
      </c>
      <c r="D1111">
        <v>238</v>
      </c>
      <c r="R1111" s="73">
        <f t="shared" si="107"/>
        <v>2.1643393011670587E-5</v>
      </c>
      <c r="S1111" s="74">
        <f t="shared" si="108"/>
        <v>2.1721194692149746E-5</v>
      </c>
      <c r="U1111" s="81">
        <f t="shared" si="109"/>
        <v>3.8848399741717721E-3</v>
      </c>
      <c r="W1111" s="80">
        <v>0.99611516002582823</v>
      </c>
    </row>
    <row r="1112" spans="2:23" x14ac:dyDescent="0.3">
      <c r="B1112">
        <v>61</v>
      </c>
      <c r="C1112">
        <v>33</v>
      </c>
      <c r="D1112">
        <v>252</v>
      </c>
      <c r="R1112" s="73">
        <f t="shared" si="107"/>
        <v>1.8338157503715114E-5</v>
      </c>
      <c r="S1112" s="74">
        <f t="shared" si="108"/>
        <v>1.8409676149532376E-5</v>
      </c>
      <c r="U1112" s="81">
        <f t="shared" si="109"/>
        <v>4.1415741792237837E-3</v>
      </c>
      <c r="W1112" s="80">
        <v>0.99585842582077622</v>
      </c>
    </row>
    <row r="1113" spans="2:23" x14ac:dyDescent="0.3">
      <c r="B1113">
        <v>61</v>
      </c>
      <c r="C1113">
        <v>33</v>
      </c>
      <c r="D1113">
        <v>266</v>
      </c>
      <c r="R1113" s="73">
        <f t="shared" si="107"/>
        <v>1.5310733920589508E-5</v>
      </c>
      <c r="S1113" s="74">
        <f t="shared" si="108"/>
        <v>1.537440817249757E-5</v>
      </c>
      <c r="U1113" s="81">
        <f t="shared" si="109"/>
        <v>4.3559244541120368E-3</v>
      </c>
      <c r="W1113" s="80">
        <v>0.99564407554588796</v>
      </c>
    </row>
    <row r="1114" spans="2:23" x14ac:dyDescent="0.3">
      <c r="B1114">
        <v>61</v>
      </c>
      <c r="C1114">
        <v>33</v>
      </c>
      <c r="D1114">
        <v>280</v>
      </c>
      <c r="R1114" s="73">
        <f t="shared" si="107"/>
        <v>2.0937435443092933E-5</v>
      </c>
      <c r="S1114" s="74">
        <f t="shared" si="108"/>
        <v>2.1029036336718453E-5</v>
      </c>
      <c r="U1114" s="81">
        <f t="shared" si="109"/>
        <v>4.6490485503153378E-3</v>
      </c>
      <c r="W1114" s="80">
        <v>0.99535095144968466</v>
      </c>
    </row>
    <row r="1115" spans="2:23" x14ac:dyDescent="0.3">
      <c r="B1115">
        <v>61</v>
      </c>
      <c r="C1115">
        <v>33</v>
      </c>
      <c r="D1115">
        <v>294</v>
      </c>
      <c r="R1115" s="73">
        <f t="shared" si="107"/>
        <v>1.7479590938213846E-5</v>
      </c>
      <c r="S1115" s="74">
        <f t="shared" si="108"/>
        <v>1.7561233967532353E-5</v>
      </c>
      <c r="U1115" s="81">
        <f t="shared" si="109"/>
        <v>4.8937628234503316E-3</v>
      </c>
      <c r="W1115" s="80">
        <v>0.99510623717654967</v>
      </c>
    </row>
    <row r="1116" spans="2:23" x14ac:dyDescent="0.3">
      <c r="B1116">
        <v>61</v>
      </c>
      <c r="C1116">
        <v>33</v>
      </c>
      <c r="D1116">
        <v>308</v>
      </c>
      <c r="R1116" s="73">
        <f t="shared" si="107"/>
        <v>1.6164602291757202E-5</v>
      </c>
      <c r="S1116" s="74">
        <f t="shared" si="108"/>
        <v>1.6244097050001017E-5</v>
      </c>
      <c r="U1116" s="81">
        <f t="shared" si="109"/>
        <v>5.1200672555349325E-3</v>
      </c>
      <c r="W1116" s="80">
        <v>0.99487993274446507</v>
      </c>
    </row>
    <row r="1117" spans="2:23" x14ac:dyDescent="0.3">
      <c r="B1117">
        <v>61</v>
      </c>
      <c r="C1117">
        <v>33</v>
      </c>
      <c r="D1117">
        <v>322</v>
      </c>
      <c r="R1117" s="73">
        <f t="shared" si="107"/>
        <v>1.8693554792020045E-5</v>
      </c>
      <c r="S1117" s="74">
        <f t="shared" si="108"/>
        <v>1.878975962501546E-5</v>
      </c>
      <c r="U1117" s="81">
        <f t="shared" si="109"/>
        <v>5.3817770226232131E-3</v>
      </c>
      <c r="W1117" s="80">
        <v>0.99461822297737679</v>
      </c>
    </row>
    <row r="1118" spans="2:23" x14ac:dyDescent="0.3">
      <c r="B1118">
        <v>61</v>
      </c>
      <c r="C1118">
        <v>33</v>
      </c>
      <c r="D1118">
        <v>336</v>
      </c>
      <c r="R1118" s="73">
        <f t="shared" si="107"/>
        <v>1.573969947543663E-5</v>
      </c>
      <c r="S1118" s="74">
        <f t="shared" si="108"/>
        <v>1.5824865372283292E-5</v>
      </c>
      <c r="U1118" s="81">
        <f t="shared" si="109"/>
        <v>5.6021328152793259E-3</v>
      </c>
      <c r="W1118" s="80">
        <v>0.99439786718472067</v>
      </c>
    </row>
    <row r="1119" spans="2:23" x14ac:dyDescent="0.3">
      <c r="B1119">
        <v>61</v>
      </c>
      <c r="C1119">
        <v>33</v>
      </c>
      <c r="D1119">
        <v>350</v>
      </c>
      <c r="R1119" s="73">
        <f t="shared" si="107"/>
        <v>1.7452366899087641E-5</v>
      </c>
      <c r="S1119" s="74">
        <f t="shared" si="108"/>
        <v>1.7550688185301253E-5</v>
      </c>
      <c r="U1119" s="81">
        <f t="shared" si="109"/>
        <v>5.8464659518665529E-3</v>
      </c>
      <c r="W1119" s="80">
        <v>0.99415353404813345</v>
      </c>
    </row>
    <row r="1120" spans="2:23" x14ac:dyDescent="0.3">
      <c r="B1120">
        <v>61</v>
      </c>
      <c r="C1120">
        <v>33</v>
      </c>
      <c r="D1120">
        <v>364</v>
      </c>
      <c r="R1120" s="73">
        <f t="shared" si="107"/>
        <v>2.2011052461293596E-5</v>
      </c>
      <c r="S1120" s="74">
        <f t="shared" si="108"/>
        <v>2.2140496118004946E-5</v>
      </c>
      <c r="U1120" s="81">
        <f t="shared" si="109"/>
        <v>6.1546206863246633E-3</v>
      </c>
      <c r="W1120" s="80">
        <v>0.99384537931367534</v>
      </c>
    </row>
    <row r="1121" spans="2:23" x14ac:dyDescent="0.3">
      <c r="B1121">
        <v>62</v>
      </c>
      <c r="C1121">
        <v>33</v>
      </c>
      <c r="D1121">
        <v>0</v>
      </c>
      <c r="R1121" s="73">
        <f t="shared" si="107"/>
        <v>0</v>
      </c>
      <c r="S1121" s="74">
        <f t="shared" si="108"/>
        <v>0</v>
      </c>
      <c r="U1121" s="81">
        <f t="shared" si="109"/>
        <v>0</v>
      </c>
      <c r="W1121" s="80">
        <v>1</v>
      </c>
    </row>
    <row r="1122" spans="2:23" x14ac:dyDescent="0.3">
      <c r="B1122">
        <v>62</v>
      </c>
      <c r="C1122">
        <v>33</v>
      </c>
      <c r="D1122">
        <v>6</v>
      </c>
      <c r="R1122" s="73">
        <f t="shared" si="107"/>
        <v>4.3094332861648432E-5</v>
      </c>
      <c r="S1122" s="74">
        <f t="shared" si="108"/>
        <v>4.3094332861648432E-5</v>
      </c>
      <c r="U1122" s="81">
        <f t="shared" si="109"/>
        <v>2.5856599716989059E-4</v>
      </c>
      <c r="W1122" s="80">
        <v>0.99974143400283011</v>
      </c>
    </row>
    <row r="1123" spans="2:23" x14ac:dyDescent="0.3">
      <c r="B1123">
        <v>62</v>
      </c>
      <c r="C1123">
        <v>33</v>
      </c>
      <c r="D1123">
        <v>14</v>
      </c>
      <c r="R1123" s="73">
        <f t="shared" si="107"/>
        <v>1.2674546213661819E-5</v>
      </c>
      <c r="S1123" s="74">
        <f t="shared" si="108"/>
        <v>1.2677824267935603E-5</v>
      </c>
      <c r="U1123" s="81">
        <f t="shared" si="109"/>
        <v>3.5996236687918515E-4</v>
      </c>
      <c r="W1123" s="80">
        <v>0.99964003763312081</v>
      </c>
    </row>
    <row r="1124" spans="2:23" x14ac:dyDescent="0.3">
      <c r="B1124">
        <v>62</v>
      </c>
      <c r="C1124">
        <v>33</v>
      </c>
      <c r="D1124">
        <v>21</v>
      </c>
      <c r="R1124" s="73">
        <f t="shared" si="107"/>
        <v>1.1555627408780086E-5</v>
      </c>
      <c r="S1124" s="74">
        <f t="shared" si="108"/>
        <v>1.1559788497608309E-5</v>
      </c>
      <c r="U1124" s="81">
        <f t="shared" si="109"/>
        <v>4.4085175874064575E-4</v>
      </c>
      <c r="W1124" s="80">
        <v>0.99955914824125935</v>
      </c>
    </row>
    <row r="1125" spans="2:23" x14ac:dyDescent="0.3">
      <c r="B1125">
        <v>62</v>
      </c>
      <c r="C1125">
        <v>33</v>
      </c>
      <c r="D1125">
        <v>28</v>
      </c>
      <c r="R1125" s="73">
        <f t="shared" si="107"/>
        <v>1.2032872804680825E-5</v>
      </c>
      <c r="S1125" s="74">
        <f t="shared" si="108"/>
        <v>1.2038179857443016E-5</v>
      </c>
      <c r="U1125" s="81">
        <f t="shared" si="109"/>
        <v>5.2508186837341153E-4</v>
      </c>
      <c r="W1125" s="80">
        <v>0.99947491813162659</v>
      </c>
    </row>
    <row r="1126" spans="2:23" x14ac:dyDescent="0.3">
      <c r="B1126">
        <v>62</v>
      </c>
      <c r="C1126">
        <v>33</v>
      </c>
      <c r="D1126">
        <v>35</v>
      </c>
      <c r="R1126" s="73">
        <f t="shared" si="107"/>
        <v>1.4536553793988358E-5</v>
      </c>
      <c r="S1126" s="74">
        <f t="shared" si="108"/>
        <v>1.4544190684807117E-5</v>
      </c>
      <c r="U1126" s="81">
        <f t="shared" si="109"/>
        <v>6.2683774493133004E-4</v>
      </c>
      <c r="W1126" s="80">
        <v>0.99937316225506867</v>
      </c>
    </row>
    <row r="1127" spans="2:23" x14ac:dyDescent="0.3">
      <c r="B1127">
        <v>62</v>
      </c>
      <c r="C1127">
        <v>33</v>
      </c>
      <c r="D1127">
        <v>42</v>
      </c>
      <c r="R1127" s="73">
        <f t="shared" si="107"/>
        <v>1.0058548125413402E-5</v>
      </c>
      <c r="S1127" s="74">
        <f t="shared" si="108"/>
        <v>1.006485715777724E-5</v>
      </c>
      <c r="U1127" s="81">
        <f t="shared" si="109"/>
        <v>6.9724758180922386E-4</v>
      </c>
      <c r="W1127" s="80">
        <v>0.99930275241819078</v>
      </c>
    </row>
    <row r="1128" spans="2:23" x14ac:dyDescent="0.3">
      <c r="B1128">
        <v>62</v>
      </c>
      <c r="C1128">
        <v>33</v>
      </c>
      <c r="D1128">
        <v>50</v>
      </c>
      <c r="R1128" s="73">
        <f t="shared" si="107"/>
        <v>7.2719764064033132E-6</v>
      </c>
      <c r="S1128" s="74">
        <f t="shared" si="108"/>
        <v>7.2770503121361541E-6</v>
      </c>
      <c r="U1128" s="81">
        <f t="shared" si="109"/>
        <v>7.5542339306045037E-4</v>
      </c>
      <c r="W1128" s="80">
        <v>0.99924457660693955</v>
      </c>
    </row>
    <row r="1129" spans="2:23" x14ac:dyDescent="0.3">
      <c r="B1129">
        <v>62</v>
      </c>
      <c r="C1129">
        <v>33</v>
      </c>
      <c r="D1129">
        <v>62</v>
      </c>
      <c r="R1129" s="73">
        <f t="shared" si="107"/>
        <v>9.3835667922444656E-6</v>
      </c>
      <c r="S1129" s="74">
        <f t="shared" si="108"/>
        <v>9.3906607170264006E-6</v>
      </c>
      <c r="U1129" s="81">
        <f t="shared" si="109"/>
        <v>8.6802619456738395E-4</v>
      </c>
      <c r="W1129" s="80">
        <v>0.99913197380543262</v>
      </c>
    </row>
    <row r="1130" spans="2:23" x14ac:dyDescent="0.3">
      <c r="B1130">
        <v>62</v>
      </c>
      <c r="C1130">
        <v>33</v>
      </c>
      <c r="D1130">
        <v>71</v>
      </c>
      <c r="R1130" s="73">
        <f t="shared" si="107"/>
        <v>9.469292885329791E-6</v>
      </c>
      <c r="S1130" s="74">
        <f t="shared" si="108"/>
        <v>9.4775196206200145E-6</v>
      </c>
      <c r="U1130" s="81">
        <f t="shared" si="109"/>
        <v>9.5324983053535206E-4</v>
      </c>
      <c r="W1130" s="80">
        <v>0.99904675016946465</v>
      </c>
    </row>
    <row r="1131" spans="2:23" x14ac:dyDescent="0.3">
      <c r="B1131">
        <v>62</v>
      </c>
      <c r="C1131">
        <v>33</v>
      </c>
      <c r="D1131">
        <v>84</v>
      </c>
      <c r="R1131" s="73">
        <f t="shared" si="107"/>
        <v>1.3789119622012245E-5</v>
      </c>
      <c r="S1131" s="74">
        <f t="shared" si="108"/>
        <v>1.3802276639880211E-5</v>
      </c>
      <c r="U1131" s="81">
        <f t="shared" si="109"/>
        <v>1.1325083856215112E-3</v>
      </c>
      <c r="W1131" s="80">
        <v>0.99886749161437849</v>
      </c>
    </row>
    <row r="1132" spans="2:23" x14ac:dyDescent="0.3">
      <c r="B1132">
        <v>62</v>
      </c>
      <c r="C1132">
        <v>33</v>
      </c>
      <c r="D1132">
        <v>98</v>
      </c>
      <c r="R1132" s="73">
        <f t="shared" si="107"/>
        <v>1.1755500158964047E-5</v>
      </c>
      <c r="S1132" s="74">
        <f t="shared" si="108"/>
        <v>1.1768828455879271E-5</v>
      </c>
      <c r="U1132" s="81">
        <f t="shared" si="109"/>
        <v>1.2970853878470079E-3</v>
      </c>
      <c r="W1132" s="80">
        <v>0.99870291461215299</v>
      </c>
    </row>
    <row r="1133" spans="2:23" x14ac:dyDescent="0.3">
      <c r="B1133">
        <v>62</v>
      </c>
      <c r="C1133">
        <v>33</v>
      </c>
      <c r="D1133">
        <v>112</v>
      </c>
      <c r="R1133" s="73">
        <f t="shared" ref="R1133:R1196" si="110">IF(D1133&gt;D1132,(U1133-U1132)/1/(D1133-D1132),0)</f>
        <v>1.5077871885062408E-5</v>
      </c>
      <c r="S1133" s="74">
        <f t="shared" si="108"/>
        <v>1.5097454572782449E-5</v>
      </c>
      <c r="U1133" s="81">
        <f t="shared" si="109"/>
        <v>1.5081755942378816E-3</v>
      </c>
      <c r="W1133" s="80">
        <v>0.99849182440576212</v>
      </c>
    </row>
    <row r="1134" spans="2:23" x14ac:dyDescent="0.3">
      <c r="B1134">
        <v>62</v>
      </c>
      <c r="C1134">
        <v>33</v>
      </c>
      <c r="D1134">
        <v>126</v>
      </c>
      <c r="R1134" s="73">
        <f t="shared" si="110"/>
        <v>1.563473076311122E-5</v>
      </c>
      <c r="S1134" s="74">
        <f t="shared" si="108"/>
        <v>1.565834629884526E-5</v>
      </c>
      <c r="U1134" s="81">
        <f t="shared" si="109"/>
        <v>1.7270618249214387E-3</v>
      </c>
      <c r="W1134" s="80">
        <v>0.99827293817507856</v>
      </c>
    </row>
    <row r="1135" spans="2:23" x14ac:dyDescent="0.3">
      <c r="B1135">
        <v>62</v>
      </c>
      <c r="C1135">
        <v>33</v>
      </c>
      <c r="D1135">
        <v>140</v>
      </c>
      <c r="R1135" s="73">
        <f t="shared" si="110"/>
        <v>1.5726503164313422E-5</v>
      </c>
      <c r="S1135" s="74">
        <f t="shared" si="108"/>
        <v>1.5753710796831485E-5</v>
      </c>
      <c r="U1135" s="81">
        <f t="shared" si="109"/>
        <v>1.9472328692218266E-3</v>
      </c>
      <c r="W1135" s="80">
        <v>0.99805276713077817</v>
      </c>
    </row>
    <row r="1136" spans="2:23" x14ac:dyDescent="0.3">
      <c r="B1136">
        <v>62</v>
      </c>
      <c r="C1136">
        <v>33</v>
      </c>
      <c r="D1136">
        <v>154</v>
      </c>
      <c r="R1136" s="73">
        <f t="shared" si="110"/>
        <v>1.4908063114477915E-5</v>
      </c>
      <c r="S1136" s="74">
        <f t="shared" si="108"/>
        <v>1.4937149222416275E-5</v>
      </c>
      <c r="U1136" s="81">
        <f t="shared" si="109"/>
        <v>2.1559457528245174E-3</v>
      </c>
      <c r="W1136" s="80">
        <v>0.99784405424717548</v>
      </c>
    </row>
    <row r="1137" spans="2:23" x14ac:dyDescent="0.3">
      <c r="B1137">
        <v>62</v>
      </c>
      <c r="C1137">
        <v>33</v>
      </c>
      <c r="D1137">
        <v>168</v>
      </c>
      <c r="R1137" s="73">
        <f t="shared" si="110"/>
        <v>1.8906267601973399E-5</v>
      </c>
      <c r="S1137" s="74">
        <f t="shared" si="108"/>
        <v>1.8947116557443693E-5</v>
      </c>
      <c r="U1137" s="81">
        <f t="shared" si="109"/>
        <v>2.420633499252145E-3</v>
      </c>
      <c r="W1137" s="80">
        <v>0.99757936650074786</v>
      </c>
    </row>
    <row r="1138" spans="2:23" x14ac:dyDescent="0.3">
      <c r="B1138">
        <v>62</v>
      </c>
      <c r="C1138">
        <v>33</v>
      </c>
      <c r="D1138">
        <v>182</v>
      </c>
      <c r="R1138" s="73">
        <f t="shared" si="110"/>
        <v>2.2930395067970772E-5</v>
      </c>
      <c r="S1138" s="74">
        <f t="shared" si="108"/>
        <v>2.2986035836331207E-5</v>
      </c>
      <c r="U1138" s="81">
        <f t="shared" si="109"/>
        <v>2.7416590302037358E-3</v>
      </c>
      <c r="W1138" s="80">
        <v>0.99725834096979626</v>
      </c>
    </row>
    <row r="1139" spans="2:23" x14ac:dyDescent="0.3">
      <c r="B1139">
        <v>62</v>
      </c>
      <c r="C1139">
        <v>33</v>
      </c>
      <c r="D1139">
        <v>196</v>
      </c>
      <c r="R1139" s="73">
        <f t="shared" si="110"/>
        <v>1.7277048923585487E-5</v>
      </c>
      <c r="S1139" s="74">
        <f t="shared" si="108"/>
        <v>1.7324546924104146E-5</v>
      </c>
      <c r="U1139" s="81">
        <f t="shared" si="109"/>
        <v>2.9835377151339326E-3</v>
      </c>
      <c r="W1139" s="80">
        <v>0.99701646228486607</v>
      </c>
    </row>
    <row r="1140" spans="2:23" x14ac:dyDescent="0.3">
      <c r="B1140">
        <v>62</v>
      </c>
      <c r="C1140">
        <v>33</v>
      </c>
      <c r="D1140">
        <v>210</v>
      </c>
      <c r="R1140" s="73">
        <f t="shared" si="110"/>
        <v>1.5677434049653017E-5</v>
      </c>
      <c r="S1140" s="74">
        <f t="shared" si="108"/>
        <v>1.5724348235660012E-5</v>
      </c>
      <c r="U1140" s="81">
        <f t="shared" si="109"/>
        <v>3.2030217918290749E-3</v>
      </c>
      <c r="W1140" s="80">
        <v>0.99679697820817093</v>
      </c>
    </row>
    <row r="1141" spans="2:23" x14ac:dyDescent="0.3">
      <c r="B1141">
        <v>62</v>
      </c>
      <c r="C1141">
        <v>33</v>
      </c>
      <c r="D1141">
        <v>224</v>
      </c>
      <c r="R1141" s="73">
        <f t="shared" si="110"/>
        <v>1.3286490154584829E-5</v>
      </c>
      <c r="S1141" s="74">
        <f t="shared" si="108"/>
        <v>1.3329183820830243E-5</v>
      </c>
      <c r="U1141" s="81">
        <f t="shared" si="109"/>
        <v>3.3890326539932625E-3</v>
      </c>
      <c r="W1141" s="80">
        <v>0.99661096734600674</v>
      </c>
    </row>
    <row r="1142" spans="2:23" x14ac:dyDescent="0.3">
      <c r="B1142">
        <v>62</v>
      </c>
      <c r="C1142">
        <v>33</v>
      </c>
      <c r="D1142">
        <v>238</v>
      </c>
      <c r="R1142" s="73">
        <f t="shared" si="110"/>
        <v>1.5996109515002489E-5</v>
      </c>
      <c r="S1142" s="74">
        <f t="shared" si="108"/>
        <v>1.6050505201242589E-5</v>
      </c>
      <c r="U1142" s="81">
        <f t="shared" si="109"/>
        <v>3.6129781872032973E-3</v>
      </c>
      <c r="W1142" s="80">
        <v>0.9963870218127967</v>
      </c>
    </row>
    <row r="1143" spans="2:23" x14ac:dyDescent="0.3">
      <c r="B1143">
        <v>62</v>
      </c>
      <c r="C1143">
        <v>33</v>
      </c>
      <c r="D1143">
        <v>252</v>
      </c>
      <c r="R1143" s="73">
        <f t="shared" si="110"/>
        <v>1.5937509950595236E-5</v>
      </c>
      <c r="S1143" s="74">
        <f t="shared" si="108"/>
        <v>1.5995300622843329E-5</v>
      </c>
      <c r="U1143" s="81">
        <f t="shared" si="109"/>
        <v>3.8361033265116307E-3</v>
      </c>
      <c r="W1143" s="80">
        <v>0.99616389667348837</v>
      </c>
    </row>
    <row r="1144" spans="2:23" x14ac:dyDescent="0.3">
      <c r="B1144">
        <v>62</v>
      </c>
      <c r="C1144">
        <v>33</v>
      </c>
      <c r="D1144">
        <v>266</v>
      </c>
      <c r="R1144" s="73">
        <f t="shared" si="110"/>
        <v>1.83998083170267E-5</v>
      </c>
      <c r="S1144" s="74">
        <f t="shared" si="108"/>
        <v>1.8470663691456374E-5</v>
      </c>
      <c r="U1144" s="81">
        <f t="shared" si="109"/>
        <v>4.0937006429500045E-3</v>
      </c>
      <c r="W1144" s="80">
        <v>0.99590629935705</v>
      </c>
    </row>
    <row r="1145" spans="2:23" x14ac:dyDescent="0.3">
      <c r="B1145">
        <v>62</v>
      </c>
      <c r="C1145">
        <v>33</v>
      </c>
      <c r="D1145">
        <v>280</v>
      </c>
      <c r="R1145" s="73">
        <f t="shared" si="110"/>
        <v>1.699556508191361E-5</v>
      </c>
      <c r="S1145" s="74">
        <f t="shared" si="108"/>
        <v>1.7065425826592144E-5</v>
      </c>
      <c r="U1145" s="81">
        <f t="shared" si="109"/>
        <v>4.331638554096795E-3</v>
      </c>
      <c r="W1145" s="80">
        <v>0.99566836144590321</v>
      </c>
    </row>
    <row r="1146" spans="2:23" x14ac:dyDescent="0.3">
      <c r="B1146">
        <v>62</v>
      </c>
      <c r="C1146">
        <v>33</v>
      </c>
      <c r="D1146">
        <v>294</v>
      </c>
      <c r="R1146" s="73">
        <f t="shared" si="110"/>
        <v>1.1599377358784135E-5</v>
      </c>
      <c r="S1146" s="74">
        <f t="shared" si="108"/>
        <v>1.1649840255986033E-5</v>
      </c>
      <c r="U1146" s="81">
        <f t="shared" si="109"/>
        <v>4.4940298371197729E-3</v>
      </c>
      <c r="W1146" s="80">
        <v>0.99550597016288023</v>
      </c>
    </row>
    <row r="1147" spans="2:23" x14ac:dyDescent="0.3">
      <c r="B1147">
        <v>62</v>
      </c>
      <c r="C1147">
        <v>33</v>
      </c>
      <c r="D1147">
        <v>308</v>
      </c>
      <c r="R1147" s="73">
        <f t="shared" si="110"/>
        <v>1.2397918071806377E-5</v>
      </c>
      <c r="S1147" s="74">
        <f t="shared" si="108"/>
        <v>1.2453886208013285E-5</v>
      </c>
      <c r="U1147" s="81">
        <f t="shared" si="109"/>
        <v>4.6676006901250622E-3</v>
      </c>
      <c r="W1147" s="80">
        <v>0.99533239930987494</v>
      </c>
    </row>
    <row r="1148" spans="2:23" x14ac:dyDescent="0.3">
      <c r="B1148">
        <v>62</v>
      </c>
      <c r="C1148">
        <v>33</v>
      </c>
      <c r="D1148">
        <v>322</v>
      </c>
      <c r="R1148" s="73">
        <f t="shared" si="110"/>
        <v>1.7045449139203267E-5</v>
      </c>
      <c r="S1148" s="74">
        <f t="shared" si="108"/>
        <v>1.7125383591473485E-5</v>
      </c>
      <c r="U1148" s="81">
        <f t="shared" si="109"/>
        <v>4.9062369780739079E-3</v>
      </c>
      <c r="W1148" s="80">
        <v>0.99509376302192609</v>
      </c>
    </row>
    <row r="1149" spans="2:23" x14ac:dyDescent="0.3">
      <c r="B1149">
        <v>62</v>
      </c>
      <c r="C1149">
        <v>33</v>
      </c>
      <c r="D1149">
        <v>336</v>
      </c>
      <c r="R1149" s="73">
        <f t="shared" si="110"/>
        <v>1.3411264302701628E-5</v>
      </c>
      <c r="S1149" s="74">
        <f t="shared" si="108"/>
        <v>1.3477387559915921E-5</v>
      </c>
      <c r="U1149" s="81">
        <f t="shared" si="109"/>
        <v>5.0939946783117307E-3</v>
      </c>
      <c r="W1149" s="80">
        <v>0.99490600532168827</v>
      </c>
    </row>
    <row r="1150" spans="2:23" x14ac:dyDescent="0.3">
      <c r="B1150">
        <v>62</v>
      </c>
      <c r="C1150">
        <v>33</v>
      </c>
      <c r="D1150">
        <v>350</v>
      </c>
      <c r="R1150" s="73">
        <f t="shared" si="110"/>
        <v>1.4978392801004833E-5</v>
      </c>
      <c r="S1150" s="74">
        <f t="shared" si="108"/>
        <v>1.5055083315294482E-5</v>
      </c>
      <c r="U1150" s="81">
        <f t="shared" si="109"/>
        <v>5.3036921775257984E-3</v>
      </c>
      <c r="W1150" s="80">
        <v>0.9946963078224742</v>
      </c>
    </row>
    <row r="1151" spans="2:23" x14ac:dyDescent="0.3">
      <c r="B1151">
        <v>62</v>
      </c>
      <c r="C1151">
        <v>33</v>
      </c>
      <c r="D1151">
        <v>364</v>
      </c>
      <c r="R1151" s="73">
        <f t="shared" si="110"/>
        <v>1.7346707075356032E-5</v>
      </c>
      <c r="S1151" s="74">
        <f t="shared" si="108"/>
        <v>1.7439199219840613E-5</v>
      </c>
      <c r="U1151" s="81">
        <f t="shared" si="109"/>
        <v>5.5465460765807828E-3</v>
      </c>
      <c r="W1151" s="80">
        <v>0.99445345392341922</v>
      </c>
    </row>
    <row r="1152" spans="2:23" x14ac:dyDescent="0.3">
      <c r="B1152">
        <v>63</v>
      </c>
      <c r="C1152">
        <v>33</v>
      </c>
      <c r="D1152">
        <v>0</v>
      </c>
      <c r="R1152" s="73">
        <f t="shared" si="110"/>
        <v>0</v>
      </c>
      <c r="S1152" s="74">
        <f t="shared" si="108"/>
        <v>0</v>
      </c>
      <c r="U1152" s="81">
        <f t="shared" si="109"/>
        <v>0</v>
      </c>
      <c r="W1152" s="80">
        <v>1</v>
      </c>
    </row>
    <row r="1153" spans="2:23" x14ac:dyDescent="0.3">
      <c r="B1153">
        <v>63</v>
      </c>
      <c r="C1153">
        <v>33</v>
      </c>
      <c r="D1153">
        <v>6</v>
      </c>
      <c r="R1153" s="73">
        <f t="shared" si="110"/>
        <v>4.4155662443978727E-5</v>
      </c>
      <c r="S1153" s="74">
        <f t="shared" si="108"/>
        <v>4.4155662443978727E-5</v>
      </c>
      <c r="U1153" s="81">
        <f t="shared" si="109"/>
        <v>2.6493397466387236E-4</v>
      </c>
      <c r="W1153" s="80">
        <v>0.99973506602533613</v>
      </c>
    </row>
    <row r="1154" spans="2:23" x14ac:dyDescent="0.3">
      <c r="B1154">
        <v>63</v>
      </c>
      <c r="C1154">
        <v>33</v>
      </c>
      <c r="D1154">
        <v>14</v>
      </c>
      <c r="R1154" s="73">
        <f t="shared" si="110"/>
        <v>1.2206078672444276E-5</v>
      </c>
      <c r="S1154" s="74">
        <f t="shared" si="108"/>
        <v>1.2209313334353863E-5</v>
      </c>
      <c r="U1154" s="81">
        <f t="shared" si="109"/>
        <v>3.6258260404342657E-4</v>
      </c>
      <c r="W1154" s="80">
        <v>0.99963741739595657</v>
      </c>
    </row>
    <row r="1155" spans="2:23" x14ac:dyDescent="0.3">
      <c r="B1155">
        <v>63</v>
      </c>
      <c r="C1155">
        <v>33</v>
      </c>
      <c r="D1155">
        <v>21</v>
      </c>
      <c r="R1155" s="73">
        <f t="shared" si="110"/>
        <v>1.3222365149524937E-5</v>
      </c>
      <c r="S1155" s="74">
        <f t="shared" si="108"/>
        <v>1.322716108803634E-5</v>
      </c>
      <c r="U1155" s="81">
        <f t="shared" si="109"/>
        <v>4.5513916009010114E-4</v>
      </c>
      <c r="W1155" s="80">
        <v>0.9995448608399099</v>
      </c>
    </row>
    <row r="1156" spans="2:23" x14ac:dyDescent="0.3">
      <c r="B1156">
        <v>63</v>
      </c>
      <c r="C1156">
        <v>33</v>
      </c>
      <c r="D1156">
        <v>28</v>
      </c>
      <c r="R1156" s="73">
        <f t="shared" si="110"/>
        <v>1.0016650336714633E-5</v>
      </c>
      <c r="S1156" s="74">
        <f t="shared" si="108"/>
        <v>1.0021211382446324E-5</v>
      </c>
      <c r="U1156" s="81">
        <f t="shared" si="109"/>
        <v>5.2525571244710356E-4</v>
      </c>
      <c r="W1156" s="80">
        <v>0.9994747442875529</v>
      </c>
    </row>
    <row r="1157" spans="2:23" x14ac:dyDescent="0.3">
      <c r="B1157">
        <v>63</v>
      </c>
      <c r="C1157">
        <v>33</v>
      </c>
      <c r="D1157">
        <v>35</v>
      </c>
      <c r="R1157" s="73">
        <f t="shared" si="110"/>
        <v>8.5046048051706791E-6</v>
      </c>
      <c r="S1157" s="74">
        <f t="shared" si="108"/>
        <v>8.5090742450255152E-6</v>
      </c>
      <c r="U1157" s="81">
        <f t="shared" si="109"/>
        <v>5.8478794608329832E-4</v>
      </c>
      <c r="W1157" s="80">
        <v>0.9994152120539167</v>
      </c>
    </row>
    <row r="1158" spans="2:23" x14ac:dyDescent="0.3">
      <c r="B1158">
        <v>63</v>
      </c>
      <c r="C1158">
        <v>33</v>
      </c>
      <c r="D1158">
        <v>42</v>
      </c>
      <c r="R1158" s="73">
        <f t="shared" si="110"/>
        <v>1.0028985604347365E-5</v>
      </c>
      <c r="S1158" s="74">
        <f t="shared" si="108"/>
        <v>1.0034853865928867E-5</v>
      </c>
      <c r="U1158" s="81">
        <f t="shared" si="109"/>
        <v>6.5499084531372986E-4</v>
      </c>
      <c r="W1158" s="80">
        <v>0.99934500915468627</v>
      </c>
    </row>
    <row r="1159" spans="2:23" x14ac:dyDescent="0.3">
      <c r="B1159">
        <v>63</v>
      </c>
      <c r="C1159">
        <v>33</v>
      </c>
      <c r="D1159">
        <v>50</v>
      </c>
      <c r="R1159" s="73">
        <f t="shared" si="110"/>
        <v>7.789453826498316E-6</v>
      </c>
      <c r="S1159" s="74">
        <f t="shared" si="108"/>
        <v>7.7945591914119475E-6</v>
      </c>
      <c r="U1159" s="81">
        <f t="shared" si="109"/>
        <v>7.1730647592571639E-4</v>
      </c>
      <c r="W1159" s="80">
        <v>0.99928269352407428</v>
      </c>
    </row>
    <row r="1160" spans="2:23" x14ac:dyDescent="0.3">
      <c r="B1160">
        <v>63</v>
      </c>
      <c r="C1160">
        <v>33</v>
      </c>
      <c r="D1160">
        <v>62</v>
      </c>
      <c r="R1160" s="73">
        <f t="shared" si="110"/>
        <v>3.8483373317651131E-6</v>
      </c>
      <c r="S1160" s="74">
        <f t="shared" si="108"/>
        <v>3.8510997505556227E-6</v>
      </c>
      <c r="U1160" s="81">
        <f t="shared" si="109"/>
        <v>7.6348652390689775E-4</v>
      </c>
      <c r="W1160" s="80">
        <v>0.9992365134760931</v>
      </c>
    </row>
    <row r="1161" spans="2:23" x14ac:dyDescent="0.3">
      <c r="B1161">
        <v>63</v>
      </c>
      <c r="C1161">
        <v>33</v>
      </c>
      <c r="D1161">
        <v>71</v>
      </c>
      <c r="R1161" s="73">
        <f t="shared" si="110"/>
        <v>5.6302608519236899E-6</v>
      </c>
      <c r="S1161" s="74">
        <f t="shared" si="108"/>
        <v>5.634562764662618E-6</v>
      </c>
      <c r="U1161" s="81">
        <f t="shared" si="109"/>
        <v>8.1415887157421096E-4</v>
      </c>
      <c r="W1161" s="80">
        <v>0.99918584112842579</v>
      </c>
    </row>
    <row r="1162" spans="2:23" x14ac:dyDescent="0.3">
      <c r="B1162">
        <v>63</v>
      </c>
      <c r="C1162">
        <v>33</v>
      </c>
      <c r="D1162">
        <v>84</v>
      </c>
      <c r="R1162" s="73">
        <f t="shared" si="110"/>
        <v>6.0275645439140827E-6</v>
      </c>
      <c r="S1162" s="74">
        <f t="shared" si="108"/>
        <v>6.0324759377163329E-6</v>
      </c>
      <c r="U1162" s="81">
        <f t="shared" si="109"/>
        <v>8.9251721064509404E-4</v>
      </c>
      <c r="W1162" s="80">
        <v>0.99910748278935491</v>
      </c>
    </row>
    <row r="1163" spans="2:23" x14ac:dyDescent="0.3">
      <c r="B1163">
        <v>63</v>
      </c>
      <c r="C1163">
        <v>33</v>
      </c>
      <c r="D1163">
        <v>98</v>
      </c>
      <c r="R1163" s="73">
        <f t="shared" si="110"/>
        <v>5.7416402953123861E-6</v>
      </c>
      <c r="S1163" s="74">
        <f t="shared" si="108"/>
        <v>5.7467693858949055E-6</v>
      </c>
      <c r="U1163" s="81">
        <f t="shared" si="109"/>
        <v>9.7290017477946744E-4</v>
      </c>
      <c r="W1163" s="80">
        <v>0.99902709982522053</v>
      </c>
    </row>
    <row r="1164" spans="2:23" x14ac:dyDescent="0.3">
      <c r="B1164">
        <v>63</v>
      </c>
      <c r="C1164">
        <v>33</v>
      </c>
      <c r="D1164">
        <v>112</v>
      </c>
      <c r="R1164" s="73">
        <f t="shared" si="110"/>
        <v>7.4437976013459154E-6</v>
      </c>
      <c r="S1164" s="74">
        <f t="shared" ref="S1164:S1227" si="111">IF(D1164&gt;D1163,(U1164-U1163)/W1163/(D1164-D1163),0)</f>
        <v>7.4510467260079382E-6</v>
      </c>
      <c r="U1164" s="81">
        <f t="shared" ref="U1164:U1227" si="112">100%-W1164</f>
        <v>1.0771133411983103E-3</v>
      </c>
      <c r="W1164" s="80">
        <v>0.99892288665880169</v>
      </c>
    </row>
    <row r="1165" spans="2:23" x14ac:dyDescent="0.3">
      <c r="B1165">
        <v>63</v>
      </c>
      <c r="C1165">
        <v>33</v>
      </c>
      <c r="D1165">
        <v>126</v>
      </c>
      <c r="R1165" s="73">
        <f t="shared" si="110"/>
        <v>4.8009605786119332E-6</v>
      </c>
      <c r="S1165" s="74">
        <f t="shared" si="111"/>
        <v>4.8061373332532114E-6</v>
      </c>
      <c r="U1165" s="81">
        <f t="shared" si="112"/>
        <v>1.1443267892988773E-3</v>
      </c>
      <c r="W1165" s="80">
        <v>0.99885567321070112</v>
      </c>
    </row>
    <row r="1166" spans="2:23" x14ac:dyDescent="0.3">
      <c r="B1166">
        <v>63</v>
      </c>
      <c r="C1166">
        <v>33</v>
      </c>
      <c r="D1166">
        <v>140</v>
      </c>
      <c r="R1166" s="73">
        <f t="shared" si="110"/>
        <v>6.4748758732810096E-6</v>
      </c>
      <c r="S1166" s="74">
        <f t="shared" si="111"/>
        <v>6.4822937356588286E-6</v>
      </c>
      <c r="U1166" s="81">
        <f t="shared" si="112"/>
        <v>1.2349750515248115E-3</v>
      </c>
      <c r="W1166" s="80">
        <v>0.99876502494847519</v>
      </c>
    </row>
    <row r="1167" spans="2:23" x14ac:dyDescent="0.3">
      <c r="B1167">
        <v>63</v>
      </c>
      <c r="C1167">
        <v>33</v>
      </c>
      <c r="D1167">
        <v>154</v>
      </c>
      <c r="R1167" s="73">
        <f t="shared" si="110"/>
        <v>6.5257697351043098E-6</v>
      </c>
      <c r="S1167" s="74">
        <f t="shared" si="111"/>
        <v>6.5338388630909096E-6</v>
      </c>
      <c r="U1167" s="81">
        <f t="shared" si="112"/>
        <v>1.3263358278162718E-3</v>
      </c>
      <c r="W1167" s="80">
        <v>0.99867366417218373</v>
      </c>
    </row>
    <row r="1168" spans="2:23" x14ac:dyDescent="0.3">
      <c r="B1168">
        <v>63</v>
      </c>
      <c r="C1168">
        <v>33</v>
      </c>
      <c r="D1168">
        <v>168</v>
      </c>
      <c r="R1168" s="73">
        <f t="shared" si="110"/>
        <v>1.0152707009848858E-5</v>
      </c>
      <c r="S1168" s="74">
        <f t="shared" si="111"/>
        <v>1.0166190792929938E-5</v>
      </c>
      <c r="U1168" s="81">
        <f t="shared" si="112"/>
        <v>1.4684737259541558E-3</v>
      </c>
      <c r="W1168" s="80">
        <v>0.99853152627404584</v>
      </c>
    </row>
    <row r="1169" spans="2:23" x14ac:dyDescent="0.3">
      <c r="B1169">
        <v>63</v>
      </c>
      <c r="C1169">
        <v>33</v>
      </c>
      <c r="D1169">
        <v>182</v>
      </c>
      <c r="R1169" s="73">
        <f t="shared" si="110"/>
        <v>9.9096547129965243E-6</v>
      </c>
      <c r="S1169" s="74">
        <f t="shared" si="111"/>
        <v>9.9242281813311825E-6</v>
      </c>
      <c r="U1169" s="81">
        <f t="shared" si="112"/>
        <v>1.6072088919361072E-3</v>
      </c>
      <c r="W1169" s="80">
        <v>0.99839279110806389</v>
      </c>
    </row>
    <row r="1170" spans="2:23" x14ac:dyDescent="0.3">
      <c r="B1170">
        <v>63</v>
      </c>
      <c r="C1170">
        <v>33</v>
      </c>
      <c r="D1170">
        <v>196</v>
      </c>
      <c r="R1170" s="73">
        <f t="shared" si="110"/>
        <v>1.4720791590205895E-5</v>
      </c>
      <c r="S1170" s="74">
        <f t="shared" si="111"/>
        <v>1.4744489064136829E-5</v>
      </c>
      <c r="U1170" s="81">
        <f t="shared" si="112"/>
        <v>1.8132999741989897E-3</v>
      </c>
      <c r="W1170" s="80">
        <v>0.99818670002580101</v>
      </c>
    </row>
    <row r="1171" spans="2:23" x14ac:dyDescent="0.3">
      <c r="B1171">
        <v>63</v>
      </c>
      <c r="C1171">
        <v>33</v>
      </c>
      <c r="D1171">
        <v>210</v>
      </c>
      <c r="R1171" s="73">
        <f t="shared" si="110"/>
        <v>6.994536863995966E-6</v>
      </c>
      <c r="S1171" s="74">
        <f t="shared" si="111"/>
        <v>7.0072430977242745E-6</v>
      </c>
      <c r="U1171" s="81">
        <f t="shared" si="112"/>
        <v>1.9112234902949332E-3</v>
      </c>
      <c r="W1171" s="80">
        <v>0.99808877650970507</v>
      </c>
    </row>
    <row r="1172" spans="2:23" x14ac:dyDescent="0.3">
      <c r="B1172">
        <v>63</v>
      </c>
      <c r="C1172">
        <v>33</v>
      </c>
      <c r="D1172">
        <v>224</v>
      </c>
      <c r="R1172" s="73">
        <f t="shared" si="110"/>
        <v>6.3411924619798706E-6</v>
      </c>
      <c r="S1172" s="74">
        <f t="shared" si="111"/>
        <v>6.3533351052747872E-6</v>
      </c>
      <c r="U1172" s="81">
        <f t="shared" si="112"/>
        <v>2.0000001847626514E-3</v>
      </c>
      <c r="W1172" s="80">
        <v>0.99799999981523735</v>
      </c>
    </row>
    <row r="1173" spans="2:23" x14ac:dyDescent="0.3">
      <c r="B1173">
        <v>63</v>
      </c>
      <c r="C1173">
        <v>33</v>
      </c>
      <c r="D1173">
        <v>238</v>
      </c>
      <c r="R1173" s="73">
        <f t="shared" si="110"/>
        <v>1.1037893084240937E-5</v>
      </c>
      <c r="S1173" s="74">
        <f t="shared" si="111"/>
        <v>1.1060013112509433E-5</v>
      </c>
      <c r="U1173" s="81">
        <f t="shared" si="112"/>
        <v>2.1545306879420245E-3</v>
      </c>
      <c r="W1173" s="80">
        <v>0.99784546931205798</v>
      </c>
    </row>
    <row r="1174" spans="2:23" x14ac:dyDescent="0.3">
      <c r="B1174">
        <v>63</v>
      </c>
      <c r="C1174">
        <v>33</v>
      </c>
      <c r="D1174">
        <v>252</v>
      </c>
      <c r="R1174" s="73">
        <f t="shared" si="110"/>
        <v>8.2216441900254514E-6</v>
      </c>
      <c r="S1174" s="74">
        <f t="shared" si="111"/>
        <v>8.2393962220359416E-6</v>
      </c>
      <c r="U1174" s="81">
        <f t="shared" si="112"/>
        <v>2.2696337066023808E-3</v>
      </c>
      <c r="W1174" s="80">
        <v>0.99773036629339762</v>
      </c>
    </row>
    <row r="1175" spans="2:23" x14ac:dyDescent="0.3">
      <c r="B1175">
        <v>63</v>
      </c>
      <c r="C1175">
        <v>33</v>
      </c>
      <c r="D1175">
        <v>266</v>
      </c>
      <c r="R1175" s="73">
        <f t="shared" si="110"/>
        <v>7.0975475146086072E-6</v>
      </c>
      <c r="S1175" s="74">
        <f t="shared" si="111"/>
        <v>7.1136929920016756E-6</v>
      </c>
      <c r="U1175" s="81">
        <f t="shared" si="112"/>
        <v>2.3689993718069013E-3</v>
      </c>
      <c r="W1175" s="80">
        <v>0.9976310006281931</v>
      </c>
    </row>
    <row r="1176" spans="2:23" x14ac:dyDescent="0.3">
      <c r="B1176">
        <v>63</v>
      </c>
      <c r="C1176">
        <v>33</v>
      </c>
      <c r="D1176">
        <v>280</v>
      </c>
      <c r="R1176" s="73">
        <f t="shared" si="110"/>
        <v>1.0926689894520867E-5</v>
      </c>
      <c r="S1176" s="74">
        <f t="shared" si="111"/>
        <v>1.095263668394476E-5</v>
      </c>
      <c r="U1176" s="81">
        <f t="shared" si="112"/>
        <v>2.5219730303301935E-3</v>
      </c>
      <c r="W1176" s="80">
        <v>0.99747802696966981</v>
      </c>
    </row>
    <row r="1177" spans="2:23" x14ac:dyDescent="0.3">
      <c r="B1177">
        <v>63</v>
      </c>
      <c r="C1177">
        <v>33</v>
      </c>
      <c r="D1177">
        <v>294</v>
      </c>
      <c r="R1177" s="73">
        <f t="shared" si="110"/>
        <v>9.6875897013792844E-6</v>
      </c>
      <c r="S1177" s="74">
        <f t="shared" si="111"/>
        <v>9.7120833135644141E-6</v>
      </c>
      <c r="U1177" s="81">
        <f t="shared" si="112"/>
        <v>2.6575992861495035E-3</v>
      </c>
      <c r="W1177" s="80">
        <v>0.9973424007138505</v>
      </c>
    </row>
    <row r="1178" spans="2:23" x14ac:dyDescent="0.3">
      <c r="B1178">
        <v>63</v>
      </c>
      <c r="C1178">
        <v>33</v>
      </c>
      <c r="D1178">
        <v>308</v>
      </c>
      <c r="R1178" s="73">
        <f t="shared" si="110"/>
        <v>6.4919187660605893E-6</v>
      </c>
      <c r="S1178" s="74">
        <f t="shared" si="111"/>
        <v>6.5092176582625791E-6</v>
      </c>
      <c r="U1178" s="81">
        <f t="shared" si="112"/>
        <v>2.7484861488743517E-3</v>
      </c>
      <c r="W1178" s="80">
        <v>0.99725151385112565</v>
      </c>
    </row>
    <row r="1179" spans="2:23" x14ac:dyDescent="0.3">
      <c r="B1179">
        <v>63</v>
      </c>
      <c r="C1179">
        <v>33</v>
      </c>
      <c r="D1179">
        <v>322</v>
      </c>
      <c r="R1179" s="73">
        <f t="shared" si="110"/>
        <v>1.054877327486389E-5</v>
      </c>
      <c r="S1179" s="74">
        <f t="shared" si="111"/>
        <v>1.0577846339011584E-5</v>
      </c>
      <c r="U1179" s="81">
        <f t="shared" si="112"/>
        <v>2.8961689747224462E-3</v>
      </c>
      <c r="W1179" s="80">
        <v>0.99710383102527755</v>
      </c>
    </row>
    <row r="1180" spans="2:23" x14ac:dyDescent="0.3">
      <c r="B1180">
        <v>63</v>
      </c>
      <c r="C1180">
        <v>33</v>
      </c>
      <c r="D1180">
        <v>336</v>
      </c>
      <c r="R1180" s="73">
        <f t="shared" si="110"/>
        <v>6.8156582630485296E-6</v>
      </c>
      <c r="S1180" s="74">
        <f t="shared" si="111"/>
        <v>6.8354548954448316E-6</v>
      </c>
      <c r="U1180" s="81">
        <f t="shared" si="112"/>
        <v>2.9915881904051256E-3</v>
      </c>
      <c r="W1180" s="80">
        <v>0.99700841180959487</v>
      </c>
    </row>
    <row r="1181" spans="2:23" x14ac:dyDescent="0.3">
      <c r="B1181">
        <v>63</v>
      </c>
      <c r="C1181">
        <v>33</v>
      </c>
      <c r="D1181">
        <v>350</v>
      </c>
      <c r="R1181" s="73">
        <f t="shared" si="110"/>
        <v>9.8730316431816512E-6</v>
      </c>
      <c r="S1181" s="74">
        <f t="shared" si="111"/>
        <v>9.9026563128608455E-6</v>
      </c>
      <c r="U1181" s="81">
        <f t="shared" si="112"/>
        <v>3.1298106334096687E-3</v>
      </c>
      <c r="W1181" s="80">
        <v>0.99687018936659033</v>
      </c>
    </row>
    <row r="1182" spans="2:23" x14ac:dyDescent="0.3">
      <c r="B1182">
        <v>63</v>
      </c>
      <c r="C1182">
        <v>33</v>
      </c>
      <c r="D1182">
        <v>364</v>
      </c>
      <c r="R1182" s="73">
        <f t="shared" si="110"/>
        <v>1.0666661384400073E-5</v>
      </c>
      <c r="S1182" s="74">
        <f t="shared" si="111"/>
        <v>1.0700150830247669E-5</v>
      </c>
      <c r="U1182" s="81">
        <f t="shared" si="112"/>
        <v>3.2791438927912697E-3</v>
      </c>
      <c r="W1182" s="80">
        <v>0.99672085610720873</v>
      </c>
    </row>
    <row r="1183" spans="2:23" x14ac:dyDescent="0.3">
      <c r="B1183">
        <v>64</v>
      </c>
      <c r="C1183">
        <v>33</v>
      </c>
      <c r="D1183">
        <v>0</v>
      </c>
      <c r="R1183" s="73">
        <f t="shared" si="110"/>
        <v>0</v>
      </c>
      <c r="S1183" s="74">
        <f t="shared" si="111"/>
        <v>0</v>
      </c>
      <c r="U1183" s="81">
        <f t="shared" si="112"/>
        <v>0</v>
      </c>
      <c r="W1183" s="80">
        <v>1</v>
      </c>
    </row>
    <row r="1184" spans="2:23" x14ac:dyDescent="0.3">
      <c r="B1184">
        <v>64</v>
      </c>
      <c r="C1184">
        <v>33</v>
      </c>
      <c r="D1184">
        <v>6</v>
      </c>
      <c r="R1184" s="73">
        <f t="shared" si="110"/>
        <v>5.8639598560265384E-5</v>
      </c>
      <c r="S1184" s="74">
        <f t="shared" si="111"/>
        <v>5.8639598560265384E-5</v>
      </c>
      <c r="U1184" s="81">
        <f t="shared" si="112"/>
        <v>3.5183759136159232E-4</v>
      </c>
      <c r="W1184" s="80">
        <v>0.99964816240863841</v>
      </c>
    </row>
    <row r="1185" spans="2:23" x14ac:dyDescent="0.3">
      <c r="B1185">
        <v>64</v>
      </c>
      <c r="C1185">
        <v>33</v>
      </c>
      <c r="D1185">
        <v>14</v>
      </c>
      <c r="R1185" s="73">
        <f t="shared" si="110"/>
        <v>1.6441496200864103E-5</v>
      </c>
      <c r="S1185" s="74">
        <f t="shared" si="111"/>
        <v>1.6447282973289867E-5</v>
      </c>
      <c r="U1185" s="81">
        <f t="shared" si="112"/>
        <v>4.8336956096850514E-4</v>
      </c>
      <c r="W1185" s="80">
        <v>0.99951663043903149</v>
      </c>
    </row>
    <row r="1186" spans="2:23" x14ac:dyDescent="0.3">
      <c r="B1186">
        <v>64</v>
      </c>
      <c r="C1186">
        <v>33</v>
      </c>
      <c r="D1186">
        <v>21</v>
      </c>
      <c r="R1186" s="73">
        <f t="shared" si="110"/>
        <v>9.3031173569973235E-6</v>
      </c>
      <c r="S1186" s="74">
        <f t="shared" si="111"/>
        <v>9.307616375438383E-6</v>
      </c>
      <c r="U1186" s="81">
        <f t="shared" si="112"/>
        <v>5.4849138246748641E-4</v>
      </c>
      <c r="W1186" s="80">
        <v>0.99945150861753251</v>
      </c>
    </row>
    <row r="1187" spans="2:23" x14ac:dyDescent="0.3">
      <c r="B1187">
        <v>64</v>
      </c>
      <c r="C1187">
        <v>33</v>
      </c>
      <c r="D1187">
        <v>28</v>
      </c>
      <c r="R1187" s="73">
        <f t="shared" si="110"/>
        <v>9.611269121245769E-6</v>
      </c>
      <c r="S1187" s="74">
        <f t="shared" si="111"/>
        <v>9.6165437126012523E-6</v>
      </c>
      <c r="U1187" s="81">
        <f t="shared" si="112"/>
        <v>6.1577026631620679E-4</v>
      </c>
      <c r="W1187" s="80">
        <v>0.99938422973368379</v>
      </c>
    </row>
    <row r="1188" spans="2:23" x14ac:dyDescent="0.3">
      <c r="B1188">
        <v>64</v>
      </c>
      <c r="C1188">
        <v>33</v>
      </c>
      <c r="D1188">
        <v>35</v>
      </c>
      <c r="R1188" s="73">
        <f t="shared" si="110"/>
        <v>8.5741189487866161E-6</v>
      </c>
      <c r="S1188" s="74">
        <f t="shared" si="111"/>
        <v>8.5794018893728689E-6</v>
      </c>
      <c r="U1188" s="81">
        <f t="shared" si="112"/>
        <v>6.7578909895771311E-4</v>
      </c>
      <c r="W1188" s="80">
        <v>0.99932421090104229</v>
      </c>
    </row>
    <row r="1189" spans="2:23" x14ac:dyDescent="0.3">
      <c r="B1189">
        <v>64</v>
      </c>
      <c r="C1189">
        <v>33</v>
      </c>
      <c r="D1189">
        <v>42</v>
      </c>
      <c r="R1189" s="73">
        <f t="shared" si="110"/>
        <v>1.8559177352828193E-5</v>
      </c>
      <c r="S1189" s="74">
        <f t="shared" si="111"/>
        <v>1.8571727924108115E-5</v>
      </c>
      <c r="U1189" s="81">
        <f t="shared" si="112"/>
        <v>8.0570334042751046E-4</v>
      </c>
      <c r="W1189" s="80">
        <v>0.99919429665957249</v>
      </c>
    </row>
    <row r="1190" spans="2:23" x14ac:dyDescent="0.3">
      <c r="B1190">
        <v>64</v>
      </c>
      <c r="C1190">
        <v>33</v>
      </c>
      <c r="D1190">
        <v>50</v>
      </c>
      <c r="R1190" s="73">
        <f t="shared" si="110"/>
        <v>5.3320193190431464E-6</v>
      </c>
      <c r="S1190" s="74">
        <f t="shared" si="111"/>
        <v>5.3363188089330903E-6</v>
      </c>
      <c r="U1190" s="81">
        <f t="shared" si="112"/>
        <v>8.4835949497985563E-4</v>
      </c>
      <c r="W1190" s="80">
        <v>0.99915164050502014</v>
      </c>
    </row>
    <row r="1191" spans="2:23" x14ac:dyDescent="0.3">
      <c r="B1191">
        <v>64</v>
      </c>
      <c r="C1191">
        <v>33</v>
      </c>
      <c r="D1191">
        <v>62</v>
      </c>
      <c r="R1191" s="73">
        <f t="shared" si="110"/>
        <v>6.9022855980020266E-6</v>
      </c>
      <c r="S1191" s="74">
        <f t="shared" si="111"/>
        <v>6.9081461894145249E-6</v>
      </c>
      <c r="U1191" s="81">
        <f t="shared" si="112"/>
        <v>9.3118692215587995E-4</v>
      </c>
      <c r="W1191" s="80">
        <v>0.99906881307784412</v>
      </c>
    </row>
    <row r="1192" spans="2:23" x14ac:dyDescent="0.3">
      <c r="B1192">
        <v>64</v>
      </c>
      <c r="C1192">
        <v>33</v>
      </c>
      <c r="D1192">
        <v>71</v>
      </c>
      <c r="R1192" s="73">
        <f t="shared" si="110"/>
        <v>8.1977291316068536E-6</v>
      </c>
      <c r="S1192" s="74">
        <f t="shared" si="111"/>
        <v>8.20536986471633E-6</v>
      </c>
      <c r="U1192" s="81">
        <f t="shared" si="112"/>
        <v>1.0049664843403416E-3</v>
      </c>
      <c r="W1192" s="80">
        <v>0.99899503351565966</v>
      </c>
    </row>
    <row r="1193" spans="2:23" x14ac:dyDescent="0.3">
      <c r="B1193">
        <v>64</v>
      </c>
      <c r="C1193">
        <v>33</v>
      </c>
      <c r="D1193">
        <v>84</v>
      </c>
      <c r="R1193" s="73">
        <f t="shared" si="110"/>
        <v>9.058437685530804E-6</v>
      </c>
      <c r="S1193" s="74">
        <f t="shared" si="111"/>
        <v>9.0675502696468699E-6</v>
      </c>
      <c r="U1193" s="81">
        <f t="shared" si="112"/>
        <v>1.1227261742522421E-3</v>
      </c>
      <c r="W1193" s="80">
        <v>0.99887727382574776</v>
      </c>
    </row>
    <row r="1194" spans="2:23" x14ac:dyDescent="0.3">
      <c r="B1194">
        <v>64</v>
      </c>
      <c r="C1194">
        <v>33</v>
      </c>
      <c r="D1194">
        <v>98</v>
      </c>
      <c r="R1194" s="73">
        <f t="shared" si="110"/>
        <v>1.3749727180109187E-5</v>
      </c>
      <c r="S1194" s="74">
        <f t="shared" si="111"/>
        <v>1.376518170990824E-5</v>
      </c>
      <c r="U1194" s="81">
        <f t="shared" si="112"/>
        <v>1.3152223547737707E-3</v>
      </c>
      <c r="W1194" s="80">
        <v>0.99868477764522623</v>
      </c>
    </row>
    <row r="1195" spans="2:23" x14ac:dyDescent="0.3">
      <c r="B1195">
        <v>64</v>
      </c>
      <c r="C1195">
        <v>33</v>
      </c>
      <c r="D1195">
        <v>112</v>
      </c>
      <c r="R1195" s="73">
        <f t="shared" si="110"/>
        <v>1.3749107806858088E-5</v>
      </c>
      <c r="S1195" s="74">
        <f t="shared" si="111"/>
        <v>1.3767214755467448E-5</v>
      </c>
      <c r="U1195" s="81">
        <f t="shared" si="112"/>
        <v>1.5077098640697839E-3</v>
      </c>
      <c r="W1195" s="80">
        <v>0.99849229013593022</v>
      </c>
    </row>
    <row r="1196" spans="2:23" x14ac:dyDescent="0.3">
      <c r="B1196">
        <v>64</v>
      </c>
      <c r="C1196">
        <v>33</v>
      </c>
      <c r="D1196">
        <v>126</v>
      </c>
      <c r="R1196" s="73">
        <f t="shared" si="110"/>
        <v>1.4815253700593636E-5</v>
      </c>
      <c r="S1196" s="74">
        <f t="shared" si="111"/>
        <v>1.48376245334621E-5</v>
      </c>
      <c r="U1196" s="81">
        <f t="shared" si="112"/>
        <v>1.7151234158780948E-3</v>
      </c>
      <c r="W1196" s="80">
        <v>0.99828487658412191</v>
      </c>
    </row>
    <row r="1197" spans="2:23" x14ac:dyDescent="0.3">
      <c r="B1197">
        <v>64</v>
      </c>
      <c r="C1197">
        <v>33</v>
      </c>
      <c r="D1197">
        <v>140</v>
      </c>
      <c r="R1197" s="73">
        <f t="shared" ref="R1197:R1260" si="113">IF(D1197&gt;D1196,(U1197-U1196)/1/(D1197-D1196),0)</f>
        <v>1.9875372744234836E-5</v>
      </c>
      <c r="S1197" s="74">
        <f t="shared" si="111"/>
        <v>1.9909520028234154E-5</v>
      </c>
      <c r="U1197" s="81">
        <f t="shared" si="112"/>
        <v>1.9933786342973825E-3</v>
      </c>
      <c r="W1197" s="80">
        <v>0.99800662136570262</v>
      </c>
    </row>
    <row r="1198" spans="2:23" x14ac:dyDescent="0.3">
      <c r="B1198">
        <v>64</v>
      </c>
      <c r="C1198">
        <v>33</v>
      </c>
      <c r="D1198">
        <v>154</v>
      </c>
      <c r="R1198" s="73">
        <f t="shared" si="113"/>
        <v>1.7476296323894391E-5</v>
      </c>
      <c r="S1198" s="74">
        <f t="shared" si="111"/>
        <v>1.7511202781379638E-5</v>
      </c>
      <c r="U1198" s="81">
        <f t="shared" si="112"/>
        <v>2.2380467828319039E-3</v>
      </c>
      <c r="W1198" s="80">
        <v>0.9977619532171681</v>
      </c>
    </row>
    <row r="1199" spans="2:23" x14ac:dyDescent="0.3">
      <c r="B1199">
        <v>64</v>
      </c>
      <c r="C1199">
        <v>33</v>
      </c>
      <c r="D1199">
        <v>168</v>
      </c>
      <c r="R1199" s="73">
        <f t="shared" si="113"/>
        <v>2.3779043907704418E-5</v>
      </c>
      <c r="S1199" s="74">
        <f t="shared" si="111"/>
        <v>2.3832381893328001E-5</v>
      </c>
      <c r="U1199" s="81">
        <f t="shared" si="112"/>
        <v>2.5709533975397658E-3</v>
      </c>
      <c r="W1199" s="80">
        <v>0.99742904660246023</v>
      </c>
    </row>
    <row r="1200" spans="2:23" x14ac:dyDescent="0.3">
      <c r="B1200">
        <v>64</v>
      </c>
      <c r="C1200">
        <v>33</v>
      </c>
      <c r="D1200">
        <v>182</v>
      </c>
      <c r="R1200" s="73">
        <f t="shared" si="113"/>
        <v>2.3539990093246477E-5</v>
      </c>
      <c r="S1200" s="74">
        <f t="shared" si="111"/>
        <v>2.3600666306471299E-5</v>
      </c>
      <c r="U1200" s="81">
        <f t="shared" si="112"/>
        <v>2.9005132588452165E-3</v>
      </c>
      <c r="W1200" s="80">
        <v>0.99709948674115478</v>
      </c>
    </row>
    <row r="1201" spans="2:23" x14ac:dyDescent="0.3">
      <c r="B1201">
        <v>64</v>
      </c>
      <c r="C1201">
        <v>33</v>
      </c>
      <c r="D1201">
        <v>196</v>
      </c>
      <c r="R1201" s="73">
        <f t="shared" si="113"/>
        <v>2.0928850511581221E-5</v>
      </c>
      <c r="S1201" s="74">
        <f t="shared" si="111"/>
        <v>2.0989731506114303E-5</v>
      </c>
      <c r="U1201" s="81">
        <f t="shared" si="112"/>
        <v>3.1935171660073536E-3</v>
      </c>
      <c r="W1201" s="80">
        <v>0.99680648283399265</v>
      </c>
    </row>
    <row r="1202" spans="2:23" x14ac:dyDescent="0.3">
      <c r="B1202">
        <v>64</v>
      </c>
      <c r="C1202">
        <v>33</v>
      </c>
      <c r="D1202">
        <v>210</v>
      </c>
      <c r="R1202" s="73">
        <f t="shared" si="113"/>
        <v>1.8009536252099651E-5</v>
      </c>
      <c r="S1202" s="74">
        <f t="shared" si="111"/>
        <v>1.8067234274898819E-5</v>
      </c>
      <c r="U1202" s="81">
        <f t="shared" si="112"/>
        <v>3.4456506735367487E-3</v>
      </c>
      <c r="W1202" s="80">
        <v>0.99655434932646325</v>
      </c>
    </row>
    <row r="1203" spans="2:23" x14ac:dyDescent="0.3">
      <c r="B1203">
        <v>64</v>
      </c>
      <c r="C1203">
        <v>33</v>
      </c>
      <c r="D1203">
        <v>224</v>
      </c>
      <c r="R1203" s="73">
        <f t="shared" si="113"/>
        <v>1.2264055853424985E-5</v>
      </c>
      <c r="S1203" s="74">
        <f t="shared" si="111"/>
        <v>1.2306459614283795E-5</v>
      </c>
      <c r="U1203" s="81">
        <f t="shared" si="112"/>
        <v>3.6173474554846985E-3</v>
      </c>
      <c r="W1203" s="80">
        <v>0.9963826525445153</v>
      </c>
    </row>
    <row r="1204" spans="2:23" x14ac:dyDescent="0.3">
      <c r="B1204">
        <v>64</v>
      </c>
      <c r="C1204">
        <v>33</v>
      </c>
      <c r="D1204">
        <v>238</v>
      </c>
      <c r="R1204" s="73">
        <f t="shared" si="113"/>
        <v>1.9370717377200008E-5</v>
      </c>
      <c r="S1204" s="74">
        <f t="shared" si="111"/>
        <v>1.9441042382393929E-5</v>
      </c>
      <c r="U1204" s="81">
        <f t="shared" si="112"/>
        <v>3.8885374987654986E-3</v>
      </c>
      <c r="W1204" s="80">
        <v>0.9961114625012345</v>
      </c>
    </row>
    <row r="1205" spans="2:23" x14ac:dyDescent="0.3">
      <c r="B1205">
        <v>64</v>
      </c>
      <c r="C1205">
        <v>33</v>
      </c>
      <c r="D1205">
        <v>252</v>
      </c>
      <c r="R1205" s="73">
        <f t="shared" si="113"/>
        <v>1.5731865911710369E-5</v>
      </c>
      <c r="S1205" s="74">
        <f t="shared" si="111"/>
        <v>1.5793278668039496E-5</v>
      </c>
      <c r="U1205" s="81">
        <f t="shared" si="112"/>
        <v>4.1087836215294438E-3</v>
      </c>
      <c r="W1205" s="80">
        <v>0.99589121637847056</v>
      </c>
    </row>
    <row r="1206" spans="2:23" x14ac:dyDescent="0.3">
      <c r="B1206">
        <v>64</v>
      </c>
      <c r="C1206">
        <v>33</v>
      </c>
      <c r="D1206">
        <v>266</v>
      </c>
      <c r="R1206" s="73">
        <f t="shared" si="113"/>
        <v>1.2939791671305403E-5</v>
      </c>
      <c r="S1206" s="74">
        <f t="shared" si="111"/>
        <v>1.2993177827554879E-5</v>
      </c>
      <c r="U1206" s="81">
        <f t="shared" si="112"/>
        <v>4.2899407049277194E-3</v>
      </c>
      <c r="W1206" s="80">
        <v>0.99571005929507228</v>
      </c>
    </row>
    <row r="1207" spans="2:23" x14ac:dyDescent="0.3">
      <c r="B1207">
        <v>64</v>
      </c>
      <c r="C1207">
        <v>33</v>
      </c>
      <c r="D1207">
        <v>280</v>
      </c>
      <c r="R1207" s="73">
        <f t="shared" si="113"/>
        <v>1.5526181211105478E-5</v>
      </c>
      <c r="S1207" s="74">
        <f t="shared" si="111"/>
        <v>1.5593074576445948E-5</v>
      </c>
      <c r="U1207" s="81">
        <f t="shared" si="112"/>
        <v>4.5073072418831961E-3</v>
      </c>
      <c r="W1207" s="80">
        <v>0.9954926927581168</v>
      </c>
    </row>
    <row r="1208" spans="2:23" x14ac:dyDescent="0.3">
      <c r="B1208">
        <v>64</v>
      </c>
      <c r="C1208">
        <v>33</v>
      </c>
      <c r="D1208">
        <v>294</v>
      </c>
      <c r="R1208" s="73">
        <f t="shared" si="113"/>
        <v>1.1166422633292403E-5</v>
      </c>
      <c r="S1208" s="74">
        <f t="shared" si="111"/>
        <v>1.1216981013044566E-5</v>
      </c>
      <c r="U1208" s="81">
        <f t="shared" si="112"/>
        <v>4.6636371587492897E-3</v>
      </c>
      <c r="W1208" s="80">
        <v>0.99533636284125071</v>
      </c>
    </row>
    <row r="1209" spans="2:23" x14ac:dyDescent="0.3">
      <c r="B1209">
        <v>64</v>
      </c>
      <c r="C1209">
        <v>33</v>
      </c>
      <c r="D1209">
        <v>308</v>
      </c>
      <c r="R1209" s="73">
        <f t="shared" si="113"/>
        <v>1.149830307940152E-5</v>
      </c>
      <c r="S1209" s="74">
        <f t="shared" si="111"/>
        <v>1.1552178247139375E-5</v>
      </c>
      <c r="U1209" s="81">
        <f t="shared" si="112"/>
        <v>4.824613401860911E-3</v>
      </c>
      <c r="W1209" s="80">
        <v>0.99517538659813909</v>
      </c>
    </row>
    <row r="1210" spans="2:23" x14ac:dyDescent="0.3">
      <c r="B1210">
        <v>64</v>
      </c>
      <c r="C1210">
        <v>33</v>
      </c>
      <c r="D1210">
        <v>322</v>
      </c>
      <c r="R1210" s="73">
        <f t="shared" si="113"/>
        <v>1.45181271039336E-5</v>
      </c>
      <c r="S1210" s="74">
        <f t="shared" si="111"/>
        <v>1.458851102976098E-5</v>
      </c>
      <c r="U1210" s="81">
        <f t="shared" si="112"/>
        <v>5.0278671813159814E-3</v>
      </c>
      <c r="W1210" s="80">
        <v>0.99497213281868402</v>
      </c>
    </row>
    <row r="1211" spans="2:23" x14ac:dyDescent="0.3">
      <c r="B1211">
        <v>64</v>
      </c>
      <c r="C1211">
        <v>33</v>
      </c>
      <c r="D1211">
        <v>336</v>
      </c>
      <c r="R1211" s="73">
        <f t="shared" si="113"/>
        <v>1.3754884624406216E-5</v>
      </c>
      <c r="S1211" s="74">
        <f t="shared" si="111"/>
        <v>1.3824391830391897E-5</v>
      </c>
      <c r="U1211" s="81">
        <f t="shared" si="112"/>
        <v>5.2204355660576685E-3</v>
      </c>
      <c r="W1211" s="80">
        <v>0.99477956443394233</v>
      </c>
    </row>
    <row r="1212" spans="2:23" x14ac:dyDescent="0.3">
      <c r="B1212">
        <v>64</v>
      </c>
      <c r="C1212">
        <v>33</v>
      </c>
      <c r="D1212">
        <v>350</v>
      </c>
      <c r="R1212" s="73">
        <f t="shared" si="113"/>
        <v>1.0912379060859908E-5</v>
      </c>
      <c r="S1212" s="74">
        <f t="shared" si="111"/>
        <v>1.0969645387789365E-5</v>
      </c>
      <c r="U1212" s="81">
        <f t="shared" si="112"/>
        <v>5.3732088729097072E-3</v>
      </c>
      <c r="W1212" s="80">
        <v>0.99462679112709029</v>
      </c>
    </row>
    <row r="1213" spans="2:23" x14ac:dyDescent="0.3">
      <c r="B1213">
        <v>64</v>
      </c>
      <c r="C1213">
        <v>33</v>
      </c>
      <c r="D1213">
        <v>364</v>
      </c>
      <c r="R1213" s="73">
        <f t="shared" si="113"/>
        <v>1.3854890839588257E-5</v>
      </c>
      <c r="S1213" s="74">
        <f t="shared" si="111"/>
        <v>1.3929738232657279E-5</v>
      </c>
      <c r="U1213" s="81">
        <f t="shared" si="112"/>
        <v>5.5671773446639428E-3</v>
      </c>
      <c r="W1213" s="80">
        <v>0.99443282265533606</v>
      </c>
    </row>
    <row r="1214" spans="2:23" x14ac:dyDescent="0.3">
      <c r="B1214">
        <v>65</v>
      </c>
      <c r="C1214">
        <v>33</v>
      </c>
      <c r="D1214">
        <v>0</v>
      </c>
      <c r="R1214" s="73">
        <f t="shared" si="113"/>
        <v>0</v>
      </c>
      <c r="S1214" s="74">
        <f t="shared" si="111"/>
        <v>0</v>
      </c>
      <c r="U1214" s="81">
        <f t="shared" si="112"/>
        <v>0</v>
      </c>
      <c r="W1214" s="80">
        <v>1</v>
      </c>
    </row>
    <row r="1215" spans="2:23" x14ac:dyDescent="0.3">
      <c r="B1215">
        <v>65</v>
      </c>
      <c r="C1215">
        <v>33</v>
      </c>
      <c r="D1215">
        <v>6</v>
      </c>
      <c r="R1215" s="73">
        <f t="shared" si="113"/>
        <v>2.0164915562168964E-4</v>
      </c>
      <c r="S1215" s="74">
        <f t="shared" si="111"/>
        <v>2.0164915562168964E-4</v>
      </c>
      <c r="U1215" s="81">
        <f t="shared" si="112"/>
        <v>1.2098949337301379E-3</v>
      </c>
      <c r="W1215" s="80">
        <v>0.99879010506626986</v>
      </c>
    </row>
    <row r="1216" spans="2:23" x14ac:dyDescent="0.3">
      <c r="B1216">
        <v>65</v>
      </c>
      <c r="C1216">
        <v>33</v>
      </c>
      <c r="D1216">
        <v>14</v>
      </c>
      <c r="R1216" s="73">
        <f t="shared" si="113"/>
        <v>1.5117484952166527E-4</v>
      </c>
      <c r="S1216" s="74">
        <f t="shared" si="111"/>
        <v>1.5135797677094006E-4</v>
      </c>
      <c r="U1216" s="81">
        <f t="shared" si="112"/>
        <v>2.41929372990346E-3</v>
      </c>
      <c r="W1216" s="80">
        <v>0.99758070627009654</v>
      </c>
    </row>
    <row r="1217" spans="2:23" x14ac:dyDescent="0.3">
      <c r="B1217">
        <v>65</v>
      </c>
      <c r="C1217">
        <v>33</v>
      </c>
      <c r="D1217">
        <v>21</v>
      </c>
      <c r="R1217" s="73">
        <f t="shared" si="113"/>
        <v>2.9495900937859254E-4</v>
      </c>
      <c r="S1217" s="74">
        <f t="shared" si="111"/>
        <v>2.9567433243715116E-4</v>
      </c>
      <c r="U1217" s="81">
        <f t="shared" si="112"/>
        <v>4.4840067955536078E-3</v>
      </c>
      <c r="W1217" s="80">
        <v>0.99551599320444639</v>
      </c>
    </row>
    <row r="1218" spans="2:23" x14ac:dyDescent="0.3">
      <c r="B1218">
        <v>65</v>
      </c>
      <c r="C1218">
        <v>33</v>
      </c>
      <c r="D1218">
        <v>28</v>
      </c>
      <c r="R1218" s="73">
        <f t="shared" si="113"/>
        <v>4.3101196506424778E-4</v>
      </c>
      <c r="S1218" s="74">
        <f t="shared" si="111"/>
        <v>4.3295333074144999E-4</v>
      </c>
      <c r="U1218" s="81">
        <f t="shared" si="112"/>
        <v>7.5010905510033421E-3</v>
      </c>
      <c r="W1218" s="80">
        <v>0.99249890944899666</v>
      </c>
    </row>
    <row r="1219" spans="2:23" x14ac:dyDescent="0.3">
      <c r="B1219">
        <v>65</v>
      </c>
      <c r="C1219">
        <v>33</v>
      </c>
      <c r="D1219">
        <v>35</v>
      </c>
      <c r="R1219" s="73">
        <f t="shared" si="113"/>
        <v>4.1476384467677353E-4</v>
      </c>
      <c r="S1219" s="74">
        <f t="shared" si="111"/>
        <v>4.178985394624131E-4</v>
      </c>
      <c r="U1219" s="81">
        <f t="shared" si="112"/>
        <v>1.0404437463740757E-2</v>
      </c>
      <c r="W1219" s="80">
        <v>0.98959556253625924</v>
      </c>
    </row>
    <row r="1220" spans="2:23" x14ac:dyDescent="0.3">
      <c r="B1220">
        <v>65</v>
      </c>
      <c r="C1220">
        <v>33</v>
      </c>
      <c r="D1220">
        <v>42</v>
      </c>
      <c r="R1220" s="73">
        <f t="shared" si="113"/>
        <v>5.2989178026311269E-4</v>
      </c>
      <c r="S1220" s="74">
        <f t="shared" si="111"/>
        <v>5.354629712617544E-4</v>
      </c>
      <c r="U1220" s="81">
        <f t="shared" si="112"/>
        <v>1.4113679925582545E-2</v>
      </c>
      <c r="W1220" s="80">
        <v>0.98588632007441745</v>
      </c>
    </row>
    <row r="1221" spans="2:23" x14ac:dyDescent="0.3">
      <c r="B1221">
        <v>65</v>
      </c>
      <c r="C1221">
        <v>33</v>
      </c>
      <c r="D1221">
        <v>50</v>
      </c>
      <c r="R1221" s="73">
        <f t="shared" si="113"/>
        <v>5.1070423860444247E-4</v>
      </c>
      <c r="S1221" s="74">
        <f t="shared" si="111"/>
        <v>5.1801534132849426E-4</v>
      </c>
      <c r="U1221" s="81">
        <f t="shared" si="112"/>
        <v>1.8199313834418085E-2</v>
      </c>
      <c r="W1221" s="80">
        <v>0.98180068616558192</v>
      </c>
    </row>
    <row r="1222" spans="2:23" x14ac:dyDescent="0.3">
      <c r="B1222">
        <v>65</v>
      </c>
      <c r="C1222">
        <v>33</v>
      </c>
      <c r="D1222">
        <v>62</v>
      </c>
      <c r="R1222" s="73">
        <f t="shared" si="113"/>
        <v>4.830682470655101E-4</v>
      </c>
      <c r="S1222" s="74">
        <f t="shared" si="111"/>
        <v>4.9202272301533104E-4</v>
      </c>
      <c r="U1222" s="81">
        <f t="shared" si="112"/>
        <v>2.3996132799204206E-2</v>
      </c>
      <c r="W1222" s="80">
        <v>0.97600386720079579</v>
      </c>
    </row>
    <row r="1223" spans="2:23" x14ac:dyDescent="0.3">
      <c r="B1223">
        <v>65</v>
      </c>
      <c r="C1223">
        <v>33</v>
      </c>
      <c r="D1223">
        <v>71</v>
      </c>
      <c r="R1223" s="73">
        <f t="shared" si="113"/>
        <v>5.7675413802156983E-4</v>
      </c>
      <c r="S1223" s="74">
        <f t="shared" si="111"/>
        <v>5.9093427536892394E-4</v>
      </c>
      <c r="U1223" s="81">
        <f t="shared" si="112"/>
        <v>2.9186920041398334E-2</v>
      </c>
      <c r="W1223" s="80">
        <v>0.97081307995860167</v>
      </c>
    </row>
    <row r="1224" spans="2:23" x14ac:dyDescent="0.3">
      <c r="B1224">
        <v>65</v>
      </c>
      <c r="C1224">
        <v>33</v>
      </c>
      <c r="D1224">
        <v>84</v>
      </c>
      <c r="R1224" s="73">
        <f t="shared" si="113"/>
        <v>4.9494590294557183E-4</v>
      </c>
      <c r="S1224" s="74">
        <f t="shared" si="111"/>
        <v>5.0982615826177143E-4</v>
      </c>
      <c r="U1224" s="81">
        <f t="shared" si="112"/>
        <v>3.5621216779690767E-2</v>
      </c>
      <c r="W1224" s="80">
        <v>0.96437878322030923</v>
      </c>
    </row>
    <row r="1225" spans="2:23" x14ac:dyDescent="0.3">
      <c r="B1225">
        <v>65</v>
      </c>
      <c r="C1225">
        <v>33</v>
      </c>
      <c r="D1225">
        <v>98</v>
      </c>
      <c r="R1225" s="73">
        <f t="shared" si="113"/>
        <v>4.9748479467070269E-4</v>
      </c>
      <c r="S1225" s="74">
        <f t="shared" si="111"/>
        <v>5.1586036869192913E-4</v>
      </c>
      <c r="U1225" s="81">
        <f t="shared" si="112"/>
        <v>4.2586003905080605E-2</v>
      </c>
      <c r="W1225" s="80">
        <v>0.9574139960949194</v>
      </c>
    </row>
    <row r="1226" spans="2:23" x14ac:dyDescent="0.3">
      <c r="B1226">
        <v>65</v>
      </c>
      <c r="C1226">
        <v>33</v>
      </c>
      <c r="D1226">
        <v>112</v>
      </c>
      <c r="R1226" s="73">
        <f t="shared" si="113"/>
        <v>5.0319971049380048E-4</v>
      </c>
      <c r="S1226" s="74">
        <f t="shared" si="111"/>
        <v>5.2558215416344571E-4</v>
      </c>
      <c r="U1226" s="81">
        <f t="shared" si="112"/>
        <v>4.9630799851993812E-2</v>
      </c>
      <c r="W1226" s="80">
        <v>0.95036920014800619</v>
      </c>
    </row>
    <row r="1227" spans="2:23" x14ac:dyDescent="0.3">
      <c r="B1227">
        <v>65</v>
      </c>
      <c r="C1227">
        <v>33</v>
      </c>
      <c r="D1227">
        <v>126</v>
      </c>
      <c r="R1227" s="73">
        <f t="shared" si="113"/>
        <v>4.651245567933409E-4</v>
      </c>
      <c r="S1227" s="74">
        <f t="shared" si="111"/>
        <v>4.8941459458166838E-4</v>
      </c>
      <c r="U1227" s="81">
        <f t="shared" si="112"/>
        <v>5.6142543647100585E-2</v>
      </c>
      <c r="W1227" s="80">
        <v>0.94385745635289942</v>
      </c>
    </row>
    <row r="1228" spans="2:23" x14ac:dyDescent="0.3">
      <c r="B1228">
        <v>65</v>
      </c>
      <c r="C1228">
        <v>33</v>
      </c>
      <c r="D1228">
        <v>140</v>
      </c>
      <c r="R1228" s="73">
        <f t="shared" si="113"/>
        <v>4.7806216799437369E-4</v>
      </c>
      <c r="S1228" s="74">
        <f t="shared" ref="S1228:S1291" si="114">IF(D1228&gt;D1227,(U1228-U1227)/W1227/(D1228-D1227),0)</f>
        <v>5.0649826917893292E-4</v>
      </c>
      <c r="U1228" s="81">
        <f t="shared" ref="U1228:U1291" si="115">100%-W1228</f>
        <v>6.2835413999021816E-2</v>
      </c>
      <c r="W1228" s="80">
        <v>0.93716458600097818</v>
      </c>
    </row>
    <row r="1229" spans="2:23" x14ac:dyDescent="0.3">
      <c r="B1229">
        <v>65</v>
      </c>
      <c r="C1229">
        <v>33</v>
      </c>
      <c r="D1229">
        <v>154</v>
      </c>
      <c r="R1229" s="73">
        <f t="shared" si="113"/>
        <v>4.1100015791726917E-4</v>
      </c>
      <c r="S1229" s="74">
        <f t="shared" si="114"/>
        <v>4.3855707317224659E-4</v>
      </c>
      <c r="U1229" s="81">
        <f t="shared" si="115"/>
        <v>6.8589416209863585E-2</v>
      </c>
      <c r="W1229" s="80">
        <v>0.93141058379013641</v>
      </c>
    </row>
    <row r="1230" spans="2:23" x14ac:dyDescent="0.3">
      <c r="B1230">
        <v>65</v>
      </c>
      <c r="C1230">
        <v>33</v>
      </c>
      <c r="D1230">
        <v>168</v>
      </c>
      <c r="R1230" s="73">
        <f t="shared" si="113"/>
        <v>4.4996040599450316E-4</v>
      </c>
      <c r="S1230" s="74">
        <f t="shared" si="114"/>
        <v>4.830956549403859E-4</v>
      </c>
      <c r="U1230" s="81">
        <f t="shared" si="115"/>
        <v>7.4888861893786629E-2</v>
      </c>
      <c r="W1230" s="80">
        <v>0.92511113810621337</v>
      </c>
    </row>
    <row r="1231" spans="2:23" x14ac:dyDescent="0.3">
      <c r="B1231">
        <v>65</v>
      </c>
      <c r="C1231">
        <v>33</v>
      </c>
      <c r="D1231">
        <v>182</v>
      </c>
      <c r="R1231" s="73">
        <f t="shared" si="113"/>
        <v>4.9625608826195779E-4</v>
      </c>
      <c r="S1231" s="74">
        <f t="shared" si="114"/>
        <v>5.3642861686633572E-4</v>
      </c>
      <c r="U1231" s="81">
        <f t="shared" si="115"/>
        <v>8.1836447129454037E-2</v>
      </c>
      <c r="W1231" s="80">
        <v>0.91816355287054596</v>
      </c>
    </row>
    <row r="1232" spans="2:23" x14ac:dyDescent="0.3">
      <c r="B1232">
        <v>65</v>
      </c>
      <c r="C1232">
        <v>33</v>
      </c>
      <c r="D1232">
        <v>196</v>
      </c>
      <c r="R1232" s="73">
        <f t="shared" si="113"/>
        <v>5.1651519521824147E-4</v>
      </c>
      <c r="S1232" s="74">
        <f t="shared" si="114"/>
        <v>5.625524925307792E-4</v>
      </c>
      <c r="U1232" s="81">
        <f t="shared" si="115"/>
        <v>8.9067659862509418E-2</v>
      </c>
      <c r="W1232" s="80">
        <v>0.91093234013749058</v>
      </c>
    </row>
    <row r="1233" spans="2:23" x14ac:dyDescent="0.3">
      <c r="B1233">
        <v>65</v>
      </c>
      <c r="C1233">
        <v>33</v>
      </c>
      <c r="D1233">
        <v>210</v>
      </c>
      <c r="R1233" s="73">
        <f t="shared" si="113"/>
        <v>5.2768767333983516E-4</v>
      </c>
      <c r="S1233" s="74">
        <f t="shared" si="114"/>
        <v>5.7928305988147184E-4</v>
      </c>
      <c r="U1233" s="81">
        <f t="shared" si="115"/>
        <v>9.6455287289267111E-2</v>
      </c>
      <c r="W1233" s="80">
        <v>0.90354471271073289</v>
      </c>
    </row>
    <row r="1234" spans="2:23" x14ac:dyDescent="0.3">
      <c r="B1234">
        <v>65</v>
      </c>
      <c r="C1234">
        <v>33</v>
      </c>
      <c r="D1234">
        <v>224</v>
      </c>
      <c r="R1234" s="73">
        <f t="shared" si="113"/>
        <v>4.287584038896175E-4</v>
      </c>
      <c r="S1234" s="74">
        <f t="shared" si="114"/>
        <v>4.7452925998902197E-4</v>
      </c>
      <c r="U1234" s="81">
        <f t="shared" si="115"/>
        <v>0.10245790494372176</v>
      </c>
      <c r="W1234" s="80">
        <v>0.89754209505627824</v>
      </c>
    </row>
    <row r="1235" spans="2:23" x14ac:dyDescent="0.3">
      <c r="B1235">
        <v>65</v>
      </c>
      <c r="C1235">
        <v>33</v>
      </c>
      <c r="D1235">
        <v>238</v>
      </c>
      <c r="R1235" s="73">
        <f t="shared" si="113"/>
        <v>3.9762404920662409E-4</v>
      </c>
      <c r="S1235" s="74">
        <f t="shared" si="114"/>
        <v>4.4301437380682635E-4</v>
      </c>
      <c r="U1235" s="81">
        <f t="shared" si="115"/>
        <v>0.10802464163261449</v>
      </c>
      <c r="W1235" s="80">
        <v>0.89197535836738551</v>
      </c>
    </row>
    <row r="1236" spans="2:23" x14ac:dyDescent="0.3">
      <c r="B1236">
        <v>65</v>
      </c>
      <c r="C1236">
        <v>33</v>
      </c>
      <c r="D1236">
        <v>252</v>
      </c>
      <c r="R1236" s="73">
        <f t="shared" si="113"/>
        <v>4.0102034962616724E-4</v>
      </c>
      <c r="S1236" s="74">
        <f t="shared" si="114"/>
        <v>4.4958680289124711E-4</v>
      </c>
      <c r="U1236" s="81">
        <f t="shared" si="115"/>
        <v>0.11363892652738083</v>
      </c>
      <c r="W1236" s="80">
        <v>0.88636107347261917</v>
      </c>
    </row>
    <row r="1237" spans="2:23" x14ac:dyDescent="0.3">
      <c r="B1237">
        <v>65</v>
      </c>
      <c r="C1237">
        <v>33</v>
      </c>
      <c r="D1237">
        <v>266</v>
      </c>
      <c r="R1237" s="73">
        <f t="shared" si="113"/>
        <v>3.2267924866033866E-4</v>
      </c>
      <c r="S1237" s="74">
        <f t="shared" si="114"/>
        <v>3.6404943574082474E-4</v>
      </c>
      <c r="U1237" s="81">
        <f t="shared" si="115"/>
        <v>0.11815643600862558</v>
      </c>
      <c r="W1237" s="80">
        <v>0.88184356399137442</v>
      </c>
    </row>
    <row r="1238" spans="2:23" x14ac:dyDescent="0.3">
      <c r="B1238">
        <v>65</v>
      </c>
      <c r="C1238">
        <v>33</v>
      </c>
      <c r="D1238">
        <v>280</v>
      </c>
      <c r="R1238" s="73">
        <f t="shared" si="113"/>
        <v>4.6715883995092556E-4</v>
      </c>
      <c r="S1238" s="74">
        <f t="shared" si="114"/>
        <v>5.2975250829805337E-4</v>
      </c>
      <c r="U1238" s="81">
        <f t="shared" si="115"/>
        <v>0.12469665976793853</v>
      </c>
      <c r="W1238" s="80">
        <v>0.87530334023206147</v>
      </c>
    </row>
    <row r="1239" spans="2:23" x14ac:dyDescent="0.3">
      <c r="B1239">
        <v>65</v>
      </c>
      <c r="C1239">
        <v>33</v>
      </c>
      <c r="D1239">
        <v>294</v>
      </c>
      <c r="R1239" s="73">
        <f t="shared" si="113"/>
        <v>3.7716324480642694E-4</v>
      </c>
      <c r="S1239" s="74">
        <f t="shared" si="114"/>
        <v>4.3089432825245812E-4</v>
      </c>
      <c r="U1239" s="81">
        <f t="shared" si="115"/>
        <v>0.12997694519522851</v>
      </c>
      <c r="W1239" s="80">
        <v>0.87002305480477149</v>
      </c>
    </row>
    <row r="1240" spans="2:23" x14ac:dyDescent="0.3">
      <c r="B1240">
        <v>65</v>
      </c>
      <c r="C1240">
        <v>33</v>
      </c>
      <c r="D1240">
        <v>308</v>
      </c>
      <c r="R1240" s="73">
        <f t="shared" si="113"/>
        <v>3.0950779862635801E-4</v>
      </c>
      <c r="S1240" s="74">
        <f t="shared" si="114"/>
        <v>3.5574666316838001E-4</v>
      </c>
      <c r="U1240" s="81">
        <f t="shared" si="115"/>
        <v>0.13431005437599752</v>
      </c>
      <c r="W1240" s="80">
        <v>0.86568994562400248</v>
      </c>
    </row>
    <row r="1241" spans="2:23" x14ac:dyDescent="0.3">
      <c r="B1241">
        <v>65</v>
      </c>
      <c r="C1241">
        <v>33</v>
      </c>
      <c r="D1241">
        <v>322</v>
      </c>
      <c r="R1241" s="73">
        <f t="shared" si="113"/>
        <v>3.536494558170384E-4</v>
      </c>
      <c r="S1241" s="74">
        <f t="shared" si="114"/>
        <v>4.0851745778579246E-4</v>
      </c>
      <c r="U1241" s="81">
        <f t="shared" si="115"/>
        <v>0.13926114675743606</v>
      </c>
      <c r="W1241" s="80">
        <v>0.86073885324256394</v>
      </c>
    </row>
    <row r="1242" spans="2:23" x14ac:dyDescent="0.3">
      <c r="B1242">
        <v>65</v>
      </c>
      <c r="C1242">
        <v>33</v>
      </c>
      <c r="D1242">
        <v>336</v>
      </c>
      <c r="R1242" s="73">
        <f t="shared" si="113"/>
        <v>2.7002688407008958E-4</v>
      </c>
      <c r="S1242" s="74">
        <f t="shared" si="114"/>
        <v>3.1371522623017175E-4</v>
      </c>
      <c r="U1242" s="81">
        <f t="shared" si="115"/>
        <v>0.14304152313441731</v>
      </c>
      <c r="W1242" s="80">
        <v>0.85695847686558269</v>
      </c>
    </row>
    <row r="1243" spans="2:23" x14ac:dyDescent="0.3">
      <c r="B1243">
        <v>65</v>
      </c>
      <c r="C1243">
        <v>33</v>
      </c>
      <c r="D1243">
        <v>350</v>
      </c>
      <c r="R1243" s="73">
        <f t="shared" si="113"/>
        <v>3.1579094933342766E-4</v>
      </c>
      <c r="S1243" s="74">
        <f t="shared" si="114"/>
        <v>3.6850204281596799E-4</v>
      </c>
      <c r="U1243" s="81">
        <f t="shared" si="115"/>
        <v>0.1474625964250853</v>
      </c>
      <c r="W1243" s="80">
        <v>0.8525374035749147</v>
      </c>
    </row>
    <row r="1244" spans="2:23" x14ac:dyDescent="0.3">
      <c r="B1244">
        <v>65</v>
      </c>
      <c r="C1244">
        <v>33</v>
      </c>
      <c r="D1244">
        <v>364</v>
      </c>
      <c r="R1244" s="73">
        <f t="shared" si="113"/>
        <v>2.9108877985091686E-4</v>
      </c>
      <c r="S1244" s="74">
        <f t="shared" si="114"/>
        <v>3.4143813354147823E-4</v>
      </c>
      <c r="U1244" s="81">
        <f t="shared" si="115"/>
        <v>0.15153783934299814</v>
      </c>
      <c r="W1244" s="80">
        <v>0.84846216065700186</v>
      </c>
    </row>
    <row r="1245" spans="2:23" x14ac:dyDescent="0.3">
      <c r="B1245">
        <v>49</v>
      </c>
      <c r="C1245">
        <v>33</v>
      </c>
      <c r="D1245">
        <v>0</v>
      </c>
      <c r="R1245" s="73">
        <f t="shared" si="113"/>
        <v>0</v>
      </c>
      <c r="S1245" s="74">
        <f t="shared" si="114"/>
        <v>0</v>
      </c>
      <c r="U1245" s="81">
        <f t="shared" si="115"/>
        <v>0</v>
      </c>
      <c r="W1245" s="80">
        <v>1</v>
      </c>
    </row>
    <row r="1246" spans="2:23" x14ac:dyDescent="0.3">
      <c r="B1246">
        <v>49</v>
      </c>
      <c r="C1246">
        <v>33</v>
      </c>
      <c r="D1246">
        <v>6</v>
      </c>
      <c r="R1246" s="73">
        <f t="shared" si="113"/>
        <v>2.9640038063217058E-3</v>
      </c>
      <c r="S1246" s="74">
        <f t="shared" si="114"/>
        <v>2.9640038063217058E-3</v>
      </c>
      <c r="U1246" s="81">
        <f t="shared" si="115"/>
        <v>1.7784022837930236E-2</v>
      </c>
      <c r="W1246" s="80">
        <v>0.98221597716206976</v>
      </c>
    </row>
    <row r="1247" spans="2:23" x14ac:dyDescent="0.3">
      <c r="B1247">
        <v>49</v>
      </c>
      <c r="C1247">
        <v>33</v>
      </c>
      <c r="D1247">
        <v>14</v>
      </c>
      <c r="R1247" s="73">
        <f t="shared" si="113"/>
        <v>1.0475056063262239E-2</v>
      </c>
      <c r="S1247" s="74">
        <f t="shared" si="114"/>
        <v>1.0664717645428619E-2</v>
      </c>
      <c r="U1247" s="81">
        <f t="shared" si="115"/>
        <v>0.10158447134402815</v>
      </c>
      <c r="W1247" s="80">
        <v>0.89841552865597185</v>
      </c>
    </row>
    <row r="1248" spans="2:23" x14ac:dyDescent="0.3">
      <c r="B1248">
        <v>49</v>
      </c>
      <c r="C1248">
        <v>33</v>
      </c>
      <c r="D1248">
        <v>21</v>
      </c>
      <c r="R1248" s="73">
        <f t="shared" si="113"/>
        <v>7.0058870753986358E-3</v>
      </c>
      <c r="S1248" s="74">
        <f t="shared" si="114"/>
        <v>7.7980476204362048E-3</v>
      </c>
      <c r="U1248" s="81">
        <f t="shared" si="115"/>
        <v>0.1506256808718186</v>
      </c>
      <c r="W1248" s="80">
        <v>0.8493743191281814</v>
      </c>
    </row>
    <row r="1249" spans="2:23" x14ac:dyDescent="0.3">
      <c r="B1249">
        <v>49</v>
      </c>
      <c r="C1249">
        <v>33</v>
      </c>
      <c r="D1249">
        <v>28</v>
      </c>
      <c r="R1249" s="73">
        <f t="shared" si="113"/>
        <v>4.0182351104671877E-3</v>
      </c>
      <c r="S1249" s="74">
        <f t="shared" si="114"/>
        <v>4.7308177560531888E-3</v>
      </c>
      <c r="U1249" s="81">
        <f t="shared" si="115"/>
        <v>0.17875332664508892</v>
      </c>
      <c r="W1249" s="80">
        <v>0.82124667335491108</v>
      </c>
    </row>
    <row r="1250" spans="2:23" x14ac:dyDescent="0.3">
      <c r="B1250">
        <v>49</v>
      </c>
      <c r="C1250">
        <v>33</v>
      </c>
      <c r="D1250">
        <v>35</v>
      </c>
      <c r="R1250" s="73">
        <f t="shared" si="113"/>
        <v>2.5249329483870548E-3</v>
      </c>
      <c r="S1250" s="74">
        <f t="shared" si="114"/>
        <v>3.07451223890179E-3</v>
      </c>
      <c r="U1250" s="81">
        <f t="shared" si="115"/>
        <v>0.1964278572837983</v>
      </c>
      <c r="W1250" s="80">
        <v>0.8035721427162017</v>
      </c>
    </row>
    <row r="1251" spans="2:23" x14ac:dyDescent="0.3">
      <c r="B1251">
        <v>49</v>
      </c>
      <c r="C1251">
        <v>33</v>
      </c>
      <c r="D1251">
        <v>42</v>
      </c>
      <c r="R1251" s="73">
        <f t="shared" si="113"/>
        <v>1.7684742894944958E-3</v>
      </c>
      <c r="S1251" s="74">
        <f t="shared" si="114"/>
        <v>2.2007660488537737E-3</v>
      </c>
      <c r="U1251" s="81">
        <f t="shared" si="115"/>
        <v>0.20880717731025977</v>
      </c>
      <c r="W1251" s="80">
        <v>0.79119282268974023</v>
      </c>
    </row>
    <row r="1252" spans="2:23" x14ac:dyDescent="0.3">
      <c r="B1252">
        <v>49</v>
      </c>
      <c r="C1252">
        <v>33</v>
      </c>
      <c r="D1252">
        <v>50</v>
      </c>
      <c r="R1252" s="73">
        <f t="shared" si="113"/>
        <v>1.4232885901643427E-3</v>
      </c>
      <c r="S1252" s="74">
        <f t="shared" si="114"/>
        <v>1.7989149412727594E-3</v>
      </c>
      <c r="U1252" s="81">
        <f t="shared" si="115"/>
        <v>0.22019348603157451</v>
      </c>
      <c r="W1252" s="80">
        <v>0.77980651396842549</v>
      </c>
    </row>
    <row r="1253" spans="2:23" x14ac:dyDescent="0.3">
      <c r="B1253">
        <v>49</v>
      </c>
      <c r="C1253">
        <v>33</v>
      </c>
      <c r="D1253">
        <v>62</v>
      </c>
      <c r="R1253" s="73">
        <f t="shared" si="113"/>
        <v>1.0705006346103292E-3</v>
      </c>
      <c r="S1253" s="74">
        <f t="shared" si="114"/>
        <v>1.3727772408088322E-3</v>
      </c>
      <c r="U1253" s="81">
        <f t="shared" si="115"/>
        <v>0.23303949364689847</v>
      </c>
      <c r="W1253" s="80">
        <v>0.76696050635310153</v>
      </c>
    </row>
    <row r="1254" spans="2:23" x14ac:dyDescent="0.3">
      <c r="B1254">
        <v>49</v>
      </c>
      <c r="C1254">
        <v>33</v>
      </c>
      <c r="D1254">
        <v>71</v>
      </c>
      <c r="R1254" s="73">
        <f t="shared" si="113"/>
        <v>9.558079992023627E-4</v>
      </c>
      <c r="S1254" s="74">
        <f t="shared" si="114"/>
        <v>1.2462284449915569E-3</v>
      </c>
      <c r="U1254" s="81">
        <f t="shared" si="115"/>
        <v>0.24164176563971973</v>
      </c>
      <c r="W1254" s="80">
        <v>0.75835823436028027</v>
      </c>
    </row>
    <row r="1255" spans="2:23" x14ac:dyDescent="0.3">
      <c r="B1255">
        <v>49</v>
      </c>
      <c r="C1255">
        <v>33</v>
      </c>
      <c r="D1255">
        <v>84</v>
      </c>
      <c r="R1255" s="73">
        <f t="shared" si="113"/>
        <v>6.8232751099989587E-4</v>
      </c>
      <c r="S1255" s="74">
        <f t="shared" si="114"/>
        <v>8.9974299754980473E-4</v>
      </c>
      <c r="U1255" s="81">
        <f t="shared" si="115"/>
        <v>0.25051202328271838</v>
      </c>
      <c r="W1255" s="80">
        <v>0.74948797671728162</v>
      </c>
    </row>
    <row r="1256" spans="2:23" x14ac:dyDescent="0.3">
      <c r="B1256">
        <v>49</v>
      </c>
      <c r="C1256">
        <v>33</v>
      </c>
      <c r="D1256">
        <v>98</v>
      </c>
      <c r="R1256" s="73">
        <f t="shared" si="113"/>
        <v>5.5594844020881841E-4</v>
      </c>
      <c r="S1256" s="74">
        <f t="shared" si="114"/>
        <v>7.4177099230309689E-4</v>
      </c>
      <c r="U1256" s="81">
        <f t="shared" si="115"/>
        <v>0.25829530144564183</v>
      </c>
      <c r="W1256" s="80">
        <v>0.74170469855435817</v>
      </c>
    </row>
    <row r="1257" spans="2:23" x14ac:dyDescent="0.3">
      <c r="B1257">
        <v>49</v>
      </c>
      <c r="C1257">
        <v>33</v>
      </c>
      <c r="D1257">
        <v>112</v>
      </c>
      <c r="R1257" s="73">
        <f t="shared" si="113"/>
        <v>5.0182049503157329E-4</v>
      </c>
      <c r="S1257" s="74">
        <f t="shared" si="114"/>
        <v>6.7657720924467859E-4</v>
      </c>
      <c r="U1257" s="81">
        <f t="shared" si="115"/>
        <v>0.26532078837608386</v>
      </c>
      <c r="W1257" s="80">
        <v>0.73467921162391614</v>
      </c>
    </row>
    <row r="1258" spans="2:23" x14ac:dyDescent="0.3">
      <c r="B1258">
        <v>49</v>
      </c>
      <c r="C1258">
        <v>33</v>
      </c>
      <c r="D1258">
        <v>126</v>
      </c>
      <c r="R1258" s="73">
        <f t="shared" si="113"/>
        <v>4.7916990872935516E-4</v>
      </c>
      <c r="S1258" s="74">
        <f t="shared" si="114"/>
        <v>6.5221650639904493E-4</v>
      </c>
      <c r="U1258" s="81">
        <f t="shared" si="115"/>
        <v>0.27202916709829483</v>
      </c>
      <c r="W1258" s="80">
        <v>0.72797083290170517</v>
      </c>
    </row>
    <row r="1259" spans="2:23" x14ac:dyDescent="0.3">
      <c r="B1259">
        <v>49</v>
      </c>
      <c r="C1259">
        <v>33</v>
      </c>
      <c r="D1259">
        <v>140</v>
      </c>
      <c r="R1259" s="73">
        <f t="shared" si="113"/>
        <v>4.2400738145756005E-4</v>
      </c>
      <c r="S1259" s="74">
        <f t="shared" si="114"/>
        <v>5.8245105750660202E-4</v>
      </c>
      <c r="U1259" s="81">
        <f t="shared" si="115"/>
        <v>0.27796527043870067</v>
      </c>
      <c r="W1259" s="80">
        <v>0.72203472956129933</v>
      </c>
    </row>
    <row r="1260" spans="2:23" x14ac:dyDescent="0.3">
      <c r="B1260">
        <v>49</v>
      </c>
      <c r="C1260">
        <v>33</v>
      </c>
      <c r="D1260">
        <v>154</v>
      </c>
      <c r="R1260" s="73">
        <f t="shared" si="113"/>
        <v>3.9365874581193908E-4</v>
      </c>
      <c r="S1260" s="74">
        <f t="shared" si="114"/>
        <v>5.452074944526865E-4</v>
      </c>
      <c r="U1260" s="81">
        <f t="shared" si="115"/>
        <v>0.28347649288006782</v>
      </c>
      <c r="W1260" s="80">
        <v>0.71652350711993218</v>
      </c>
    </row>
    <row r="1261" spans="2:23" x14ac:dyDescent="0.3">
      <c r="B1261">
        <v>49</v>
      </c>
      <c r="C1261">
        <v>33</v>
      </c>
      <c r="D1261">
        <v>168</v>
      </c>
      <c r="R1261" s="73">
        <f t="shared" ref="R1261:R1324" si="116">IF(D1261&gt;D1260,(U1261-U1260)/1/(D1261-D1260),0)</f>
        <v>3.6920764240799028E-4</v>
      </c>
      <c r="S1261" s="74">
        <f t="shared" si="114"/>
        <v>5.1527638484886724E-4</v>
      </c>
      <c r="U1261" s="81">
        <f t="shared" si="115"/>
        <v>0.28864539987377968</v>
      </c>
      <c r="W1261" s="80">
        <v>0.71135460012622032</v>
      </c>
    </row>
    <row r="1262" spans="2:23" x14ac:dyDescent="0.3">
      <c r="B1262">
        <v>49</v>
      </c>
      <c r="C1262">
        <v>33</v>
      </c>
      <c r="D1262">
        <v>182</v>
      </c>
      <c r="R1262" s="73">
        <f t="shared" si="116"/>
        <v>3.337257642334216E-4</v>
      </c>
      <c r="S1262" s="74">
        <f t="shared" si="114"/>
        <v>4.6914121898446491E-4</v>
      </c>
      <c r="U1262" s="81">
        <f t="shared" si="115"/>
        <v>0.29331756057304759</v>
      </c>
      <c r="W1262" s="80">
        <v>0.70668243942695241</v>
      </c>
    </row>
    <row r="1263" spans="2:23" x14ac:dyDescent="0.3">
      <c r="B1263">
        <v>49</v>
      </c>
      <c r="C1263">
        <v>33</v>
      </c>
      <c r="D1263">
        <v>196</v>
      </c>
      <c r="R1263" s="73">
        <f t="shared" si="116"/>
        <v>3.0729305651996545E-4</v>
      </c>
      <c r="S1263" s="74">
        <f t="shared" si="114"/>
        <v>4.3483895930560956E-4</v>
      </c>
      <c r="U1263" s="81">
        <f t="shared" si="115"/>
        <v>0.2976196633643271</v>
      </c>
      <c r="W1263" s="80">
        <v>0.7023803366356729</v>
      </c>
    </row>
    <row r="1264" spans="2:23" x14ac:dyDescent="0.3">
      <c r="B1264">
        <v>49</v>
      </c>
      <c r="C1264">
        <v>33</v>
      </c>
      <c r="D1264">
        <v>210</v>
      </c>
      <c r="R1264" s="73">
        <f t="shared" si="116"/>
        <v>3.0092368852407958E-4</v>
      </c>
      <c r="S1264" s="74">
        <f t="shared" si="114"/>
        <v>4.2843410162287862E-4</v>
      </c>
      <c r="U1264" s="81">
        <f t="shared" si="115"/>
        <v>0.30183259500366422</v>
      </c>
      <c r="W1264" s="80">
        <v>0.69816740499633578</v>
      </c>
    </row>
    <row r="1265" spans="2:23" x14ac:dyDescent="0.3">
      <c r="B1265">
        <v>49</v>
      </c>
      <c r="C1265">
        <v>33</v>
      </c>
      <c r="D1265">
        <v>224</v>
      </c>
      <c r="R1265" s="73">
        <f t="shared" si="116"/>
        <v>2.6576644745156849E-4</v>
      </c>
      <c r="S1265" s="74">
        <f t="shared" si="114"/>
        <v>3.8066292632633474E-4</v>
      </c>
      <c r="U1265" s="81">
        <f t="shared" si="115"/>
        <v>0.30555332526798618</v>
      </c>
      <c r="W1265" s="80">
        <v>0.69444667473201382</v>
      </c>
    </row>
    <row r="1266" spans="2:23" x14ac:dyDescent="0.3">
      <c r="B1266">
        <v>49</v>
      </c>
      <c r="C1266">
        <v>33</v>
      </c>
      <c r="D1266">
        <v>238</v>
      </c>
      <c r="R1266" s="73">
        <f t="shared" si="116"/>
        <v>2.8275197813921419E-4</v>
      </c>
      <c r="S1266" s="74">
        <f t="shared" si="114"/>
        <v>4.0716154087472284E-4</v>
      </c>
      <c r="U1266" s="81">
        <f t="shared" si="115"/>
        <v>0.30951185296193517</v>
      </c>
      <c r="W1266" s="80">
        <v>0.69048814703806483</v>
      </c>
    </row>
    <row r="1267" spans="2:23" x14ac:dyDescent="0.3">
      <c r="B1267">
        <v>49</v>
      </c>
      <c r="C1267">
        <v>33</v>
      </c>
      <c r="D1267">
        <v>252</v>
      </c>
      <c r="R1267" s="73">
        <f t="shared" si="116"/>
        <v>2.6861644086433642E-4</v>
      </c>
      <c r="S1267" s="74">
        <f t="shared" si="114"/>
        <v>3.8902397096402045E-4</v>
      </c>
      <c r="U1267" s="81">
        <f t="shared" si="115"/>
        <v>0.31327248313403588</v>
      </c>
      <c r="W1267" s="80">
        <v>0.68672751686596412</v>
      </c>
    </row>
    <row r="1268" spans="2:23" x14ac:dyDescent="0.3">
      <c r="B1268">
        <v>49</v>
      </c>
      <c r="C1268">
        <v>33</v>
      </c>
      <c r="D1268">
        <v>266</v>
      </c>
      <c r="R1268" s="73">
        <f t="shared" si="116"/>
        <v>1.8494479908413654E-4</v>
      </c>
      <c r="S1268" s="74">
        <f t="shared" si="114"/>
        <v>2.6931322037039351E-4</v>
      </c>
      <c r="U1268" s="81">
        <f t="shared" si="115"/>
        <v>0.3158617103212138</v>
      </c>
      <c r="W1268" s="80">
        <v>0.6841382896787862</v>
      </c>
    </row>
    <row r="1269" spans="2:23" x14ac:dyDescent="0.3">
      <c r="B1269">
        <v>49</v>
      </c>
      <c r="C1269">
        <v>33</v>
      </c>
      <c r="D1269">
        <v>280</v>
      </c>
      <c r="R1269" s="73">
        <f t="shared" si="116"/>
        <v>2.9024709774216895E-4</v>
      </c>
      <c r="S1269" s="74">
        <f t="shared" si="114"/>
        <v>4.242520878029566E-4</v>
      </c>
      <c r="U1269" s="81">
        <f t="shared" si="115"/>
        <v>0.31992516968960416</v>
      </c>
      <c r="W1269" s="80">
        <v>0.68007483031039584</v>
      </c>
    </row>
    <row r="1270" spans="2:23" x14ac:dyDescent="0.3">
      <c r="B1270">
        <v>49</v>
      </c>
      <c r="C1270">
        <v>33</v>
      </c>
      <c r="D1270">
        <v>294</v>
      </c>
      <c r="R1270" s="73">
        <f t="shared" si="116"/>
        <v>2.2474960690328189E-4</v>
      </c>
      <c r="S1270" s="74">
        <f t="shared" si="114"/>
        <v>3.3047776051453478E-4</v>
      </c>
      <c r="U1270" s="81">
        <f t="shared" si="115"/>
        <v>0.32307166418625011</v>
      </c>
      <c r="W1270" s="80">
        <v>0.67692833581374989</v>
      </c>
    </row>
    <row r="1271" spans="2:23" x14ac:dyDescent="0.3">
      <c r="B1271">
        <v>49</v>
      </c>
      <c r="C1271">
        <v>33</v>
      </c>
      <c r="D1271">
        <v>308</v>
      </c>
      <c r="R1271" s="73">
        <f t="shared" si="116"/>
        <v>1.9933819645147542E-4</v>
      </c>
      <c r="S1271" s="74">
        <f t="shared" si="114"/>
        <v>2.9447459340263364E-4</v>
      </c>
      <c r="U1271" s="81">
        <f t="shared" si="115"/>
        <v>0.32586239893657076</v>
      </c>
      <c r="W1271" s="80">
        <v>0.67413760106342924</v>
      </c>
    </row>
    <row r="1272" spans="2:23" x14ac:dyDescent="0.3">
      <c r="B1272">
        <v>49</v>
      </c>
      <c r="C1272">
        <v>33</v>
      </c>
      <c r="D1272">
        <v>322</v>
      </c>
      <c r="R1272" s="73">
        <f t="shared" si="116"/>
        <v>2.2034433782290388E-4</v>
      </c>
      <c r="S1272" s="74">
        <f t="shared" si="114"/>
        <v>3.2685365343116621E-4</v>
      </c>
      <c r="U1272" s="81">
        <f t="shared" si="115"/>
        <v>0.32894721966609142</v>
      </c>
      <c r="W1272" s="80">
        <v>0.67105278033390858</v>
      </c>
    </row>
    <row r="1273" spans="2:23" x14ac:dyDescent="0.3">
      <c r="B1273">
        <v>49</v>
      </c>
      <c r="C1273">
        <v>33</v>
      </c>
      <c r="D1273">
        <v>336</v>
      </c>
      <c r="R1273" s="73">
        <f t="shared" si="116"/>
        <v>1.9905702967535195E-4</v>
      </c>
      <c r="S1273" s="74">
        <f t="shared" si="114"/>
        <v>2.9663393925035726E-4</v>
      </c>
      <c r="U1273" s="81">
        <f t="shared" si="115"/>
        <v>0.33173401808154634</v>
      </c>
      <c r="W1273" s="80">
        <v>0.66826598191845366</v>
      </c>
    </row>
    <row r="1274" spans="2:23" x14ac:dyDescent="0.3">
      <c r="B1274">
        <v>49</v>
      </c>
      <c r="C1274">
        <v>33</v>
      </c>
      <c r="D1274">
        <v>350</v>
      </c>
      <c r="R1274" s="73">
        <f t="shared" si="116"/>
        <v>2.1643748170975728E-4</v>
      </c>
      <c r="S1274" s="74">
        <f t="shared" si="114"/>
        <v>3.2387924504014096E-4</v>
      </c>
      <c r="U1274" s="81">
        <f t="shared" si="115"/>
        <v>0.33476414282548295</v>
      </c>
      <c r="W1274" s="80">
        <v>0.66523585717451705</v>
      </c>
    </row>
    <row r="1275" spans="2:23" x14ac:dyDescent="0.3">
      <c r="B1275">
        <v>49</v>
      </c>
      <c r="C1275">
        <v>33</v>
      </c>
      <c r="D1275">
        <v>364</v>
      </c>
      <c r="R1275" s="73">
        <f t="shared" si="116"/>
        <v>2.3538508784807868E-4</v>
      </c>
      <c r="S1275" s="74">
        <f t="shared" si="114"/>
        <v>3.5383704186938927E-4</v>
      </c>
      <c r="U1275" s="81">
        <f t="shared" si="115"/>
        <v>0.33805953405535605</v>
      </c>
      <c r="W1275" s="80">
        <v>0.66194046594464395</v>
      </c>
    </row>
    <row r="1276" spans="2:23" x14ac:dyDescent="0.3">
      <c r="B1276">
        <v>56</v>
      </c>
      <c r="C1276">
        <v>33</v>
      </c>
      <c r="D1276">
        <v>0</v>
      </c>
      <c r="R1276" s="73">
        <f t="shared" si="116"/>
        <v>0</v>
      </c>
      <c r="S1276" s="74">
        <f t="shared" si="114"/>
        <v>0</v>
      </c>
      <c r="U1276" s="81">
        <f t="shared" si="115"/>
        <v>0</v>
      </c>
      <c r="W1276" s="80">
        <v>1</v>
      </c>
    </row>
    <row r="1277" spans="2:23" x14ac:dyDescent="0.3">
      <c r="B1277">
        <v>56</v>
      </c>
      <c r="C1277">
        <v>33</v>
      </c>
      <c r="D1277">
        <v>6</v>
      </c>
      <c r="R1277" s="73">
        <f t="shared" si="116"/>
        <v>1.361075066850385E-3</v>
      </c>
      <c r="S1277" s="74">
        <f t="shared" si="114"/>
        <v>1.361075066850385E-3</v>
      </c>
      <c r="U1277" s="81">
        <f t="shared" si="115"/>
        <v>8.1664504011023098E-3</v>
      </c>
      <c r="W1277" s="80">
        <v>0.99183354959889769</v>
      </c>
    </row>
    <row r="1278" spans="2:23" x14ac:dyDescent="0.3">
      <c r="B1278">
        <v>56</v>
      </c>
      <c r="C1278">
        <v>33</v>
      </c>
      <c r="D1278">
        <v>14</v>
      </c>
      <c r="R1278" s="73">
        <f t="shared" si="116"/>
        <v>5.4904094471000253E-3</v>
      </c>
      <c r="S1278" s="74">
        <f t="shared" si="114"/>
        <v>5.5356157787971316E-3</v>
      </c>
      <c r="U1278" s="81">
        <f t="shared" si="115"/>
        <v>5.2089725977902512E-2</v>
      </c>
      <c r="W1278" s="80">
        <v>0.94791027402209749</v>
      </c>
    </row>
    <row r="1279" spans="2:23" x14ac:dyDescent="0.3">
      <c r="B1279">
        <v>56</v>
      </c>
      <c r="C1279">
        <v>33</v>
      </c>
      <c r="D1279">
        <v>21</v>
      </c>
      <c r="R1279" s="73">
        <f t="shared" si="116"/>
        <v>7.91842633116264E-3</v>
      </c>
      <c r="S1279" s="74">
        <f t="shared" si="114"/>
        <v>8.353561036493257E-3</v>
      </c>
      <c r="U1279" s="81">
        <f t="shared" si="115"/>
        <v>0.10751871029604099</v>
      </c>
      <c r="W1279" s="80">
        <v>0.89248128970395901</v>
      </c>
    </row>
    <row r="1280" spans="2:23" x14ac:dyDescent="0.3">
      <c r="B1280">
        <v>56</v>
      </c>
      <c r="C1280">
        <v>33</v>
      </c>
      <c r="D1280">
        <v>28</v>
      </c>
      <c r="R1280" s="73">
        <f t="shared" si="116"/>
        <v>6.131745237318552E-3</v>
      </c>
      <c r="S1280" s="74">
        <f t="shared" si="114"/>
        <v>6.8704468183893082E-3</v>
      </c>
      <c r="U1280" s="81">
        <f t="shared" si="115"/>
        <v>0.15044092695727085</v>
      </c>
      <c r="W1280" s="80">
        <v>0.84955907304272915</v>
      </c>
    </row>
    <row r="1281" spans="2:23" x14ac:dyDescent="0.3">
      <c r="B1281">
        <v>56</v>
      </c>
      <c r="C1281">
        <v>33</v>
      </c>
      <c r="D1281">
        <v>35</v>
      </c>
      <c r="R1281" s="73">
        <f t="shared" si="116"/>
        <v>4.5522851235314044E-3</v>
      </c>
      <c r="S1281" s="74">
        <f t="shared" si="114"/>
        <v>5.3584091653888369E-3</v>
      </c>
      <c r="U1281" s="81">
        <f t="shared" si="115"/>
        <v>0.18230692282199068</v>
      </c>
      <c r="W1281" s="80">
        <v>0.81769307717800932</v>
      </c>
    </row>
    <row r="1282" spans="2:23" x14ac:dyDescent="0.3">
      <c r="B1282">
        <v>56</v>
      </c>
      <c r="C1282">
        <v>33</v>
      </c>
      <c r="D1282">
        <v>42</v>
      </c>
      <c r="R1282" s="73">
        <f t="shared" si="116"/>
        <v>3.5488182352118986E-3</v>
      </c>
      <c r="S1282" s="74">
        <f t="shared" si="114"/>
        <v>4.3400370313265253E-3</v>
      </c>
      <c r="U1282" s="81">
        <f t="shared" si="115"/>
        <v>0.20714865046847397</v>
      </c>
      <c r="W1282" s="80">
        <v>0.79285134953152603</v>
      </c>
    </row>
    <row r="1283" spans="2:23" x14ac:dyDescent="0.3">
      <c r="B1283">
        <v>56</v>
      </c>
      <c r="C1283">
        <v>33</v>
      </c>
      <c r="D1283">
        <v>50</v>
      </c>
      <c r="R1283" s="73">
        <f t="shared" si="116"/>
        <v>2.8831720119769227E-3</v>
      </c>
      <c r="S1283" s="74">
        <f t="shared" si="114"/>
        <v>3.6364597394965771E-3</v>
      </c>
      <c r="U1283" s="81">
        <f t="shared" si="115"/>
        <v>0.23021402656428935</v>
      </c>
      <c r="W1283" s="80">
        <v>0.76978597343571065</v>
      </c>
    </row>
    <row r="1284" spans="2:23" x14ac:dyDescent="0.3">
      <c r="B1284">
        <v>56</v>
      </c>
      <c r="C1284">
        <v>33</v>
      </c>
      <c r="D1284">
        <v>62</v>
      </c>
      <c r="R1284" s="73">
        <f t="shared" si="116"/>
        <v>1.8644578878599753E-3</v>
      </c>
      <c r="S1284" s="74">
        <f t="shared" si="114"/>
        <v>2.4220471042600612E-3</v>
      </c>
      <c r="U1284" s="81">
        <f t="shared" si="115"/>
        <v>0.25258752121860906</v>
      </c>
      <c r="W1284" s="80">
        <v>0.74741247878139094</v>
      </c>
    </row>
    <row r="1285" spans="2:23" x14ac:dyDescent="0.3">
      <c r="B1285">
        <v>56</v>
      </c>
      <c r="C1285">
        <v>33</v>
      </c>
      <c r="D1285">
        <v>71</v>
      </c>
      <c r="R1285" s="73">
        <f t="shared" si="116"/>
        <v>1.5719741124237869E-3</v>
      </c>
      <c r="S1285" s="74">
        <f t="shared" si="114"/>
        <v>2.1032216574531802E-3</v>
      </c>
      <c r="U1285" s="81">
        <f t="shared" si="115"/>
        <v>0.26673528823042314</v>
      </c>
      <c r="W1285" s="80">
        <v>0.73326471176957686</v>
      </c>
    </row>
    <row r="1286" spans="2:23" x14ac:dyDescent="0.3">
      <c r="B1286">
        <v>56</v>
      </c>
      <c r="C1286">
        <v>33</v>
      </c>
      <c r="D1286">
        <v>84</v>
      </c>
      <c r="R1286" s="73">
        <f t="shared" si="116"/>
        <v>1.121232601390324E-3</v>
      </c>
      <c r="S1286" s="74">
        <f t="shared" si="114"/>
        <v>1.5290966323532331E-3</v>
      </c>
      <c r="U1286" s="81">
        <f t="shared" si="115"/>
        <v>0.28131131204849735</v>
      </c>
      <c r="W1286" s="80">
        <v>0.71868868795150265</v>
      </c>
    </row>
    <row r="1287" spans="2:23" x14ac:dyDescent="0.3">
      <c r="B1287">
        <v>56</v>
      </c>
      <c r="C1287">
        <v>33</v>
      </c>
      <c r="D1287">
        <v>98</v>
      </c>
      <c r="R1287" s="73">
        <f t="shared" si="116"/>
        <v>8.1676140518246608E-4</v>
      </c>
      <c r="S1287" s="74">
        <f t="shared" si="114"/>
        <v>1.1364606384866064E-3</v>
      </c>
      <c r="U1287" s="81">
        <f t="shared" si="115"/>
        <v>0.29274597172105188</v>
      </c>
      <c r="W1287" s="80">
        <v>0.70725402827894812</v>
      </c>
    </row>
    <row r="1288" spans="2:23" x14ac:dyDescent="0.3">
      <c r="B1288">
        <v>56</v>
      </c>
      <c r="C1288">
        <v>33</v>
      </c>
      <c r="D1288">
        <v>112</v>
      </c>
      <c r="R1288" s="73">
        <f t="shared" si="116"/>
        <v>7.2838288387228056E-4</v>
      </c>
      <c r="S1288" s="74">
        <f t="shared" si="114"/>
        <v>1.0298744931078695E-3</v>
      </c>
      <c r="U1288" s="81">
        <f t="shared" si="115"/>
        <v>0.30294333209526381</v>
      </c>
      <c r="W1288" s="80">
        <v>0.69705666790473619</v>
      </c>
    </row>
    <row r="1289" spans="2:23" x14ac:dyDescent="0.3">
      <c r="B1289">
        <v>56</v>
      </c>
      <c r="C1289">
        <v>33</v>
      </c>
      <c r="D1289">
        <v>126</v>
      </c>
      <c r="R1289" s="73">
        <f t="shared" si="116"/>
        <v>6.167145902434279E-4</v>
      </c>
      <c r="S1289" s="74">
        <f t="shared" si="114"/>
        <v>8.847409667526653E-4</v>
      </c>
      <c r="U1289" s="81">
        <f t="shared" si="115"/>
        <v>0.3115773363586718</v>
      </c>
      <c r="W1289" s="80">
        <v>0.6884226636413282</v>
      </c>
    </row>
    <row r="1290" spans="2:23" x14ac:dyDescent="0.3">
      <c r="B1290">
        <v>56</v>
      </c>
      <c r="C1290">
        <v>33</v>
      </c>
      <c r="D1290">
        <v>140</v>
      </c>
      <c r="R1290" s="73">
        <f t="shared" si="116"/>
        <v>4.8196412299619399E-4</v>
      </c>
      <c r="S1290" s="74">
        <f t="shared" si="114"/>
        <v>7.0009915194671718E-4</v>
      </c>
      <c r="U1290" s="81">
        <f t="shared" si="115"/>
        <v>0.31832483408061851</v>
      </c>
      <c r="W1290" s="80">
        <v>0.68167516591938149</v>
      </c>
    </row>
    <row r="1291" spans="2:23" x14ac:dyDescent="0.3">
      <c r="B1291">
        <v>56</v>
      </c>
      <c r="C1291">
        <v>33</v>
      </c>
      <c r="D1291">
        <v>154</v>
      </c>
      <c r="R1291" s="73">
        <f t="shared" si="116"/>
        <v>4.8139159564796515E-4</v>
      </c>
      <c r="S1291" s="74">
        <f t="shared" si="114"/>
        <v>7.0618913481864623E-4</v>
      </c>
      <c r="U1291" s="81">
        <f t="shared" si="115"/>
        <v>0.32506431641969002</v>
      </c>
      <c r="W1291" s="80">
        <v>0.67493568358030998</v>
      </c>
    </row>
    <row r="1292" spans="2:23" x14ac:dyDescent="0.3">
      <c r="B1292">
        <v>56</v>
      </c>
      <c r="C1292">
        <v>33</v>
      </c>
      <c r="D1292">
        <v>168</v>
      </c>
      <c r="R1292" s="73">
        <f t="shared" si="116"/>
        <v>4.3332032073078216E-4</v>
      </c>
      <c r="S1292" s="74">
        <f t="shared" ref="S1292:S1306" si="117">IF(D1292&gt;D1291,(U1292-U1291)/W1291/(D1292-D1291),0)</f>
        <v>6.4201720441296208E-4</v>
      </c>
      <c r="U1292" s="81">
        <f t="shared" ref="U1292:U1306" si="118">100%-W1292</f>
        <v>0.33113080090992097</v>
      </c>
      <c r="W1292" s="80">
        <v>0.66886919909007903</v>
      </c>
    </row>
    <row r="1293" spans="2:23" x14ac:dyDescent="0.3">
      <c r="B1293">
        <v>56</v>
      </c>
      <c r="C1293">
        <v>33</v>
      </c>
      <c r="D1293">
        <v>182</v>
      </c>
      <c r="R1293" s="73">
        <f t="shared" si="116"/>
        <v>4.11437418687155E-4</v>
      </c>
      <c r="S1293" s="74">
        <f t="shared" si="117"/>
        <v>6.1512388258701267E-4</v>
      </c>
      <c r="U1293" s="81">
        <f t="shared" si="118"/>
        <v>0.33689092477154114</v>
      </c>
      <c r="W1293" s="80">
        <v>0.66310907522845886</v>
      </c>
    </row>
    <row r="1294" spans="2:23" x14ac:dyDescent="0.3">
      <c r="B1294">
        <v>56</v>
      </c>
      <c r="C1294">
        <v>33</v>
      </c>
      <c r="D1294">
        <v>196</v>
      </c>
      <c r="R1294" s="73">
        <f t="shared" si="116"/>
        <v>3.7257781170423651E-4</v>
      </c>
      <c r="S1294" s="74">
        <f t="shared" si="117"/>
        <v>5.6186504697718607E-4</v>
      </c>
      <c r="U1294" s="81">
        <f t="shared" si="118"/>
        <v>0.34210701413540046</v>
      </c>
      <c r="W1294" s="80">
        <v>0.65789298586459954</v>
      </c>
    </row>
    <row r="1295" spans="2:23" x14ac:dyDescent="0.3">
      <c r="B1295">
        <v>56</v>
      </c>
      <c r="C1295">
        <v>33</v>
      </c>
      <c r="D1295">
        <v>210</v>
      </c>
      <c r="R1295" s="73">
        <f t="shared" si="116"/>
        <v>3.4618066508948893E-4</v>
      </c>
      <c r="S1295" s="74">
        <f t="shared" si="117"/>
        <v>5.261960113992401E-4</v>
      </c>
      <c r="U1295" s="81">
        <f t="shared" si="118"/>
        <v>0.3469535434466533</v>
      </c>
      <c r="W1295" s="80">
        <v>0.6530464565533467</v>
      </c>
    </row>
    <row r="1296" spans="2:23" x14ac:dyDescent="0.3">
      <c r="B1296">
        <v>56</v>
      </c>
      <c r="C1296">
        <v>33</v>
      </c>
      <c r="D1296">
        <v>224</v>
      </c>
      <c r="R1296" s="73">
        <f t="shared" si="116"/>
        <v>2.8706987608436866E-4</v>
      </c>
      <c r="S1296" s="74">
        <f t="shared" si="117"/>
        <v>4.3958568828237444E-4</v>
      </c>
      <c r="U1296" s="81">
        <f t="shared" si="118"/>
        <v>0.35097252171183446</v>
      </c>
      <c r="W1296" s="80">
        <v>0.64902747828816554</v>
      </c>
    </row>
    <row r="1297" spans="2:23" x14ac:dyDescent="0.3">
      <c r="B1297">
        <v>56</v>
      </c>
      <c r="C1297">
        <v>33</v>
      </c>
      <c r="D1297">
        <v>238</v>
      </c>
      <c r="R1297" s="73">
        <f t="shared" si="116"/>
        <v>2.9800773022825577E-4</v>
      </c>
      <c r="S1297" s="74">
        <f t="shared" si="117"/>
        <v>4.5916042108765933E-4</v>
      </c>
      <c r="U1297" s="81">
        <f t="shared" si="118"/>
        <v>0.35514462993503004</v>
      </c>
      <c r="W1297" s="80">
        <v>0.64485537006496996</v>
      </c>
    </row>
    <row r="1298" spans="2:23" x14ac:dyDescent="0.3">
      <c r="B1298">
        <v>56</v>
      </c>
      <c r="C1298">
        <v>33</v>
      </c>
      <c r="D1298">
        <v>252</v>
      </c>
      <c r="R1298" s="73">
        <f t="shared" si="116"/>
        <v>2.9275000134936543E-4</v>
      </c>
      <c r="S1298" s="74">
        <f t="shared" si="117"/>
        <v>4.5397776763473409E-4</v>
      </c>
      <c r="U1298" s="81">
        <f t="shared" si="118"/>
        <v>0.35924312995392116</v>
      </c>
      <c r="W1298" s="80">
        <v>0.64075687004607884</v>
      </c>
    </row>
    <row r="1299" spans="2:23" x14ac:dyDescent="0.3">
      <c r="B1299">
        <v>56</v>
      </c>
      <c r="C1299">
        <v>33</v>
      </c>
      <c r="D1299">
        <v>266</v>
      </c>
      <c r="R1299" s="73">
        <f t="shared" si="116"/>
        <v>2.5052225470342408E-4</v>
      </c>
      <c r="S1299" s="74">
        <f t="shared" si="117"/>
        <v>3.9097864793148174E-4</v>
      </c>
      <c r="U1299" s="81">
        <f t="shared" si="118"/>
        <v>0.3627504415197691</v>
      </c>
      <c r="W1299" s="80">
        <v>0.6372495584802309</v>
      </c>
    </row>
    <row r="1300" spans="2:23" x14ac:dyDescent="0.3">
      <c r="B1300">
        <v>56</v>
      </c>
      <c r="C1300">
        <v>33</v>
      </c>
      <c r="D1300">
        <v>280</v>
      </c>
      <c r="R1300" s="73">
        <f t="shared" si="116"/>
        <v>2.7319881179121985E-4</v>
      </c>
      <c r="S1300" s="74">
        <f t="shared" si="117"/>
        <v>4.2871557642624113E-4</v>
      </c>
      <c r="U1300" s="81">
        <f t="shared" si="118"/>
        <v>0.36657522488484617</v>
      </c>
      <c r="W1300" s="80">
        <v>0.63342477511515383</v>
      </c>
    </row>
    <row r="1301" spans="2:23" x14ac:dyDescent="0.3">
      <c r="B1301">
        <v>56</v>
      </c>
      <c r="C1301">
        <v>33</v>
      </c>
      <c r="D1301">
        <v>294</v>
      </c>
      <c r="R1301" s="73">
        <f t="shared" si="116"/>
        <v>2.3986806536794143E-4</v>
      </c>
      <c r="S1301" s="74">
        <f t="shared" si="117"/>
        <v>3.7868437546405493E-4</v>
      </c>
      <c r="U1301" s="81">
        <f t="shared" si="118"/>
        <v>0.36993337779999735</v>
      </c>
      <c r="W1301" s="80">
        <v>0.63006662220000265</v>
      </c>
    </row>
    <row r="1302" spans="2:23" x14ac:dyDescent="0.3">
      <c r="B1302">
        <v>56</v>
      </c>
      <c r="C1302">
        <v>33</v>
      </c>
      <c r="D1302">
        <v>308</v>
      </c>
      <c r="R1302" s="73">
        <f t="shared" si="116"/>
        <v>2.2248730901457719E-4</v>
      </c>
      <c r="S1302" s="74">
        <f t="shared" si="117"/>
        <v>3.5311711678634656E-4</v>
      </c>
      <c r="U1302" s="81">
        <f t="shared" si="118"/>
        <v>0.37304820012620143</v>
      </c>
      <c r="W1302" s="80">
        <v>0.62695179987379857</v>
      </c>
    </row>
    <row r="1303" spans="2:23" x14ac:dyDescent="0.3">
      <c r="B1303">
        <v>56</v>
      </c>
      <c r="C1303">
        <v>33</v>
      </c>
      <c r="D1303">
        <v>322</v>
      </c>
      <c r="R1303" s="73">
        <f t="shared" si="116"/>
        <v>2.676910864323994E-4</v>
      </c>
      <c r="S1303" s="74">
        <f t="shared" si="117"/>
        <v>4.2697235495022732E-4</v>
      </c>
      <c r="U1303" s="81">
        <f t="shared" si="118"/>
        <v>0.37679587533625503</v>
      </c>
      <c r="W1303" s="80">
        <v>0.62320412466374497</v>
      </c>
    </row>
    <row r="1304" spans="2:23" x14ac:dyDescent="0.3">
      <c r="B1304">
        <v>56</v>
      </c>
      <c r="C1304">
        <v>33</v>
      </c>
      <c r="D1304">
        <v>336</v>
      </c>
      <c r="R1304" s="73">
        <f t="shared" si="116"/>
        <v>2.2481350394014981E-4</v>
      </c>
      <c r="S1304" s="74">
        <f t="shared" si="117"/>
        <v>3.6073815150284807E-4</v>
      </c>
      <c r="U1304" s="81">
        <f t="shared" si="118"/>
        <v>0.37994326439141712</v>
      </c>
      <c r="W1304" s="80">
        <v>0.62005673560858288</v>
      </c>
    </row>
    <row r="1305" spans="2:23" x14ac:dyDescent="0.3">
      <c r="B1305">
        <v>56</v>
      </c>
      <c r="C1305">
        <v>33</v>
      </c>
      <c r="D1305">
        <v>350</v>
      </c>
      <c r="R1305" s="73">
        <f t="shared" si="116"/>
        <v>2.6402946470390924E-4</v>
      </c>
      <c r="S1305" s="74">
        <f t="shared" si="117"/>
        <v>4.2581500940355965E-4</v>
      </c>
      <c r="U1305" s="81">
        <f t="shared" si="118"/>
        <v>0.38363967689727185</v>
      </c>
      <c r="W1305" s="80">
        <v>0.61636032310272815</v>
      </c>
    </row>
    <row r="1306" spans="2:23" x14ac:dyDescent="0.3">
      <c r="B1306">
        <v>56</v>
      </c>
      <c r="C1306">
        <v>33</v>
      </c>
      <c r="D1306">
        <v>364</v>
      </c>
      <c r="R1306" s="73">
        <f t="shared" si="116"/>
        <v>2.709023327528743E-4</v>
      </c>
      <c r="S1306" s="74">
        <f t="shared" si="117"/>
        <v>4.395194216739407E-4</v>
      </c>
      <c r="U1306" s="81">
        <f t="shared" si="118"/>
        <v>0.38743230955581209</v>
      </c>
      <c r="W1306" s="80">
        <v>0.61256769044418791</v>
      </c>
    </row>
    <row r="1307" spans="2:23" x14ac:dyDescent="0.3">
      <c r="B1307">
        <v>42</v>
      </c>
      <c r="C1307">
        <v>8</v>
      </c>
      <c r="D1307">
        <v>0</v>
      </c>
      <c r="R1307" s="73">
        <f>IF(D1307&gt;D1306,(U1307-U1306)/1/(D1307-D1306),0)</f>
        <v>0</v>
      </c>
      <c r="S1307" s="74">
        <f>IF(D1307&gt;D1306,(U1307-U1306)/W1306/(D1307-D1306),0)</f>
        <v>0</v>
      </c>
      <c r="U1307" s="81">
        <f t="shared" ref="U1307:U1354" si="119">100%-W1307</f>
        <v>0</v>
      </c>
      <c r="W1307" s="80">
        <v>1</v>
      </c>
    </row>
    <row r="1308" spans="2:23" x14ac:dyDescent="0.3">
      <c r="B1308">
        <v>42</v>
      </c>
      <c r="C1308">
        <v>8</v>
      </c>
      <c r="D1308">
        <v>50</v>
      </c>
      <c r="R1308" s="73">
        <f t="shared" si="116"/>
        <v>4.5349636270866525E-4</v>
      </c>
      <c r="S1308" s="74">
        <f t="shared" ref="S1308:S1354" si="120">IF(D1308&gt;D1307,(U1308-U1307)/W1307/(D1308-D1307),0)</f>
        <v>4.5349636270866525E-4</v>
      </c>
      <c r="U1308" s="81">
        <f t="shared" si="119"/>
        <v>2.2674818135433261E-2</v>
      </c>
      <c r="W1308" s="80">
        <v>0.97732518186456674</v>
      </c>
    </row>
    <row r="1309" spans="2:23" x14ac:dyDescent="0.3">
      <c r="B1309">
        <v>42</v>
      </c>
      <c r="C1309">
        <v>8</v>
      </c>
      <c r="D1309">
        <v>100</v>
      </c>
      <c r="R1309" s="73">
        <f t="shared" si="116"/>
        <v>2.6825908701046732E-4</v>
      </c>
      <c r="S1309" s="74">
        <f t="shared" si="120"/>
        <v>2.7448293770418925E-4</v>
      </c>
      <c r="U1309" s="81">
        <f t="shared" si="119"/>
        <v>3.6087772485956626E-2</v>
      </c>
      <c r="W1309" s="80">
        <v>0.96391222751404337</v>
      </c>
    </row>
    <row r="1310" spans="2:23" x14ac:dyDescent="0.3">
      <c r="B1310">
        <v>42</v>
      </c>
      <c r="C1310">
        <v>8</v>
      </c>
      <c r="D1310">
        <v>150</v>
      </c>
      <c r="R1310" s="73">
        <f t="shared" si="116"/>
        <v>2.6312524904646749E-4</v>
      </c>
      <c r="S1310" s="74">
        <f t="shared" si="120"/>
        <v>2.7297635773858254E-4</v>
      </c>
      <c r="U1310" s="81">
        <f t="shared" si="119"/>
        <v>4.9244034938280001E-2</v>
      </c>
      <c r="W1310" s="80">
        <v>0.95075596506172</v>
      </c>
    </row>
    <row r="1311" spans="2:23" x14ac:dyDescent="0.3">
      <c r="B1311">
        <v>42</v>
      </c>
      <c r="C1311">
        <v>8</v>
      </c>
      <c r="D1311">
        <v>200</v>
      </c>
      <c r="R1311" s="73">
        <f t="shared" si="116"/>
        <v>2.5809280101383167E-4</v>
      </c>
      <c r="S1311" s="74">
        <f t="shared" si="120"/>
        <v>2.7146061712805261E-4</v>
      </c>
      <c r="U1311" s="81">
        <f t="shared" si="119"/>
        <v>6.2148674988971586E-2</v>
      </c>
      <c r="W1311" s="80">
        <v>0.93785132501102841</v>
      </c>
    </row>
    <row r="1312" spans="2:23" x14ac:dyDescent="0.3">
      <c r="B1312">
        <v>42</v>
      </c>
      <c r="C1312">
        <v>8</v>
      </c>
      <c r="D1312">
        <v>250</v>
      </c>
      <c r="R1312" s="73">
        <f t="shared" si="116"/>
        <v>2.5315973565719129E-4</v>
      </c>
      <c r="S1312" s="74">
        <f t="shared" si="120"/>
        <v>2.6993589378808452E-4</v>
      </c>
      <c r="U1312" s="81">
        <f t="shared" si="119"/>
        <v>7.4806661771831151E-2</v>
      </c>
      <c r="W1312" s="80">
        <v>0.92519333822816885</v>
      </c>
    </row>
    <row r="1313" spans="2:23" x14ac:dyDescent="0.3">
      <c r="B1313">
        <v>42</v>
      </c>
      <c r="C1313">
        <v>8</v>
      </c>
      <c r="D1313">
        <v>300</v>
      </c>
      <c r="R1313" s="73">
        <f t="shared" si="116"/>
        <v>2.4832408546709761E-4</v>
      </c>
      <c r="S1313" s="74">
        <f t="shared" si="120"/>
        <v>2.6840237084138684E-4</v>
      </c>
      <c r="U1313" s="81">
        <f t="shared" si="119"/>
        <v>8.7222866045186032E-2</v>
      </c>
      <c r="W1313" s="80">
        <v>0.91277713395481397</v>
      </c>
    </row>
    <row r="1314" spans="2:23" x14ac:dyDescent="0.3">
      <c r="B1314">
        <v>42</v>
      </c>
      <c r="C1314">
        <v>8</v>
      </c>
      <c r="D1314">
        <v>350</v>
      </c>
      <c r="R1314" s="73">
        <f t="shared" si="116"/>
        <v>2.435839218928404E-4</v>
      </c>
      <c r="S1314" s="74">
        <f t="shared" si="120"/>
        <v>2.6686023655901392E-4</v>
      </c>
      <c r="U1314" s="81">
        <f t="shared" si="119"/>
        <v>9.9402062139828051E-2</v>
      </c>
      <c r="W1314" s="80">
        <v>0.90059793786017195</v>
      </c>
    </row>
    <row r="1315" spans="2:23" x14ac:dyDescent="0.3">
      <c r="B1315">
        <v>42</v>
      </c>
      <c r="C1315">
        <v>8</v>
      </c>
      <c r="D1315">
        <v>400</v>
      </c>
      <c r="R1315" s="73">
        <f t="shared" si="116"/>
        <v>2.3893735457095833E-4</v>
      </c>
      <c r="S1315" s="74">
        <f t="shared" si="120"/>
        <v>2.653096842956086E-4</v>
      </c>
      <c r="U1315" s="81">
        <f t="shared" si="119"/>
        <v>0.11134892986837597</v>
      </c>
      <c r="W1315" s="80">
        <v>0.88865107013162403</v>
      </c>
    </row>
    <row r="1316" spans="2:23" x14ac:dyDescent="0.3">
      <c r="B1316">
        <v>42</v>
      </c>
      <c r="C1316">
        <v>8</v>
      </c>
      <c r="D1316">
        <v>450</v>
      </c>
      <c r="R1316" s="73">
        <f t="shared" si="116"/>
        <v>2.3438253056907722E-4</v>
      </c>
      <c r="S1316" s="74">
        <f t="shared" si="120"/>
        <v>2.6375091241870812E-4</v>
      </c>
      <c r="U1316" s="81">
        <f t="shared" si="119"/>
        <v>0.12306805639682983</v>
      </c>
      <c r="W1316" s="80">
        <v>0.87693194360317017</v>
      </c>
    </row>
    <row r="1317" spans="2:23" x14ac:dyDescent="0.3">
      <c r="B1317">
        <v>42</v>
      </c>
      <c r="C1317">
        <v>8</v>
      </c>
      <c r="D1317">
        <v>500</v>
      </c>
      <c r="R1317" s="73">
        <f t="shared" si="116"/>
        <v>2.2991763364477836E-4</v>
      </c>
      <c r="S1317" s="74">
        <f t="shared" si="120"/>
        <v>2.6218412423213179E-4</v>
      </c>
      <c r="U1317" s="81">
        <f t="shared" si="119"/>
        <v>0.13456393807906875</v>
      </c>
      <c r="W1317" s="80">
        <v>0.86543606192093125</v>
      </c>
    </row>
    <row r="1318" spans="2:23" x14ac:dyDescent="0.3">
      <c r="B1318">
        <v>42</v>
      </c>
      <c r="C1318">
        <v>8</v>
      </c>
      <c r="D1318">
        <v>510</v>
      </c>
      <c r="R1318" s="73">
        <f t="shared" si="116"/>
        <v>2.2727763474887918E-4</v>
      </c>
      <c r="S1318" s="74">
        <f t="shared" si="120"/>
        <v>2.6261632112303167E-4</v>
      </c>
      <c r="U1318" s="81">
        <f t="shared" si="119"/>
        <v>0.13683671442655754</v>
      </c>
      <c r="W1318" s="80">
        <v>0.86316328557344246</v>
      </c>
    </row>
    <row r="1319" spans="2:23" x14ac:dyDescent="0.3">
      <c r="B1319">
        <v>43</v>
      </c>
      <c r="C1319">
        <v>8</v>
      </c>
      <c r="D1319">
        <v>0</v>
      </c>
      <c r="R1319" s="73">
        <f t="shared" si="116"/>
        <v>0</v>
      </c>
      <c r="S1319" s="74">
        <f t="shared" si="120"/>
        <v>0</v>
      </c>
      <c r="U1319" s="81">
        <f t="shared" si="119"/>
        <v>0</v>
      </c>
      <c r="W1319" s="80">
        <v>1</v>
      </c>
    </row>
    <row r="1320" spans="2:23" x14ac:dyDescent="0.3">
      <c r="B1320">
        <v>43</v>
      </c>
      <c r="C1320">
        <v>8</v>
      </c>
      <c r="D1320">
        <v>50</v>
      </c>
      <c r="R1320" s="73">
        <f t="shared" si="116"/>
        <v>5.153425103386611E-4</v>
      </c>
      <c r="S1320" s="74">
        <f t="shared" si="120"/>
        <v>5.153425103386611E-4</v>
      </c>
      <c r="U1320" s="81">
        <f t="shared" si="119"/>
        <v>2.5767125516933054E-2</v>
      </c>
      <c r="W1320" s="80">
        <v>0.97423287448306695</v>
      </c>
    </row>
    <row r="1321" spans="2:23" x14ac:dyDescent="0.3">
      <c r="B1321">
        <v>43</v>
      </c>
      <c r="C1321">
        <v>8</v>
      </c>
      <c r="D1321">
        <v>100</v>
      </c>
      <c r="R1321" s="73">
        <f t="shared" si="116"/>
        <v>2.6603638324471655E-4</v>
      </c>
      <c r="S1321" s="74">
        <f t="shared" si="120"/>
        <v>2.730726812989932E-4</v>
      </c>
      <c r="U1321" s="81">
        <f t="shared" si="119"/>
        <v>3.9068944679168882E-2</v>
      </c>
      <c r="W1321" s="80">
        <v>0.96093105532083112</v>
      </c>
    </row>
    <row r="1322" spans="2:23" x14ac:dyDescent="0.3">
      <c r="B1322">
        <v>43</v>
      </c>
      <c r="C1322">
        <v>8</v>
      </c>
      <c r="D1322">
        <v>150</v>
      </c>
      <c r="R1322" s="73">
        <f t="shared" si="116"/>
        <v>2.3990972976490889E-4</v>
      </c>
      <c r="S1322" s="74">
        <f t="shared" si="120"/>
        <v>2.496638322140697E-4</v>
      </c>
      <c r="U1322" s="81">
        <f t="shared" si="119"/>
        <v>5.1064431167414326E-2</v>
      </c>
      <c r="W1322" s="80">
        <v>0.94893556883258567</v>
      </c>
    </row>
    <row r="1323" spans="2:23" x14ac:dyDescent="0.3">
      <c r="B1323">
        <v>43</v>
      </c>
      <c r="C1323">
        <v>8</v>
      </c>
      <c r="D1323">
        <v>200</v>
      </c>
      <c r="R1323" s="73">
        <f t="shared" si="116"/>
        <v>2.1661715766145616E-4</v>
      </c>
      <c r="S1323" s="74">
        <f t="shared" si="120"/>
        <v>2.2827383099144056E-4</v>
      </c>
      <c r="U1323" s="81">
        <f t="shared" si="119"/>
        <v>6.1895289050487134E-2</v>
      </c>
      <c r="W1323" s="80">
        <v>0.93810471094951287</v>
      </c>
    </row>
    <row r="1324" spans="2:23" x14ac:dyDescent="0.3">
      <c r="B1324">
        <v>43</v>
      </c>
      <c r="C1324">
        <v>8</v>
      </c>
      <c r="D1324">
        <v>250</v>
      </c>
      <c r="R1324" s="73">
        <f t="shared" si="116"/>
        <v>1.9585079597791432E-4</v>
      </c>
      <c r="S1324" s="74">
        <f t="shared" si="120"/>
        <v>2.0877285199823997E-4</v>
      </c>
      <c r="U1324" s="81">
        <f t="shared" si="119"/>
        <v>7.1687828849382851E-2</v>
      </c>
      <c r="W1324" s="80">
        <v>0.92831217115061715</v>
      </c>
    </row>
    <row r="1325" spans="2:23" x14ac:dyDescent="0.3">
      <c r="B1325">
        <v>43</v>
      </c>
      <c r="C1325">
        <v>8</v>
      </c>
      <c r="D1325">
        <v>300</v>
      </c>
      <c r="R1325" s="73">
        <f t="shared" ref="R1325:R1388" si="121">IF(D1325&gt;D1324,(U1325-U1324)/1/(D1325-D1324),0)</f>
        <v>1.7733621895763997E-4</v>
      </c>
      <c r="S1325" s="74">
        <f t="shared" si="120"/>
        <v>1.9103080242698599E-4</v>
      </c>
      <c r="U1325" s="81">
        <f t="shared" si="119"/>
        <v>8.0554639797264849E-2</v>
      </c>
      <c r="W1325" s="80">
        <v>0.91944536020273515</v>
      </c>
    </row>
    <row r="1326" spans="2:23" x14ac:dyDescent="0.3">
      <c r="B1326">
        <v>43</v>
      </c>
      <c r="C1326">
        <v>8</v>
      </c>
      <c r="D1326">
        <v>350</v>
      </c>
      <c r="R1326" s="73">
        <f t="shared" si="121"/>
        <v>1.6082881276284101E-4</v>
      </c>
      <c r="S1326" s="74">
        <f t="shared" si="120"/>
        <v>1.7491938044842458E-4</v>
      </c>
      <c r="U1326" s="81">
        <f t="shared" si="119"/>
        <v>8.8596080435406899E-2</v>
      </c>
      <c r="W1326" s="80">
        <v>0.9114039195645931</v>
      </c>
    </row>
    <row r="1327" spans="2:23" x14ac:dyDescent="0.3">
      <c r="B1327">
        <v>43</v>
      </c>
      <c r="C1327">
        <v>8</v>
      </c>
      <c r="D1327">
        <v>400</v>
      </c>
      <c r="R1327" s="73">
        <f t="shared" si="121"/>
        <v>1.4611053689087106E-4</v>
      </c>
      <c r="S1327" s="74">
        <f t="shared" si="120"/>
        <v>1.6031370257950259E-4</v>
      </c>
      <c r="U1327" s="81">
        <f t="shared" si="119"/>
        <v>9.5901607279950452E-2</v>
      </c>
      <c r="W1327" s="80">
        <v>0.90409839272004955</v>
      </c>
    </row>
    <row r="1328" spans="2:23" x14ac:dyDescent="0.3">
      <c r="B1328">
        <v>43</v>
      </c>
      <c r="C1328">
        <v>8</v>
      </c>
      <c r="D1328">
        <v>450</v>
      </c>
      <c r="R1328" s="73">
        <f t="shared" si="121"/>
        <v>1.329870374103348E-4</v>
      </c>
      <c r="S1328" s="74">
        <f t="shared" si="120"/>
        <v>1.4709354477473747E-4</v>
      </c>
      <c r="U1328" s="81">
        <f t="shared" si="119"/>
        <v>0.10255095915046719</v>
      </c>
      <c r="W1328" s="80">
        <v>0.89744904084953281</v>
      </c>
    </row>
    <row r="1329" spans="2:23" x14ac:dyDescent="0.3">
      <c r="B1329">
        <v>43</v>
      </c>
      <c r="C1329">
        <v>8</v>
      </c>
      <c r="D1329">
        <v>500</v>
      </c>
      <c r="R1329" s="73">
        <f t="shared" si="121"/>
        <v>1.2128507379762121E-4</v>
      </c>
      <c r="S1329" s="74">
        <f t="shared" si="120"/>
        <v>1.3514424583128615E-4</v>
      </c>
      <c r="U1329" s="81">
        <f t="shared" si="119"/>
        <v>0.10861521284034825</v>
      </c>
      <c r="W1329" s="80">
        <v>0.89138478715965175</v>
      </c>
    </row>
    <row r="1330" spans="2:23" x14ac:dyDescent="0.3">
      <c r="B1330">
        <v>43</v>
      </c>
      <c r="C1330">
        <v>8</v>
      </c>
      <c r="D1330">
        <v>510</v>
      </c>
      <c r="R1330" s="73">
        <f t="shared" si="121"/>
        <v>1.148340383213875E-4</v>
      </c>
      <c r="S1330" s="74">
        <f t="shared" si="120"/>
        <v>1.2882656286663786E-4</v>
      </c>
      <c r="U1330" s="81">
        <f t="shared" si="119"/>
        <v>0.10976355322356213</v>
      </c>
      <c r="W1330" s="80">
        <v>0.89023644677643787</v>
      </c>
    </row>
    <row r="1331" spans="2:23" x14ac:dyDescent="0.3">
      <c r="B1331">
        <v>44</v>
      </c>
      <c r="C1331">
        <v>8</v>
      </c>
      <c r="D1331">
        <v>0</v>
      </c>
      <c r="R1331" s="73">
        <f t="shared" si="121"/>
        <v>0</v>
      </c>
      <c r="S1331" s="74">
        <f t="shared" si="120"/>
        <v>0</v>
      </c>
      <c r="U1331" s="81">
        <f t="shared" si="119"/>
        <v>0</v>
      </c>
      <c r="W1331" s="80">
        <v>1</v>
      </c>
    </row>
    <row r="1332" spans="2:23" x14ac:dyDescent="0.3">
      <c r="B1332">
        <v>44</v>
      </c>
      <c r="C1332">
        <v>8</v>
      </c>
      <c r="D1332">
        <v>50</v>
      </c>
      <c r="R1332" s="73">
        <f t="shared" si="121"/>
        <v>1.0392633785756456E-3</v>
      </c>
      <c r="S1332" s="74">
        <f t="shared" si="120"/>
        <v>1.0392633785756456E-3</v>
      </c>
      <c r="U1332" s="81">
        <f t="shared" si="119"/>
        <v>5.1963168928782277E-2</v>
      </c>
      <c r="W1332" s="80">
        <v>0.94803683107121772</v>
      </c>
    </row>
    <row r="1333" spans="2:23" x14ac:dyDescent="0.3">
      <c r="B1333">
        <v>44</v>
      </c>
      <c r="C1333">
        <v>8</v>
      </c>
      <c r="D1333">
        <v>100</v>
      </c>
      <c r="R1333" s="73">
        <f t="shared" si="121"/>
        <v>3.3925229872485254E-4</v>
      </c>
      <c r="S1333" s="74">
        <f t="shared" si="120"/>
        <v>3.5784717176179782E-4</v>
      </c>
      <c r="U1333" s="81">
        <f t="shared" si="119"/>
        <v>6.8925783865024903E-2</v>
      </c>
      <c r="W1333" s="80">
        <v>0.9310742161349751</v>
      </c>
    </row>
    <row r="1334" spans="2:23" x14ac:dyDescent="0.3">
      <c r="B1334">
        <v>44</v>
      </c>
      <c r="C1334">
        <v>8</v>
      </c>
      <c r="D1334">
        <v>150</v>
      </c>
      <c r="R1334" s="73">
        <f t="shared" si="121"/>
        <v>3.0351687959584428E-4</v>
      </c>
      <c r="S1334" s="74">
        <f t="shared" si="120"/>
        <v>3.2598569945990676E-4</v>
      </c>
      <c r="U1334" s="81">
        <f t="shared" si="119"/>
        <v>8.4101627844817117E-2</v>
      </c>
      <c r="W1334" s="80">
        <v>0.91589837215518288</v>
      </c>
    </row>
    <row r="1335" spans="2:23" x14ac:dyDescent="0.3">
      <c r="B1335">
        <v>44</v>
      </c>
      <c r="C1335">
        <v>8</v>
      </c>
      <c r="D1335">
        <v>200</v>
      </c>
      <c r="R1335" s="73">
        <f t="shared" si="121"/>
        <v>2.718965751586233E-4</v>
      </c>
      <c r="S1335" s="74">
        <f t="shared" si="120"/>
        <v>2.9686325844081228E-4</v>
      </c>
      <c r="U1335" s="81">
        <f t="shared" si="119"/>
        <v>9.7696456602748283E-2</v>
      </c>
      <c r="W1335" s="80">
        <v>0.90230354339725172</v>
      </c>
    </row>
    <row r="1336" spans="2:23" x14ac:dyDescent="0.3">
      <c r="B1336">
        <v>44</v>
      </c>
      <c r="C1336">
        <v>8</v>
      </c>
      <c r="D1336">
        <v>250</v>
      </c>
      <c r="R1336" s="73">
        <f t="shared" si="121"/>
        <v>2.4384784253974834E-4</v>
      </c>
      <c r="S1336" s="74">
        <f t="shared" si="120"/>
        <v>2.7025034349487299E-4</v>
      </c>
      <c r="U1336" s="81">
        <f t="shared" si="119"/>
        <v>0.1098888487297357</v>
      </c>
      <c r="W1336" s="80">
        <v>0.8901111512702643</v>
      </c>
    </row>
    <row r="1337" spans="2:23" x14ac:dyDescent="0.3">
      <c r="B1337">
        <v>44</v>
      </c>
      <c r="C1337">
        <v>8</v>
      </c>
      <c r="D1337">
        <v>300</v>
      </c>
      <c r="R1337" s="73">
        <f t="shared" si="121"/>
        <v>2.189668055702576E-4</v>
      </c>
      <c r="S1337" s="74">
        <f t="shared" si="120"/>
        <v>2.4599939598304475E-4</v>
      </c>
      <c r="U1337" s="81">
        <f t="shared" si="119"/>
        <v>0.12083718900824858</v>
      </c>
      <c r="W1337" s="80">
        <v>0.87916281099175142</v>
      </c>
    </row>
    <row r="1338" spans="2:23" x14ac:dyDescent="0.3">
      <c r="B1338">
        <v>44</v>
      </c>
      <c r="C1338">
        <v>8</v>
      </c>
      <c r="D1338">
        <v>350</v>
      </c>
      <c r="R1338" s="73">
        <f t="shared" si="121"/>
        <v>1.9689526866775164E-4</v>
      </c>
      <c r="S1338" s="74">
        <f t="shared" si="120"/>
        <v>2.2395768588714677E-4</v>
      </c>
      <c r="U1338" s="81">
        <f t="shared" si="119"/>
        <v>0.13068195244163616</v>
      </c>
      <c r="W1338" s="80">
        <v>0.86931804755836384</v>
      </c>
    </row>
    <row r="1339" spans="2:23" x14ac:dyDescent="0.3">
      <c r="B1339">
        <v>44</v>
      </c>
      <c r="C1339">
        <v>8</v>
      </c>
      <c r="D1339">
        <v>400</v>
      </c>
      <c r="R1339" s="73">
        <f t="shared" si="121"/>
        <v>1.7731554084215117E-4</v>
      </c>
      <c r="S1339" s="74">
        <f t="shared" si="120"/>
        <v>2.0397084972545294E-4</v>
      </c>
      <c r="U1339" s="81">
        <f t="shared" si="119"/>
        <v>0.13954772948374372</v>
      </c>
      <c r="W1339" s="80">
        <v>0.86045227051625628</v>
      </c>
    </row>
    <row r="1340" spans="2:23" x14ac:dyDescent="0.3">
      <c r="B1340">
        <v>44</v>
      </c>
      <c r="C1340">
        <v>8</v>
      </c>
      <c r="D1340">
        <v>450</v>
      </c>
      <c r="R1340" s="73">
        <f t="shared" si="121"/>
        <v>1.5994585545274774E-4</v>
      </c>
      <c r="S1340" s="74">
        <f t="shared" si="120"/>
        <v>1.8588579626477485E-4</v>
      </c>
      <c r="U1340" s="81">
        <f t="shared" si="119"/>
        <v>0.14754502225638111</v>
      </c>
      <c r="W1340" s="80">
        <v>0.85245497774361889</v>
      </c>
    </row>
    <row r="1341" spans="2:23" x14ac:dyDescent="0.3">
      <c r="B1341">
        <v>44</v>
      </c>
      <c r="C1341">
        <v>8</v>
      </c>
      <c r="D1341">
        <v>500</v>
      </c>
      <c r="R1341" s="73">
        <f t="shared" si="121"/>
        <v>1.445363078984485E-4</v>
      </c>
      <c r="S1341" s="74">
        <f t="shared" si="120"/>
        <v>1.6955301062470741E-4</v>
      </c>
      <c r="U1341" s="81">
        <f t="shared" si="119"/>
        <v>0.15477183765130353</v>
      </c>
      <c r="W1341" s="80">
        <v>0.84522816234869647</v>
      </c>
    </row>
    <row r="1342" spans="2:23" x14ac:dyDescent="0.3">
      <c r="B1342">
        <v>44</v>
      </c>
      <c r="C1342">
        <v>8</v>
      </c>
      <c r="D1342">
        <v>510</v>
      </c>
      <c r="R1342" s="73">
        <f t="shared" si="121"/>
        <v>1.3607355903860752E-4</v>
      </c>
      <c r="S1342" s="74">
        <f t="shared" si="120"/>
        <v>1.6099032793759509E-4</v>
      </c>
      <c r="U1342" s="81">
        <f t="shared" si="119"/>
        <v>0.15613257324168961</v>
      </c>
      <c r="W1342" s="80">
        <v>0.84386742675831039</v>
      </c>
    </row>
    <row r="1343" spans="2:23" x14ac:dyDescent="0.3">
      <c r="B1343">
        <v>45</v>
      </c>
      <c r="C1343">
        <v>8</v>
      </c>
      <c r="D1343">
        <v>0</v>
      </c>
      <c r="R1343" s="73">
        <f t="shared" si="121"/>
        <v>0</v>
      </c>
      <c r="S1343" s="74">
        <f t="shared" si="120"/>
        <v>0</v>
      </c>
      <c r="U1343" s="81">
        <f t="shared" si="119"/>
        <v>0</v>
      </c>
      <c r="W1343" s="80">
        <v>1</v>
      </c>
    </row>
    <row r="1344" spans="2:23" x14ac:dyDescent="0.3">
      <c r="B1344">
        <v>45</v>
      </c>
      <c r="C1344">
        <v>8</v>
      </c>
      <c r="D1344">
        <v>50</v>
      </c>
      <c r="R1344" s="73">
        <f t="shared" si="121"/>
        <v>1.0606334870704238E-3</v>
      </c>
      <c r="S1344" s="74">
        <f t="shared" si="120"/>
        <v>1.0606334870704238E-3</v>
      </c>
      <c r="U1344" s="81">
        <f t="shared" si="119"/>
        <v>5.3031674353521185E-2</v>
      </c>
      <c r="W1344" s="80">
        <v>0.94696832564647881</v>
      </c>
    </row>
    <row r="1345" spans="2:23" x14ac:dyDescent="0.3">
      <c r="B1345">
        <v>45</v>
      </c>
      <c r="C1345">
        <v>8</v>
      </c>
      <c r="D1345">
        <v>100</v>
      </c>
      <c r="R1345" s="73">
        <f t="shared" si="121"/>
        <v>3.9017827736931076E-4</v>
      </c>
      <c r="S1345" s="74">
        <f t="shared" si="120"/>
        <v>4.120288575681165E-4</v>
      </c>
      <c r="U1345" s="81">
        <f t="shared" si="119"/>
        <v>7.2540588221986724E-2</v>
      </c>
      <c r="W1345" s="80">
        <v>0.92745941177801328</v>
      </c>
    </row>
    <row r="1346" spans="2:23" x14ac:dyDescent="0.3">
      <c r="B1346">
        <v>45</v>
      </c>
      <c r="C1346">
        <v>8</v>
      </c>
      <c r="D1346">
        <v>150</v>
      </c>
      <c r="R1346" s="73">
        <f t="shared" si="121"/>
        <v>3.4531237187641396E-4</v>
      </c>
      <c r="S1346" s="74">
        <f t="shared" si="120"/>
        <v>3.7232073715702849E-4</v>
      </c>
      <c r="U1346" s="81">
        <f t="shared" si="119"/>
        <v>8.9806206815807421E-2</v>
      </c>
      <c r="W1346" s="80">
        <v>0.91019379318419258</v>
      </c>
    </row>
    <row r="1347" spans="2:23" x14ac:dyDescent="0.3">
      <c r="B1347">
        <v>45</v>
      </c>
      <c r="C1347">
        <v>8</v>
      </c>
      <c r="D1347">
        <v>200</v>
      </c>
      <c r="R1347" s="73">
        <f t="shared" si="121"/>
        <v>3.060888833249731E-4</v>
      </c>
      <c r="S1347" s="74">
        <f t="shared" si="120"/>
        <v>3.3628979412632739E-4</v>
      </c>
      <c r="U1347" s="81">
        <f t="shared" si="119"/>
        <v>0.10511065098205608</v>
      </c>
      <c r="W1347" s="80">
        <v>0.89488934901794392</v>
      </c>
    </row>
    <row r="1348" spans="2:23" x14ac:dyDescent="0.3">
      <c r="B1348">
        <v>45</v>
      </c>
      <c r="C1348">
        <v>8</v>
      </c>
      <c r="D1348">
        <v>250</v>
      </c>
      <c r="R1348" s="73">
        <f t="shared" si="121"/>
        <v>2.7164266892275356E-4</v>
      </c>
      <c r="S1348" s="74">
        <f t="shared" si="120"/>
        <v>3.0354889039729393E-4</v>
      </c>
      <c r="U1348" s="81">
        <f t="shared" si="119"/>
        <v>0.11869278442819375</v>
      </c>
      <c r="W1348" s="80">
        <v>0.88130721557180625</v>
      </c>
    </row>
    <row r="1349" spans="2:23" x14ac:dyDescent="0.3">
      <c r="B1349">
        <v>45</v>
      </c>
      <c r="C1349">
        <v>8</v>
      </c>
      <c r="D1349">
        <v>300</v>
      </c>
      <c r="R1349" s="73">
        <f t="shared" si="121"/>
        <v>2.4139130755703952E-4</v>
      </c>
      <c r="S1349" s="74">
        <f t="shared" si="120"/>
        <v>2.7390143106955159E-4</v>
      </c>
      <c r="U1349" s="81">
        <f t="shared" si="119"/>
        <v>0.13076234980604573</v>
      </c>
      <c r="W1349" s="80">
        <v>0.86923765019395427</v>
      </c>
    </row>
    <row r="1350" spans="2:23" x14ac:dyDescent="0.3">
      <c r="B1350">
        <v>45</v>
      </c>
      <c r="C1350">
        <v>8</v>
      </c>
      <c r="D1350">
        <v>350</v>
      </c>
      <c r="R1350" s="73">
        <f t="shared" si="121"/>
        <v>2.1482343390037738E-4</v>
      </c>
      <c r="S1350" s="74">
        <f t="shared" si="120"/>
        <v>2.471400472039419E-4</v>
      </c>
      <c r="U1350" s="81">
        <f t="shared" si="119"/>
        <v>0.1415035215010646</v>
      </c>
      <c r="W1350" s="80">
        <v>0.8584964784989354</v>
      </c>
    </row>
    <row r="1351" spans="2:23" x14ac:dyDescent="0.3">
      <c r="B1351">
        <v>45</v>
      </c>
      <c r="C1351">
        <v>8</v>
      </c>
      <c r="D1351">
        <v>400</v>
      </c>
      <c r="R1351" s="73">
        <f t="shared" si="121"/>
        <v>1.9149002040326878E-4</v>
      </c>
      <c r="S1351" s="74">
        <f t="shared" si="120"/>
        <v>2.23052773306753E-4</v>
      </c>
      <c r="U1351" s="81">
        <f t="shared" si="119"/>
        <v>0.15107802252122804</v>
      </c>
      <c r="W1351" s="80">
        <v>0.84892197747877196</v>
      </c>
    </row>
    <row r="1352" spans="2:23" x14ac:dyDescent="0.3">
      <c r="B1352">
        <v>45</v>
      </c>
      <c r="C1352">
        <v>8</v>
      </c>
      <c r="D1352">
        <v>450</v>
      </c>
      <c r="R1352" s="73">
        <f t="shared" si="121"/>
        <v>1.7099677801646785E-4</v>
      </c>
      <c r="S1352" s="74">
        <f t="shared" si="120"/>
        <v>2.0142814363731534E-4</v>
      </c>
      <c r="U1352" s="81">
        <f t="shared" si="119"/>
        <v>0.15962786142205143</v>
      </c>
      <c r="W1352" s="80">
        <v>0.84037213857794857</v>
      </c>
    </row>
    <row r="1353" spans="2:23" x14ac:dyDescent="0.3">
      <c r="B1353">
        <v>45</v>
      </c>
      <c r="C1353">
        <v>8</v>
      </c>
      <c r="D1353">
        <v>500</v>
      </c>
      <c r="R1353" s="73">
        <f t="shared" si="121"/>
        <v>1.529974833177672E-4</v>
      </c>
      <c r="S1353" s="74">
        <f t="shared" si="120"/>
        <v>1.82059204838305E-4</v>
      </c>
      <c r="U1353" s="81">
        <f t="shared" si="119"/>
        <v>0.16727773558793979</v>
      </c>
      <c r="W1353" s="80">
        <v>0.83272226441206021</v>
      </c>
    </row>
    <row r="1354" spans="2:23" x14ac:dyDescent="0.3">
      <c r="B1354">
        <v>45</v>
      </c>
      <c r="C1354">
        <v>8</v>
      </c>
      <c r="D1354">
        <v>510</v>
      </c>
      <c r="R1354" s="73">
        <f t="shared" si="121"/>
        <v>1.4318606185429462E-4</v>
      </c>
      <c r="S1354" s="74">
        <f t="shared" si="120"/>
        <v>1.719493617183281E-4</v>
      </c>
      <c r="U1354" s="81">
        <f t="shared" si="119"/>
        <v>0.16870959620648274</v>
      </c>
      <c r="W1354" s="80">
        <v>0.83129040379351726</v>
      </c>
    </row>
    <row r="1355" spans="2:23" x14ac:dyDescent="0.3">
      <c r="B1355">
        <v>66</v>
      </c>
      <c r="C1355">
        <v>2</v>
      </c>
      <c r="D1355">
        <v>0</v>
      </c>
      <c r="R1355" s="73">
        <f t="shared" si="121"/>
        <v>0</v>
      </c>
      <c r="S1355" s="74">
        <f t="shared" ref="S1355:S1418" si="122">IF(D1355&gt;D1354,(U1355-U1354)/W1354/(D1355-D1354),0)</f>
        <v>0</v>
      </c>
      <c r="U1355" s="81">
        <f t="shared" ref="U1355:U1418" si="123">100%-W1355</f>
        <v>0</v>
      </c>
      <c r="W1355" s="80">
        <v>1</v>
      </c>
    </row>
    <row r="1356" spans="2:23" x14ac:dyDescent="0.3">
      <c r="B1356">
        <v>66</v>
      </c>
      <c r="C1356">
        <v>2</v>
      </c>
      <c r="D1356">
        <v>20</v>
      </c>
      <c r="R1356" s="73">
        <f t="shared" si="121"/>
        <v>1.8792338436311452E-4</v>
      </c>
      <c r="S1356" s="74">
        <f t="shared" si="122"/>
        <v>1.8792338436311452E-4</v>
      </c>
      <c r="U1356" s="81">
        <f t="shared" si="123"/>
        <v>3.7584676872622902E-3</v>
      </c>
      <c r="W1356" s="80">
        <v>0.99624153231273771</v>
      </c>
    </row>
    <row r="1357" spans="2:23" x14ac:dyDescent="0.3">
      <c r="B1357">
        <v>66</v>
      </c>
      <c r="C1357">
        <v>2</v>
      </c>
      <c r="D1357">
        <v>40</v>
      </c>
      <c r="R1357" s="73">
        <f t="shared" si="121"/>
        <v>7.5821772252093739E-5</v>
      </c>
      <c r="S1357" s="74">
        <f t="shared" si="122"/>
        <v>7.6107821038213811E-5</v>
      </c>
      <c r="U1357" s="81">
        <f t="shared" si="123"/>
        <v>5.2749031323041651E-3</v>
      </c>
      <c r="W1357" s="80">
        <v>0.99472509686769583</v>
      </c>
    </row>
    <row r="1358" spans="2:23" x14ac:dyDescent="0.3">
      <c r="B1358">
        <v>66</v>
      </c>
      <c r="C1358">
        <v>2</v>
      </c>
      <c r="D1358">
        <v>60</v>
      </c>
      <c r="R1358" s="73">
        <f t="shared" si="121"/>
        <v>5.7837870311322483E-5</v>
      </c>
      <c r="S1358" s="74">
        <f t="shared" si="122"/>
        <v>5.8144577324377335E-5</v>
      </c>
      <c r="U1358" s="81">
        <f t="shared" si="123"/>
        <v>6.4316605385306147E-3</v>
      </c>
      <c r="W1358" s="80">
        <v>0.99356833946146939</v>
      </c>
    </row>
    <row r="1359" spans="2:23" x14ac:dyDescent="0.3">
      <c r="B1359">
        <v>66</v>
      </c>
      <c r="C1359">
        <v>2</v>
      </c>
      <c r="D1359">
        <v>80</v>
      </c>
      <c r="R1359" s="73">
        <f t="shared" si="121"/>
        <v>4.8575843262660398E-5</v>
      </c>
      <c r="S1359" s="74">
        <f t="shared" si="122"/>
        <v>4.889028900517232E-5</v>
      </c>
      <c r="U1359" s="81">
        <f t="shared" si="123"/>
        <v>7.4031774037838227E-3</v>
      </c>
      <c r="W1359" s="80">
        <v>0.99259682259621618</v>
      </c>
    </row>
    <row r="1360" spans="2:23" x14ac:dyDescent="0.3">
      <c r="B1360">
        <v>66</v>
      </c>
      <c r="C1360">
        <v>2</v>
      </c>
      <c r="D1360">
        <v>100</v>
      </c>
      <c r="R1360" s="73">
        <f t="shared" si="121"/>
        <v>4.2676745583170028E-5</v>
      </c>
      <c r="S1360" s="74">
        <f t="shared" si="122"/>
        <v>4.2995045532732611E-5</v>
      </c>
      <c r="U1360" s="81">
        <f t="shared" si="123"/>
        <v>8.2567123154472233E-3</v>
      </c>
      <c r="W1360" s="80">
        <v>0.99174328768455278</v>
      </c>
    </row>
    <row r="1361" spans="2:23" x14ac:dyDescent="0.3">
      <c r="B1361">
        <v>66</v>
      </c>
      <c r="C1361">
        <v>2</v>
      </c>
      <c r="D1361">
        <v>120</v>
      </c>
      <c r="R1361" s="73">
        <f t="shared" si="121"/>
        <v>3.8497070093090892E-5</v>
      </c>
      <c r="S1361" s="74">
        <f t="shared" si="122"/>
        <v>3.8817575647999535E-5</v>
      </c>
      <c r="U1361" s="81">
        <f t="shared" si="123"/>
        <v>9.0266537173090411E-3</v>
      </c>
      <c r="W1361" s="80">
        <v>0.99097334628269096</v>
      </c>
    </row>
    <row r="1362" spans="2:23" x14ac:dyDescent="0.3">
      <c r="B1362">
        <v>66</v>
      </c>
      <c r="C1362">
        <v>2</v>
      </c>
      <c r="D1362">
        <v>140</v>
      </c>
      <c r="R1362" s="73">
        <f t="shared" si="121"/>
        <v>3.5336407637459597E-5</v>
      </c>
      <c r="S1362" s="74">
        <f t="shared" si="122"/>
        <v>3.5658282606704263E-5</v>
      </c>
      <c r="U1362" s="81">
        <f t="shared" si="123"/>
        <v>9.7333818700582331E-3</v>
      </c>
      <c r="W1362" s="80">
        <v>0.99026661812994177</v>
      </c>
    </row>
    <row r="1363" spans="2:23" x14ac:dyDescent="0.3">
      <c r="B1363">
        <v>66</v>
      </c>
      <c r="C1363">
        <v>2</v>
      </c>
      <c r="D1363">
        <v>160</v>
      </c>
      <c r="R1363" s="73">
        <f t="shared" si="121"/>
        <v>3.2838414950181474E-5</v>
      </c>
      <c r="S1363" s="74">
        <f t="shared" si="122"/>
        <v>3.3161185431247617E-5</v>
      </c>
      <c r="U1363" s="81">
        <f t="shared" si="123"/>
        <v>1.0390150169061863E-2</v>
      </c>
      <c r="W1363" s="80">
        <v>0.98960984983093814</v>
      </c>
    </row>
    <row r="1364" spans="2:23" x14ac:dyDescent="0.3">
      <c r="B1364">
        <v>66</v>
      </c>
      <c r="C1364">
        <v>2</v>
      </c>
      <c r="D1364">
        <v>180</v>
      </c>
      <c r="R1364" s="73">
        <f t="shared" si="121"/>
        <v>3.0799966892314234E-5</v>
      </c>
      <c r="S1364" s="74">
        <f t="shared" si="122"/>
        <v>3.1123343100895778E-5</v>
      </c>
      <c r="U1364" s="81">
        <f t="shared" si="123"/>
        <v>1.1006149506908147E-2</v>
      </c>
      <c r="W1364" s="80">
        <v>0.98899385049309185</v>
      </c>
    </row>
    <row r="1365" spans="2:23" x14ac:dyDescent="0.3">
      <c r="B1365">
        <v>66</v>
      </c>
      <c r="C1365">
        <v>2</v>
      </c>
      <c r="D1365">
        <v>200</v>
      </c>
      <c r="R1365" s="73">
        <f t="shared" si="121"/>
        <v>2.9095638893028575E-5</v>
      </c>
      <c r="S1365" s="74">
        <f t="shared" si="122"/>
        <v>2.9419433577389883E-5</v>
      </c>
      <c r="U1365" s="81">
        <f t="shared" si="123"/>
        <v>1.1588062284768719E-2</v>
      </c>
      <c r="W1365" s="80">
        <v>0.98841193771523128</v>
      </c>
    </row>
    <row r="1366" spans="2:23" x14ac:dyDescent="0.3">
      <c r="B1366">
        <v>66</v>
      </c>
      <c r="C1366">
        <v>2</v>
      </c>
      <c r="D1366">
        <v>220</v>
      </c>
      <c r="R1366" s="73">
        <f t="shared" si="121"/>
        <v>2.7643230234042361E-5</v>
      </c>
      <c r="S1366" s="74">
        <f t="shared" si="122"/>
        <v>2.7967317248253003E-5</v>
      </c>
      <c r="U1366" s="81">
        <f t="shared" si="123"/>
        <v>1.2140926889449566E-2</v>
      </c>
      <c r="W1366" s="80">
        <v>0.98785907311055043</v>
      </c>
    </row>
    <row r="1367" spans="2:23" x14ac:dyDescent="0.3">
      <c r="B1367">
        <v>66</v>
      </c>
      <c r="C1367">
        <v>2</v>
      </c>
      <c r="D1367">
        <v>240</v>
      </c>
      <c r="R1367" s="73">
        <f t="shared" si="121"/>
        <v>2.638631917695755E-5</v>
      </c>
      <c r="S1367" s="74">
        <f t="shared" si="122"/>
        <v>2.6710610749236578E-5</v>
      </c>
      <c r="U1367" s="81">
        <f t="shared" si="123"/>
        <v>1.2668653272988717E-2</v>
      </c>
      <c r="W1367" s="80">
        <v>0.98733134672701128</v>
      </c>
    </row>
    <row r="1368" spans="2:23" x14ac:dyDescent="0.3">
      <c r="B1368">
        <v>66</v>
      </c>
      <c r="C1368">
        <v>2</v>
      </c>
      <c r="D1368">
        <v>260</v>
      </c>
      <c r="R1368" s="73">
        <f t="shared" si="121"/>
        <v>2.5284719630547237E-5</v>
      </c>
      <c r="S1368" s="74">
        <f t="shared" si="122"/>
        <v>2.5609153111937251E-5</v>
      </c>
      <c r="U1368" s="81">
        <f t="shared" si="123"/>
        <v>1.3174347665599662E-2</v>
      </c>
      <c r="W1368" s="80">
        <v>0.98682565233440034</v>
      </c>
    </row>
    <row r="1369" spans="2:23" x14ac:dyDescent="0.3">
      <c r="B1369">
        <v>66</v>
      </c>
      <c r="C1369">
        <v>2</v>
      </c>
      <c r="D1369">
        <v>280</v>
      </c>
      <c r="R1369" s="73">
        <f t="shared" si="121"/>
        <v>2.4308929388422441E-5</v>
      </c>
      <c r="S1369" s="74">
        <f t="shared" si="122"/>
        <v>2.463345914338372E-5</v>
      </c>
      <c r="U1369" s="81">
        <f t="shared" si="123"/>
        <v>1.366052625336811E-2</v>
      </c>
      <c r="W1369" s="80">
        <v>0.98633947374663189</v>
      </c>
    </row>
    <row r="1370" spans="2:23" x14ac:dyDescent="0.3">
      <c r="B1370">
        <v>66</v>
      </c>
      <c r="C1370">
        <v>2</v>
      </c>
      <c r="D1370">
        <v>300</v>
      </c>
      <c r="R1370" s="73">
        <f t="shared" si="121"/>
        <v>2.3436735520560027E-5</v>
      </c>
      <c r="S1370" s="74">
        <f t="shared" si="122"/>
        <v>2.376132776227142E-5</v>
      </c>
      <c r="U1370" s="81">
        <f t="shared" si="123"/>
        <v>1.4129260963779311E-2</v>
      </c>
      <c r="W1370" s="80">
        <v>0.98587073903622069</v>
      </c>
    </row>
    <row r="1371" spans="2:23" x14ac:dyDescent="0.3">
      <c r="B1371">
        <v>66</v>
      </c>
      <c r="C1371">
        <v>2</v>
      </c>
      <c r="D1371">
        <v>320</v>
      </c>
      <c r="R1371" s="73">
        <f t="shared" si="121"/>
        <v>2.2651051389965814E-5</v>
      </c>
      <c r="S1371" s="74">
        <f t="shared" si="122"/>
        <v>2.2975680779520142E-5</v>
      </c>
      <c r="U1371" s="81">
        <f t="shared" si="123"/>
        <v>1.4582281991578627E-2</v>
      </c>
      <c r="W1371" s="80">
        <v>0.98541771800842137</v>
      </c>
    </row>
    <row r="1372" spans="2:23" x14ac:dyDescent="0.3">
      <c r="B1372">
        <v>66</v>
      </c>
      <c r="C1372">
        <v>2</v>
      </c>
      <c r="D1372">
        <v>340</v>
      </c>
      <c r="R1372" s="73">
        <f t="shared" si="121"/>
        <v>2.193848973277568E-5</v>
      </c>
      <c r="S1372" s="74">
        <f t="shared" si="122"/>
        <v>2.2263137075629679E-5</v>
      </c>
      <c r="U1372" s="81">
        <f t="shared" si="123"/>
        <v>1.5021051786234141E-2</v>
      </c>
      <c r="W1372" s="80">
        <v>0.98497894821376586</v>
      </c>
    </row>
    <row r="1373" spans="2:23" x14ac:dyDescent="0.3">
      <c r="B1373">
        <v>66</v>
      </c>
      <c r="C1373">
        <v>2</v>
      </c>
      <c r="D1373">
        <v>360</v>
      </c>
      <c r="R1373" s="73">
        <f t="shared" si="121"/>
        <v>2.1288392963508816E-5</v>
      </c>
      <c r="S1373" s="74">
        <f t="shared" si="122"/>
        <v>2.1613043610845463E-5</v>
      </c>
      <c r="U1373" s="81">
        <f t="shared" si="123"/>
        <v>1.5446819645504317E-2</v>
      </c>
      <c r="W1373" s="80">
        <v>0.98455318035449568</v>
      </c>
    </row>
    <row r="1374" spans="2:23" x14ac:dyDescent="0.3">
      <c r="B1374">
        <v>66</v>
      </c>
      <c r="C1374">
        <v>2</v>
      </c>
      <c r="D1374">
        <v>380</v>
      </c>
      <c r="R1374" s="73">
        <f t="shared" si="121"/>
        <v>2.0692157063401108E-5</v>
      </c>
      <c r="S1374" s="74">
        <f t="shared" si="122"/>
        <v>2.1016799779114768E-5</v>
      </c>
      <c r="U1374" s="81">
        <f t="shared" si="123"/>
        <v>1.5860662786772339E-2</v>
      </c>
      <c r="W1374" s="80">
        <v>0.98413933721322766</v>
      </c>
    </row>
    <row r="1375" spans="2:23" x14ac:dyDescent="0.3">
      <c r="B1375">
        <v>67</v>
      </c>
      <c r="C1375">
        <v>2</v>
      </c>
      <c r="D1375">
        <v>0</v>
      </c>
      <c r="R1375" s="73">
        <f t="shared" si="121"/>
        <v>0</v>
      </c>
      <c r="S1375" s="74">
        <f t="shared" si="122"/>
        <v>0</v>
      </c>
      <c r="U1375" s="81">
        <f t="shared" si="123"/>
        <v>0</v>
      </c>
      <c r="W1375" s="80">
        <v>1</v>
      </c>
    </row>
    <row r="1376" spans="2:23" x14ac:dyDescent="0.3">
      <c r="B1376">
        <v>67</v>
      </c>
      <c r="C1376">
        <v>2</v>
      </c>
      <c r="D1376">
        <v>20</v>
      </c>
      <c r="R1376" s="73">
        <f t="shared" si="121"/>
        <v>1.1202793065765992E-4</v>
      </c>
      <c r="S1376" s="74">
        <f t="shared" si="122"/>
        <v>1.1202793065765992E-4</v>
      </c>
      <c r="U1376" s="81">
        <f t="shared" si="123"/>
        <v>2.2405586131531985E-3</v>
      </c>
      <c r="W1376" s="80">
        <v>0.9977594413868468</v>
      </c>
    </row>
    <row r="1377" spans="2:23" x14ac:dyDescent="0.3">
      <c r="B1377">
        <v>67</v>
      </c>
      <c r="C1377">
        <v>2</v>
      </c>
      <c r="D1377">
        <v>40</v>
      </c>
      <c r="R1377" s="73">
        <f t="shared" si="121"/>
        <v>4.422231608145477E-5</v>
      </c>
      <c r="S1377" s="74">
        <f t="shared" si="122"/>
        <v>4.432162127174409E-5</v>
      </c>
      <c r="U1377" s="81">
        <f t="shared" si="123"/>
        <v>3.1250049347822939E-3</v>
      </c>
      <c r="W1377" s="80">
        <v>0.99687499506521771</v>
      </c>
    </row>
    <row r="1378" spans="2:23" x14ac:dyDescent="0.3">
      <c r="B1378">
        <v>67</v>
      </c>
      <c r="C1378">
        <v>2</v>
      </c>
      <c r="D1378">
        <v>60</v>
      </c>
      <c r="R1378" s="73">
        <f t="shared" si="121"/>
        <v>3.3570866546139835E-5</v>
      </c>
      <c r="S1378" s="74">
        <f t="shared" si="122"/>
        <v>3.3676104539008479E-5</v>
      </c>
      <c r="U1378" s="81">
        <f t="shared" si="123"/>
        <v>3.7964222657050906E-3</v>
      </c>
      <c r="W1378" s="80">
        <v>0.99620357773429491</v>
      </c>
    </row>
    <row r="1379" spans="2:23" x14ac:dyDescent="0.3">
      <c r="B1379">
        <v>67</v>
      </c>
      <c r="C1379">
        <v>2</v>
      </c>
      <c r="D1379">
        <v>80</v>
      </c>
      <c r="R1379" s="73">
        <f t="shared" si="121"/>
        <v>2.8107928719806053E-5</v>
      </c>
      <c r="S1379" s="74">
        <f t="shared" si="122"/>
        <v>2.8215044944661836E-5</v>
      </c>
      <c r="U1379" s="81">
        <f t="shared" si="123"/>
        <v>4.3585808401012116E-3</v>
      </c>
      <c r="W1379" s="80">
        <v>0.99564141915989879</v>
      </c>
    </row>
    <row r="1380" spans="2:23" x14ac:dyDescent="0.3">
      <c r="B1380">
        <v>67</v>
      </c>
      <c r="C1380">
        <v>2</v>
      </c>
      <c r="D1380">
        <v>100</v>
      </c>
      <c r="R1380" s="73">
        <f t="shared" si="121"/>
        <v>2.4638069131527329E-5</v>
      </c>
      <c r="S1380" s="74">
        <f t="shared" si="122"/>
        <v>2.4745926251557927E-5</v>
      </c>
      <c r="U1380" s="81">
        <f t="shared" si="123"/>
        <v>4.8513422227317582E-3</v>
      </c>
      <c r="W1380" s="80">
        <v>0.99514865777726824</v>
      </c>
    </row>
    <row r="1381" spans="2:23" x14ac:dyDescent="0.3">
      <c r="B1381">
        <v>67</v>
      </c>
      <c r="C1381">
        <v>2</v>
      </c>
      <c r="D1381">
        <v>120</v>
      </c>
      <c r="R1381" s="73">
        <f t="shared" si="121"/>
        <v>2.2184684357601238E-5</v>
      </c>
      <c r="S1381" s="74">
        <f t="shared" si="122"/>
        <v>2.2292834527006475E-5</v>
      </c>
      <c r="U1381" s="81">
        <f t="shared" si="123"/>
        <v>5.2950359098837829E-3</v>
      </c>
      <c r="W1381" s="80">
        <v>0.99470496409011622</v>
      </c>
    </row>
    <row r="1382" spans="2:23" x14ac:dyDescent="0.3">
      <c r="B1382">
        <v>67</v>
      </c>
      <c r="C1382">
        <v>2</v>
      </c>
      <c r="D1382">
        <v>140</v>
      </c>
      <c r="R1382" s="73">
        <f t="shared" si="121"/>
        <v>2.0332552006019356E-5</v>
      </c>
      <c r="S1382" s="74">
        <f t="shared" si="122"/>
        <v>2.044078670565206E-5</v>
      </c>
      <c r="U1382" s="81">
        <f t="shared" si="123"/>
        <v>5.70168695000417E-3</v>
      </c>
      <c r="W1382" s="80">
        <v>0.99429831304999583</v>
      </c>
    </row>
    <row r="1383" spans="2:23" x14ac:dyDescent="0.3">
      <c r="B1383">
        <v>67</v>
      </c>
      <c r="C1383">
        <v>2</v>
      </c>
      <c r="D1383">
        <v>160</v>
      </c>
      <c r="R1383" s="73">
        <f t="shared" si="121"/>
        <v>1.8870803550163905E-5</v>
      </c>
      <c r="S1383" s="74">
        <f t="shared" si="122"/>
        <v>1.8979015957774269E-5</v>
      </c>
      <c r="U1383" s="81">
        <f t="shared" si="123"/>
        <v>6.0791030210074481E-3</v>
      </c>
      <c r="W1383" s="80">
        <v>0.99392089697899255</v>
      </c>
    </row>
    <row r="1384" spans="2:23" x14ac:dyDescent="0.3">
      <c r="B1384">
        <v>67</v>
      </c>
      <c r="C1384">
        <v>2</v>
      </c>
      <c r="D1384">
        <v>180</v>
      </c>
      <c r="R1384" s="73">
        <f t="shared" si="121"/>
        <v>1.7679416662591539E-5</v>
      </c>
      <c r="S1384" s="74">
        <f t="shared" si="122"/>
        <v>1.7787549005487113E-5</v>
      </c>
      <c r="U1384" s="81">
        <f t="shared" si="123"/>
        <v>6.432691354259279E-3</v>
      </c>
      <c r="W1384" s="80">
        <v>0.99356730864574072</v>
      </c>
    </row>
    <row r="1385" spans="2:23" x14ac:dyDescent="0.3">
      <c r="B1385">
        <v>67</v>
      </c>
      <c r="C1385">
        <v>2</v>
      </c>
      <c r="D1385">
        <v>200</v>
      </c>
      <c r="R1385" s="73">
        <f t="shared" si="121"/>
        <v>1.6684374209707808E-5</v>
      </c>
      <c r="S1385" s="74">
        <f t="shared" si="122"/>
        <v>1.6792394500629319E-5</v>
      </c>
      <c r="U1385" s="81">
        <f t="shared" si="123"/>
        <v>6.7663788384534351E-3</v>
      </c>
      <c r="W1385" s="80">
        <v>0.99323362116154656</v>
      </c>
    </row>
    <row r="1386" spans="2:23" x14ac:dyDescent="0.3">
      <c r="B1386">
        <v>67</v>
      </c>
      <c r="C1386">
        <v>2</v>
      </c>
      <c r="D1386">
        <v>220</v>
      </c>
      <c r="R1386" s="73">
        <f t="shared" si="121"/>
        <v>1.5837220277326037E-5</v>
      </c>
      <c r="S1386" s="74">
        <f t="shared" si="122"/>
        <v>1.5945110938557485E-5</v>
      </c>
      <c r="U1386" s="81">
        <f t="shared" si="123"/>
        <v>7.0831232439999559E-3</v>
      </c>
      <c r="W1386" s="80">
        <v>0.99291687675600004</v>
      </c>
    </row>
    <row r="1387" spans="2:23" x14ac:dyDescent="0.3">
      <c r="B1387">
        <v>67</v>
      </c>
      <c r="C1387">
        <v>2</v>
      </c>
      <c r="D1387">
        <v>240</v>
      </c>
      <c r="R1387" s="73">
        <f t="shared" si="121"/>
        <v>1.5104727720421928E-5</v>
      </c>
      <c r="S1387" s="74">
        <f t="shared" si="122"/>
        <v>1.5212479588191926E-5</v>
      </c>
      <c r="U1387" s="81">
        <f t="shared" si="123"/>
        <v>7.3852177984083944E-3</v>
      </c>
      <c r="W1387" s="80">
        <v>0.99261478220159161</v>
      </c>
    </row>
    <row r="1388" spans="2:23" x14ac:dyDescent="0.3">
      <c r="B1388">
        <v>67</v>
      </c>
      <c r="C1388">
        <v>2</v>
      </c>
      <c r="D1388">
        <v>260</v>
      </c>
      <c r="R1388" s="73">
        <f t="shared" si="121"/>
        <v>1.4463251480073546E-5</v>
      </c>
      <c r="S1388" s="74">
        <f t="shared" si="122"/>
        <v>1.4570860458066584E-5</v>
      </c>
      <c r="U1388" s="81">
        <f t="shared" si="123"/>
        <v>7.6744828280098654E-3</v>
      </c>
      <c r="W1388" s="80">
        <v>0.99232551717199013</v>
      </c>
    </row>
    <row r="1389" spans="2:23" x14ac:dyDescent="0.3">
      <c r="B1389">
        <v>67</v>
      </c>
      <c r="C1389">
        <v>2</v>
      </c>
      <c r="D1389">
        <v>280</v>
      </c>
      <c r="R1389" s="73">
        <f t="shared" ref="R1389:R1452" si="124">IF(D1389&gt;D1388,(U1389-U1388)/1/(D1389-D1388),0)</f>
        <v>1.3895446651063237E-5</v>
      </c>
      <c r="S1389" s="74">
        <f t="shared" si="122"/>
        <v>1.4002911756883577E-5</v>
      </c>
      <c r="U1389" s="81">
        <f t="shared" si="123"/>
        <v>7.9523917610311301E-3</v>
      </c>
      <c r="W1389" s="80">
        <v>0.99204760823896887</v>
      </c>
    </row>
    <row r="1390" spans="2:23" x14ac:dyDescent="0.3">
      <c r="B1390">
        <v>67</v>
      </c>
      <c r="C1390">
        <v>2</v>
      </c>
      <c r="D1390">
        <v>300</v>
      </c>
      <c r="R1390" s="73">
        <f t="shared" si="124"/>
        <v>1.3388263401492572E-5</v>
      </c>
      <c r="S1390" s="74">
        <f t="shared" si="122"/>
        <v>1.3495585585109891E-5</v>
      </c>
      <c r="U1390" s="81">
        <f t="shared" si="123"/>
        <v>8.2201570290609816E-3</v>
      </c>
      <c r="W1390" s="80">
        <v>0.99177984297093902</v>
      </c>
    </row>
    <row r="1391" spans="2:23" x14ac:dyDescent="0.3">
      <c r="B1391">
        <v>67</v>
      </c>
      <c r="C1391">
        <v>2</v>
      </c>
      <c r="D1391">
        <v>320</v>
      </c>
      <c r="R1391" s="73">
        <f t="shared" si="124"/>
        <v>1.2931670329041634E-5</v>
      </c>
      <c r="S1391" s="74">
        <f t="shared" si="122"/>
        <v>1.3038851737805037E-5</v>
      </c>
      <c r="U1391" s="81">
        <f t="shared" si="123"/>
        <v>8.4787904356418142E-3</v>
      </c>
      <c r="W1391" s="80">
        <v>0.99152120956435819</v>
      </c>
    </row>
    <row r="1392" spans="2:23" x14ac:dyDescent="0.3">
      <c r="B1392">
        <v>67</v>
      </c>
      <c r="C1392">
        <v>2</v>
      </c>
      <c r="D1392">
        <v>340</v>
      </c>
      <c r="R1392" s="73">
        <f t="shared" si="124"/>
        <v>1.2517812840306952E-5</v>
      </c>
      <c r="S1392" s="74">
        <f t="shared" si="122"/>
        <v>1.2624856351592183E-5</v>
      </c>
      <c r="U1392" s="81">
        <f t="shared" si="123"/>
        <v>8.7291466924479533E-3</v>
      </c>
      <c r="W1392" s="80">
        <v>0.99127085330755205</v>
      </c>
    </row>
    <row r="1393" spans="2:23" x14ac:dyDescent="0.3">
      <c r="B1393">
        <v>67</v>
      </c>
      <c r="C1393">
        <v>2</v>
      </c>
      <c r="D1393">
        <v>360</v>
      </c>
      <c r="R1393" s="73">
        <f t="shared" si="124"/>
        <v>1.2140441574609584E-5</v>
      </c>
      <c r="S1393" s="74">
        <f t="shared" si="122"/>
        <v>1.2247350493662591E-5</v>
      </c>
      <c r="U1393" s="81">
        <f t="shared" si="123"/>
        <v>8.9719555239401449E-3</v>
      </c>
      <c r="W1393" s="80">
        <v>0.99102804447605986</v>
      </c>
    </row>
    <row r="1394" spans="2:23" x14ac:dyDescent="0.3">
      <c r="B1394">
        <v>67</v>
      </c>
      <c r="C1394">
        <v>2</v>
      </c>
      <c r="D1394">
        <v>380</v>
      </c>
      <c r="R1394" s="73">
        <f t="shared" si="124"/>
        <v>1.1794514114560339E-5</v>
      </c>
      <c r="S1394" s="74">
        <f t="shared" si="122"/>
        <v>1.19012919768541E-5</v>
      </c>
      <c r="U1394" s="81">
        <f t="shared" si="123"/>
        <v>9.2078458062313517E-3</v>
      </c>
      <c r="W1394" s="80">
        <v>0.99079215419376865</v>
      </c>
    </row>
    <row r="1395" spans="2:23" x14ac:dyDescent="0.3">
      <c r="B1395">
        <v>68</v>
      </c>
      <c r="C1395">
        <v>2</v>
      </c>
      <c r="D1395">
        <v>0</v>
      </c>
      <c r="R1395" s="73">
        <f t="shared" si="124"/>
        <v>0</v>
      </c>
      <c r="S1395" s="74">
        <f t="shared" si="122"/>
        <v>0</v>
      </c>
      <c r="U1395" s="81">
        <f t="shared" si="123"/>
        <v>0</v>
      </c>
      <c r="W1395" s="80">
        <v>1</v>
      </c>
    </row>
    <row r="1396" spans="2:23" x14ac:dyDescent="0.3">
      <c r="B1396">
        <v>68</v>
      </c>
      <c r="C1396">
        <v>2</v>
      </c>
      <c r="D1396">
        <v>20</v>
      </c>
      <c r="R1396" s="73">
        <f t="shared" si="124"/>
        <v>1.3287522144429521E-4</v>
      </c>
      <c r="S1396" s="74">
        <f t="shared" si="122"/>
        <v>1.3287522144429521E-4</v>
      </c>
      <c r="U1396" s="81">
        <f t="shared" si="123"/>
        <v>2.657504428885904E-3</v>
      </c>
      <c r="W1396" s="80">
        <v>0.9973424955711141</v>
      </c>
    </row>
    <row r="1397" spans="2:23" x14ac:dyDescent="0.3">
      <c r="B1397">
        <v>68</v>
      </c>
      <c r="C1397">
        <v>2</v>
      </c>
      <c r="D1397">
        <v>40</v>
      </c>
      <c r="R1397" s="73">
        <f t="shared" si="124"/>
        <v>4.4532905017119487E-5</v>
      </c>
      <c r="S1397" s="74">
        <f t="shared" si="122"/>
        <v>4.4651566753523673E-5</v>
      </c>
      <c r="U1397" s="81">
        <f t="shared" si="123"/>
        <v>3.5481625292282937E-3</v>
      </c>
      <c r="W1397" s="80">
        <v>0.99645183747077171</v>
      </c>
    </row>
    <row r="1398" spans="2:23" x14ac:dyDescent="0.3">
      <c r="B1398">
        <v>68</v>
      </c>
      <c r="C1398">
        <v>2</v>
      </c>
      <c r="D1398">
        <v>60</v>
      </c>
      <c r="R1398" s="73">
        <f t="shared" si="124"/>
        <v>3.2680994788741866E-5</v>
      </c>
      <c r="S1398" s="74">
        <f t="shared" si="122"/>
        <v>3.2797365170898672E-5</v>
      </c>
      <c r="U1398" s="81">
        <f t="shared" si="123"/>
        <v>4.201782425003131E-3</v>
      </c>
      <c r="W1398" s="80">
        <v>0.99579821757499687</v>
      </c>
    </row>
    <row r="1399" spans="2:23" x14ac:dyDescent="0.3">
      <c r="B1399">
        <v>68</v>
      </c>
      <c r="C1399">
        <v>2</v>
      </c>
      <c r="D1399">
        <v>80</v>
      </c>
      <c r="R1399" s="73">
        <f t="shared" si="124"/>
        <v>2.6777037785713497E-5</v>
      </c>
      <c r="S1399" s="74">
        <f t="shared" si="122"/>
        <v>2.6890023815188067E-5</v>
      </c>
      <c r="U1399" s="81">
        <f t="shared" si="123"/>
        <v>4.737323180717401E-3</v>
      </c>
      <c r="W1399" s="80">
        <v>0.9952626768192826</v>
      </c>
    </row>
    <row r="1400" spans="2:23" x14ac:dyDescent="0.3">
      <c r="B1400">
        <v>68</v>
      </c>
      <c r="C1400">
        <v>2</v>
      </c>
      <c r="D1400">
        <v>100</v>
      </c>
      <c r="R1400" s="73">
        <f t="shared" si="124"/>
        <v>2.3098608591221036E-5</v>
      </c>
      <c r="S1400" s="74">
        <f t="shared" si="122"/>
        <v>2.320855501689352E-5</v>
      </c>
      <c r="U1400" s="81">
        <f t="shared" si="123"/>
        <v>5.1992953525418217E-3</v>
      </c>
      <c r="W1400" s="80">
        <v>0.99480070464745818</v>
      </c>
    </row>
    <row r="1401" spans="2:23" x14ac:dyDescent="0.3">
      <c r="B1401">
        <v>68</v>
      </c>
      <c r="C1401">
        <v>2</v>
      </c>
      <c r="D1401">
        <v>120</v>
      </c>
      <c r="R1401" s="73">
        <f t="shared" si="124"/>
        <v>2.0535366150986611E-5</v>
      </c>
      <c r="S1401" s="74">
        <f t="shared" si="122"/>
        <v>2.0642693611947151E-5</v>
      </c>
      <c r="U1401" s="81">
        <f t="shared" si="123"/>
        <v>5.610002675561554E-3</v>
      </c>
      <c r="W1401" s="80">
        <v>0.99438999732443845</v>
      </c>
    </row>
    <row r="1402" spans="2:23" x14ac:dyDescent="0.3">
      <c r="B1402">
        <v>68</v>
      </c>
      <c r="C1402">
        <v>2</v>
      </c>
      <c r="D1402">
        <v>140</v>
      </c>
      <c r="R1402" s="73">
        <f t="shared" si="124"/>
        <v>1.8622918670030407E-5</v>
      </c>
      <c r="S1402" s="74">
        <f t="shared" si="122"/>
        <v>1.8727982703102685E-5</v>
      </c>
      <c r="U1402" s="81">
        <f t="shared" si="123"/>
        <v>5.9824610489621621E-3</v>
      </c>
      <c r="W1402" s="80">
        <v>0.99401753895103784</v>
      </c>
    </row>
    <row r="1403" spans="2:23" x14ac:dyDescent="0.3">
      <c r="B1403">
        <v>68</v>
      </c>
      <c r="C1403">
        <v>2</v>
      </c>
      <c r="D1403">
        <v>160</v>
      </c>
      <c r="R1403" s="73">
        <f t="shared" si="124"/>
        <v>1.712839789684839E-5</v>
      </c>
      <c r="S1403" s="74">
        <f t="shared" si="122"/>
        <v>1.7231484582177056E-5</v>
      </c>
      <c r="U1403" s="81">
        <f t="shared" si="123"/>
        <v>6.3250290068991299E-3</v>
      </c>
      <c r="W1403" s="80">
        <v>0.99367497099310087</v>
      </c>
    </row>
    <row r="1404" spans="2:23" x14ac:dyDescent="0.3">
      <c r="B1404">
        <v>68</v>
      </c>
      <c r="C1404">
        <v>2</v>
      </c>
      <c r="D1404">
        <v>180</v>
      </c>
      <c r="R1404" s="73">
        <f t="shared" si="124"/>
        <v>1.5920631010091225E-5</v>
      </c>
      <c r="S1404" s="74">
        <f t="shared" si="122"/>
        <v>1.6021970437858359E-5</v>
      </c>
      <c r="U1404" s="81">
        <f t="shared" si="123"/>
        <v>6.6434416271009544E-3</v>
      </c>
      <c r="W1404" s="80">
        <v>0.99335655837289905</v>
      </c>
    </row>
    <row r="1405" spans="2:23" x14ac:dyDescent="0.3">
      <c r="B1405">
        <v>68</v>
      </c>
      <c r="C1405">
        <v>2</v>
      </c>
      <c r="D1405">
        <v>200</v>
      </c>
      <c r="R1405" s="73">
        <f t="shared" si="124"/>
        <v>1.4919437058980023E-5</v>
      </c>
      <c r="S1405" s="74">
        <f t="shared" si="122"/>
        <v>1.5019216346059872E-5</v>
      </c>
      <c r="U1405" s="81">
        <f t="shared" si="123"/>
        <v>6.9418303682805549E-3</v>
      </c>
      <c r="W1405" s="80">
        <v>0.99305816963171945</v>
      </c>
    </row>
    <row r="1406" spans="2:23" x14ac:dyDescent="0.3">
      <c r="B1406">
        <v>68</v>
      </c>
      <c r="C1406">
        <v>2</v>
      </c>
      <c r="D1406">
        <v>220</v>
      </c>
      <c r="R1406" s="73">
        <f t="shared" si="124"/>
        <v>1.4072728325020823E-5</v>
      </c>
      <c r="S1406" s="74">
        <f t="shared" si="122"/>
        <v>1.4171101709217863E-5</v>
      </c>
      <c r="U1406" s="81">
        <f t="shared" si="123"/>
        <v>7.2232849347809713E-3</v>
      </c>
      <c r="W1406" s="80">
        <v>0.99277671506521903</v>
      </c>
    </row>
    <row r="1407" spans="2:23" x14ac:dyDescent="0.3">
      <c r="B1407">
        <v>68</v>
      </c>
      <c r="C1407">
        <v>2</v>
      </c>
      <c r="D1407">
        <v>240</v>
      </c>
      <c r="R1407" s="73">
        <f t="shared" si="124"/>
        <v>1.3345030949030168E-5</v>
      </c>
      <c r="S1407" s="74">
        <f t="shared" si="122"/>
        <v>1.3442127264390449E-5</v>
      </c>
      <c r="U1407" s="81">
        <f t="shared" si="123"/>
        <v>7.4901855537615747E-3</v>
      </c>
      <c r="W1407" s="80">
        <v>0.99250981444623843</v>
      </c>
    </row>
    <row r="1408" spans="2:23" x14ac:dyDescent="0.3">
      <c r="B1408">
        <v>68</v>
      </c>
      <c r="C1408">
        <v>2</v>
      </c>
      <c r="D1408">
        <v>260</v>
      </c>
      <c r="R1408" s="73">
        <f t="shared" si="124"/>
        <v>1.2711256026198825E-5</v>
      </c>
      <c r="S1408" s="74">
        <f t="shared" si="122"/>
        <v>1.2807184212370687E-5</v>
      </c>
      <c r="U1408" s="81">
        <f t="shared" si="123"/>
        <v>7.7444106742855512E-3</v>
      </c>
      <c r="W1408" s="80">
        <v>0.99225558932571445</v>
      </c>
    </row>
    <row r="1409" spans="2:23" x14ac:dyDescent="0.3">
      <c r="B1409">
        <v>68</v>
      </c>
      <c r="C1409">
        <v>2</v>
      </c>
      <c r="D1409">
        <v>280</v>
      </c>
      <c r="R1409" s="73">
        <f t="shared" si="124"/>
        <v>1.2153102238515734E-5</v>
      </c>
      <c r="S1409" s="74">
        <f t="shared" si="122"/>
        <v>1.2247955435327256E-5</v>
      </c>
      <c r="U1409" s="81">
        <f t="shared" si="123"/>
        <v>7.9874727190558659E-3</v>
      </c>
      <c r="W1409" s="80">
        <v>0.99201252728094413</v>
      </c>
    </row>
    <row r="1410" spans="2:23" x14ac:dyDescent="0.3">
      <c r="B1410">
        <v>68</v>
      </c>
      <c r="C1410">
        <v>2</v>
      </c>
      <c r="D1410">
        <v>300</v>
      </c>
      <c r="R1410" s="73">
        <f t="shared" si="124"/>
        <v>1.1656870661813645E-5</v>
      </c>
      <c r="S1410" s="74">
        <f t="shared" si="122"/>
        <v>1.1750729291458178E-5</v>
      </c>
      <c r="U1410" s="81">
        <f t="shared" si="123"/>
        <v>8.2206101322921388E-3</v>
      </c>
      <c r="W1410" s="80">
        <v>0.99177938986770786</v>
      </c>
    </row>
    <row r="1411" spans="2:23" x14ac:dyDescent="0.3">
      <c r="B1411">
        <v>68</v>
      </c>
      <c r="C1411">
        <v>2</v>
      </c>
      <c r="D1411">
        <v>320</v>
      </c>
      <c r="R1411" s="73">
        <f t="shared" si="124"/>
        <v>1.1212080728334462E-5</v>
      </c>
      <c r="S1411" s="74">
        <f t="shared" si="122"/>
        <v>1.1305014847939143E-5</v>
      </c>
      <c r="U1411" s="81">
        <f t="shared" si="123"/>
        <v>8.444851746858828E-3</v>
      </c>
      <c r="W1411" s="80">
        <v>0.99155514825314117</v>
      </c>
    </row>
    <row r="1412" spans="2:23" x14ac:dyDescent="0.3">
      <c r="B1412">
        <v>68</v>
      </c>
      <c r="C1412">
        <v>2</v>
      </c>
      <c r="D1412">
        <v>340</v>
      </c>
      <c r="R1412" s="73">
        <f t="shared" si="124"/>
        <v>1.0810562204838225E-5</v>
      </c>
      <c r="S1412" s="74">
        <f t="shared" si="122"/>
        <v>1.0902633326934551E-5</v>
      </c>
      <c r="U1412" s="81">
        <f t="shared" si="123"/>
        <v>8.6610629909555925E-3</v>
      </c>
      <c r="W1412" s="80">
        <v>0.99133893700904441</v>
      </c>
    </row>
    <row r="1413" spans="2:23" x14ac:dyDescent="0.3">
      <c r="B1413">
        <v>68</v>
      </c>
      <c r="C1413">
        <v>2</v>
      </c>
      <c r="D1413">
        <v>360</v>
      </c>
      <c r="R1413" s="73">
        <f t="shared" si="124"/>
        <v>1.0445841275685819E-5</v>
      </c>
      <c r="S1413" s="74">
        <f t="shared" si="122"/>
        <v>1.0537103795400015E-5</v>
      </c>
      <c r="U1413" s="81">
        <f t="shared" si="123"/>
        <v>8.8699798164693089E-3</v>
      </c>
      <c r="W1413" s="80">
        <v>0.99113002018353069</v>
      </c>
    </row>
    <row r="1414" spans="2:23" x14ac:dyDescent="0.3">
      <c r="B1414">
        <v>68</v>
      </c>
      <c r="C1414">
        <v>2</v>
      </c>
      <c r="D1414">
        <v>380</v>
      </c>
      <c r="R1414" s="73">
        <f t="shared" si="124"/>
        <v>1.0112714530263744E-5</v>
      </c>
      <c r="S1414" s="74">
        <f t="shared" si="122"/>
        <v>1.0203216857855987E-5</v>
      </c>
      <c r="U1414" s="81">
        <f t="shared" si="123"/>
        <v>9.0722341070745838E-3</v>
      </c>
      <c r="W1414" s="80">
        <v>0.99092776589292542</v>
      </c>
    </row>
    <row r="1415" spans="2:23" x14ac:dyDescent="0.3">
      <c r="B1415">
        <v>69</v>
      </c>
      <c r="C1415">
        <v>2</v>
      </c>
      <c r="D1415">
        <v>0</v>
      </c>
      <c r="R1415" s="73">
        <f t="shared" si="124"/>
        <v>0</v>
      </c>
      <c r="S1415" s="74">
        <f t="shared" si="122"/>
        <v>0</v>
      </c>
      <c r="U1415" s="81">
        <f t="shared" si="123"/>
        <v>0</v>
      </c>
      <c r="W1415" s="80">
        <v>1</v>
      </c>
    </row>
    <row r="1416" spans="2:23" x14ac:dyDescent="0.3">
      <c r="B1416">
        <v>69</v>
      </c>
      <c r="C1416">
        <v>2</v>
      </c>
      <c r="D1416">
        <v>20</v>
      </c>
      <c r="R1416" s="73">
        <f t="shared" si="124"/>
        <v>1.1901017518312629E-4</v>
      </c>
      <c r="S1416" s="74">
        <f t="shared" si="122"/>
        <v>1.1901017518312629E-4</v>
      </c>
      <c r="U1416" s="81">
        <f t="shared" si="123"/>
        <v>2.3802035036625258E-3</v>
      </c>
      <c r="W1416" s="80">
        <v>0.99761979649633747</v>
      </c>
    </row>
    <row r="1417" spans="2:23" x14ac:dyDescent="0.3">
      <c r="B1417">
        <v>69</v>
      </c>
      <c r="C1417">
        <v>2</v>
      </c>
      <c r="D1417">
        <v>40</v>
      </c>
      <c r="R1417" s="73">
        <f t="shared" si="124"/>
        <v>5.680808656853831E-5</v>
      </c>
      <c r="S1417" s="74">
        <f t="shared" si="122"/>
        <v>5.6943623981851147E-5</v>
      </c>
      <c r="U1417" s="81">
        <f t="shared" si="123"/>
        <v>3.5163652350332919E-3</v>
      </c>
      <c r="W1417" s="80">
        <v>0.99648363476496671</v>
      </c>
    </row>
    <row r="1418" spans="2:23" x14ac:dyDescent="0.3">
      <c r="B1418">
        <v>69</v>
      </c>
      <c r="C1418">
        <v>2</v>
      </c>
      <c r="D1418">
        <v>60</v>
      </c>
      <c r="R1418" s="73">
        <f t="shared" si="124"/>
        <v>4.5085626849494796E-5</v>
      </c>
      <c r="S1418" s="74">
        <f t="shared" si="122"/>
        <v>4.5244723823416144E-5</v>
      </c>
      <c r="U1418" s="81">
        <f t="shared" si="123"/>
        <v>4.4180777720231879E-3</v>
      </c>
      <c r="W1418" s="80">
        <v>0.99558192222797681</v>
      </c>
    </row>
    <row r="1419" spans="2:23" x14ac:dyDescent="0.3">
      <c r="B1419">
        <v>69</v>
      </c>
      <c r="C1419">
        <v>2</v>
      </c>
      <c r="D1419">
        <v>80</v>
      </c>
      <c r="R1419" s="73">
        <f t="shared" si="124"/>
        <v>3.8839121757494602E-5</v>
      </c>
      <c r="S1419" s="74">
        <f t="shared" ref="S1419:S1482" si="125">IF(D1419&gt;D1418,(U1419-U1418)/W1418/(D1419-D1418),0)</f>
        <v>3.9011477499087101E-5</v>
      </c>
      <c r="U1419" s="81">
        <f t="shared" ref="U1419:U1482" si="126">100%-W1419</f>
        <v>5.1948602071730798E-3</v>
      </c>
      <c r="W1419" s="80">
        <v>0.99480513979282692</v>
      </c>
    </row>
    <row r="1420" spans="2:23" x14ac:dyDescent="0.3">
      <c r="B1420">
        <v>69</v>
      </c>
      <c r="C1420">
        <v>2</v>
      </c>
      <c r="D1420">
        <v>100</v>
      </c>
      <c r="R1420" s="73">
        <f t="shared" si="124"/>
        <v>3.476981150965508E-5</v>
      </c>
      <c r="S1420" s="74">
        <f t="shared" si="125"/>
        <v>3.495137903780439E-5</v>
      </c>
      <c r="U1420" s="81">
        <f t="shared" si="126"/>
        <v>5.8902564373661814E-3</v>
      </c>
      <c r="W1420" s="80">
        <v>0.99410974356263382</v>
      </c>
    </row>
    <row r="1421" spans="2:23" x14ac:dyDescent="0.3">
      <c r="B1421">
        <v>69</v>
      </c>
      <c r="C1421">
        <v>2</v>
      </c>
      <c r="D1421">
        <v>120</v>
      </c>
      <c r="R1421" s="73">
        <f t="shared" si="124"/>
        <v>3.1836901155579687E-5</v>
      </c>
      <c r="S1421" s="74">
        <f t="shared" si="125"/>
        <v>3.2025539797532234E-5</v>
      </c>
      <c r="U1421" s="81">
        <f t="shared" si="126"/>
        <v>6.5269944604777752E-3</v>
      </c>
      <c r="W1421" s="80">
        <v>0.99347300553952222</v>
      </c>
    </row>
    <row r="1422" spans="2:23" x14ac:dyDescent="0.3">
      <c r="B1422">
        <v>69</v>
      </c>
      <c r="C1422">
        <v>2</v>
      </c>
      <c r="D1422">
        <v>140</v>
      </c>
      <c r="R1422" s="73">
        <f t="shared" si="124"/>
        <v>2.9588223846432894E-5</v>
      </c>
      <c r="S1422" s="74">
        <f t="shared" si="125"/>
        <v>2.9782614808305246E-5</v>
      </c>
      <c r="U1422" s="81">
        <f t="shared" si="126"/>
        <v>7.1187589374064331E-3</v>
      </c>
      <c r="W1422" s="80">
        <v>0.99288124106259357</v>
      </c>
    </row>
    <row r="1423" spans="2:23" x14ac:dyDescent="0.3">
      <c r="B1423">
        <v>69</v>
      </c>
      <c r="C1423">
        <v>2</v>
      </c>
      <c r="D1423">
        <v>160</v>
      </c>
      <c r="R1423" s="73">
        <f t="shared" si="124"/>
        <v>2.7790289082030296E-5</v>
      </c>
      <c r="S1423" s="74">
        <f t="shared" si="125"/>
        <v>2.7989539869127541E-5</v>
      </c>
      <c r="U1423" s="81">
        <f t="shared" si="126"/>
        <v>7.674564719047039E-3</v>
      </c>
      <c r="W1423" s="80">
        <v>0.99232543528095296</v>
      </c>
    </row>
    <row r="1424" spans="2:23" x14ac:dyDescent="0.3">
      <c r="B1424">
        <v>69</v>
      </c>
      <c r="C1424">
        <v>2</v>
      </c>
      <c r="D1424">
        <v>180</v>
      </c>
      <c r="R1424" s="73">
        <f t="shared" si="124"/>
        <v>2.6308367422295252E-5</v>
      </c>
      <c r="S1424" s="74">
        <f t="shared" si="125"/>
        <v>2.6511834209758692E-5</v>
      </c>
      <c r="U1424" s="81">
        <f t="shared" si="126"/>
        <v>8.200732067492944E-3</v>
      </c>
      <c r="W1424" s="80">
        <v>0.99179926793250706</v>
      </c>
    </row>
    <row r="1425" spans="2:23" x14ac:dyDescent="0.3">
      <c r="B1425">
        <v>69</v>
      </c>
      <c r="C1425">
        <v>2</v>
      </c>
      <c r="D1425">
        <v>200</v>
      </c>
      <c r="R1425" s="73">
        <f t="shared" si="124"/>
        <v>2.5058398584520969E-5</v>
      </c>
      <c r="S1425" s="74">
        <f t="shared" si="125"/>
        <v>2.5265594959308057E-5</v>
      </c>
      <c r="U1425" s="81">
        <f t="shared" si="126"/>
        <v>8.7019000391833634E-3</v>
      </c>
      <c r="W1425" s="80">
        <v>0.99129809996081664</v>
      </c>
    </row>
    <row r="1426" spans="2:23" x14ac:dyDescent="0.3">
      <c r="B1426">
        <v>69</v>
      </c>
      <c r="C1426">
        <v>2</v>
      </c>
      <c r="D1426">
        <v>220</v>
      </c>
      <c r="R1426" s="73">
        <f t="shared" si="124"/>
        <v>2.3984790063730221E-5</v>
      </c>
      <c r="S1426" s="74">
        <f t="shared" si="125"/>
        <v>2.4195335454267769E-5</v>
      </c>
      <c r="U1426" s="81">
        <f t="shared" si="126"/>
        <v>9.1815958404579678E-3</v>
      </c>
      <c r="W1426" s="80">
        <v>0.99081840415954203</v>
      </c>
    </row>
    <row r="1427" spans="2:23" x14ac:dyDescent="0.3">
      <c r="B1427">
        <v>69</v>
      </c>
      <c r="C1427">
        <v>2</v>
      </c>
      <c r="D1427">
        <v>240</v>
      </c>
      <c r="R1427" s="73">
        <f t="shared" si="124"/>
        <v>2.304907583991489E-5</v>
      </c>
      <c r="S1427" s="74">
        <f t="shared" si="125"/>
        <v>2.3262664220964064E-5</v>
      </c>
      <c r="U1427" s="81">
        <f t="shared" si="126"/>
        <v>9.6425773572562656E-3</v>
      </c>
      <c r="W1427" s="80">
        <v>0.99035742264274373</v>
      </c>
    </row>
    <row r="1428" spans="2:23" x14ac:dyDescent="0.3">
      <c r="B1428">
        <v>69</v>
      </c>
      <c r="C1428">
        <v>2</v>
      </c>
      <c r="D1428">
        <v>260</v>
      </c>
      <c r="R1428" s="73">
        <f t="shared" si="124"/>
        <v>2.2223659918829686E-5</v>
      </c>
      <c r="S1428" s="74">
        <f t="shared" si="125"/>
        <v>2.2440039737902315E-5</v>
      </c>
      <c r="U1428" s="81">
        <f t="shared" si="126"/>
        <v>1.0087050555632859E-2</v>
      </c>
      <c r="W1428" s="80">
        <v>0.98991294944436714</v>
      </c>
    </row>
    <row r="1429" spans="2:23" x14ac:dyDescent="0.3">
      <c r="B1429">
        <v>69</v>
      </c>
      <c r="C1429">
        <v>2</v>
      </c>
      <c r="D1429">
        <v>280</v>
      </c>
      <c r="R1429" s="73">
        <f t="shared" si="124"/>
        <v>2.1488149403303682E-5</v>
      </c>
      <c r="S1429" s="74">
        <f t="shared" si="125"/>
        <v>2.1707110120505915E-5</v>
      </c>
      <c r="U1429" s="81">
        <f t="shared" si="126"/>
        <v>1.0516813543698933E-2</v>
      </c>
      <c r="W1429" s="80">
        <v>0.98948318645630107</v>
      </c>
    </row>
    <row r="1430" spans="2:23" x14ac:dyDescent="0.3">
      <c r="B1430">
        <v>69</v>
      </c>
      <c r="C1430">
        <v>2</v>
      </c>
      <c r="D1430">
        <v>300</v>
      </c>
      <c r="R1430" s="73">
        <f t="shared" si="124"/>
        <v>2.0827097175518672E-5</v>
      </c>
      <c r="S1430" s="74">
        <f t="shared" si="125"/>
        <v>2.1048459903707991E-5</v>
      </c>
      <c r="U1430" s="81">
        <f t="shared" si="126"/>
        <v>1.0933355487209306E-2</v>
      </c>
      <c r="W1430" s="80">
        <v>0.98906664451279069</v>
      </c>
    </row>
    <row r="1431" spans="2:23" x14ac:dyDescent="0.3">
      <c r="B1431">
        <v>69</v>
      </c>
      <c r="C1431">
        <v>2</v>
      </c>
      <c r="D1431">
        <v>320</v>
      </c>
      <c r="R1431" s="73">
        <f t="shared" si="124"/>
        <v>2.0228554683343612E-5</v>
      </c>
      <c r="S1431" s="74">
        <f t="shared" si="125"/>
        <v>2.0452165479008849E-5</v>
      </c>
      <c r="U1431" s="81">
        <f t="shared" si="126"/>
        <v>1.1337926580876179E-2</v>
      </c>
      <c r="W1431" s="80">
        <v>0.98866207341912382</v>
      </c>
    </row>
    <row r="1432" spans="2:23" x14ac:dyDescent="0.3">
      <c r="B1432">
        <v>69</v>
      </c>
      <c r="C1432">
        <v>2</v>
      </c>
      <c r="D1432">
        <v>340</v>
      </c>
      <c r="R1432" s="73">
        <f t="shared" si="124"/>
        <v>1.9683111782481388E-5</v>
      </c>
      <c r="S1432" s="74">
        <f t="shared" si="125"/>
        <v>1.9908836711426191E-5</v>
      </c>
      <c r="U1432" s="81">
        <f t="shared" si="126"/>
        <v>1.1731588816525806E-2</v>
      </c>
      <c r="W1432" s="80">
        <v>0.98826841118347419</v>
      </c>
    </row>
    <row r="1433" spans="2:23" x14ac:dyDescent="0.3">
      <c r="B1433">
        <v>69</v>
      </c>
      <c r="C1433">
        <v>2</v>
      </c>
      <c r="D1433">
        <v>360</v>
      </c>
      <c r="R1433" s="73">
        <f t="shared" si="124"/>
        <v>1.9183240801184943E-5</v>
      </c>
      <c r="S1433" s="74">
        <f t="shared" si="125"/>
        <v>1.9410962228583798E-5</v>
      </c>
      <c r="U1433" s="81">
        <f t="shared" si="126"/>
        <v>1.2115253632549505E-2</v>
      </c>
      <c r="W1433" s="80">
        <v>0.98788474636745049</v>
      </c>
    </row>
    <row r="1434" spans="2:23" x14ac:dyDescent="0.3">
      <c r="B1434">
        <v>69</v>
      </c>
      <c r="C1434">
        <v>2</v>
      </c>
      <c r="D1434">
        <v>380</v>
      </c>
      <c r="R1434" s="73">
        <f t="shared" si="124"/>
        <v>1.8722836948575906E-5</v>
      </c>
      <c r="S1434" s="74">
        <f t="shared" si="125"/>
        <v>1.8952450695712858E-5</v>
      </c>
      <c r="U1434" s="81">
        <f t="shared" si="126"/>
        <v>1.2489710371521023E-2</v>
      </c>
      <c r="W1434" s="80">
        <v>0.98751028962847898</v>
      </c>
    </row>
    <row r="1435" spans="2:23" x14ac:dyDescent="0.3">
      <c r="B1435">
        <v>70</v>
      </c>
      <c r="C1435">
        <v>2</v>
      </c>
      <c r="D1435">
        <v>0</v>
      </c>
      <c r="R1435" s="73">
        <f t="shared" si="124"/>
        <v>0</v>
      </c>
      <c r="S1435" s="74">
        <f t="shared" si="125"/>
        <v>0</v>
      </c>
      <c r="U1435" s="81">
        <f t="shared" si="126"/>
        <v>0</v>
      </c>
      <c r="W1435" s="80">
        <v>1</v>
      </c>
    </row>
    <row r="1436" spans="2:23" x14ac:dyDescent="0.3">
      <c r="B1436">
        <v>70</v>
      </c>
      <c r="C1436">
        <v>2</v>
      </c>
      <c r="D1436">
        <v>20</v>
      </c>
      <c r="R1436" s="73">
        <f t="shared" si="124"/>
        <v>2.5316696564381955E-4</v>
      </c>
      <c r="S1436" s="74">
        <f t="shared" si="125"/>
        <v>2.5316696564381955E-4</v>
      </c>
      <c r="U1436" s="81">
        <f t="shared" si="126"/>
        <v>5.0633393128763915E-3</v>
      </c>
      <c r="W1436" s="80">
        <v>0.99493666068712361</v>
      </c>
    </row>
    <row r="1437" spans="2:23" x14ac:dyDescent="0.3">
      <c r="B1437">
        <v>70</v>
      </c>
      <c r="C1437">
        <v>2</v>
      </c>
      <c r="D1437">
        <v>40</v>
      </c>
      <c r="R1437" s="73">
        <f t="shared" si="124"/>
        <v>7.0592857058965347E-5</v>
      </c>
      <c r="S1437" s="74">
        <f t="shared" si="125"/>
        <v>7.0952111675342701E-5</v>
      </c>
      <c r="U1437" s="81">
        <f t="shared" si="126"/>
        <v>6.4751964540556983E-3</v>
      </c>
      <c r="W1437" s="80">
        <v>0.9935248035459443</v>
      </c>
    </row>
    <row r="1438" spans="2:23" x14ac:dyDescent="0.3">
      <c r="B1438">
        <v>70</v>
      </c>
      <c r="C1438">
        <v>2</v>
      </c>
      <c r="D1438">
        <v>60</v>
      </c>
      <c r="R1438" s="73">
        <f t="shared" si="124"/>
        <v>5.0098564026757056E-5</v>
      </c>
      <c r="S1438" s="74">
        <f t="shared" si="125"/>
        <v>5.0425076302023408E-5</v>
      </c>
      <c r="U1438" s="81">
        <f t="shared" si="126"/>
        <v>7.4771677345908394E-3</v>
      </c>
      <c r="W1438" s="80">
        <v>0.99252283226540916</v>
      </c>
    </row>
    <row r="1439" spans="2:23" x14ac:dyDescent="0.3">
      <c r="B1439">
        <v>70</v>
      </c>
      <c r="C1439">
        <v>2</v>
      </c>
      <c r="D1439">
        <v>80</v>
      </c>
      <c r="R1439" s="73">
        <f t="shared" si="124"/>
        <v>4.0180129152639353E-5</v>
      </c>
      <c r="S1439" s="74">
        <f t="shared" si="125"/>
        <v>4.0482826033260303E-5</v>
      </c>
      <c r="U1439" s="81">
        <f t="shared" si="126"/>
        <v>8.2807703176436265E-3</v>
      </c>
      <c r="W1439" s="80">
        <v>0.99171922968235637</v>
      </c>
    </row>
    <row r="1440" spans="2:23" x14ac:dyDescent="0.3">
      <c r="B1440">
        <v>70</v>
      </c>
      <c r="C1440">
        <v>2</v>
      </c>
      <c r="D1440">
        <v>100</v>
      </c>
      <c r="R1440" s="73">
        <f t="shared" si="124"/>
        <v>3.4117044503434445E-5</v>
      </c>
      <c r="S1440" s="74">
        <f t="shared" si="125"/>
        <v>3.4401918892267518E-5</v>
      </c>
      <c r="U1440" s="81">
        <f t="shared" si="126"/>
        <v>8.9631112077123154E-3</v>
      </c>
      <c r="W1440" s="80">
        <v>0.99103688879228768</v>
      </c>
    </row>
    <row r="1441" spans="2:23" x14ac:dyDescent="0.3">
      <c r="B1441">
        <v>70</v>
      </c>
      <c r="C1441">
        <v>2</v>
      </c>
      <c r="D1441">
        <v>120</v>
      </c>
      <c r="R1441" s="73">
        <f t="shared" si="124"/>
        <v>2.9952441895175762E-5</v>
      </c>
      <c r="S1441" s="74">
        <f t="shared" si="125"/>
        <v>3.0223337026008042E-5</v>
      </c>
      <c r="U1441" s="81">
        <f t="shared" si="126"/>
        <v>9.5621600456158307E-3</v>
      </c>
      <c r="W1441" s="80">
        <v>0.99043783995438417</v>
      </c>
    </row>
    <row r="1442" spans="2:23" x14ac:dyDescent="0.3">
      <c r="B1442">
        <v>70</v>
      </c>
      <c r="C1442">
        <v>2</v>
      </c>
      <c r="D1442">
        <v>140</v>
      </c>
      <c r="R1442" s="73">
        <f t="shared" si="124"/>
        <v>2.6881067105988256E-5</v>
      </c>
      <c r="S1442" s="74">
        <f t="shared" si="125"/>
        <v>2.7140589769092725E-5</v>
      </c>
      <c r="U1442" s="81">
        <f t="shared" si="126"/>
        <v>1.0099781387735596E-2</v>
      </c>
      <c r="W1442" s="80">
        <v>0.9899002186122644</v>
      </c>
    </row>
    <row r="1443" spans="2:23" x14ac:dyDescent="0.3">
      <c r="B1443">
        <v>70</v>
      </c>
      <c r="C1443">
        <v>2</v>
      </c>
      <c r="D1443">
        <v>160</v>
      </c>
      <c r="R1443" s="73">
        <f t="shared" si="124"/>
        <v>2.4504153305854313E-5</v>
      </c>
      <c r="S1443" s="74">
        <f t="shared" si="125"/>
        <v>2.4754164960390204E-5</v>
      </c>
      <c r="U1443" s="81">
        <f t="shared" si="126"/>
        <v>1.0589864453852682E-2</v>
      </c>
      <c r="W1443" s="80">
        <v>0.98941013554614732</v>
      </c>
    </row>
    <row r="1444" spans="2:23" x14ac:dyDescent="0.3">
      <c r="B1444">
        <v>70</v>
      </c>
      <c r="C1444">
        <v>2</v>
      </c>
      <c r="D1444">
        <v>180</v>
      </c>
      <c r="R1444" s="73">
        <f t="shared" si="124"/>
        <v>2.2599373593640282E-5</v>
      </c>
      <c r="S1444" s="74">
        <f t="shared" si="125"/>
        <v>2.2841259435012346E-5</v>
      </c>
      <c r="U1444" s="81">
        <f t="shared" si="126"/>
        <v>1.1041851925725488E-2</v>
      </c>
      <c r="W1444" s="80">
        <v>0.98895814807427451</v>
      </c>
    </row>
    <row r="1445" spans="2:23" x14ac:dyDescent="0.3">
      <c r="B1445">
        <v>70</v>
      </c>
      <c r="C1445">
        <v>2</v>
      </c>
      <c r="D1445">
        <v>200</v>
      </c>
      <c r="R1445" s="73">
        <f t="shared" si="124"/>
        <v>2.1032010033100735E-5</v>
      </c>
      <c r="S1445" s="74">
        <f t="shared" si="125"/>
        <v>2.1266835279182259E-5</v>
      </c>
      <c r="U1445" s="81">
        <f t="shared" si="126"/>
        <v>1.1462492126387502E-2</v>
      </c>
      <c r="W1445" s="80">
        <v>0.9885375078736125</v>
      </c>
    </row>
    <row r="1446" spans="2:23" x14ac:dyDescent="0.3">
      <c r="B1446">
        <v>70</v>
      </c>
      <c r="C1446">
        <v>2</v>
      </c>
      <c r="D1446">
        <v>220</v>
      </c>
      <c r="R1446" s="73">
        <f t="shared" si="124"/>
        <v>1.9715210087140057E-5</v>
      </c>
      <c r="S1446" s="74">
        <f t="shared" si="125"/>
        <v>1.9943815920094257E-5</v>
      </c>
      <c r="U1446" s="81">
        <f t="shared" si="126"/>
        <v>1.1856796328130303E-2</v>
      </c>
      <c r="W1446" s="80">
        <v>0.9881432036718697</v>
      </c>
    </row>
    <row r="1447" spans="2:23" x14ac:dyDescent="0.3">
      <c r="B1447">
        <v>70</v>
      </c>
      <c r="C1447">
        <v>2</v>
      </c>
      <c r="D1447">
        <v>240</v>
      </c>
      <c r="R1447" s="73">
        <f t="shared" si="124"/>
        <v>1.859022192898241E-5</v>
      </c>
      <c r="S1447" s="74">
        <f t="shared" si="125"/>
        <v>1.8813287244098293E-5</v>
      </c>
      <c r="U1447" s="81">
        <f t="shared" si="126"/>
        <v>1.2228600766709952E-2</v>
      </c>
      <c r="W1447" s="80">
        <v>0.98777139923329005</v>
      </c>
    </row>
    <row r="1448" spans="2:23" x14ac:dyDescent="0.3">
      <c r="B1448">
        <v>70</v>
      </c>
      <c r="C1448">
        <v>2</v>
      </c>
      <c r="D1448">
        <v>260</v>
      </c>
      <c r="R1448" s="73">
        <f t="shared" si="124"/>
        <v>1.7615745012611316E-5</v>
      </c>
      <c r="S1448" s="74">
        <f t="shared" si="125"/>
        <v>1.7833827772584517E-5</v>
      </c>
      <c r="U1448" s="81">
        <f t="shared" si="126"/>
        <v>1.2580915666962178E-2</v>
      </c>
      <c r="W1448" s="80">
        <v>0.98741908433303782</v>
      </c>
    </row>
    <row r="1449" spans="2:23" x14ac:dyDescent="0.3">
      <c r="B1449">
        <v>70</v>
      </c>
      <c r="C1449">
        <v>2</v>
      </c>
      <c r="D1449">
        <v>280</v>
      </c>
      <c r="R1449" s="73">
        <f t="shared" si="124"/>
        <v>1.6761818231963986E-5</v>
      </c>
      <c r="S1449" s="74">
        <f t="shared" si="125"/>
        <v>1.6975384107839E-5</v>
      </c>
      <c r="U1449" s="81">
        <f t="shared" si="126"/>
        <v>1.2916152031601458E-2</v>
      </c>
      <c r="W1449" s="80">
        <v>0.98708384796839854</v>
      </c>
    </row>
    <row r="1450" spans="2:23" x14ac:dyDescent="0.3">
      <c r="B1450">
        <v>70</v>
      </c>
      <c r="C1450">
        <v>2</v>
      </c>
      <c r="D1450">
        <v>300</v>
      </c>
      <c r="R1450" s="73">
        <f t="shared" si="124"/>
        <v>1.6006128341278237E-5</v>
      </c>
      <c r="S1450" s="74">
        <f t="shared" si="125"/>
        <v>1.6215571123184535E-5</v>
      </c>
      <c r="U1450" s="81">
        <f t="shared" si="126"/>
        <v>1.3236274598427022E-2</v>
      </c>
      <c r="W1450" s="80">
        <v>0.98676372540157298</v>
      </c>
    </row>
    <row r="1451" spans="2:23" x14ac:dyDescent="0.3">
      <c r="B1451">
        <v>70</v>
      </c>
      <c r="C1451">
        <v>2</v>
      </c>
      <c r="D1451">
        <v>320</v>
      </c>
      <c r="R1451" s="73">
        <f t="shared" si="124"/>
        <v>1.5331683897623628E-5</v>
      </c>
      <c r="S1451" s="74">
        <f t="shared" si="125"/>
        <v>1.5537340401709892E-5</v>
      </c>
      <c r="U1451" s="81">
        <f t="shared" si="126"/>
        <v>1.3542908276379495E-2</v>
      </c>
      <c r="W1451" s="80">
        <v>0.9864570917236205</v>
      </c>
    </row>
    <row r="1452" spans="2:23" x14ac:dyDescent="0.3">
      <c r="B1452">
        <v>70</v>
      </c>
      <c r="C1452">
        <v>2</v>
      </c>
      <c r="D1452">
        <v>340</v>
      </c>
      <c r="R1452" s="73">
        <f t="shared" si="124"/>
        <v>1.4725296469381145E-5</v>
      </c>
      <c r="S1452" s="74">
        <f t="shared" si="125"/>
        <v>1.492745765926004E-5</v>
      </c>
      <c r="U1452" s="81">
        <f t="shared" si="126"/>
        <v>1.3837414205767118E-2</v>
      </c>
      <c r="W1452" s="80">
        <v>0.98616258579423288</v>
      </c>
    </row>
    <row r="1453" spans="2:23" x14ac:dyDescent="0.3">
      <c r="B1453">
        <v>70</v>
      </c>
      <c r="C1453">
        <v>2</v>
      </c>
      <c r="D1453">
        <v>360</v>
      </c>
      <c r="R1453" s="73">
        <f t="shared" ref="R1453:R1516" si="127">IF(D1453&gt;D1452,(U1453-U1452)/1/(D1453-D1452),0)</f>
        <v>1.4176558301670639E-5</v>
      </c>
      <c r="S1453" s="74">
        <f t="shared" si="125"/>
        <v>1.4375477741586761E-5</v>
      </c>
      <c r="U1453" s="81">
        <f t="shared" si="126"/>
        <v>1.4120945371800531E-2</v>
      </c>
      <c r="W1453" s="80">
        <v>0.98587905462819947</v>
      </c>
    </row>
    <row r="1454" spans="2:23" x14ac:dyDescent="0.3">
      <c r="B1454">
        <v>70</v>
      </c>
      <c r="C1454">
        <v>2</v>
      </c>
      <c r="D1454">
        <v>380</v>
      </c>
      <c r="R1454" s="73">
        <f t="shared" si="127"/>
        <v>1.3677135807282915E-5</v>
      </c>
      <c r="S1454" s="74">
        <f t="shared" si="125"/>
        <v>1.3873036193512515E-5</v>
      </c>
      <c r="U1454" s="81">
        <f t="shared" si="126"/>
        <v>1.4394488087946189E-2</v>
      </c>
      <c r="W1454" s="80">
        <v>0.98560551191205381</v>
      </c>
    </row>
    <row r="1455" spans="2:23" x14ac:dyDescent="0.3">
      <c r="B1455">
        <v>71</v>
      </c>
      <c r="C1455">
        <v>2</v>
      </c>
      <c r="D1455">
        <v>0</v>
      </c>
      <c r="R1455" s="73">
        <f t="shared" si="127"/>
        <v>0</v>
      </c>
      <c r="S1455" s="74">
        <f t="shared" si="125"/>
        <v>0</v>
      </c>
      <c r="U1455" s="81">
        <f t="shared" si="126"/>
        <v>0</v>
      </c>
      <c r="W1455" s="80">
        <v>1</v>
      </c>
    </row>
    <row r="1456" spans="2:23" x14ac:dyDescent="0.3">
      <c r="B1456">
        <v>71</v>
      </c>
      <c r="C1456">
        <v>2</v>
      </c>
      <c r="D1456">
        <v>20</v>
      </c>
      <c r="R1456" s="73">
        <f t="shared" si="127"/>
        <v>1.559028995783418E-4</v>
      </c>
      <c r="S1456" s="74">
        <f t="shared" si="125"/>
        <v>1.559028995783418E-4</v>
      </c>
      <c r="U1456" s="81">
        <f t="shared" si="126"/>
        <v>3.1180579915668361E-3</v>
      </c>
      <c r="W1456" s="80">
        <v>0.99688194200843316</v>
      </c>
    </row>
    <row r="1457" spans="2:23" x14ac:dyDescent="0.3">
      <c r="B1457">
        <v>71</v>
      </c>
      <c r="C1457">
        <v>2</v>
      </c>
      <c r="D1457">
        <v>40</v>
      </c>
      <c r="R1457" s="73">
        <f t="shared" si="127"/>
        <v>5.5355691901137757E-5</v>
      </c>
      <c r="S1457" s="74">
        <f t="shared" si="125"/>
        <v>5.5528834025834399E-5</v>
      </c>
      <c r="U1457" s="81">
        <f t="shared" si="126"/>
        <v>4.2251718295895913E-3</v>
      </c>
      <c r="W1457" s="80">
        <v>0.99577482817041041</v>
      </c>
    </row>
    <row r="1458" spans="2:23" x14ac:dyDescent="0.3">
      <c r="B1458">
        <v>71</v>
      </c>
      <c r="C1458">
        <v>2</v>
      </c>
      <c r="D1458">
        <v>60</v>
      </c>
      <c r="R1458" s="73">
        <f t="shared" si="127"/>
        <v>4.1227595128656699E-5</v>
      </c>
      <c r="S1458" s="74">
        <f t="shared" si="125"/>
        <v>4.1402527923312075E-5</v>
      </c>
      <c r="U1458" s="81">
        <f t="shared" si="126"/>
        <v>5.0497237321627253E-3</v>
      </c>
      <c r="W1458" s="80">
        <v>0.99495027626783727</v>
      </c>
    </row>
    <row r="1459" spans="2:23" x14ac:dyDescent="0.3">
      <c r="B1459">
        <v>71</v>
      </c>
      <c r="C1459">
        <v>2</v>
      </c>
      <c r="D1459">
        <v>80</v>
      </c>
      <c r="R1459" s="73">
        <f t="shared" si="127"/>
        <v>3.4112760187227086E-5</v>
      </c>
      <c r="S1459" s="74">
        <f t="shared" si="125"/>
        <v>3.4285894482272649E-5</v>
      </c>
      <c r="U1459" s="81">
        <f t="shared" si="126"/>
        <v>5.731978935907267E-3</v>
      </c>
      <c r="W1459" s="80">
        <v>0.99426802106409273</v>
      </c>
    </row>
    <row r="1460" spans="2:23" x14ac:dyDescent="0.3">
      <c r="B1460">
        <v>71</v>
      </c>
      <c r="C1460">
        <v>2</v>
      </c>
      <c r="D1460">
        <v>100</v>
      </c>
      <c r="R1460" s="73">
        <f t="shared" si="127"/>
        <v>2.9646603333333133E-5</v>
      </c>
      <c r="S1460" s="74">
        <f t="shared" si="125"/>
        <v>2.981751671104189E-5</v>
      </c>
      <c r="U1460" s="81">
        <f t="shared" si="126"/>
        <v>6.3249110025739297E-3</v>
      </c>
      <c r="W1460" s="80">
        <v>0.99367508899742607</v>
      </c>
    </row>
    <row r="1461" spans="2:23" x14ac:dyDescent="0.3">
      <c r="B1461">
        <v>71</v>
      </c>
      <c r="C1461">
        <v>2</v>
      </c>
      <c r="D1461">
        <v>120</v>
      </c>
      <c r="R1461" s="73">
        <f t="shared" si="127"/>
        <v>2.6516308838581138E-5</v>
      </c>
      <c r="S1461" s="74">
        <f t="shared" si="125"/>
        <v>2.6685089655749458E-5</v>
      </c>
      <c r="U1461" s="81">
        <f t="shared" si="126"/>
        <v>6.8552371793455524E-3</v>
      </c>
      <c r="W1461" s="80">
        <v>0.99314476282065445</v>
      </c>
    </row>
    <row r="1462" spans="2:23" x14ac:dyDescent="0.3">
      <c r="B1462">
        <v>71</v>
      </c>
      <c r="C1462">
        <v>2</v>
      </c>
      <c r="D1462">
        <v>140</v>
      </c>
      <c r="R1462" s="73">
        <f t="shared" si="127"/>
        <v>2.4169574958665675E-5</v>
      </c>
      <c r="S1462" s="74">
        <f t="shared" si="125"/>
        <v>2.4336406799368383E-5</v>
      </c>
      <c r="U1462" s="81">
        <f t="shared" si="126"/>
        <v>7.3386286785188659E-3</v>
      </c>
      <c r="W1462" s="80">
        <v>0.99266137132148113</v>
      </c>
    </row>
    <row r="1463" spans="2:23" x14ac:dyDescent="0.3">
      <c r="B1463">
        <v>71</v>
      </c>
      <c r="C1463">
        <v>2</v>
      </c>
      <c r="D1463">
        <v>160</v>
      </c>
      <c r="R1463" s="73">
        <f t="shared" si="127"/>
        <v>2.2328164487139811E-5</v>
      </c>
      <c r="S1463" s="74">
        <f t="shared" si="125"/>
        <v>2.2493233979091408E-5</v>
      </c>
      <c r="U1463" s="81">
        <f t="shared" si="126"/>
        <v>7.7851919682616622E-3</v>
      </c>
      <c r="W1463" s="80">
        <v>0.99221480803173834</v>
      </c>
    </row>
    <row r="1464" spans="2:23" x14ac:dyDescent="0.3">
      <c r="B1464">
        <v>71</v>
      </c>
      <c r="C1464">
        <v>2</v>
      </c>
      <c r="D1464">
        <v>180</v>
      </c>
      <c r="R1464" s="73">
        <f t="shared" si="127"/>
        <v>2.0834739850988936E-5</v>
      </c>
      <c r="S1464" s="74">
        <f t="shared" si="125"/>
        <v>2.0998214985642998E-5</v>
      </c>
      <c r="U1464" s="81">
        <f t="shared" si="126"/>
        <v>8.2018867652814409E-3</v>
      </c>
      <c r="W1464" s="80">
        <v>0.99179811323471856</v>
      </c>
    </row>
    <row r="1465" spans="2:23" x14ac:dyDescent="0.3">
      <c r="B1465">
        <v>71</v>
      </c>
      <c r="C1465">
        <v>2</v>
      </c>
      <c r="D1465">
        <v>200</v>
      </c>
      <c r="R1465" s="73">
        <f t="shared" si="127"/>
        <v>1.9592803785067891E-5</v>
      </c>
      <c r="S1465" s="74">
        <f t="shared" si="125"/>
        <v>1.9754830669284674E-5</v>
      </c>
      <c r="U1465" s="81">
        <f t="shared" si="126"/>
        <v>8.5937428409827987E-3</v>
      </c>
      <c r="W1465" s="80">
        <v>0.9914062571590172</v>
      </c>
    </row>
    <row r="1466" spans="2:23" x14ac:dyDescent="0.3">
      <c r="B1466">
        <v>71</v>
      </c>
      <c r="C1466">
        <v>2</v>
      </c>
      <c r="D1466">
        <v>220</v>
      </c>
      <c r="R1466" s="73">
        <f t="shared" si="127"/>
        <v>1.8539483185520122E-5</v>
      </c>
      <c r="S1466" s="74">
        <f t="shared" si="125"/>
        <v>1.8700187790469505E-5</v>
      </c>
      <c r="U1466" s="81">
        <f t="shared" si="126"/>
        <v>8.9645325046932012E-3</v>
      </c>
      <c r="W1466" s="80">
        <v>0.9910354674953068</v>
      </c>
    </row>
    <row r="1467" spans="2:23" x14ac:dyDescent="0.3">
      <c r="B1467">
        <v>71</v>
      </c>
      <c r="C1467">
        <v>2</v>
      </c>
      <c r="D1467">
        <v>240</v>
      </c>
      <c r="R1467" s="73">
        <f t="shared" si="127"/>
        <v>1.7631844949755892E-5</v>
      </c>
      <c r="S1467" s="74">
        <f t="shared" si="125"/>
        <v>1.7791335959264639E-5</v>
      </c>
      <c r="U1467" s="81">
        <f t="shared" si="126"/>
        <v>9.317169403688319E-3</v>
      </c>
      <c r="W1467" s="80">
        <v>0.99068283059631168</v>
      </c>
    </row>
    <row r="1468" spans="2:23" x14ac:dyDescent="0.3">
      <c r="B1468">
        <v>71</v>
      </c>
      <c r="C1468">
        <v>2</v>
      </c>
      <c r="D1468">
        <v>260</v>
      </c>
      <c r="R1468" s="73">
        <f t="shared" si="127"/>
        <v>1.6839451198380483E-5</v>
      </c>
      <c r="S1468" s="74">
        <f t="shared" si="125"/>
        <v>1.6997822792835204E-5</v>
      </c>
      <c r="U1468" s="81">
        <f t="shared" si="126"/>
        <v>9.6539584276559287E-3</v>
      </c>
      <c r="W1468" s="80">
        <v>0.99034604157234407</v>
      </c>
    </row>
    <row r="1469" spans="2:23" x14ac:dyDescent="0.3">
      <c r="B1469">
        <v>71</v>
      </c>
      <c r="C1469">
        <v>2</v>
      </c>
      <c r="D1469">
        <v>280</v>
      </c>
      <c r="R1469" s="73">
        <f t="shared" si="127"/>
        <v>1.6140049510027234E-5</v>
      </c>
      <c r="S1469" s="74">
        <f t="shared" si="125"/>
        <v>1.6297383775475225E-5</v>
      </c>
      <c r="U1469" s="81">
        <f t="shared" si="126"/>
        <v>9.9767594178564734E-3</v>
      </c>
      <c r="W1469" s="80">
        <v>0.99002324058214353</v>
      </c>
    </row>
    <row r="1470" spans="2:23" x14ac:dyDescent="0.3">
      <c r="B1470">
        <v>71</v>
      </c>
      <c r="C1470">
        <v>2</v>
      </c>
      <c r="D1470">
        <v>300</v>
      </c>
      <c r="R1470" s="73">
        <f t="shared" si="127"/>
        <v>1.5516949321775499E-5</v>
      </c>
      <c r="S1470" s="74">
        <f t="shared" si="125"/>
        <v>1.5673318247207386E-5</v>
      </c>
      <c r="U1470" s="81">
        <f t="shared" si="126"/>
        <v>1.0287098404291983E-2</v>
      </c>
      <c r="W1470" s="80">
        <v>0.98971290159570802</v>
      </c>
    </row>
    <row r="1471" spans="2:23" x14ac:dyDescent="0.3">
      <c r="B1471">
        <v>71</v>
      </c>
      <c r="C1471">
        <v>2</v>
      </c>
      <c r="D1471">
        <v>320</v>
      </c>
      <c r="R1471" s="73">
        <f t="shared" si="127"/>
        <v>1.4957356905043184E-5</v>
      </c>
      <c r="S1471" s="74">
        <f t="shared" si="125"/>
        <v>1.5112824012829913E-5</v>
      </c>
      <c r="U1471" s="81">
        <f t="shared" si="126"/>
        <v>1.0586245542392847E-2</v>
      </c>
      <c r="W1471" s="80">
        <v>0.98941375445760715</v>
      </c>
    </row>
    <row r="1472" spans="2:23" x14ac:dyDescent="0.3">
      <c r="B1472">
        <v>71</v>
      </c>
      <c r="C1472">
        <v>2</v>
      </c>
      <c r="D1472">
        <v>340</v>
      </c>
      <c r="R1472" s="73">
        <f t="shared" si="127"/>
        <v>1.4451280977090252E-5</v>
      </c>
      <c r="S1472" s="74">
        <f t="shared" si="125"/>
        <v>1.4605902648899793E-5</v>
      </c>
      <c r="U1472" s="81">
        <f t="shared" si="126"/>
        <v>1.0875271161934652E-2</v>
      </c>
      <c r="W1472" s="80">
        <v>0.98912472883806535</v>
      </c>
    </row>
    <row r="1473" spans="2:23" x14ac:dyDescent="0.3">
      <c r="B1473">
        <v>71</v>
      </c>
      <c r="C1473">
        <v>2</v>
      </c>
      <c r="D1473">
        <v>360</v>
      </c>
      <c r="R1473" s="73">
        <f t="shared" si="127"/>
        <v>1.399079150345428E-5</v>
      </c>
      <c r="S1473" s="74">
        <f t="shared" si="125"/>
        <v>1.4144618060342503E-5</v>
      </c>
      <c r="U1473" s="81">
        <f t="shared" si="126"/>
        <v>1.1155086992003738E-2</v>
      </c>
      <c r="W1473" s="80">
        <v>0.98884491300799626</v>
      </c>
    </row>
    <row r="1474" spans="2:23" x14ac:dyDescent="0.3">
      <c r="B1474">
        <v>71</v>
      </c>
      <c r="C1474">
        <v>2</v>
      </c>
      <c r="D1474">
        <v>380</v>
      </c>
      <c r="R1474" s="73">
        <f t="shared" si="127"/>
        <v>1.3569504528854193E-5</v>
      </c>
      <c r="S1474" s="74">
        <f t="shared" si="125"/>
        <v>1.3722581114946245E-5</v>
      </c>
      <c r="U1474" s="81">
        <f t="shared" si="126"/>
        <v>1.1426477082580822E-2</v>
      </c>
      <c r="W1474" s="80">
        <v>0.98857352291741918</v>
      </c>
    </row>
    <row r="1475" spans="2:23" x14ac:dyDescent="0.3">
      <c r="B1475">
        <v>72</v>
      </c>
      <c r="C1475">
        <v>2</v>
      </c>
      <c r="D1475">
        <v>0</v>
      </c>
      <c r="R1475" s="73">
        <f t="shared" si="127"/>
        <v>0</v>
      </c>
      <c r="S1475" s="74">
        <f t="shared" si="125"/>
        <v>0</v>
      </c>
      <c r="U1475" s="81">
        <f t="shared" si="126"/>
        <v>0</v>
      </c>
      <c r="W1475" s="80">
        <v>1</v>
      </c>
    </row>
    <row r="1476" spans="2:23" x14ac:dyDescent="0.3">
      <c r="B1476">
        <v>72</v>
      </c>
      <c r="C1476">
        <v>2</v>
      </c>
      <c r="D1476">
        <v>20</v>
      </c>
      <c r="R1476" s="73">
        <f t="shared" si="127"/>
        <v>2.3074629097671884E-4</v>
      </c>
      <c r="S1476" s="74">
        <f t="shared" si="125"/>
        <v>2.3074629097671884E-4</v>
      </c>
      <c r="U1476" s="81">
        <f t="shared" si="126"/>
        <v>4.6149258195343767E-3</v>
      </c>
      <c r="W1476" s="80">
        <v>0.99538507418046562</v>
      </c>
    </row>
    <row r="1477" spans="2:23" x14ac:dyDescent="0.3">
      <c r="B1477">
        <v>72</v>
      </c>
      <c r="C1477">
        <v>2</v>
      </c>
      <c r="D1477">
        <v>40</v>
      </c>
      <c r="R1477" s="73">
        <f t="shared" si="127"/>
        <v>4.1008874521081261E-5</v>
      </c>
      <c r="S1477" s="74">
        <f t="shared" si="125"/>
        <v>4.119900487240605E-5</v>
      </c>
      <c r="U1477" s="81">
        <f t="shared" si="126"/>
        <v>5.435103309956002E-3</v>
      </c>
      <c r="W1477" s="80">
        <v>0.994564896690044</v>
      </c>
    </row>
    <row r="1478" spans="2:23" x14ac:dyDescent="0.3">
      <c r="B1478">
        <v>72</v>
      </c>
      <c r="C1478">
        <v>2</v>
      </c>
      <c r="D1478">
        <v>60</v>
      </c>
      <c r="R1478" s="73">
        <f t="shared" si="127"/>
        <v>2.7289007903208428E-5</v>
      </c>
      <c r="S1478" s="74">
        <f t="shared" si="125"/>
        <v>2.7438137012504116E-5</v>
      </c>
      <c r="U1478" s="81">
        <f t="shared" si="126"/>
        <v>5.9808834680201706E-3</v>
      </c>
      <c r="W1478" s="80">
        <v>0.99401911653197983</v>
      </c>
    </row>
    <row r="1479" spans="2:23" x14ac:dyDescent="0.3">
      <c r="B1479">
        <v>72</v>
      </c>
      <c r="C1479">
        <v>2</v>
      </c>
      <c r="D1479">
        <v>80</v>
      </c>
      <c r="R1479" s="73">
        <f t="shared" si="127"/>
        <v>2.1008078195905445E-5</v>
      </c>
      <c r="S1479" s="74">
        <f t="shared" si="125"/>
        <v>2.1134481064308151E-5</v>
      </c>
      <c r="U1479" s="81">
        <f t="shared" si="126"/>
        <v>6.4010450319382795E-3</v>
      </c>
      <c r="W1479" s="80">
        <v>0.99359895496806172</v>
      </c>
    </row>
    <row r="1480" spans="2:23" x14ac:dyDescent="0.3">
      <c r="B1480">
        <v>72</v>
      </c>
      <c r="C1480">
        <v>2</v>
      </c>
      <c r="D1480">
        <v>100</v>
      </c>
      <c r="R1480" s="73">
        <f t="shared" si="127"/>
        <v>1.7306242895692715E-5</v>
      </c>
      <c r="S1480" s="74">
        <f t="shared" si="125"/>
        <v>1.7417734599216651E-5</v>
      </c>
      <c r="U1480" s="81">
        <f t="shared" si="126"/>
        <v>6.7471698898521337E-3</v>
      </c>
      <c r="W1480" s="80">
        <v>0.99325283011014787</v>
      </c>
    </row>
    <row r="1481" spans="2:23" x14ac:dyDescent="0.3">
      <c r="B1481">
        <v>72</v>
      </c>
      <c r="C1481">
        <v>2</v>
      </c>
      <c r="D1481">
        <v>120</v>
      </c>
      <c r="R1481" s="73">
        <f t="shared" si="127"/>
        <v>1.4832643617357367E-5</v>
      </c>
      <c r="S1481" s="74">
        <f t="shared" si="125"/>
        <v>1.4933401816446355E-5</v>
      </c>
      <c r="U1481" s="81">
        <f t="shared" si="126"/>
        <v>7.0438227621992811E-3</v>
      </c>
      <c r="W1481" s="80">
        <v>0.99295617723780072</v>
      </c>
    </row>
    <row r="1482" spans="2:23" x14ac:dyDescent="0.3">
      <c r="B1482">
        <v>72</v>
      </c>
      <c r="C1482">
        <v>2</v>
      </c>
      <c r="D1482">
        <v>140</v>
      </c>
      <c r="R1482" s="73">
        <f t="shared" si="127"/>
        <v>1.3048468493531695E-5</v>
      </c>
      <c r="S1482" s="74">
        <f t="shared" si="125"/>
        <v>1.3141031590970957E-5</v>
      </c>
      <c r="U1482" s="81">
        <f t="shared" si="126"/>
        <v>7.304792132069915E-3</v>
      </c>
      <c r="W1482" s="80">
        <v>0.99269520786793009</v>
      </c>
    </row>
    <row r="1483" spans="2:23" x14ac:dyDescent="0.3">
      <c r="B1483">
        <v>72</v>
      </c>
      <c r="C1483">
        <v>2</v>
      </c>
      <c r="D1483">
        <v>160</v>
      </c>
      <c r="R1483" s="73">
        <f t="shared" si="127"/>
        <v>1.169322396337713E-5</v>
      </c>
      <c r="S1483" s="74">
        <f t="shared" ref="S1483:S1546" si="128">IF(D1483&gt;D1482,(U1483-U1482)/W1482/(D1483-D1482),0)</f>
        <v>1.1779269075440946E-5</v>
      </c>
      <c r="U1483" s="81">
        <f t="shared" ref="U1483:U1546" si="129">100%-W1483</f>
        <v>7.5386566113374576E-3</v>
      </c>
      <c r="W1483" s="80">
        <v>0.99246134338866254</v>
      </c>
    </row>
    <row r="1484" spans="2:23" x14ac:dyDescent="0.3">
      <c r="B1484">
        <v>72</v>
      </c>
      <c r="C1484">
        <v>2</v>
      </c>
      <c r="D1484">
        <v>180</v>
      </c>
      <c r="R1484" s="73">
        <f t="shared" si="127"/>
        <v>1.062450466291498E-5</v>
      </c>
      <c r="S1484" s="74">
        <f t="shared" si="128"/>
        <v>1.0705207546561605E-5</v>
      </c>
      <c r="U1484" s="81">
        <f t="shared" si="129"/>
        <v>7.7511467045957572E-3</v>
      </c>
      <c r="W1484" s="80">
        <v>0.99224885329540424</v>
      </c>
    </row>
    <row r="1485" spans="2:23" x14ac:dyDescent="0.3">
      <c r="B1485">
        <v>72</v>
      </c>
      <c r="C1485">
        <v>2</v>
      </c>
      <c r="D1485">
        <v>200</v>
      </c>
      <c r="R1485" s="73">
        <f t="shared" si="127"/>
        <v>9.7574519976051377E-6</v>
      </c>
      <c r="S1485" s="74">
        <f t="shared" si="128"/>
        <v>9.8336742493571104E-6</v>
      </c>
      <c r="U1485" s="81">
        <f t="shared" si="129"/>
        <v>7.9462957445478599E-3</v>
      </c>
      <c r="W1485" s="80">
        <v>0.99205370425545214</v>
      </c>
    </row>
    <row r="1486" spans="2:23" x14ac:dyDescent="0.3">
      <c r="B1486">
        <v>72</v>
      </c>
      <c r="C1486">
        <v>2</v>
      </c>
      <c r="D1486">
        <v>220</v>
      </c>
      <c r="R1486" s="73">
        <f t="shared" si="127"/>
        <v>9.0381493370317312E-6</v>
      </c>
      <c r="S1486" s="74">
        <f t="shared" si="128"/>
        <v>9.1105444173659614E-6</v>
      </c>
      <c r="U1486" s="81">
        <f t="shared" si="129"/>
        <v>8.1270587312884945E-3</v>
      </c>
      <c r="W1486" s="80">
        <v>0.99187294126871151</v>
      </c>
    </row>
    <row r="1487" spans="2:23" x14ac:dyDescent="0.3">
      <c r="B1487">
        <v>72</v>
      </c>
      <c r="C1487">
        <v>2</v>
      </c>
      <c r="D1487">
        <v>240</v>
      </c>
      <c r="R1487" s="73">
        <f t="shared" si="127"/>
        <v>8.4305930810713032E-6</v>
      </c>
      <c r="S1487" s="74">
        <f t="shared" si="128"/>
        <v>8.4996704016218787E-6</v>
      </c>
      <c r="U1487" s="81">
        <f t="shared" si="129"/>
        <v>8.2956705929099206E-3</v>
      </c>
      <c r="W1487" s="80">
        <v>0.99170432940709008</v>
      </c>
    </row>
    <row r="1488" spans="2:23" x14ac:dyDescent="0.3">
      <c r="B1488">
        <v>72</v>
      </c>
      <c r="C1488">
        <v>2</v>
      </c>
      <c r="D1488">
        <v>260</v>
      </c>
      <c r="R1488" s="73">
        <f t="shared" si="127"/>
        <v>7.9097664990646081E-6</v>
      </c>
      <c r="S1488" s="74">
        <f t="shared" si="128"/>
        <v>7.9759322053112507E-6</v>
      </c>
      <c r="U1488" s="81">
        <f t="shared" si="129"/>
        <v>8.4538659228912127E-3</v>
      </c>
      <c r="W1488" s="80">
        <v>0.99154613407710879</v>
      </c>
    </row>
    <row r="1489" spans="2:23" x14ac:dyDescent="0.3">
      <c r="B1489">
        <v>72</v>
      </c>
      <c r="C1489">
        <v>2</v>
      </c>
      <c r="D1489">
        <v>280</v>
      </c>
      <c r="R1489" s="73">
        <f t="shared" si="127"/>
        <v>7.4577122150809583E-6</v>
      </c>
      <c r="S1489" s="74">
        <f t="shared" si="128"/>
        <v>7.5212962451034068E-6</v>
      </c>
      <c r="U1489" s="81">
        <f t="shared" si="129"/>
        <v>8.6030201671928319E-3</v>
      </c>
      <c r="W1489" s="80">
        <v>0.99139697983280717</v>
      </c>
    </row>
    <row r="1490" spans="2:23" x14ac:dyDescent="0.3">
      <c r="B1490">
        <v>72</v>
      </c>
      <c r="C1490">
        <v>2</v>
      </c>
      <c r="D1490">
        <v>300</v>
      </c>
      <c r="R1490" s="73">
        <f t="shared" si="127"/>
        <v>7.0611855972624316E-6</v>
      </c>
      <c r="S1490" s="74">
        <f t="shared" si="128"/>
        <v>7.1224602665758126E-6</v>
      </c>
      <c r="U1490" s="81">
        <f t="shared" si="129"/>
        <v>8.7442438791380805E-3</v>
      </c>
      <c r="W1490" s="80">
        <v>0.99125575612086192</v>
      </c>
    </row>
    <row r="1491" spans="2:23" x14ac:dyDescent="0.3">
      <c r="B1491">
        <v>72</v>
      </c>
      <c r="C1491">
        <v>2</v>
      </c>
      <c r="D1491">
        <v>320</v>
      </c>
      <c r="R1491" s="73">
        <f t="shared" si="127"/>
        <v>6.7101907482436385E-6</v>
      </c>
      <c r="S1491" s="74">
        <f t="shared" si="128"/>
        <v>6.7693838919059729E-6</v>
      </c>
      <c r="U1491" s="81">
        <f t="shared" si="129"/>
        <v>8.8784476941029533E-3</v>
      </c>
      <c r="W1491" s="80">
        <v>0.99112155230589705</v>
      </c>
    </row>
    <row r="1492" spans="2:23" x14ac:dyDescent="0.3">
      <c r="B1492">
        <v>72</v>
      </c>
      <c r="C1492">
        <v>2</v>
      </c>
      <c r="D1492">
        <v>340</v>
      </c>
      <c r="R1492" s="73">
        <f t="shared" si="127"/>
        <v>6.3970332663421116E-6</v>
      </c>
      <c r="S1492" s="74">
        <f t="shared" si="128"/>
        <v>6.4543377666029699E-6</v>
      </c>
      <c r="U1492" s="81">
        <f t="shared" si="129"/>
        <v>9.0063883594297955E-3</v>
      </c>
      <c r="W1492" s="80">
        <v>0.9909936116405702</v>
      </c>
    </row>
    <row r="1493" spans="2:23" x14ac:dyDescent="0.3">
      <c r="B1493">
        <v>72</v>
      </c>
      <c r="C1493">
        <v>2</v>
      </c>
      <c r="D1493">
        <v>360</v>
      </c>
      <c r="R1493" s="73">
        <f t="shared" si="127"/>
        <v>6.1156880033275133E-6</v>
      </c>
      <c r="S1493" s="74">
        <f t="shared" si="128"/>
        <v>6.171268847236173E-6</v>
      </c>
      <c r="U1493" s="81">
        <f t="shared" si="129"/>
        <v>9.1287021194963458E-3</v>
      </c>
      <c r="W1493" s="80">
        <v>0.99087129788050365</v>
      </c>
    </row>
    <row r="1494" spans="2:23" x14ac:dyDescent="0.3">
      <c r="B1494">
        <v>72</v>
      </c>
      <c r="C1494">
        <v>2</v>
      </c>
      <c r="D1494">
        <v>380</v>
      </c>
      <c r="R1494" s="73">
        <f t="shared" si="127"/>
        <v>5.8613655658790176E-6</v>
      </c>
      <c r="S1494" s="74">
        <f t="shared" si="128"/>
        <v>5.9153651724665072E-6</v>
      </c>
      <c r="U1494" s="81">
        <f t="shared" si="129"/>
        <v>9.2459294308139262E-3</v>
      </c>
      <c r="W1494" s="80">
        <v>0.99075407056918607</v>
      </c>
    </row>
    <row r="1495" spans="2:23" x14ac:dyDescent="0.3">
      <c r="B1495">
        <v>73</v>
      </c>
      <c r="C1495">
        <v>2</v>
      </c>
      <c r="D1495">
        <v>0</v>
      </c>
      <c r="R1495" s="73">
        <f t="shared" si="127"/>
        <v>0</v>
      </c>
      <c r="S1495" s="74">
        <f t="shared" si="128"/>
        <v>0</v>
      </c>
      <c r="U1495" s="81">
        <f t="shared" si="129"/>
        <v>0</v>
      </c>
      <c r="W1495" s="80">
        <v>1</v>
      </c>
    </row>
    <row r="1496" spans="2:23" x14ac:dyDescent="0.3">
      <c r="B1496">
        <v>73</v>
      </c>
      <c r="C1496">
        <v>2</v>
      </c>
      <c r="D1496">
        <v>20</v>
      </c>
      <c r="R1496" s="73">
        <f t="shared" si="127"/>
        <v>7.3776323562041451E-5</v>
      </c>
      <c r="S1496" s="74">
        <f t="shared" si="128"/>
        <v>7.3776323562041451E-5</v>
      </c>
      <c r="U1496" s="81">
        <f t="shared" si="129"/>
        <v>1.4755264712408289E-3</v>
      </c>
      <c r="W1496" s="80">
        <v>0.99852447352875917</v>
      </c>
    </row>
    <row r="1497" spans="2:23" x14ac:dyDescent="0.3">
      <c r="B1497">
        <v>73</v>
      </c>
      <c r="C1497">
        <v>2</v>
      </c>
      <c r="D1497">
        <v>40</v>
      </c>
      <c r="R1497" s="73">
        <f t="shared" si="127"/>
        <v>4.4998560889208951E-5</v>
      </c>
      <c r="S1497" s="74">
        <f t="shared" si="128"/>
        <v>4.5065055571632836E-5</v>
      </c>
      <c r="U1497" s="81">
        <f t="shared" si="129"/>
        <v>2.3754976890250079E-3</v>
      </c>
      <c r="W1497" s="80">
        <v>0.99762450231097499</v>
      </c>
    </row>
    <row r="1498" spans="2:23" x14ac:dyDescent="0.3">
      <c r="B1498">
        <v>73</v>
      </c>
      <c r="C1498">
        <v>2</v>
      </c>
      <c r="D1498">
        <v>60</v>
      </c>
      <c r="R1498" s="73">
        <f t="shared" si="127"/>
        <v>3.8152707861610625E-5</v>
      </c>
      <c r="S1498" s="74">
        <f t="shared" si="128"/>
        <v>3.8243555338938375E-5</v>
      </c>
      <c r="U1498" s="81">
        <f t="shared" si="129"/>
        <v>3.1385518462572204E-3</v>
      </c>
      <c r="W1498" s="80">
        <v>0.99686144815374278</v>
      </c>
    </row>
    <row r="1499" spans="2:23" x14ac:dyDescent="0.3">
      <c r="B1499">
        <v>73</v>
      </c>
      <c r="C1499">
        <v>2</v>
      </c>
      <c r="D1499">
        <v>80</v>
      </c>
      <c r="R1499" s="73">
        <f t="shared" si="127"/>
        <v>3.4291927653362642E-5</v>
      </c>
      <c r="S1499" s="74">
        <f t="shared" si="128"/>
        <v>3.4399893502626359E-5</v>
      </c>
      <c r="U1499" s="81">
        <f t="shared" si="129"/>
        <v>3.8243903993244732E-3</v>
      </c>
      <c r="W1499" s="80">
        <v>0.99617560960067553</v>
      </c>
    </row>
    <row r="1500" spans="2:23" x14ac:dyDescent="0.3">
      <c r="B1500">
        <v>73</v>
      </c>
      <c r="C1500">
        <v>2</v>
      </c>
      <c r="D1500">
        <v>100</v>
      </c>
      <c r="R1500" s="73">
        <f t="shared" si="127"/>
        <v>3.1680138248291187E-5</v>
      </c>
      <c r="S1500" s="74">
        <f t="shared" si="128"/>
        <v>3.1801760596196901E-5</v>
      </c>
      <c r="U1500" s="81">
        <f t="shared" si="129"/>
        <v>4.457993164290297E-3</v>
      </c>
      <c r="W1500" s="80">
        <v>0.9955420068357097</v>
      </c>
    </row>
    <row r="1501" spans="2:23" x14ac:dyDescent="0.3">
      <c r="B1501">
        <v>73</v>
      </c>
      <c r="C1501">
        <v>2</v>
      </c>
      <c r="D1501">
        <v>120</v>
      </c>
      <c r="R1501" s="73">
        <f t="shared" si="127"/>
        <v>2.9743137526011544E-5</v>
      </c>
      <c r="S1501" s="74">
        <f t="shared" si="128"/>
        <v>2.9876325983017947E-5</v>
      </c>
      <c r="U1501" s="81">
        <f t="shared" si="129"/>
        <v>5.0528559148105279E-3</v>
      </c>
      <c r="W1501" s="80">
        <v>0.99494714408518947</v>
      </c>
    </row>
    <row r="1502" spans="2:23" x14ac:dyDescent="0.3">
      <c r="B1502">
        <v>73</v>
      </c>
      <c r="C1502">
        <v>2</v>
      </c>
      <c r="D1502">
        <v>140</v>
      </c>
      <c r="R1502" s="73">
        <f t="shared" si="127"/>
        <v>2.8223329616461347E-5</v>
      </c>
      <c r="S1502" s="74">
        <f t="shared" si="128"/>
        <v>2.8366662273714519E-5</v>
      </c>
      <c r="U1502" s="81">
        <f t="shared" si="129"/>
        <v>5.6173225071397548E-3</v>
      </c>
      <c r="W1502" s="80">
        <v>0.99438267749286025</v>
      </c>
    </row>
    <row r="1503" spans="2:23" x14ac:dyDescent="0.3">
      <c r="B1503">
        <v>73</v>
      </c>
      <c r="C1503">
        <v>2</v>
      </c>
      <c r="D1503">
        <v>160</v>
      </c>
      <c r="R1503" s="73">
        <f t="shared" si="127"/>
        <v>2.6984351492970182E-5</v>
      </c>
      <c r="S1503" s="74">
        <f t="shared" si="128"/>
        <v>2.7136787580618258E-5</v>
      </c>
      <c r="U1503" s="81">
        <f t="shared" si="129"/>
        <v>6.1570095369991584E-3</v>
      </c>
      <c r="W1503" s="80">
        <v>0.99384299046300084</v>
      </c>
    </row>
    <row r="1504" spans="2:23" x14ac:dyDescent="0.3">
      <c r="B1504">
        <v>73</v>
      </c>
      <c r="C1504">
        <v>2</v>
      </c>
      <c r="D1504">
        <v>180</v>
      </c>
      <c r="R1504" s="73">
        <f t="shared" si="127"/>
        <v>2.5945896296802883E-5</v>
      </c>
      <c r="S1504" s="74">
        <f t="shared" si="128"/>
        <v>2.6106635098080724E-5</v>
      </c>
      <c r="U1504" s="81">
        <f t="shared" si="129"/>
        <v>6.6759274629352161E-3</v>
      </c>
      <c r="W1504" s="80">
        <v>0.99332407253706478</v>
      </c>
    </row>
    <row r="1505" spans="2:23" x14ac:dyDescent="0.3">
      <c r="B1505">
        <v>73</v>
      </c>
      <c r="C1505">
        <v>2</v>
      </c>
      <c r="D1505">
        <v>200</v>
      </c>
      <c r="R1505" s="73">
        <f t="shared" si="127"/>
        <v>2.5056980753257462E-5</v>
      </c>
      <c r="S1505" s="74">
        <f t="shared" si="128"/>
        <v>2.5225383584290907E-5</v>
      </c>
      <c r="U1505" s="81">
        <f t="shared" si="129"/>
        <v>7.1770670780003654E-3</v>
      </c>
      <c r="W1505" s="80">
        <v>0.99282293292199963</v>
      </c>
    </row>
    <row r="1506" spans="2:23" x14ac:dyDescent="0.3">
      <c r="B1506">
        <v>73</v>
      </c>
      <c r="C1506">
        <v>2</v>
      </c>
      <c r="D1506">
        <v>220</v>
      </c>
      <c r="R1506" s="73">
        <f t="shared" si="127"/>
        <v>2.4283372552785786E-5</v>
      </c>
      <c r="S1506" s="74">
        <f t="shared" si="128"/>
        <v>2.445891583236987E-5</v>
      </c>
      <c r="U1506" s="81">
        <f t="shared" si="129"/>
        <v>7.6627345290560811E-3</v>
      </c>
      <c r="W1506" s="80">
        <v>0.99233726547094392</v>
      </c>
    </row>
    <row r="1507" spans="2:23" x14ac:dyDescent="0.3">
      <c r="B1507">
        <v>73</v>
      </c>
      <c r="C1507">
        <v>2</v>
      </c>
      <c r="D1507">
        <v>240</v>
      </c>
      <c r="R1507" s="73">
        <f t="shared" si="127"/>
        <v>2.3601064517309033E-5</v>
      </c>
      <c r="S1507" s="74">
        <f t="shared" si="128"/>
        <v>2.3783309705806955E-5</v>
      </c>
      <c r="U1507" s="81">
        <f t="shared" si="129"/>
        <v>8.1347558194022618E-3</v>
      </c>
      <c r="W1507" s="80">
        <v>0.99186524418059774</v>
      </c>
    </row>
    <row r="1508" spans="2:23" x14ac:dyDescent="0.3">
      <c r="B1508">
        <v>73</v>
      </c>
      <c r="C1508">
        <v>2</v>
      </c>
      <c r="D1508">
        <v>260</v>
      </c>
      <c r="R1508" s="73">
        <f t="shared" si="127"/>
        <v>2.2992623836359804E-5</v>
      </c>
      <c r="S1508" s="74">
        <f t="shared" si="128"/>
        <v>2.3181197215307741E-5</v>
      </c>
      <c r="U1508" s="81">
        <f t="shared" si="129"/>
        <v>8.5946082961294579E-3</v>
      </c>
      <c r="W1508" s="80">
        <v>0.99140539170387054</v>
      </c>
    </row>
    <row r="1509" spans="2:23" x14ac:dyDescent="0.3">
      <c r="B1509">
        <v>73</v>
      </c>
      <c r="C1509">
        <v>2</v>
      </c>
      <c r="D1509">
        <v>280</v>
      </c>
      <c r="R1509" s="73">
        <f t="shared" si="127"/>
        <v>2.2445025427975107E-5</v>
      </c>
      <c r="S1509" s="74">
        <f t="shared" si="128"/>
        <v>2.2639603955956052E-5</v>
      </c>
      <c r="U1509" s="81">
        <f t="shared" si="129"/>
        <v>9.04350880468896E-3</v>
      </c>
      <c r="W1509" s="80">
        <v>0.99095649119531104</v>
      </c>
    </row>
    <row r="1510" spans="2:23" x14ac:dyDescent="0.3">
      <c r="B1510">
        <v>73</v>
      </c>
      <c r="C1510">
        <v>2</v>
      </c>
      <c r="D1510">
        <v>300</v>
      </c>
      <c r="R1510" s="73">
        <f t="shared" si="127"/>
        <v>2.1948303022406579E-5</v>
      </c>
      <c r="S1510" s="74">
        <f t="shared" si="128"/>
        <v>2.2148604118766211E-5</v>
      </c>
      <c r="U1510" s="81">
        <f t="shared" si="129"/>
        <v>9.4824748651370916E-3</v>
      </c>
      <c r="W1510" s="80">
        <v>0.99051752513486291</v>
      </c>
    </row>
    <row r="1511" spans="2:23" x14ac:dyDescent="0.3">
      <c r="B1511">
        <v>73</v>
      </c>
      <c r="C1511">
        <v>2</v>
      </c>
      <c r="D1511">
        <v>320</v>
      </c>
      <c r="R1511" s="73">
        <f t="shared" si="127"/>
        <v>2.1494675372607518E-5</v>
      </c>
      <c r="S1511" s="74">
        <f t="shared" si="128"/>
        <v>2.170044933801745E-5</v>
      </c>
      <c r="U1511" s="81">
        <f t="shared" si="129"/>
        <v>9.912368372589242E-3</v>
      </c>
      <c r="W1511" s="80">
        <v>0.99008763162741076</v>
      </c>
    </row>
    <row r="1512" spans="2:23" x14ac:dyDescent="0.3">
      <c r="B1512">
        <v>73</v>
      </c>
      <c r="C1512">
        <v>2</v>
      </c>
      <c r="D1512">
        <v>340</v>
      </c>
      <c r="R1512" s="73">
        <f t="shared" si="127"/>
        <v>2.1077961002718969E-5</v>
      </c>
      <c r="S1512" s="74">
        <f t="shared" si="128"/>
        <v>2.1288985266963739E-5</v>
      </c>
      <c r="U1512" s="81">
        <f t="shared" si="129"/>
        <v>1.0333927592643621E-2</v>
      </c>
      <c r="W1512" s="80">
        <v>0.98966607240735638</v>
      </c>
    </row>
    <row r="1513" spans="2:23" x14ac:dyDescent="0.3">
      <c r="B1513">
        <v>73</v>
      </c>
      <c r="C1513">
        <v>2</v>
      </c>
      <c r="D1513">
        <v>360</v>
      </c>
      <c r="R1513" s="73">
        <f t="shared" si="127"/>
        <v>2.0693174855590524E-5</v>
      </c>
      <c r="S1513" s="74">
        <f t="shared" si="128"/>
        <v>2.0909249526210904E-5</v>
      </c>
      <c r="U1513" s="81">
        <f t="shared" si="129"/>
        <v>1.0747791089755432E-2</v>
      </c>
      <c r="W1513" s="80">
        <v>0.98925220891024457</v>
      </c>
    </row>
    <row r="1514" spans="2:23" x14ac:dyDescent="0.3">
      <c r="B1514">
        <v>73</v>
      </c>
      <c r="C1514">
        <v>2</v>
      </c>
      <c r="D1514">
        <v>380</v>
      </c>
      <c r="R1514" s="73">
        <f t="shared" si="127"/>
        <v>2.0336243349072802E-5</v>
      </c>
      <c r="S1514" s="74">
        <f t="shared" si="128"/>
        <v>2.0557187707950745E-5</v>
      </c>
      <c r="U1514" s="81">
        <f t="shared" si="129"/>
        <v>1.1154515956736888E-2</v>
      </c>
      <c r="W1514" s="80">
        <v>0.98884548404326311</v>
      </c>
    </row>
    <row r="1515" spans="2:23" x14ac:dyDescent="0.3">
      <c r="B1515">
        <v>74</v>
      </c>
      <c r="C1515">
        <v>2</v>
      </c>
      <c r="D1515">
        <v>0</v>
      </c>
      <c r="R1515" s="73">
        <f t="shared" si="127"/>
        <v>0</v>
      </c>
      <c r="S1515" s="74">
        <f t="shared" si="128"/>
        <v>0</v>
      </c>
      <c r="U1515" s="81">
        <f t="shared" si="129"/>
        <v>0</v>
      </c>
      <c r="W1515" s="80">
        <v>1</v>
      </c>
    </row>
    <row r="1516" spans="2:23" x14ac:dyDescent="0.3">
      <c r="B1516">
        <v>74</v>
      </c>
      <c r="C1516">
        <v>2</v>
      </c>
      <c r="D1516">
        <v>20</v>
      </c>
      <c r="R1516" s="73">
        <f t="shared" si="127"/>
        <v>4.1325275179573409E-4</v>
      </c>
      <c r="S1516" s="74">
        <f t="shared" si="128"/>
        <v>4.1325275179573409E-4</v>
      </c>
      <c r="U1516" s="81">
        <f t="shared" si="129"/>
        <v>8.2650550359146813E-3</v>
      </c>
      <c r="W1516" s="80">
        <v>0.99173494496408532</v>
      </c>
    </row>
    <row r="1517" spans="2:23" x14ac:dyDescent="0.3">
      <c r="B1517">
        <v>74</v>
      </c>
      <c r="C1517">
        <v>2</v>
      </c>
      <c r="D1517">
        <v>40</v>
      </c>
      <c r="R1517" s="73">
        <f t="shared" ref="R1517:R1580" si="130">IF(D1517&gt;D1516,(U1517-U1516)/1/(D1517-D1516),0)</f>
        <v>1.5716719284682433E-4</v>
      </c>
      <c r="S1517" s="74">
        <f t="shared" si="128"/>
        <v>1.5847701409020732E-4</v>
      </c>
      <c r="U1517" s="81">
        <f t="shared" si="129"/>
        <v>1.1408398892851168E-2</v>
      </c>
      <c r="W1517" s="80">
        <v>0.98859160110714883</v>
      </c>
    </row>
    <row r="1518" spans="2:23" x14ac:dyDescent="0.3">
      <c r="B1518">
        <v>74</v>
      </c>
      <c r="C1518">
        <v>2</v>
      </c>
      <c r="D1518">
        <v>60</v>
      </c>
      <c r="R1518" s="73">
        <f t="shared" si="130"/>
        <v>1.1835467816606604E-4</v>
      </c>
      <c r="S1518" s="74">
        <f t="shared" si="128"/>
        <v>1.1972049735554867E-4</v>
      </c>
      <c r="U1518" s="81">
        <f t="shared" si="129"/>
        <v>1.3775492456172489E-2</v>
      </c>
      <c r="W1518" s="80">
        <v>0.98622450754382751</v>
      </c>
    </row>
    <row r="1519" spans="2:23" x14ac:dyDescent="0.3">
      <c r="B1519">
        <v>74</v>
      </c>
      <c r="C1519">
        <v>2</v>
      </c>
      <c r="D1519">
        <v>80</v>
      </c>
      <c r="R1519" s="73">
        <f t="shared" si="130"/>
        <v>9.8585925505045857E-5</v>
      </c>
      <c r="S1519" s="74">
        <f t="shared" si="128"/>
        <v>9.9962964569367808E-5</v>
      </c>
      <c r="U1519" s="81">
        <f t="shared" si="129"/>
        <v>1.5747210966273406E-2</v>
      </c>
      <c r="W1519" s="80">
        <v>0.98425278903372659</v>
      </c>
    </row>
    <row r="1520" spans="2:23" x14ac:dyDescent="0.3">
      <c r="B1520">
        <v>74</v>
      </c>
      <c r="C1520">
        <v>2</v>
      </c>
      <c r="D1520">
        <v>100</v>
      </c>
      <c r="R1520" s="73">
        <f t="shared" si="130"/>
        <v>8.6086951808256318E-5</v>
      </c>
      <c r="S1520" s="74">
        <f t="shared" si="128"/>
        <v>8.7464270121876637E-5</v>
      </c>
      <c r="U1520" s="81">
        <f t="shared" si="129"/>
        <v>1.7468950002438532E-2</v>
      </c>
      <c r="W1520" s="80">
        <v>0.98253104999756147</v>
      </c>
    </row>
    <row r="1521" spans="2:23" x14ac:dyDescent="0.3">
      <c r="B1521">
        <v>74</v>
      </c>
      <c r="C1521">
        <v>2</v>
      </c>
      <c r="D1521">
        <v>120</v>
      </c>
      <c r="R1521" s="73">
        <f t="shared" si="130"/>
        <v>7.7280064320034425E-5</v>
      </c>
      <c r="S1521" s="74">
        <f t="shared" si="128"/>
        <v>7.8654068306773835E-5</v>
      </c>
      <c r="U1521" s="81">
        <f t="shared" si="129"/>
        <v>1.9014551288839221E-2</v>
      </c>
      <c r="W1521" s="80">
        <v>0.98098544871116078</v>
      </c>
    </row>
    <row r="1522" spans="2:23" x14ac:dyDescent="0.3">
      <c r="B1522">
        <v>74</v>
      </c>
      <c r="C1522">
        <v>2</v>
      </c>
      <c r="D1522">
        <v>140</v>
      </c>
      <c r="R1522" s="73">
        <f t="shared" si="130"/>
        <v>7.0650067846694811E-5</v>
      </c>
      <c r="S1522" s="74">
        <f t="shared" si="128"/>
        <v>7.2019486058143214E-5</v>
      </c>
      <c r="U1522" s="81">
        <f t="shared" si="129"/>
        <v>2.0427552645773117E-2</v>
      </c>
      <c r="W1522" s="80">
        <v>0.97957244735422688</v>
      </c>
    </row>
    <row r="1523" spans="2:23" x14ac:dyDescent="0.3">
      <c r="B1523">
        <v>74</v>
      </c>
      <c r="C1523">
        <v>2</v>
      </c>
      <c r="D1523">
        <v>160</v>
      </c>
      <c r="R1523" s="73">
        <f t="shared" si="130"/>
        <v>6.5429795928595438E-5</v>
      </c>
      <c r="S1523" s="74">
        <f t="shared" si="128"/>
        <v>6.6794238757243357E-5</v>
      </c>
      <c r="U1523" s="81">
        <f t="shared" si="129"/>
        <v>2.1736148564345026E-2</v>
      </c>
      <c r="W1523" s="80">
        <v>0.97826385143565497</v>
      </c>
    </row>
    <row r="1524" spans="2:23" x14ac:dyDescent="0.3">
      <c r="B1524">
        <v>74</v>
      </c>
      <c r="C1524">
        <v>2</v>
      </c>
      <c r="D1524">
        <v>180</v>
      </c>
      <c r="R1524" s="73">
        <f t="shared" si="130"/>
        <v>6.1183671572589965E-5</v>
      </c>
      <c r="S1524" s="74">
        <f t="shared" si="128"/>
        <v>6.2543118078828766E-5</v>
      </c>
      <c r="U1524" s="81">
        <f t="shared" si="129"/>
        <v>2.2959821995796825E-2</v>
      </c>
      <c r="W1524" s="80">
        <v>0.97704017800420317</v>
      </c>
    </row>
    <row r="1525" spans="2:23" x14ac:dyDescent="0.3">
      <c r="B1525">
        <v>74</v>
      </c>
      <c r="C1525">
        <v>2</v>
      </c>
      <c r="D1525">
        <v>200</v>
      </c>
      <c r="R1525" s="73">
        <f t="shared" si="130"/>
        <v>5.7643641909349565E-5</v>
      </c>
      <c r="S1525" s="74">
        <f t="shared" si="128"/>
        <v>5.8998230786269246E-5</v>
      </c>
      <c r="U1525" s="81">
        <f t="shared" si="129"/>
        <v>2.4112694833983817E-2</v>
      </c>
      <c r="W1525" s="80">
        <v>0.97588730516601618</v>
      </c>
    </row>
    <row r="1526" spans="2:23" x14ac:dyDescent="0.3">
      <c r="B1526">
        <v>74</v>
      </c>
      <c r="C1526">
        <v>2</v>
      </c>
      <c r="D1526">
        <v>220</v>
      </c>
      <c r="R1526" s="73">
        <f t="shared" si="130"/>
        <v>5.4634545919718393E-5</v>
      </c>
      <c r="S1526" s="74">
        <f t="shared" si="128"/>
        <v>5.5984482665674252E-5</v>
      </c>
      <c r="U1526" s="81">
        <f t="shared" si="129"/>
        <v>2.5205385752378184E-2</v>
      </c>
      <c r="W1526" s="80">
        <v>0.97479461424762182</v>
      </c>
    </row>
    <row r="1527" spans="2:23" x14ac:dyDescent="0.3">
      <c r="B1527">
        <v>74</v>
      </c>
      <c r="C1527">
        <v>2</v>
      </c>
      <c r="D1527">
        <v>240</v>
      </c>
      <c r="R1527" s="73">
        <f t="shared" si="130"/>
        <v>5.2036467932847771E-5</v>
      </c>
      <c r="S1527" s="74">
        <f t="shared" si="128"/>
        <v>5.3381981365388661E-5</v>
      </c>
      <c r="U1527" s="81">
        <f t="shared" si="129"/>
        <v>2.624611511103514E-2</v>
      </c>
      <c r="W1527" s="80">
        <v>0.97375388488896486</v>
      </c>
    </row>
    <row r="1528" spans="2:23" x14ac:dyDescent="0.3">
      <c r="B1528">
        <v>74</v>
      </c>
      <c r="C1528">
        <v>2</v>
      </c>
      <c r="D1528">
        <v>260</v>
      </c>
      <c r="R1528" s="73">
        <f t="shared" si="130"/>
        <v>4.9764198703539096E-5</v>
      </c>
      <c r="S1528" s="74">
        <f t="shared" si="128"/>
        <v>5.1105520066000667E-5</v>
      </c>
      <c r="U1528" s="81">
        <f t="shared" si="129"/>
        <v>2.7241399085105922E-2</v>
      </c>
      <c r="W1528" s="80">
        <v>0.97275860091489408</v>
      </c>
    </row>
    <row r="1529" spans="2:23" x14ac:dyDescent="0.3">
      <c r="B1529">
        <v>74</v>
      </c>
      <c r="C1529">
        <v>2</v>
      </c>
      <c r="D1529">
        <v>280</v>
      </c>
      <c r="R1529" s="73">
        <f t="shared" si="130"/>
        <v>4.7755315963893266E-5</v>
      </c>
      <c r="S1529" s="74">
        <f t="shared" si="128"/>
        <v>4.9092668950938775E-5</v>
      </c>
      <c r="U1529" s="81">
        <f t="shared" si="129"/>
        <v>2.8196505404383787E-2</v>
      </c>
      <c r="W1529" s="80">
        <v>0.97180349459561621</v>
      </c>
    </row>
    <row r="1530" spans="2:23" x14ac:dyDescent="0.3">
      <c r="B1530">
        <v>74</v>
      </c>
      <c r="C1530">
        <v>2</v>
      </c>
      <c r="D1530">
        <v>300</v>
      </c>
      <c r="R1530" s="73">
        <f t="shared" si="130"/>
        <v>4.596291225607563E-5</v>
      </c>
      <c r="S1530" s="74">
        <f t="shared" si="128"/>
        <v>4.7296508513999086E-5</v>
      </c>
      <c r="U1530" s="81">
        <f t="shared" si="129"/>
        <v>2.91157636495053E-2</v>
      </c>
      <c r="W1530" s="80">
        <v>0.9708842363504947</v>
      </c>
    </row>
    <row r="1531" spans="2:23" x14ac:dyDescent="0.3">
      <c r="B1531">
        <v>74</v>
      </c>
      <c r="C1531">
        <v>2</v>
      </c>
      <c r="D1531">
        <v>320</v>
      </c>
      <c r="R1531" s="73">
        <f t="shared" si="130"/>
        <v>4.4350970493362005E-5</v>
      </c>
      <c r="S1531" s="74">
        <f t="shared" si="128"/>
        <v>4.5681007923328828E-5</v>
      </c>
      <c r="U1531" s="81">
        <f t="shared" si="129"/>
        <v>3.000278305937254E-2</v>
      </c>
      <c r="W1531" s="80">
        <v>0.96999721694062746</v>
      </c>
    </row>
    <row r="1532" spans="2:23" x14ac:dyDescent="0.3">
      <c r="B1532">
        <v>74</v>
      </c>
      <c r="C1532">
        <v>2</v>
      </c>
      <c r="D1532">
        <v>340</v>
      </c>
      <c r="R1532" s="73">
        <f t="shared" si="130"/>
        <v>4.2891318827670279E-5</v>
      </c>
      <c r="S1532" s="74">
        <f t="shared" si="128"/>
        <v>4.4217981328801701E-5</v>
      </c>
      <c r="U1532" s="81">
        <f t="shared" si="129"/>
        <v>3.0860609435925945E-2</v>
      </c>
      <c r="W1532" s="80">
        <v>0.96913939056407405</v>
      </c>
    </row>
    <row r="1533" spans="2:23" x14ac:dyDescent="0.3">
      <c r="B1533">
        <v>74</v>
      </c>
      <c r="C1533">
        <v>2</v>
      </c>
      <c r="D1533">
        <v>360</v>
      </c>
      <c r="R1533" s="73">
        <f t="shared" si="130"/>
        <v>4.1561564788505925E-5</v>
      </c>
      <c r="S1533" s="74">
        <f t="shared" si="128"/>
        <v>4.2885022725488016E-5</v>
      </c>
      <c r="U1533" s="81">
        <f t="shared" si="129"/>
        <v>3.1691840731696064E-2</v>
      </c>
      <c r="W1533" s="80">
        <v>0.96830815926830394</v>
      </c>
    </row>
    <row r="1534" spans="2:23" x14ac:dyDescent="0.3">
      <c r="B1534">
        <v>74</v>
      </c>
      <c r="C1534">
        <v>2</v>
      </c>
      <c r="D1534">
        <v>380</v>
      </c>
      <c r="R1534" s="73">
        <f t="shared" si="130"/>
        <v>4.0343657165725635E-5</v>
      </c>
      <c r="S1534" s="74">
        <f t="shared" si="128"/>
        <v>4.1664068178678848E-5</v>
      </c>
      <c r="U1534" s="81">
        <f t="shared" si="129"/>
        <v>3.2498713875010576E-2</v>
      </c>
      <c r="W1534" s="80">
        <v>0.96750128612498942</v>
      </c>
    </row>
    <row r="1535" spans="2:23" x14ac:dyDescent="0.3">
      <c r="B1535">
        <v>75</v>
      </c>
      <c r="C1535">
        <v>2</v>
      </c>
      <c r="D1535">
        <v>0</v>
      </c>
      <c r="R1535" s="73">
        <f t="shared" si="130"/>
        <v>0</v>
      </c>
      <c r="S1535" s="74">
        <f t="shared" si="128"/>
        <v>0</v>
      </c>
      <c r="U1535" s="81">
        <f t="shared" si="129"/>
        <v>0</v>
      </c>
      <c r="W1535" s="80">
        <v>1</v>
      </c>
    </row>
    <row r="1536" spans="2:23" x14ac:dyDescent="0.3">
      <c r="B1536">
        <v>75</v>
      </c>
      <c r="C1536">
        <v>2</v>
      </c>
      <c r="D1536">
        <v>20</v>
      </c>
      <c r="R1536" s="73">
        <f t="shared" si="130"/>
        <v>2.3527096504553092E-4</v>
      </c>
      <c r="S1536" s="74">
        <f t="shared" si="128"/>
        <v>2.3527096504553092E-4</v>
      </c>
      <c r="U1536" s="81">
        <f t="shared" si="129"/>
        <v>4.7054193009106182E-3</v>
      </c>
      <c r="W1536" s="80">
        <v>0.99529458069908938</v>
      </c>
    </row>
    <row r="1537" spans="2:23" x14ac:dyDescent="0.3">
      <c r="B1537">
        <v>75</v>
      </c>
      <c r="C1537">
        <v>2</v>
      </c>
      <c r="D1537">
        <v>40</v>
      </c>
      <c r="R1537" s="73">
        <f t="shared" si="130"/>
        <v>9.2644350958959176E-5</v>
      </c>
      <c r="S1537" s="74">
        <f t="shared" si="128"/>
        <v>9.3082342409506836E-5</v>
      </c>
      <c r="U1537" s="81">
        <f t="shared" si="129"/>
        <v>6.5583063200898017E-3</v>
      </c>
      <c r="W1537" s="80">
        <v>0.9934416936799102</v>
      </c>
    </row>
    <row r="1538" spans="2:23" x14ac:dyDescent="0.3">
      <c r="B1538">
        <v>75</v>
      </c>
      <c r="C1538">
        <v>2</v>
      </c>
      <c r="D1538">
        <v>60</v>
      </c>
      <c r="R1538" s="73">
        <f t="shared" si="130"/>
        <v>7.0292165164576037E-5</v>
      </c>
      <c r="S1538" s="74">
        <f t="shared" si="128"/>
        <v>7.075620603781944E-5</v>
      </c>
      <c r="U1538" s="81">
        <f t="shared" si="129"/>
        <v>7.9641496233813225E-3</v>
      </c>
      <c r="W1538" s="80">
        <v>0.99203585037661868</v>
      </c>
    </row>
    <row r="1539" spans="2:23" x14ac:dyDescent="0.3">
      <c r="B1539">
        <v>75</v>
      </c>
      <c r="C1539">
        <v>2</v>
      </c>
      <c r="D1539">
        <v>80</v>
      </c>
      <c r="R1539" s="73">
        <f t="shared" si="130"/>
        <v>5.8833422495008228E-5</v>
      </c>
      <c r="S1539" s="74">
        <f t="shared" si="128"/>
        <v>5.9305742300212815E-5</v>
      </c>
      <c r="U1539" s="81">
        <f t="shared" si="129"/>
        <v>9.140818073281487E-3</v>
      </c>
      <c r="W1539" s="80">
        <v>0.99085918192671851</v>
      </c>
    </row>
    <row r="1540" spans="2:23" x14ac:dyDescent="0.3">
      <c r="B1540">
        <v>75</v>
      </c>
      <c r="C1540">
        <v>2</v>
      </c>
      <c r="D1540">
        <v>100</v>
      </c>
      <c r="R1540" s="73">
        <f t="shared" si="130"/>
        <v>5.1557468673968376E-5</v>
      </c>
      <c r="S1540" s="74">
        <f t="shared" si="128"/>
        <v>5.2033093717429407E-5</v>
      </c>
      <c r="U1540" s="81">
        <f t="shared" si="129"/>
        <v>1.0171967446760855E-2</v>
      </c>
      <c r="W1540" s="80">
        <v>0.98982803255323915</v>
      </c>
    </row>
    <row r="1541" spans="2:23" x14ac:dyDescent="0.3">
      <c r="B1541">
        <v>75</v>
      </c>
      <c r="C1541">
        <v>2</v>
      </c>
      <c r="D1541">
        <v>120</v>
      </c>
      <c r="R1541" s="73">
        <f t="shared" si="130"/>
        <v>4.6414151190465881E-5</v>
      </c>
      <c r="S1541" s="74">
        <f t="shared" si="128"/>
        <v>4.6891126199711301E-5</v>
      </c>
      <c r="U1541" s="81">
        <f t="shared" si="129"/>
        <v>1.1100250470570172E-2</v>
      </c>
      <c r="W1541" s="80">
        <v>0.98889974952942983</v>
      </c>
    </row>
    <row r="1542" spans="2:23" x14ac:dyDescent="0.3">
      <c r="B1542">
        <v>75</v>
      </c>
      <c r="C1542">
        <v>2</v>
      </c>
      <c r="D1542">
        <v>140</v>
      </c>
      <c r="R1542" s="73">
        <f t="shared" si="130"/>
        <v>4.2532033851006015E-5</v>
      </c>
      <c r="S1542" s="74">
        <f t="shared" si="128"/>
        <v>4.3009449513203916E-5</v>
      </c>
      <c r="U1542" s="81">
        <f t="shared" si="129"/>
        <v>1.1950891147590292E-2</v>
      </c>
      <c r="W1542" s="80">
        <v>0.98804910885240971</v>
      </c>
    </row>
    <row r="1543" spans="2:23" x14ac:dyDescent="0.3">
      <c r="B1543">
        <v>75</v>
      </c>
      <c r="C1543">
        <v>2</v>
      </c>
      <c r="D1543">
        <v>160</v>
      </c>
      <c r="R1543" s="73">
        <f t="shared" si="130"/>
        <v>3.9468651296620248E-5</v>
      </c>
      <c r="S1543" s="74">
        <f t="shared" si="128"/>
        <v>3.9946042097504587E-5</v>
      </c>
      <c r="U1543" s="81">
        <f t="shared" si="129"/>
        <v>1.2740264173522697E-2</v>
      </c>
      <c r="W1543" s="80">
        <v>0.9872597358264773</v>
      </c>
    </row>
    <row r="1544" spans="2:23" x14ac:dyDescent="0.3">
      <c r="B1544">
        <v>75</v>
      </c>
      <c r="C1544">
        <v>2</v>
      </c>
      <c r="D1544">
        <v>180</v>
      </c>
      <c r="R1544" s="73">
        <f t="shared" si="130"/>
        <v>3.6972202266211116E-5</v>
      </c>
      <c r="S1544" s="74">
        <f t="shared" si="128"/>
        <v>3.744931645091361E-5</v>
      </c>
      <c r="U1544" s="81">
        <f t="shared" si="129"/>
        <v>1.347970821884692E-2</v>
      </c>
      <c r="W1544" s="80">
        <v>0.98652029178115308</v>
      </c>
    </row>
    <row r="1545" spans="2:23" x14ac:dyDescent="0.3">
      <c r="B1545">
        <v>75</v>
      </c>
      <c r="C1545">
        <v>2</v>
      </c>
      <c r="D1545">
        <v>200</v>
      </c>
      <c r="R1545" s="73">
        <f t="shared" si="130"/>
        <v>3.4887424055912719E-5</v>
      </c>
      <c r="S1545" s="74">
        <f t="shared" si="128"/>
        <v>3.536412210328062E-5</v>
      </c>
      <c r="U1545" s="81">
        <f t="shared" si="129"/>
        <v>1.4177456699965174E-2</v>
      </c>
      <c r="W1545" s="80">
        <v>0.98582254330003483</v>
      </c>
    </row>
    <row r="1546" spans="2:23" x14ac:dyDescent="0.3">
      <c r="B1546">
        <v>75</v>
      </c>
      <c r="C1546">
        <v>2</v>
      </c>
      <c r="D1546">
        <v>220</v>
      </c>
      <c r="R1546" s="73">
        <f t="shared" si="130"/>
        <v>3.3112685124991879E-5</v>
      </c>
      <c r="S1546" s="74">
        <f t="shared" si="128"/>
        <v>3.3588890160847178E-5</v>
      </c>
      <c r="U1546" s="81">
        <f t="shared" si="129"/>
        <v>1.4839710402465012E-2</v>
      </c>
      <c r="W1546" s="80">
        <v>0.98516028959753499</v>
      </c>
    </row>
    <row r="1547" spans="2:23" x14ac:dyDescent="0.3">
      <c r="B1547">
        <v>75</v>
      </c>
      <c r="C1547">
        <v>2</v>
      </c>
      <c r="D1547">
        <v>240</v>
      </c>
      <c r="R1547" s="73">
        <f t="shared" si="130"/>
        <v>3.1578302357282428E-5</v>
      </c>
      <c r="S1547" s="74">
        <f t="shared" ref="S1547:S1610" si="131">IF(D1547&gt;D1546,(U1547-U1546)/W1546/(D1547-D1546),0)</f>
        <v>3.2053974049424011E-5</v>
      </c>
      <c r="U1547" s="81">
        <f t="shared" ref="U1547:U1610" si="132">100%-W1547</f>
        <v>1.547127644961066E-2</v>
      </c>
      <c r="W1547" s="80">
        <v>0.98452872355038934</v>
      </c>
    </row>
    <row r="1548" spans="2:23" x14ac:dyDescent="0.3">
      <c r="B1548">
        <v>75</v>
      </c>
      <c r="C1548">
        <v>2</v>
      </c>
      <c r="D1548">
        <v>260</v>
      </c>
      <c r="R1548" s="73">
        <f t="shared" si="130"/>
        <v>3.0234692787151074E-5</v>
      </c>
      <c r="S1548" s="74">
        <f t="shared" si="131"/>
        <v>3.0709812790549451E-5</v>
      </c>
      <c r="U1548" s="81">
        <f t="shared" si="132"/>
        <v>1.6075970305353682E-2</v>
      </c>
      <c r="W1548" s="80">
        <v>0.98392402969464632</v>
      </c>
    </row>
    <row r="1549" spans="2:23" x14ac:dyDescent="0.3">
      <c r="B1549">
        <v>75</v>
      </c>
      <c r="C1549">
        <v>2</v>
      </c>
      <c r="D1549">
        <v>280</v>
      </c>
      <c r="R1549" s="73">
        <f t="shared" si="130"/>
        <v>2.9045487909468148E-5</v>
      </c>
      <c r="S1549" s="74">
        <f t="shared" si="131"/>
        <v>2.9520051378847007E-5</v>
      </c>
      <c r="U1549" s="81">
        <f t="shared" si="132"/>
        <v>1.6656880063543045E-2</v>
      </c>
      <c r="W1549" s="80">
        <v>0.98334311993645696</v>
      </c>
    </row>
    <row r="1550" spans="2:23" x14ac:dyDescent="0.3">
      <c r="B1550">
        <v>75</v>
      </c>
      <c r="C1550">
        <v>2</v>
      </c>
      <c r="D1550">
        <v>300</v>
      </c>
      <c r="R1550" s="73">
        <f t="shared" si="130"/>
        <v>2.7983327285097115E-5</v>
      </c>
      <c r="S1550" s="74">
        <f t="shared" si="131"/>
        <v>2.8457337746874544E-5</v>
      </c>
      <c r="U1550" s="81">
        <f t="shared" si="132"/>
        <v>1.7216546609244987E-2</v>
      </c>
      <c r="W1550" s="80">
        <v>0.98278345339075501</v>
      </c>
    </row>
    <row r="1551" spans="2:23" x14ac:dyDescent="0.3">
      <c r="B1551">
        <v>75</v>
      </c>
      <c r="C1551">
        <v>2</v>
      </c>
      <c r="D1551">
        <v>320</v>
      </c>
      <c r="R1551" s="73">
        <f t="shared" si="130"/>
        <v>2.7027180533822914E-5</v>
      </c>
      <c r="S1551" s="74">
        <f t="shared" si="131"/>
        <v>2.7500646699509398E-5</v>
      </c>
      <c r="U1551" s="81">
        <f t="shared" si="132"/>
        <v>1.7757090219921445E-2</v>
      </c>
      <c r="W1551" s="80">
        <v>0.98224290978007855</v>
      </c>
    </row>
    <row r="1552" spans="2:23" x14ac:dyDescent="0.3">
      <c r="B1552">
        <v>75</v>
      </c>
      <c r="C1552">
        <v>2</v>
      </c>
      <c r="D1552">
        <v>340</v>
      </c>
      <c r="R1552" s="73">
        <f t="shared" si="130"/>
        <v>2.6160582007461743E-5</v>
      </c>
      <c r="S1552" s="74">
        <f t="shared" si="131"/>
        <v>2.6633515749499298E-5</v>
      </c>
      <c r="U1552" s="81">
        <f t="shared" si="132"/>
        <v>1.828030186007068E-2</v>
      </c>
      <c r="W1552" s="80">
        <v>0.98171969813992932</v>
      </c>
    </row>
    <row r="1553" spans="2:23" x14ac:dyDescent="0.3">
      <c r="B1553">
        <v>75</v>
      </c>
      <c r="C1553">
        <v>2</v>
      </c>
      <c r="D1553">
        <v>360</v>
      </c>
      <c r="R1553" s="73">
        <f t="shared" si="130"/>
        <v>2.5370431975324515E-5</v>
      </c>
      <c r="S1553" s="74">
        <f t="shared" si="131"/>
        <v>2.584284701976953E-5</v>
      </c>
      <c r="U1553" s="81">
        <f t="shared" si="132"/>
        <v>1.878771049957717E-2</v>
      </c>
      <c r="W1553" s="80">
        <v>0.98121228950042283</v>
      </c>
    </row>
    <row r="1554" spans="2:23" x14ac:dyDescent="0.3">
      <c r="B1554">
        <v>75</v>
      </c>
      <c r="C1554">
        <v>2</v>
      </c>
      <c r="D1554">
        <v>380</v>
      </c>
      <c r="R1554" s="73">
        <f t="shared" si="130"/>
        <v>2.4646161313834904E-5</v>
      </c>
      <c r="S1554" s="74">
        <f t="shared" si="131"/>
        <v>2.5118072386132992E-5</v>
      </c>
      <c r="U1554" s="81">
        <f t="shared" si="132"/>
        <v>1.9280633725853868E-2</v>
      </c>
      <c r="W1554" s="80">
        <v>0.98071936627414613</v>
      </c>
    </row>
    <row r="1555" spans="2:23" x14ac:dyDescent="0.3">
      <c r="B1555">
        <v>76</v>
      </c>
      <c r="C1555">
        <v>2</v>
      </c>
      <c r="D1555">
        <v>0</v>
      </c>
      <c r="R1555" s="73">
        <f t="shared" si="130"/>
        <v>0</v>
      </c>
      <c r="S1555" s="74">
        <f t="shared" si="131"/>
        <v>0</v>
      </c>
      <c r="U1555" s="81">
        <f t="shared" si="132"/>
        <v>0</v>
      </c>
      <c r="W1555" s="80">
        <v>1</v>
      </c>
    </row>
    <row r="1556" spans="2:23" x14ac:dyDescent="0.3">
      <c r="B1556">
        <v>76</v>
      </c>
      <c r="C1556">
        <v>2</v>
      </c>
      <c r="D1556">
        <v>20</v>
      </c>
      <c r="R1556" s="73">
        <f t="shared" si="130"/>
        <v>7.5086055155337836E-5</v>
      </c>
      <c r="S1556" s="74">
        <f t="shared" si="131"/>
        <v>7.5086055155337836E-5</v>
      </c>
      <c r="U1556" s="81">
        <f t="shared" si="132"/>
        <v>1.5017211031067568E-3</v>
      </c>
      <c r="W1556" s="80">
        <v>0.99849827889689324</v>
      </c>
    </row>
    <row r="1557" spans="2:23" x14ac:dyDescent="0.3">
      <c r="B1557">
        <v>76</v>
      </c>
      <c r="C1557">
        <v>2</v>
      </c>
      <c r="D1557">
        <v>40</v>
      </c>
      <c r="R1557" s="73">
        <f t="shared" si="130"/>
        <v>4.9713855645139306E-5</v>
      </c>
      <c r="S1557" s="74">
        <f t="shared" si="131"/>
        <v>4.9788624272904575E-5</v>
      </c>
      <c r="U1557" s="81">
        <f t="shared" si="132"/>
        <v>2.4959982160095429E-3</v>
      </c>
      <c r="W1557" s="80">
        <v>0.99750400178399046</v>
      </c>
    </row>
    <row r="1558" spans="2:23" x14ac:dyDescent="0.3">
      <c r="B1558">
        <v>76</v>
      </c>
      <c r="C1558">
        <v>2</v>
      </c>
      <c r="D1558">
        <v>60</v>
      </c>
      <c r="R1558" s="73">
        <f t="shared" si="130"/>
        <v>4.3192308633632773E-5</v>
      </c>
      <c r="S1558" s="74">
        <f t="shared" si="131"/>
        <v>4.3300386320641616E-5</v>
      </c>
      <c r="U1558" s="81">
        <f t="shared" si="132"/>
        <v>3.3598443886821983E-3</v>
      </c>
      <c r="W1558" s="80">
        <v>0.9966401556113178</v>
      </c>
    </row>
    <row r="1559" spans="2:23" x14ac:dyDescent="0.3">
      <c r="B1559">
        <v>76</v>
      </c>
      <c r="C1559">
        <v>2</v>
      </c>
      <c r="D1559">
        <v>80</v>
      </c>
      <c r="R1559" s="73">
        <f t="shared" si="130"/>
        <v>3.9436679361881664E-5</v>
      </c>
      <c r="S1559" s="74">
        <f t="shared" si="131"/>
        <v>3.9569627151629315E-5</v>
      </c>
      <c r="U1559" s="81">
        <f t="shared" si="132"/>
        <v>4.1485779759198316E-3</v>
      </c>
      <c r="W1559" s="80">
        <v>0.99585142202408017</v>
      </c>
    </row>
    <row r="1560" spans="2:23" x14ac:dyDescent="0.3">
      <c r="B1560">
        <v>76</v>
      </c>
      <c r="C1560">
        <v>2</v>
      </c>
      <c r="D1560">
        <v>100</v>
      </c>
      <c r="R1560" s="73">
        <f t="shared" si="130"/>
        <v>3.6860320335185823E-5</v>
      </c>
      <c r="S1560" s="74">
        <f t="shared" si="131"/>
        <v>3.7013875282988273E-5</v>
      </c>
      <c r="U1560" s="81">
        <f t="shared" si="132"/>
        <v>4.8857843826235481E-3</v>
      </c>
      <c r="W1560" s="80">
        <v>0.99511421561737645</v>
      </c>
    </row>
    <row r="1561" spans="2:23" x14ac:dyDescent="0.3">
      <c r="B1561">
        <v>76</v>
      </c>
      <c r="C1561">
        <v>2</v>
      </c>
      <c r="D1561">
        <v>120</v>
      </c>
      <c r="R1561" s="73">
        <f t="shared" si="130"/>
        <v>3.4929258350124839E-5</v>
      </c>
      <c r="S1561" s="74">
        <f t="shared" si="131"/>
        <v>3.5100753061249819E-5</v>
      </c>
      <c r="U1561" s="81">
        <f t="shared" si="132"/>
        <v>5.5843695496260448E-3</v>
      </c>
      <c r="W1561" s="80">
        <v>0.99441563045037396</v>
      </c>
    </row>
    <row r="1562" spans="2:23" x14ac:dyDescent="0.3">
      <c r="B1562">
        <v>76</v>
      </c>
      <c r="C1562">
        <v>2</v>
      </c>
      <c r="D1562">
        <v>140</v>
      </c>
      <c r="R1562" s="73">
        <f t="shared" si="130"/>
        <v>3.3401085362172457E-5</v>
      </c>
      <c r="S1562" s="74">
        <f t="shared" si="131"/>
        <v>3.3588656834612502E-5</v>
      </c>
      <c r="U1562" s="81">
        <f t="shared" si="132"/>
        <v>6.2523912568694939E-3</v>
      </c>
      <c r="W1562" s="80">
        <v>0.99374760874313051</v>
      </c>
    </row>
    <row r="1563" spans="2:23" x14ac:dyDescent="0.3">
      <c r="B1563">
        <v>76</v>
      </c>
      <c r="C1563">
        <v>2</v>
      </c>
      <c r="D1563">
        <v>160</v>
      </c>
      <c r="R1563" s="73">
        <f t="shared" si="130"/>
        <v>3.2146292995194337E-5</v>
      </c>
      <c r="S1563" s="74">
        <f t="shared" si="131"/>
        <v>3.2348548778751021E-5</v>
      </c>
      <c r="U1563" s="81">
        <f t="shared" si="132"/>
        <v>6.8953171167733807E-3</v>
      </c>
      <c r="W1563" s="80">
        <v>0.99310468288322662</v>
      </c>
    </row>
    <row r="1564" spans="2:23" x14ac:dyDescent="0.3">
      <c r="B1564">
        <v>76</v>
      </c>
      <c r="C1564">
        <v>2</v>
      </c>
      <c r="D1564">
        <v>180</v>
      </c>
      <c r="R1564" s="73">
        <f t="shared" si="130"/>
        <v>3.1088032503356897E-5</v>
      </c>
      <c r="S1564" s="74">
        <f t="shared" si="131"/>
        <v>3.130388270157051E-5</v>
      </c>
      <c r="U1564" s="81">
        <f t="shared" si="132"/>
        <v>7.5170777668405186E-3</v>
      </c>
      <c r="W1564" s="80">
        <v>0.99248292223315948</v>
      </c>
    </row>
    <row r="1565" spans="2:23" x14ac:dyDescent="0.3">
      <c r="B1565">
        <v>76</v>
      </c>
      <c r="C1565">
        <v>2</v>
      </c>
      <c r="D1565">
        <v>200</v>
      </c>
      <c r="R1565" s="73">
        <f t="shared" si="130"/>
        <v>3.0177200839792696E-5</v>
      </c>
      <c r="S1565" s="74">
        <f t="shared" si="131"/>
        <v>3.0405763327284036E-5</v>
      </c>
      <c r="U1565" s="81">
        <f t="shared" si="132"/>
        <v>8.1206217836363725E-3</v>
      </c>
      <c r="W1565" s="80">
        <v>0.99187937821636363</v>
      </c>
    </row>
    <row r="1566" spans="2:23" x14ac:dyDescent="0.3">
      <c r="B1566">
        <v>76</v>
      </c>
      <c r="C1566">
        <v>2</v>
      </c>
      <c r="D1566">
        <v>220</v>
      </c>
      <c r="R1566" s="73">
        <f t="shared" si="130"/>
        <v>2.9380642396281687E-5</v>
      </c>
      <c r="S1566" s="74">
        <f t="shared" si="131"/>
        <v>2.9621184835110806E-5</v>
      </c>
      <c r="U1566" s="81">
        <f t="shared" si="132"/>
        <v>8.7082346315620063E-3</v>
      </c>
      <c r="W1566" s="80">
        <v>0.99129176536843799</v>
      </c>
    </row>
    <row r="1567" spans="2:23" x14ac:dyDescent="0.3">
      <c r="B1567">
        <v>76</v>
      </c>
      <c r="C1567">
        <v>2</v>
      </c>
      <c r="D1567">
        <v>240</v>
      </c>
      <c r="R1567" s="73">
        <f t="shared" si="130"/>
        <v>2.8674988804533452E-5</v>
      </c>
      <c r="S1567" s="74">
        <f t="shared" si="131"/>
        <v>2.8926890958158712E-5</v>
      </c>
      <c r="U1567" s="81">
        <f t="shared" si="132"/>
        <v>9.2817344076526753E-3</v>
      </c>
      <c r="W1567" s="80">
        <v>0.99071826559234732</v>
      </c>
    </row>
    <row r="1568" spans="2:23" x14ac:dyDescent="0.3">
      <c r="B1568">
        <v>76</v>
      </c>
      <c r="C1568">
        <v>2</v>
      </c>
      <c r="D1568">
        <v>260</v>
      </c>
      <c r="R1568" s="73">
        <f t="shared" si="130"/>
        <v>2.8043194789700854E-5</v>
      </c>
      <c r="S1568" s="74">
        <f t="shared" si="131"/>
        <v>2.8305922847737055E-5</v>
      </c>
      <c r="U1568" s="81">
        <f t="shared" si="132"/>
        <v>9.8425983034466924E-3</v>
      </c>
      <c r="W1568" s="80">
        <v>0.99015740169655331</v>
      </c>
    </row>
    <row r="1569" spans="2:23" x14ac:dyDescent="0.3">
      <c r="B1569">
        <v>76</v>
      </c>
      <c r="C1569">
        <v>2</v>
      </c>
      <c r="D1569">
        <v>280</v>
      </c>
      <c r="R1569" s="73">
        <f t="shared" si="130"/>
        <v>2.7472472736228547E-5</v>
      </c>
      <c r="S1569" s="74">
        <f t="shared" si="131"/>
        <v>2.7745561149325069E-5</v>
      </c>
      <c r="U1569" s="81">
        <f t="shared" si="132"/>
        <v>1.0392047758171263E-2</v>
      </c>
      <c r="W1569" s="80">
        <v>0.98960795224182874</v>
      </c>
    </row>
    <row r="1570" spans="2:23" x14ac:dyDescent="0.3">
      <c r="B1570">
        <v>76</v>
      </c>
      <c r="C1570">
        <v>2</v>
      </c>
      <c r="D1570">
        <v>300</v>
      </c>
      <c r="R1570" s="73">
        <f t="shared" si="130"/>
        <v>2.6953001381363473E-5</v>
      </c>
      <c r="S1570" s="74">
        <f t="shared" si="131"/>
        <v>2.723603960568924E-5</v>
      </c>
      <c r="U1570" s="81">
        <f t="shared" si="132"/>
        <v>1.0931107785798533E-2</v>
      </c>
      <c r="W1570" s="80">
        <v>0.98906889221420147</v>
      </c>
    </row>
    <row r="1571" spans="2:23" x14ac:dyDescent="0.3">
      <c r="B1571">
        <v>76</v>
      </c>
      <c r="C1571">
        <v>2</v>
      </c>
      <c r="D1571">
        <v>320</v>
      </c>
      <c r="R1571" s="73">
        <f t="shared" si="130"/>
        <v>2.6477086137105533E-5</v>
      </c>
      <c r="S1571" s="74">
        <f t="shared" si="131"/>
        <v>2.6769708708391388E-5</v>
      </c>
      <c r="U1571" s="81">
        <f t="shared" si="132"/>
        <v>1.1460649508540643E-2</v>
      </c>
      <c r="W1571" s="80">
        <v>0.98853935049145936</v>
      </c>
    </row>
    <row r="1572" spans="2:23" x14ac:dyDescent="0.3">
      <c r="B1572">
        <v>76</v>
      </c>
      <c r="C1572">
        <v>2</v>
      </c>
      <c r="D1572">
        <v>340</v>
      </c>
      <c r="R1572" s="73">
        <f t="shared" si="130"/>
        <v>2.6038594701455199E-5</v>
      </c>
      <c r="S1572" s="74">
        <f t="shared" si="131"/>
        <v>2.6340473637705901E-5</v>
      </c>
      <c r="U1572" s="81">
        <f t="shared" si="132"/>
        <v>1.1981421402569747E-2</v>
      </c>
      <c r="W1572" s="80">
        <v>0.98801857859743025</v>
      </c>
    </row>
    <row r="1573" spans="2:23" x14ac:dyDescent="0.3">
      <c r="B1573">
        <v>76</v>
      </c>
      <c r="C1573">
        <v>2</v>
      </c>
      <c r="D1573">
        <v>360</v>
      </c>
      <c r="R1573" s="73">
        <f t="shared" si="130"/>
        <v>2.563256681256121E-5</v>
      </c>
      <c r="S1573" s="74">
        <f t="shared" si="131"/>
        <v>2.5943405688735778E-5</v>
      </c>
      <c r="U1573" s="81">
        <f t="shared" si="132"/>
        <v>1.2494072738820972E-2</v>
      </c>
      <c r="W1573" s="80">
        <v>0.98750592726117903</v>
      </c>
    </row>
    <row r="1574" spans="2:23" x14ac:dyDescent="0.3">
      <c r="B1574">
        <v>76</v>
      </c>
      <c r="C1574">
        <v>2</v>
      </c>
      <c r="D1574">
        <v>380</v>
      </c>
      <c r="R1574" s="73">
        <f t="shared" si="130"/>
        <v>2.5254937723778736E-5</v>
      </c>
      <c r="S1574" s="74">
        <f t="shared" si="131"/>
        <v>2.5574466974413635E-5</v>
      </c>
      <c r="U1574" s="81">
        <f t="shared" si="132"/>
        <v>1.2999171493296546E-2</v>
      </c>
      <c r="W1574" s="80">
        <v>0.98700082850670345</v>
      </c>
    </row>
    <row r="1575" spans="2:23" x14ac:dyDescent="0.3">
      <c r="B1575">
        <v>77</v>
      </c>
      <c r="C1575">
        <v>2</v>
      </c>
      <c r="D1575">
        <v>0</v>
      </c>
      <c r="R1575" s="73">
        <f t="shared" si="130"/>
        <v>0</v>
      </c>
      <c r="S1575" s="74">
        <f t="shared" si="131"/>
        <v>0</v>
      </c>
      <c r="U1575" s="81">
        <f t="shared" si="132"/>
        <v>0</v>
      </c>
      <c r="W1575" s="80">
        <v>1</v>
      </c>
    </row>
    <row r="1576" spans="2:23" x14ac:dyDescent="0.3">
      <c r="B1576">
        <v>77</v>
      </c>
      <c r="C1576">
        <v>2</v>
      </c>
      <c r="D1576">
        <v>20</v>
      </c>
      <c r="R1576" s="73">
        <f t="shared" si="130"/>
        <v>4.1840447331519258E-4</v>
      </c>
      <c r="S1576" s="74">
        <f t="shared" si="131"/>
        <v>4.1840447331519258E-4</v>
      </c>
      <c r="U1576" s="81">
        <f t="shared" si="132"/>
        <v>8.3680894663038519E-3</v>
      </c>
      <c r="W1576" s="80">
        <v>0.99163191053369615</v>
      </c>
    </row>
    <row r="1577" spans="2:23" x14ac:dyDescent="0.3">
      <c r="B1577">
        <v>77</v>
      </c>
      <c r="C1577">
        <v>2</v>
      </c>
      <c r="D1577">
        <v>40</v>
      </c>
      <c r="R1577" s="73">
        <f t="shared" si="130"/>
        <v>1.457122933356203E-4</v>
      </c>
      <c r="S1577" s="74">
        <f t="shared" si="131"/>
        <v>1.4694191643872974E-4</v>
      </c>
      <c r="U1577" s="81">
        <f t="shared" si="132"/>
        <v>1.1282335333016258E-2</v>
      </c>
      <c r="W1577" s="80">
        <v>0.98871766466698374</v>
      </c>
    </row>
    <row r="1578" spans="2:23" x14ac:dyDescent="0.3">
      <c r="B1578">
        <v>77</v>
      </c>
      <c r="C1578">
        <v>2</v>
      </c>
      <c r="D1578">
        <v>60</v>
      </c>
      <c r="R1578" s="73">
        <f t="shared" si="130"/>
        <v>1.0775065320018374E-4</v>
      </c>
      <c r="S1578" s="74">
        <f t="shared" si="131"/>
        <v>1.089802044110094E-4</v>
      </c>
      <c r="U1578" s="81">
        <f t="shared" si="132"/>
        <v>1.3437348397019933E-2</v>
      </c>
      <c r="W1578" s="80">
        <v>0.98656265160298007</v>
      </c>
    </row>
    <row r="1579" spans="2:23" x14ac:dyDescent="0.3">
      <c r="B1579">
        <v>77</v>
      </c>
      <c r="C1579">
        <v>2</v>
      </c>
      <c r="D1579">
        <v>80</v>
      </c>
      <c r="R1579" s="73">
        <f t="shared" si="130"/>
        <v>8.8716100174535126E-5</v>
      </c>
      <c r="S1579" s="74">
        <f t="shared" si="131"/>
        <v>8.9924446288725852E-5</v>
      </c>
      <c r="U1579" s="81">
        <f t="shared" si="132"/>
        <v>1.5211670400510635E-2</v>
      </c>
      <c r="W1579" s="80">
        <v>0.98478832959948936</v>
      </c>
    </row>
    <row r="1580" spans="2:23" x14ac:dyDescent="0.3">
      <c r="B1580">
        <v>77</v>
      </c>
      <c r="C1580">
        <v>2</v>
      </c>
      <c r="D1580">
        <v>100</v>
      </c>
      <c r="R1580" s="73">
        <f t="shared" si="130"/>
        <v>7.6805329327395142E-5</v>
      </c>
      <c r="S1580" s="74">
        <f t="shared" si="131"/>
        <v>7.7991713568165106E-5</v>
      </c>
      <c r="U1580" s="81">
        <f t="shared" si="132"/>
        <v>1.6747776987058538E-2</v>
      </c>
      <c r="W1580" s="80">
        <v>0.98325222301294146</v>
      </c>
    </row>
    <row r="1581" spans="2:23" x14ac:dyDescent="0.3">
      <c r="B1581">
        <v>77</v>
      </c>
      <c r="C1581">
        <v>2</v>
      </c>
      <c r="D1581">
        <v>120</v>
      </c>
      <c r="R1581" s="73">
        <f t="shared" ref="R1581:R1644" si="133">IF(D1581&gt;D1580,(U1581-U1580)/1/(D1581-D1580),0)</f>
        <v>6.847835023382487E-5</v>
      </c>
      <c r="S1581" s="74">
        <f t="shared" si="131"/>
        <v>6.964474488955573E-5</v>
      </c>
      <c r="U1581" s="81">
        <f t="shared" si="132"/>
        <v>1.8117343991735035E-2</v>
      </c>
      <c r="W1581" s="80">
        <v>0.98188265600826496</v>
      </c>
    </row>
    <row r="1582" spans="2:23" x14ac:dyDescent="0.3">
      <c r="B1582">
        <v>77</v>
      </c>
      <c r="C1582">
        <v>2</v>
      </c>
      <c r="D1582">
        <v>140</v>
      </c>
      <c r="R1582" s="73">
        <f t="shared" si="133"/>
        <v>6.2249125475644096E-5</v>
      </c>
      <c r="S1582" s="74">
        <f t="shared" si="131"/>
        <v>6.3397723846870887E-5</v>
      </c>
      <c r="U1582" s="81">
        <f t="shared" si="132"/>
        <v>1.9362326501247917E-2</v>
      </c>
      <c r="W1582" s="80">
        <v>0.98063767349875208</v>
      </c>
    </row>
    <row r="1583" spans="2:23" x14ac:dyDescent="0.3">
      <c r="B1583">
        <v>77</v>
      </c>
      <c r="C1583">
        <v>2</v>
      </c>
      <c r="D1583">
        <v>160</v>
      </c>
      <c r="R1583" s="73">
        <f t="shared" si="133"/>
        <v>5.7370363963671343E-5</v>
      </c>
      <c r="S1583" s="74">
        <f t="shared" si="131"/>
        <v>5.850312048382093E-5</v>
      </c>
      <c r="U1583" s="81">
        <f t="shared" si="132"/>
        <v>2.0509733780521344E-2</v>
      </c>
      <c r="W1583" s="80">
        <v>0.97949026621947866</v>
      </c>
    </row>
    <row r="1584" spans="2:23" x14ac:dyDescent="0.3">
      <c r="B1584">
        <v>77</v>
      </c>
      <c r="C1584">
        <v>2</v>
      </c>
      <c r="D1584">
        <v>180</v>
      </c>
      <c r="R1584" s="73">
        <f t="shared" si="133"/>
        <v>5.3420139790133489E-5</v>
      </c>
      <c r="S1584" s="74">
        <f t="shared" si="131"/>
        <v>5.4538714301182661E-5</v>
      </c>
      <c r="U1584" s="81">
        <f t="shared" si="132"/>
        <v>2.1578136576324014E-2</v>
      </c>
      <c r="W1584" s="80">
        <v>0.97842186342367599</v>
      </c>
    </row>
    <row r="1585" spans="2:23" x14ac:dyDescent="0.3">
      <c r="B1585">
        <v>77</v>
      </c>
      <c r="C1585">
        <v>2</v>
      </c>
      <c r="D1585">
        <v>200</v>
      </c>
      <c r="R1585" s="73">
        <f t="shared" si="133"/>
        <v>5.0140033391415925E-5</v>
      </c>
      <c r="S1585" s="74">
        <f t="shared" si="131"/>
        <v>5.1245822753762711E-5</v>
      </c>
      <c r="U1585" s="81">
        <f t="shared" si="132"/>
        <v>2.2580937244152333E-2</v>
      </c>
      <c r="W1585" s="80">
        <v>0.97741906275584767</v>
      </c>
    </row>
    <row r="1586" spans="2:23" x14ac:dyDescent="0.3">
      <c r="B1586">
        <v>77</v>
      </c>
      <c r="C1586">
        <v>2</v>
      </c>
      <c r="D1586">
        <v>220</v>
      </c>
      <c r="R1586" s="73">
        <f t="shared" si="133"/>
        <v>4.7361877662838167E-5</v>
      </c>
      <c r="S1586" s="74">
        <f t="shared" si="131"/>
        <v>4.8456060933885052E-5</v>
      </c>
      <c r="U1586" s="81">
        <f t="shared" si="132"/>
        <v>2.3528174797409096E-2</v>
      </c>
      <c r="W1586" s="80">
        <v>0.9764718252025909</v>
      </c>
    </row>
    <row r="1587" spans="2:23" x14ac:dyDescent="0.3">
      <c r="B1587">
        <v>77</v>
      </c>
      <c r="C1587">
        <v>2</v>
      </c>
      <c r="D1587">
        <v>240</v>
      </c>
      <c r="R1587" s="73">
        <f t="shared" si="133"/>
        <v>4.4970967919671921E-5</v>
      </c>
      <c r="S1587" s="74">
        <f t="shared" si="131"/>
        <v>4.6054547360177741E-5</v>
      </c>
      <c r="U1587" s="81">
        <f t="shared" si="132"/>
        <v>2.4427594155802534E-2</v>
      </c>
      <c r="W1587" s="80">
        <v>0.97557240584419747</v>
      </c>
    </row>
    <row r="1588" spans="2:23" x14ac:dyDescent="0.3">
      <c r="B1588">
        <v>77</v>
      </c>
      <c r="C1588">
        <v>2</v>
      </c>
      <c r="D1588">
        <v>260</v>
      </c>
      <c r="R1588" s="73">
        <f t="shared" si="133"/>
        <v>4.2886067058317547E-5</v>
      </c>
      <c r="S1588" s="74">
        <f t="shared" si="131"/>
        <v>4.3959901696078322E-5</v>
      </c>
      <c r="U1588" s="81">
        <f t="shared" si="132"/>
        <v>2.5285315496968885E-2</v>
      </c>
      <c r="W1588" s="80">
        <v>0.97471468450303111</v>
      </c>
    </row>
    <row r="1589" spans="2:23" x14ac:dyDescent="0.3">
      <c r="B1589">
        <v>77</v>
      </c>
      <c r="C1589">
        <v>2</v>
      </c>
      <c r="D1589">
        <v>280</v>
      </c>
      <c r="R1589" s="73">
        <f t="shared" si="133"/>
        <v>4.1047841491864689E-5</v>
      </c>
      <c r="S1589" s="74">
        <f t="shared" si="131"/>
        <v>4.2112673733640715E-5</v>
      </c>
      <c r="U1589" s="81">
        <f t="shared" si="132"/>
        <v>2.6106272326806179E-2</v>
      </c>
      <c r="W1589" s="80">
        <v>0.97389372767319382</v>
      </c>
    </row>
    <row r="1590" spans="2:23" x14ac:dyDescent="0.3">
      <c r="B1590">
        <v>77</v>
      </c>
      <c r="C1590">
        <v>2</v>
      </c>
      <c r="D1590">
        <v>300</v>
      </c>
      <c r="R1590" s="73">
        <f t="shared" si="133"/>
        <v>3.9411827587249035E-5</v>
      </c>
      <c r="S1590" s="74">
        <f t="shared" si="131"/>
        <v>4.0468304156153605E-5</v>
      </c>
      <c r="U1590" s="81">
        <f t="shared" si="132"/>
        <v>2.689450887855116E-2</v>
      </c>
      <c r="W1590" s="80">
        <v>0.97310549112144884</v>
      </c>
    </row>
    <row r="1591" spans="2:23" x14ac:dyDescent="0.3">
      <c r="B1591">
        <v>77</v>
      </c>
      <c r="C1591">
        <v>2</v>
      </c>
      <c r="D1591">
        <v>320</v>
      </c>
      <c r="R1591" s="73">
        <f t="shared" si="133"/>
        <v>3.7943971563902944E-5</v>
      </c>
      <c r="S1591" s="74">
        <f t="shared" si="131"/>
        <v>3.899266000459485E-5</v>
      </c>
      <c r="U1591" s="81">
        <f t="shared" si="132"/>
        <v>2.7653388309829219E-2</v>
      </c>
      <c r="W1591" s="80">
        <v>0.97234661169017078</v>
      </c>
    </row>
    <row r="1592" spans="2:23" x14ac:dyDescent="0.3">
      <c r="B1592">
        <v>77</v>
      </c>
      <c r="C1592">
        <v>2</v>
      </c>
      <c r="D1592">
        <v>340</v>
      </c>
      <c r="R1592" s="73">
        <f t="shared" si="133"/>
        <v>3.6617700194885307E-5</v>
      </c>
      <c r="S1592" s="74">
        <f t="shared" si="131"/>
        <v>3.7659101964920705E-5</v>
      </c>
      <c r="U1592" s="81">
        <f t="shared" si="132"/>
        <v>2.8385742313726925E-2</v>
      </c>
      <c r="W1592" s="80">
        <v>0.97161425768627308</v>
      </c>
    </row>
    <row r="1593" spans="2:23" x14ac:dyDescent="0.3">
      <c r="B1593">
        <v>77</v>
      </c>
      <c r="C1593">
        <v>2</v>
      </c>
      <c r="D1593">
        <v>360</v>
      </c>
      <c r="R1593" s="73">
        <f t="shared" si="133"/>
        <v>3.5411938306478817E-5</v>
      </c>
      <c r="S1593" s="74">
        <f t="shared" si="131"/>
        <v>3.6446499242205508E-5</v>
      </c>
      <c r="U1593" s="81">
        <f t="shared" si="132"/>
        <v>2.9093981079856501E-2</v>
      </c>
      <c r="W1593" s="80">
        <v>0.9709060189201435</v>
      </c>
    </row>
    <row r="1594" spans="2:23" x14ac:dyDescent="0.3">
      <c r="B1594">
        <v>77</v>
      </c>
      <c r="C1594">
        <v>2</v>
      </c>
      <c r="D1594">
        <v>380</v>
      </c>
      <c r="R1594" s="73">
        <f t="shared" si="133"/>
        <v>3.4309731783482843E-5</v>
      </c>
      <c r="S1594" s="74">
        <f t="shared" si="131"/>
        <v>3.5337850538451346E-5</v>
      </c>
      <c r="U1594" s="81">
        <f t="shared" si="132"/>
        <v>2.9780175715526158E-2</v>
      </c>
      <c r="W1594" s="80">
        <v>0.97021982428447384</v>
      </c>
    </row>
    <row r="1595" spans="2:23" x14ac:dyDescent="0.3">
      <c r="B1595">
        <v>78</v>
      </c>
      <c r="C1595">
        <v>2</v>
      </c>
      <c r="D1595">
        <v>0</v>
      </c>
      <c r="R1595" s="73">
        <f t="shared" si="133"/>
        <v>0</v>
      </c>
      <c r="S1595" s="74">
        <f t="shared" si="131"/>
        <v>0</v>
      </c>
      <c r="U1595" s="81">
        <f t="shared" si="132"/>
        <v>0</v>
      </c>
      <c r="W1595" s="80">
        <v>1</v>
      </c>
    </row>
    <row r="1596" spans="2:23" x14ac:dyDescent="0.3">
      <c r="B1596">
        <v>78</v>
      </c>
      <c r="C1596">
        <v>2</v>
      </c>
      <c r="D1596">
        <v>20</v>
      </c>
      <c r="R1596" s="73">
        <f t="shared" si="133"/>
        <v>3.6465706729992833E-4</v>
      </c>
      <c r="S1596" s="74">
        <f t="shared" si="131"/>
        <v>3.6465706729992833E-4</v>
      </c>
      <c r="U1596" s="81">
        <f t="shared" si="132"/>
        <v>7.2931413459985661E-3</v>
      </c>
      <c r="W1596" s="80">
        <v>0.99270685865400143</v>
      </c>
    </row>
    <row r="1597" spans="2:23" x14ac:dyDescent="0.3">
      <c r="B1597">
        <v>78</v>
      </c>
      <c r="C1597">
        <v>2</v>
      </c>
      <c r="D1597">
        <v>40</v>
      </c>
      <c r="R1597" s="73">
        <f t="shared" si="133"/>
        <v>1.2662117780790628E-4</v>
      </c>
      <c r="S1597" s="74">
        <f t="shared" si="131"/>
        <v>1.275514284041417E-4</v>
      </c>
      <c r="U1597" s="81">
        <f t="shared" si="132"/>
        <v>9.8255649021566915E-3</v>
      </c>
      <c r="W1597" s="80">
        <v>0.99017443509784331</v>
      </c>
    </row>
    <row r="1598" spans="2:23" x14ac:dyDescent="0.3">
      <c r="B1598">
        <v>78</v>
      </c>
      <c r="C1598">
        <v>2</v>
      </c>
      <c r="D1598">
        <v>60</v>
      </c>
      <c r="R1598" s="73">
        <f t="shared" si="133"/>
        <v>9.3574825551706595E-5</v>
      </c>
      <c r="S1598" s="74">
        <f t="shared" si="131"/>
        <v>9.4503374592235431E-5</v>
      </c>
      <c r="U1598" s="81">
        <f t="shared" si="132"/>
        <v>1.1697061413190823E-2</v>
      </c>
      <c r="W1598" s="80">
        <v>0.98830293858680918</v>
      </c>
    </row>
    <row r="1599" spans="2:23" x14ac:dyDescent="0.3">
      <c r="B1599">
        <v>78</v>
      </c>
      <c r="C1599">
        <v>2</v>
      </c>
      <c r="D1599">
        <v>80</v>
      </c>
      <c r="R1599" s="73">
        <f t="shared" si="133"/>
        <v>7.7013476733384095E-5</v>
      </c>
      <c r="S1599" s="74">
        <f t="shared" si="131"/>
        <v>7.7924969891829876E-5</v>
      </c>
      <c r="U1599" s="81">
        <f t="shared" si="132"/>
        <v>1.3237330947858506E-2</v>
      </c>
      <c r="W1599" s="80">
        <v>0.98676266905214149</v>
      </c>
    </row>
    <row r="1600" spans="2:23" x14ac:dyDescent="0.3">
      <c r="B1600">
        <v>78</v>
      </c>
      <c r="C1600">
        <v>2</v>
      </c>
      <c r="D1600">
        <v>100</v>
      </c>
      <c r="R1600" s="73">
        <f t="shared" si="133"/>
        <v>6.665388513599213E-5</v>
      </c>
      <c r="S1600" s="74">
        <f t="shared" si="131"/>
        <v>6.7548040908375792E-5</v>
      </c>
      <c r="U1600" s="81">
        <f t="shared" si="132"/>
        <v>1.4570408650578348E-2</v>
      </c>
      <c r="W1600" s="80">
        <v>0.98542959134942165</v>
      </c>
    </row>
    <row r="1601" spans="2:23" x14ac:dyDescent="0.3">
      <c r="B1601">
        <v>78</v>
      </c>
      <c r="C1601">
        <v>2</v>
      </c>
      <c r="D1601">
        <v>120</v>
      </c>
      <c r="R1601" s="73">
        <f t="shared" si="133"/>
        <v>5.941326179662032E-5</v>
      </c>
      <c r="S1601" s="74">
        <f t="shared" si="131"/>
        <v>6.029173704359877E-5</v>
      </c>
      <c r="U1601" s="81">
        <f t="shared" si="132"/>
        <v>1.5758673886510755E-2</v>
      </c>
      <c r="W1601" s="80">
        <v>0.98424132611348925</v>
      </c>
    </row>
    <row r="1602" spans="2:23" x14ac:dyDescent="0.3">
      <c r="B1602">
        <v>78</v>
      </c>
      <c r="C1602">
        <v>2</v>
      </c>
      <c r="D1602">
        <v>140</v>
      </c>
      <c r="R1602" s="73">
        <f t="shared" si="133"/>
        <v>5.3997870816951953E-5</v>
      </c>
      <c r="S1602" s="74">
        <f t="shared" si="131"/>
        <v>5.4862429959302134E-5</v>
      </c>
      <c r="U1602" s="81">
        <f t="shared" si="132"/>
        <v>1.6838631302849794E-2</v>
      </c>
      <c r="W1602" s="80">
        <v>0.98316136869715021</v>
      </c>
    </row>
    <row r="1603" spans="2:23" x14ac:dyDescent="0.3">
      <c r="B1603">
        <v>78</v>
      </c>
      <c r="C1603">
        <v>2</v>
      </c>
      <c r="D1603">
        <v>160</v>
      </c>
      <c r="R1603" s="73">
        <f t="shared" si="133"/>
        <v>4.9757270909428494E-5</v>
      </c>
      <c r="S1603" s="74">
        <f t="shared" si="131"/>
        <v>5.0609465031528885E-5</v>
      </c>
      <c r="U1603" s="81">
        <f t="shared" si="132"/>
        <v>1.7833776721038364E-2</v>
      </c>
      <c r="W1603" s="80">
        <v>0.98216622327896164</v>
      </c>
    </row>
    <row r="1604" spans="2:23" x14ac:dyDescent="0.3">
      <c r="B1604">
        <v>78</v>
      </c>
      <c r="C1604">
        <v>2</v>
      </c>
      <c r="D1604">
        <v>180</v>
      </c>
      <c r="R1604" s="73">
        <f t="shared" si="133"/>
        <v>4.6324286229237901E-5</v>
      </c>
      <c r="S1604" s="74">
        <f t="shared" si="131"/>
        <v>4.7165423867443009E-5</v>
      </c>
      <c r="U1604" s="81">
        <f t="shared" si="132"/>
        <v>1.8760262445623122E-2</v>
      </c>
      <c r="W1604" s="80">
        <v>0.98123973755437688</v>
      </c>
    </row>
    <row r="1605" spans="2:23" x14ac:dyDescent="0.3">
      <c r="B1605">
        <v>78</v>
      </c>
      <c r="C1605">
        <v>2</v>
      </c>
      <c r="D1605">
        <v>200</v>
      </c>
      <c r="R1605" s="73">
        <f t="shared" si="133"/>
        <v>4.3474065854515184E-5</v>
      </c>
      <c r="S1605" s="74">
        <f t="shared" si="131"/>
        <v>4.4305243856989645E-5</v>
      </c>
      <c r="U1605" s="81">
        <f t="shared" si="132"/>
        <v>1.9629743762713425E-2</v>
      </c>
      <c r="W1605" s="80">
        <v>0.98037025623728657</v>
      </c>
    </row>
    <row r="1606" spans="2:23" x14ac:dyDescent="0.3">
      <c r="B1606">
        <v>78</v>
      </c>
      <c r="C1606">
        <v>2</v>
      </c>
      <c r="D1606">
        <v>220</v>
      </c>
      <c r="R1606" s="73">
        <f t="shared" si="133"/>
        <v>4.1060307764079206E-5</v>
      </c>
      <c r="S1606" s="74">
        <f t="shared" si="131"/>
        <v>4.1882449516237733E-5</v>
      </c>
      <c r="U1606" s="81">
        <f t="shared" si="132"/>
        <v>2.0450949917995009E-2</v>
      </c>
      <c r="W1606" s="80">
        <v>0.97954905008200499</v>
      </c>
    </row>
    <row r="1607" spans="2:23" x14ac:dyDescent="0.3">
      <c r="B1607">
        <v>78</v>
      </c>
      <c r="C1607">
        <v>2</v>
      </c>
      <c r="D1607">
        <v>240</v>
      </c>
      <c r="R1607" s="73">
        <f t="shared" si="133"/>
        <v>3.8983233439437989E-5</v>
      </c>
      <c r="S1607" s="74">
        <f t="shared" si="131"/>
        <v>3.9797122396448071E-5</v>
      </c>
      <c r="U1607" s="81">
        <f t="shared" si="132"/>
        <v>2.1230614586783769E-2</v>
      </c>
      <c r="W1607" s="80">
        <v>0.97876938541321623</v>
      </c>
    </row>
    <row r="1608" spans="2:23" x14ac:dyDescent="0.3">
      <c r="B1608">
        <v>78</v>
      </c>
      <c r="C1608">
        <v>2</v>
      </c>
      <c r="D1608">
        <v>260</v>
      </c>
      <c r="R1608" s="73">
        <f t="shared" si="133"/>
        <v>3.7172184740291711E-5</v>
      </c>
      <c r="S1608" s="74">
        <f t="shared" si="131"/>
        <v>3.7978491454959419E-5</v>
      </c>
      <c r="U1608" s="81">
        <f t="shared" si="132"/>
        <v>2.1974058281589604E-2</v>
      </c>
      <c r="W1608" s="80">
        <v>0.9780259417184104</v>
      </c>
    </row>
    <row r="1609" spans="2:23" x14ac:dyDescent="0.3">
      <c r="B1609">
        <v>78</v>
      </c>
      <c r="C1609">
        <v>2</v>
      </c>
      <c r="D1609">
        <v>280</v>
      </c>
      <c r="R1609" s="73">
        <f t="shared" si="133"/>
        <v>3.5575559903555652E-5</v>
      </c>
      <c r="S1609" s="74">
        <f t="shared" si="131"/>
        <v>3.6374863269013817E-5</v>
      </c>
      <c r="U1609" s="81">
        <f t="shared" si="132"/>
        <v>2.2685569479660717E-2</v>
      </c>
      <c r="W1609" s="80">
        <v>0.97731443052033928</v>
      </c>
    </row>
    <row r="1610" spans="2:23" x14ac:dyDescent="0.3">
      <c r="B1610">
        <v>78</v>
      </c>
      <c r="C1610">
        <v>2</v>
      </c>
      <c r="D1610">
        <v>300</v>
      </c>
      <c r="R1610" s="73">
        <f t="shared" si="133"/>
        <v>3.4154692985616243E-5</v>
      </c>
      <c r="S1610" s="74">
        <f t="shared" si="131"/>
        <v>3.4947496853629477E-5</v>
      </c>
      <c r="U1610" s="81">
        <f t="shared" si="132"/>
        <v>2.3368663339373041E-2</v>
      </c>
      <c r="W1610" s="80">
        <v>0.97663133666062696</v>
      </c>
    </row>
    <row r="1611" spans="2:23" x14ac:dyDescent="0.3">
      <c r="B1611">
        <v>78</v>
      </c>
      <c r="C1611">
        <v>2</v>
      </c>
      <c r="D1611">
        <v>320</v>
      </c>
      <c r="R1611" s="73">
        <f t="shared" si="133"/>
        <v>3.2879973076777035E-5</v>
      </c>
      <c r="S1611" s="74">
        <f t="shared" ref="S1611:S1674" si="134">IF(D1611&gt;D1610,(U1611-U1610)/W1610/(D1611-D1610),0)</f>
        <v>3.3666719305979647E-5</v>
      </c>
      <c r="U1611" s="81">
        <f t="shared" ref="U1611:U1674" si="135">100%-W1611</f>
        <v>2.4026262800908582E-2</v>
      </c>
      <c r="W1611" s="80">
        <v>0.97597373719909142</v>
      </c>
    </row>
    <row r="1612" spans="2:23" x14ac:dyDescent="0.3">
      <c r="B1612">
        <v>78</v>
      </c>
      <c r="C1612">
        <v>2</v>
      </c>
      <c r="D1612">
        <v>340</v>
      </c>
      <c r="R1612" s="73">
        <f t="shared" si="133"/>
        <v>3.1728295705041323E-5</v>
      </c>
      <c r="S1612" s="74">
        <f t="shared" si="134"/>
        <v>3.25093744797858E-5</v>
      </c>
      <c r="U1612" s="81">
        <f t="shared" si="135"/>
        <v>2.4660828715009409E-2</v>
      </c>
      <c r="W1612" s="80">
        <v>0.97533917128499059</v>
      </c>
    </row>
    <row r="1613" spans="2:23" x14ac:dyDescent="0.3">
      <c r="B1613">
        <v>78</v>
      </c>
      <c r="C1613">
        <v>2</v>
      </c>
      <c r="D1613">
        <v>360</v>
      </c>
      <c r="R1613" s="73">
        <f t="shared" si="133"/>
        <v>3.0681338127325211E-5</v>
      </c>
      <c r="S1613" s="74">
        <f t="shared" si="134"/>
        <v>3.1457096188296362E-5</v>
      </c>
      <c r="U1613" s="81">
        <f t="shared" si="135"/>
        <v>2.5274455477555913E-2</v>
      </c>
      <c r="W1613" s="80">
        <v>0.97472554452244409</v>
      </c>
    </row>
    <row r="1614" spans="2:23" x14ac:dyDescent="0.3">
      <c r="B1614">
        <v>78</v>
      </c>
      <c r="C1614">
        <v>2</v>
      </c>
      <c r="D1614">
        <v>380</v>
      </c>
      <c r="R1614" s="73">
        <f t="shared" si="133"/>
        <v>2.9724361479865902E-5</v>
      </c>
      <c r="S1614" s="74">
        <f t="shared" si="134"/>
        <v>3.049510874820565E-5</v>
      </c>
      <c r="U1614" s="81">
        <f t="shared" si="135"/>
        <v>2.5868942707153231E-2</v>
      </c>
      <c r="W1614" s="80">
        <v>0.97413105729284677</v>
      </c>
    </row>
    <row r="1615" spans="2:23" x14ac:dyDescent="0.3">
      <c r="B1615">
        <v>79</v>
      </c>
      <c r="C1615">
        <v>2</v>
      </c>
      <c r="D1615">
        <v>0</v>
      </c>
      <c r="R1615" s="73">
        <f t="shared" si="133"/>
        <v>0</v>
      </c>
      <c r="S1615" s="74">
        <f t="shared" si="134"/>
        <v>0</v>
      </c>
      <c r="U1615" s="81">
        <f t="shared" si="135"/>
        <v>0</v>
      </c>
      <c r="W1615" s="80">
        <v>1</v>
      </c>
    </row>
    <row r="1616" spans="2:23" x14ac:dyDescent="0.3">
      <c r="B1616">
        <v>79</v>
      </c>
      <c r="C1616">
        <v>2</v>
      </c>
      <c r="D1616">
        <v>20</v>
      </c>
      <c r="R1616" s="73">
        <f t="shared" si="133"/>
        <v>1.6079192332671966E-4</v>
      </c>
      <c r="S1616" s="74">
        <f t="shared" si="134"/>
        <v>1.6079192332671966E-4</v>
      </c>
      <c r="U1616" s="81">
        <f t="shared" si="135"/>
        <v>3.2158384665343931E-3</v>
      </c>
      <c r="W1616" s="80">
        <v>0.99678416153346561</v>
      </c>
    </row>
    <row r="1617" spans="2:23" x14ac:dyDescent="0.3">
      <c r="B1617">
        <v>79</v>
      </c>
      <c r="C1617">
        <v>2</v>
      </c>
      <c r="D1617">
        <v>40</v>
      </c>
      <c r="R1617" s="73">
        <f t="shared" si="133"/>
        <v>5.4037997444600362E-5</v>
      </c>
      <c r="S1617" s="74">
        <f t="shared" si="134"/>
        <v>5.4212335558650536E-5</v>
      </c>
      <c r="U1617" s="81">
        <f t="shared" si="135"/>
        <v>4.2965984154264003E-3</v>
      </c>
      <c r="W1617" s="80">
        <v>0.9957034015845736</v>
      </c>
    </row>
    <row r="1618" spans="2:23" x14ac:dyDescent="0.3">
      <c r="B1618">
        <v>79</v>
      </c>
      <c r="C1618">
        <v>2</v>
      </c>
      <c r="D1618">
        <v>60</v>
      </c>
      <c r="R1618" s="73">
        <f t="shared" si="133"/>
        <v>3.9677772393464929E-5</v>
      </c>
      <c r="S1618" s="74">
        <f t="shared" si="134"/>
        <v>3.9848987489970683E-5</v>
      </c>
      <c r="U1618" s="81">
        <f t="shared" si="135"/>
        <v>5.0901538632956989E-3</v>
      </c>
      <c r="W1618" s="80">
        <v>0.9949098461367043</v>
      </c>
    </row>
    <row r="1619" spans="2:23" x14ac:dyDescent="0.3">
      <c r="B1619">
        <v>79</v>
      </c>
      <c r="C1619">
        <v>2</v>
      </c>
      <c r="D1619">
        <v>80</v>
      </c>
      <c r="R1619" s="73">
        <f t="shared" si="133"/>
        <v>3.2520995240381542E-5</v>
      </c>
      <c r="S1619" s="74">
        <f t="shared" si="134"/>
        <v>3.2687379029027159E-5</v>
      </c>
      <c r="U1619" s="81">
        <f t="shared" si="135"/>
        <v>5.7405737681033298E-3</v>
      </c>
      <c r="W1619" s="80">
        <v>0.99425942623189667</v>
      </c>
    </row>
    <row r="1620" spans="2:23" x14ac:dyDescent="0.3">
      <c r="B1620">
        <v>79</v>
      </c>
      <c r="C1620">
        <v>2</v>
      </c>
      <c r="D1620">
        <v>100</v>
      </c>
      <c r="R1620" s="73">
        <f t="shared" si="133"/>
        <v>2.8060638093962975E-5</v>
      </c>
      <c r="S1620" s="74">
        <f t="shared" si="134"/>
        <v>2.8222652311488606E-5</v>
      </c>
      <c r="U1620" s="81">
        <f t="shared" si="135"/>
        <v>6.3017865299825893E-3</v>
      </c>
      <c r="W1620" s="80">
        <v>0.99369821347001741</v>
      </c>
    </row>
    <row r="1621" spans="2:23" x14ac:dyDescent="0.3">
      <c r="B1621">
        <v>79</v>
      </c>
      <c r="C1621">
        <v>2</v>
      </c>
      <c r="D1621">
        <v>120</v>
      </c>
      <c r="R1621" s="73">
        <f t="shared" si="133"/>
        <v>2.4951805089201694E-5</v>
      </c>
      <c r="S1621" s="74">
        <f t="shared" si="134"/>
        <v>2.5110043221341221E-5</v>
      </c>
      <c r="U1621" s="81">
        <f t="shared" si="135"/>
        <v>6.8008226317666232E-3</v>
      </c>
      <c r="W1621" s="80">
        <v>0.99319917736823338</v>
      </c>
    </row>
    <row r="1622" spans="2:23" x14ac:dyDescent="0.3">
      <c r="B1622">
        <v>79</v>
      </c>
      <c r="C1622">
        <v>2</v>
      </c>
      <c r="D1622">
        <v>140</v>
      </c>
      <c r="R1622" s="73">
        <f t="shared" si="133"/>
        <v>2.2631856766341941E-5</v>
      </c>
      <c r="S1622" s="74">
        <f t="shared" si="134"/>
        <v>2.2786825927817971E-5</v>
      </c>
      <c r="U1622" s="81">
        <f t="shared" si="135"/>
        <v>7.253459767093462E-3</v>
      </c>
      <c r="W1622" s="80">
        <v>0.99274654023290654</v>
      </c>
    </row>
    <row r="1623" spans="2:23" x14ac:dyDescent="0.3">
      <c r="B1623">
        <v>79</v>
      </c>
      <c r="C1623">
        <v>2</v>
      </c>
      <c r="D1623">
        <v>160</v>
      </c>
      <c r="R1623" s="73">
        <f t="shared" si="133"/>
        <v>2.0818601977773411E-5</v>
      </c>
      <c r="S1623" s="74">
        <f t="shared" si="134"/>
        <v>2.0970712194966898E-5</v>
      </c>
      <c r="U1623" s="81">
        <f t="shared" si="135"/>
        <v>7.6698318066489302E-3</v>
      </c>
      <c r="W1623" s="80">
        <v>0.99233016819335107</v>
      </c>
    </row>
    <row r="1624" spans="2:23" x14ac:dyDescent="0.3">
      <c r="B1624">
        <v>79</v>
      </c>
      <c r="C1624">
        <v>2</v>
      </c>
      <c r="D1624">
        <v>180</v>
      </c>
      <c r="R1624" s="73">
        <f t="shared" si="133"/>
        <v>1.9353058452808992E-5</v>
      </c>
      <c r="S1624" s="74">
        <f t="shared" si="134"/>
        <v>1.9502640424651621E-5</v>
      </c>
      <c r="U1624" s="81">
        <f t="shared" si="135"/>
        <v>8.05689297570511E-3</v>
      </c>
      <c r="W1624" s="80">
        <v>0.99194310702429489</v>
      </c>
    </row>
    <row r="1625" spans="2:23" x14ac:dyDescent="0.3">
      <c r="B1625">
        <v>79</v>
      </c>
      <c r="C1625">
        <v>2</v>
      </c>
      <c r="D1625">
        <v>200</v>
      </c>
      <c r="R1625" s="73">
        <f t="shared" si="133"/>
        <v>1.8138032727621491E-5</v>
      </c>
      <c r="S1625" s="74">
        <f t="shared" si="134"/>
        <v>1.8285355882993446E-5</v>
      </c>
      <c r="U1625" s="81">
        <f t="shared" si="135"/>
        <v>8.4196536302575398E-3</v>
      </c>
      <c r="W1625" s="80">
        <v>0.99158034636974246</v>
      </c>
    </row>
    <row r="1626" spans="2:23" x14ac:dyDescent="0.3">
      <c r="B1626">
        <v>79</v>
      </c>
      <c r="C1626">
        <v>2</v>
      </c>
      <c r="D1626">
        <v>220</v>
      </c>
      <c r="R1626" s="73">
        <f t="shared" si="133"/>
        <v>1.711037755978695E-5</v>
      </c>
      <c r="S1626" s="74">
        <f t="shared" si="134"/>
        <v>1.7255664276152158E-5</v>
      </c>
      <c r="U1626" s="81">
        <f t="shared" si="135"/>
        <v>8.7618611814532787E-3</v>
      </c>
      <c r="W1626" s="80">
        <v>0.99123813881854672</v>
      </c>
    </row>
    <row r="1627" spans="2:23" x14ac:dyDescent="0.3">
      <c r="B1627">
        <v>79</v>
      </c>
      <c r="C1627">
        <v>2</v>
      </c>
      <c r="D1627">
        <v>240</v>
      </c>
      <c r="R1627" s="73">
        <f t="shared" si="133"/>
        <v>1.6227082428937888E-5</v>
      </c>
      <c r="S1627" s="74">
        <f t="shared" si="134"/>
        <v>1.6370518640736414E-5</v>
      </c>
      <c r="U1627" s="81">
        <f t="shared" si="135"/>
        <v>9.0864028300320365E-3</v>
      </c>
      <c r="W1627" s="80">
        <v>0.99091359716996796</v>
      </c>
    </row>
    <row r="1628" spans="2:23" x14ac:dyDescent="0.3">
      <c r="B1628">
        <v>79</v>
      </c>
      <c r="C1628">
        <v>2</v>
      </c>
      <c r="D1628">
        <v>260</v>
      </c>
      <c r="R1628" s="73">
        <f t="shared" si="133"/>
        <v>1.5457725149098379E-5</v>
      </c>
      <c r="S1628" s="74">
        <f t="shared" si="134"/>
        <v>1.559946820110792E-5</v>
      </c>
      <c r="U1628" s="81">
        <f t="shared" si="135"/>
        <v>9.3955573330140041E-3</v>
      </c>
      <c r="W1628" s="80">
        <v>0.990604442666986</v>
      </c>
    </row>
    <row r="1629" spans="2:23" x14ac:dyDescent="0.3">
      <c r="B1629">
        <v>79</v>
      </c>
      <c r="C1629">
        <v>2</v>
      </c>
      <c r="D1629">
        <v>280</v>
      </c>
      <c r="R1629" s="73">
        <f t="shared" si="133"/>
        <v>1.4780112022250158E-5</v>
      </c>
      <c r="S1629" s="74">
        <f t="shared" si="134"/>
        <v>1.4920296523663812E-5</v>
      </c>
      <c r="U1629" s="81">
        <f t="shared" si="135"/>
        <v>9.6911595734590072E-3</v>
      </c>
      <c r="W1629" s="80">
        <v>0.99030884042654099</v>
      </c>
    </row>
    <row r="1630" spans="2:23" x14ac:dyDescent="0.3">
      <c r="B1630">
        <v>79</v>
      </c>
      <c r="C1630">
        <v>2</v>
      </c>
      <c r="D1630">
        <v>300</v>
      </c>
      <c r="R1630" s="73">
        <f t="shared" si="133"/>
        <v>1.4177629241818312E-5</v>
      </c>
      <c r="S1630" s="74">
        <f t="shared" si="134"/>
        <v>1.4316371482366847E-5</v>
      </c>
      <c r="U1630" s="81">
        <f t="shared" si="135"/>
        <v>9.9747121582953735E-3</v>
      </c>
      <c r="W1630" s="80">
        <v>0.99002528784170463</v>
      </c>
    </row>
    <row r="1631" spans="2:23" x14ac:dyDescent="0.3">
      <c r="B1631">
        <v>79</v>
      </c>
      <c r="C1631">
        <v>2</v>
      </c>
      <c r="D1631">
        <v>320</v>
      </c>
      <c r="R1631" s="73">
        <f t="shared" si="133"/>
        <v>1.3637565209007052E-5</v>
      </c>
      <c r="S1631" s="74">
        <f t="shared" si="134"/>
        <v>1.377496653518568E-5</v>
      </c>
      <c r="U1631" s="81">
        <f t="shared" si="135"/>
        <v>1.0247463462475515E-2</v>
      </c>
      <c r="W1631" s="80">
        <v>0.98975253653752449</v>
      </c>
    </row>
    <row r="1632" spans="2:23" x14ac:dyDescent="0.3">
      <c r="B1632">
        <v>79</v>
      </c>
      <c r="C1632">
        <v>2</v>
      </c>
      <c r="D1632">
        <v>340</v>
      </c>
      <c r="R1632" s="73">
        <f t="shared" si="133"/>
        <v>1.3150009775009242E-5</v>
      </c>
      <c r="S1632" s="74">
        <f t="shared" si="134"/>
        <v>1.3286159206029664E-5</v>
      </c>
      <c r="U1632" s="81">
        <f t="shared" si="135"/>
        <v>1.0510463657975699E-2</v>
      </c>
      <c r="W1632" s="80">
        <v>0.9894895363420243</v>
      </c>
    </row>
    <row r="1633" spans="2:23" x14ac:dyDescent="0.3">
      <c r="B1633">
        <v>79</v>
      </c>
      <c r="C1633">
        <v>2</v>
      </c>
      <c r="D1633">
        <v>360</v>
      </c>
      <c r="R1633" s="73">
        <f t="shared" si="133"/>
        <v>1.2707109961357377E-5</v>
      </c>
      <c r="S1633" s="74">
        <f t="shared" si="134"/>
        <v>1.2842086242097534E-5</v>
      </c>
      <c r="U1633" s="81">
        <f t="shared" si="135"/>
        <v>1.0764605857202847E-2</v>
      </c>
      <c r="W1633" s="80">
        <v>0.98923539414279715</v>
      </c>
    </row>
    <row r="1634" spans="2:23" x14ac:dyDescent="0.3">
      <c r="B1634">
        <v>79</v>
      </c>
      <c r="C1634">
        <v>2</v>
      </c>
      <c r="D1634">
        <v>380</v>
      </c>
      <c r="R1634" s="73">
        <f t="shared" si="133"/>
        <v>1.2302553451526421E-5</v>
      </c>
      <c r="S1634" s="74">
        <f t="shared" si="134"/>
        <v>1.2436426683041363E-5</v>
      </c>
      <c r="U1634" s="81">
        <f t="shared" si="135"/>
        <v>1.1010656926233375E-2</v>
      </c>
      <c r="W1634" s="80">
        <v>0.98898934307376662</v>
      </c>
    </row>
    <row r="1635" spans="2:23" x14ac:dyDescent="0.3">
      <c r="B1635">
        <v>80</v>
      </c>
      <c r="C1635">
        <v>2</v>
      </c>
      <c r="D1635">
        <v>0</v>
      </c>
      <c r="R1635" s="73">
        <f t="shared" si="133"/>
        <v>0</v>
      </c>
      <c r="S1635" s="74">
        <f t="shared" si="134"/>
        <v>0</v>
      </c>
      <c r="U1635" s="81">
        <f t="shared" si="135"/>
        <v>0</v>
      </c>
      <c r="W1635" s="80">
        <v>1</v>
      </c>
    </row>
    <row r="1636" spans="2:23" x14ac:dyDescent="0.3">
      <c r="B1636">
        <v>80</v>
      </c>
      <c r="C1636">
        <v>2</v>
      </c>
      <c r="D1636">
        <v>20</v>
      </c>
      <c r="R1636" s="73">
        <f t="shared" si="133"/>
        <v>2.1216938862867463E-4</v>
      </c>
      <c r="S1636" s="74">
        <f t="shared" si="134"/>
        <v>2.1216938862867463E-4</v>
      </c>
      <c r="U1636" s="81">
        <f t="shared" si="135"/>
        <v>4.2433877725734925E-3</v>
      </c>
      <c r="W1636" s="80">
        <v>0.99575661222742651</v>
      </c>
    </row>
    <row r="1637" spans="2:23" x14ac:dyDescent="0.3">
      <c r="B1637">
        <v>80</v>
      </c>
      <c r="C1637">
        <v>2</v>
      </c>
      <c r="D1637">
        <v>40</v>
      </c>
      <c r="R1637" s="73">
        <f t="shared" si="133"/>
        <v>5.9824211476716681E-5</v>
      </c>
      <c r="S1637" s="74">
        <f t="shared" si="134"/>
        <v>6.0079150609800915E-5</v>
      </c>
      <c r="U1637" s="81">
        <f t="shared" si="135"/>
        <v>5.4398720021078262E-3</v>
      </c>
      <c r="W1637" s="80">
        <v>0.99456012799789217</v>
      </c>
    </row>
    <row r="1638" spans="2:23" x14ac:dyDescent="0.3">
      <c r="B1638">
        <v>80</v>
      </c>
      <c r="C1638">
        <v>2</v>
      </c>
      <c r="D1638">
        <v>60</v>
      </c>
      <c r="R1638" s="73">
        <f t="shared" si="133"/>
        <v>4.2669374397763525E-5</v>
      </c>
      <c r="S1638" s="74">
        <f t="shared" si="134"/>
        <v>4.2902759920266941E-5</v>
      </c>
      <c r="U1638" s="81">
        <f t="shared" si="135"/>
        <v>6.2932594900630967E-3</v>
      </c>
      <c r="W1638" s="80">
        <v>0.9937067405099369</v>
      </c>
    </row>
    <row r="1639" spans="2:23" x14ac:dyDescent="0.3">
      <c r="B1639">
        <v>80</v>
      </c>
      <c r="C1639">
        <v>2</v>
      </c>
      <c r="D1639">
        <v>80</v>
      </c>
      <c r="R1639" s="73">
        <f t="shared" si="133"/>
        <v>3.4341560447426202E-5</v>
      </c>
      <c r="S1639" s="74">
        <f t="shared" si="134"/>
        <v>3.4559049513746143E-5</v>
      </c>
      <c r="U1639" s="81">
        <f t="shared" si="135"/>
        <v>6.9800906990116207E-3</v>
      </c>
      <c r="W1639" s="80">
        <v>0.99301990930098838</v>
      </c>
    </row>
    <row r="1640" spans="2:23" x14ac:dyDescent="0.3">
      <c r="B1640">
        <v>80</v>
      </c>
      <c r="C1640">
        <v>2</v>
      </c>
      <c r="D1640">
        <v>100</v>
      </c>
      <c r="R1640" s="73">
        <f t="shared" si="133"/>
        <v>2.9239291729099559E-5</v>
      </c>
      <c r="S1640" s="74">
        <f t="shared" si="134"/>
        <v>2.9444819237996782E-5</v>
      </c>
      <c r="U1640" s="81">
        <f t="shared" si="135"/>
        <v>7.5648765335936119E-3</v>
      </c>
      <c r="W1640" s="80">
        <v>0.99243512346640639</v>
      </c>
    </row>
    <row r="1641" spans="2:23" x14ac:dyDescent="0.3">
      <c r="B1641">
        <v>80</v>
      </c>
      <c r="C1641">
        <v>2</v>
      </c>
      <c r="D1641">
        <v>120</v>
      </c>
      <c r="R1641" s="73">
        <f t="shared" si="133"/>
        <v>2.5728233350774676E-5</v>
      </c>
      <c r="S1641" s="74">
        <f t="shared" si="134"/>
        <v>2.5924347841408872E-5</v>
      </c>
      <c r="U1641" s="81">
        <f t="shared" si="135"/>
        <v>8.0794412006091054E-3</v>
      </c>
      <c r="W1641" s="80">
        <v>0.99192055879939089</v>
      </c>
    </row>
    <row r="1642" spans="2:23" x14ac:dyDescent="0.3">
      <c r="B1642">
        <v>80</v>
      </c>
      <c r="C1642">
        <v>2</v>
      </c>
      <c r="D1642">
        <v>140</v>
      </c>
      <c r="R1642" s="73">
        <f t="shared" si="133"/>
        <v>2.3134820943737644E-5</v>
      </c>
      <c r="S1642" s="74">
        <f t="shared" si="134"/>
        <v>2.3323259850304709E-5</v>
      </c>
      <c r="U1642" s="81">
        <f t="shared" si="135"/>
        <v>8.5421376194838583E-3</v>
      </c>
      <c r="W1642" s="80">
        <v>0.99145786238051614</v>
      </c>
    </row>
    <row r="1643" spans="2:23" x14ac:dyDescent="0.3">
      <c r="B1643">
        <v>80</v>
      </c>
      <c r="C1643">
        <v>2</v>
      </c>
      <c r="D1643">
        <v>160</v>
      </c>
      <c r="R1643" s="73">
        <f t="shared" si="133"/>
        <v>2.1125075738709363E-5</v>
      </c>
      <c r="S1643" s="74">
        <f t="shared" si="134"/>
        <v>2.1307083780633406E-5</v>
      </c>
      <c r="U1643" s="81">
        <f t="shared" si="135"/>
        <v>8.9646391342580456E-3</v>
      </c>
      <c r="W1643" s="80">
        <v>0.99103536086574195</v>
      </c>
    </row>
    <row r="1644" spans="2:23" x14ac:dyDescent="0.3">
      <c r="B1644">
        <v>80</v>
      </c>
      <c r="C1644">
        <v>2</v>
      </c>
      <c r="D1644">
        <v>180</v>
      </c>
      <c r="R1644" s="73">
        <f t="shared" si="133"/>
        <v>1.9512586713049674E-5</v>
      </c>
      <c r="S1644" s="74">
        <f t="shared" si="134"/>
        <v>1.9689092320584809E-5</v>
      </c>
      <c r="U1644" s="81">
        <f t="shared" si="135"/>
        <v>9.3548908685190391E-3</v>
      </c>
      <c r="W1644" s="80">
        <v>0.99064510913148096</v>
      </c>
    </row>
    <row r="1645" spans="2:23" x14ac:dyDescent="0.3">
      <c r="B1645">
        <v>80</v>
      </c>
      <c r="C1645">
        <v>2</v>
      </c>
      <c r="D1645">
        <v>200</v>
      </c>
      <c r="R1645" s="73">
        <f t="shared" ref="R1645:R1708" si="136">IF(D1645&gt;D1644,(U1645-U1644)/1/(D1645-D1644),0)</f>
        <v>1.8184288092026879E-5</v>
      </c>
      <c r="S1645" s="74">
        <f t="shared" si="134"/>
        <v>1.8356006529895878E-5</v>
      </c>
      <c r="U1645" s="81">
        <f t="shared" si="135"/>
        <v>9.7185766303595766E-3</v>
      </c>
      <c r="W1645" s="80">
        <v>0.99028142336964042</v>
      </c>
    </row>
    <row r="1646" spans="2:23" x14ac:dyDescent="0.3">
      <c r="B1646">
        <v>80</v>
      </c>
      <c r="C1646">
        <v>2</v>
      </c>
      <c r="D1646">
        <v>220</v>
      </c>
      <c r="R1646" s="73">
        <f t="shared" si="136"/>
        <v>1.706722181394893E-5</v>
      </c>
      <c r="S1646" s="74">
        <f t="shared" si="134"/>
        <v>1.7234718748811954E-5</v>
      </c>
      <c r="U1646" s="81">
        <f t="shared" si="135"/>
        <v>1.0059921066638555E-2</v>
      </c>
      <c r="W1646" s="80">
        <v>0.98994007893336144</v>
      </c>
    </row>
    <row r="1647" spans="2:23" x14ac:dyDescent="0.3">
      <c r="B1647">
        <v>80</v>
      </c>
      <c r="C1647">
        <v>2</v>
      </c>
      <c r="D1647">
        <v>240</v>
      </c>
      <c r="R1647" s="73">
        <f t="shared" si="136"/>
        <v>1.6111994999595813E-5</v>
      </c>
      <c r="S1647" s="74">
        <f t="shared" si="134"/>
        <v>1.6275727533888852E-5</v>
      </c>
      <c r="U1647" s="81">
        <f t="shared" si="135"/>
        <v>1.0382160966630471E-2</v>
      </c>
      <c r="W1647" s="80">
        <v>0.98961783903336953</v>
      </c>
    </row>
    <row r="1648" spans="2:23" x14ac:dyDescent="0.3">
      <c r="B1648">
        <v>80</v>
      </c>
      <c r="C1648">
        <v>2</v>
      </c>
      <c r="D1648">
        <v>260</v>
      </c>
      <c r="R1648" s="73">
        <f t="shared" si="136"/>
        <v>1.528386011652172E-5</v>
      </c>
      <c r="S1648" s="74">
        <f t="shared" si="134"/>
        <v>1.5444204331897004E-5</v>
      </c>
      <c r="U1648" s="81">
        <f t="shared" si="135"/>
        <v>1.0687838168960906E-2</v>
      </c>
      <c r="W1648" s="80">
        <v>0.98931216183103909</v>
      </c>
    </row>
    <row r="1649" spans="2:23" x14ac:dyDescent="0.3">
      <c r="B1649">
        <v>80</v>
      </c>
      <c r="C1649">
        <v>2</v>
      </c>
      <c r="D1649">
        <v>280</v>
      </c>
      <c r="R1649" s="73">
        <f t="shared" si="136"/>
        <v>1.4557592315517231E-5</v>
      </c>
      <c r="S1649" s="74">
        <f t="shared" si="134"/>
        <v>1.4714862383348995E-5</v>
      </c>
      <c r="U1649" s="81">
        <f t="shared" si="135"/>
        <v>1.0978990015271251E-2</v>
      </c>
      <c r="W1649" s="80">
        <v>0.98902100998472875</v>
      </c>
    </row>
    <row r="1650" spans="2:23" x14ac:dyDescent="0.3">
      <c r="B1650">
        <v>80</v>
      </c>
      <c r="C1650">
        <v>2</v>
      </c>
      <c r="D1650">
        <v>300</v>
      </c>
      <c r="R1650" s="73">
        <f t="shared" si="136"/>
        <v>1.3914393377439937E-5</v>
      </c>
      <c r="S1650" s="74">
        <f t="shared" si="134"/>
        <v>1.4068855198187133E-5</v>
      </c>
      <c r="U1650" s="81">
        <f t="shared" si="135"/>
        <v>1.1257277882820049E-2</v>
      </c>
      <c r="W1650" s="80">
        <v>0.98874272211717995</v>
      </c>
    </row>
    <row r="1651" spans="2:23" x14ac:dyDescent="0.3">
      <c r="B1651">
        <v>80</v>
      </c>
      <c r="C1651">
        <v>2</v>
      </c>
      <c r="D1651">
        <v>320</v>
      </c>
      <c r="R1651" s="73">
        <f t="shared" si="136"/>
        <v>1.3339939750961482E-5</v>
      </c>
      <c r="S1651" s="74">
        <f t="shared" si="134"/>
        <v>1.3491820928296565E-5</v>
      </c>
      <c r="U1651" s="81">
        <f t="shared" si="135"/>
        <v>1.1524076677839279E-2</v>
      </c>
      <c r="W1651" s="80">
        <v>0.98847592332216072</v>
      </c>
    </row>
    <row r="1652" spans="2:23" x14ac:dyDescent="0.3">
      <c r="B1652">
        <v>80</v>
      </c>
      <c r="C1652">
        <v>2</v>
      </c>
      <c r="D1652">
        <v>340</v>
      </c>
      <c r="R1652" s="73">
        <f t="shared" si="136"/>
        <v>1.282310732205194E-5</v>
      </c>
      <c r="S1652" s="74">
        <f t="shared" si="134"/>
        <v>1.2972604612315557E-5</v>
      </c>
      <c r="U1652" s="81">
        <f t="shared" si="135"/>
        <v>1.1780538824280318E-2</v>
      </c>
      <c r="W1652" s="80">
        <v>0.98821946117571968</v>
      </c>
    </row>
    <row r="1653" spans="2:23" x14ac:dyDescent="0.3">
      <c r="B1653">
        <v>80</v>
      </c>
      <c r="C1653">
        <v>2</v>
      </c>
      <c r="D1653">
        <v>360</v>
      </c>
      <c r="R1653" s="73">
        <f t="shared" si="136"/>
        <v>1.2355112578416039E-5</v>
      </c>
      <c r="S1653" s="74">
        <f t="shared" si="134"/>
        <v>1.250239755824756E-5</v>
      </c>
      <c r="U1653" s="81">
        <f t="shared" si="135"/>
        <v>1.2027641075848639E-2</v>
      </c>
      <c r="W1653" s="80">
        <v>0.98797235892415136</v>
      </c>
    </row>
    <row r="1654" spans="2:23" x14ac:dyDescent="0.3">
      <c r="B1654">
        <v>80</v>
      </c>
      <c r="C1654">
        <v>2</v>
      </c>
      <c r="D1654">
        <v>380</v>
      </c>
      <c r="R1654" s="73">
        <f t="shared" si="136"/>
        <v>1.1928918796855203E-5</v>
      </c>
      <c r="S1654" s="74">
        <f t="shared" si="134"/>
        <v>1.2074142246089914E-5</v>
      </c>
      <c r="U1654" s="81">
        <f t="shared" si="135"/>
        <v>1.2266219451785743E-2</v>
      </c>
      <c r="W1654" s="80">
        <v>0.98773378054821426</v>
      </c>
    </row>
    <row r="1655" spans="2:23" x14ac:dyDescent="0.3">
      <c r="B1655">
        <v>81</v>
      </c>
      <c r="C1655">
        <v>2</v>
      </c>
      <c r="D1655">
        <v>0</v>
      </c>
      <c r="R1655" s="73">
        <f t="shared" si="136"/>
        <v>0</v>
      </c>
      <c r="S1655" s="74">
        <f t="shared" si="134"/>
        <v>0</v>
      </c>
      <c r="U1655" s="81">
        <f t="shared" si="135"/>
        <v>0</v>
      </c>
      <c r="W1655" s="80">
        <v>1</v>
      </c>
    </row>
    <row r="1656" spans="2:23" x14ac:dyDescent="0.3">
      <c r="B1656">
        <v>81</v>
      </c>
      <c r="C1656">
        <v>2</v>
      </c>
      <c r="D1656">
        <v>20</v>
      </c>
      <c r="R1656" s="73">
        <f t="shared" si="136"/>
        <v>4.7548223290261314E-5</v>
      </c>
      <c r="S1656" s="74">
        <f t="shared" si="134"/>
        <v>4.7548223290261314E-5</v>
      </c>
      <c r="U1656" s="81">
        <f t="shared" si="135"/>
        <v>9.5096446580522631E-4</v>
      </c>
      <c r="W1656" s="80">
        <v>0.99904903553419477</v>
      </c>
    </row>
    <row r="1657" spans="2:23" x14ac:dyDescent="0.3">
      <c r="B1657">
        <v>81</v>
      </c>
      <c r="C1657">
        <v>2</v>
      </c>
      <c r="D1657">
        <v>40</v>
      </c>
      <c r="R1657" s="73">
        <f t="shared" si="136"/>
        <v>3.5337025390104747E-4</v>
      </c>
      <c r="S1657" s="74">
        <f t="shared" si="134"/>
        <v>3.5370661632449227E-4</v>
      </c>
      <c r="U1657" s="81">
        <f t="shared" si="135"/>
        <v>8.0183695438261759E-3</v>
      </c>
      <c r="W1657" s="80">
        <v>0.99198163045617382</v>
      </c>
    </row>
    <row r="1658" spans="2:23" x14ac:dyDescent="0.3">
      <c r="B1658">
        <v>81</v>
      </c>
      <c r="C1658">
        <v>2</v>
      </c>
      <c r="D1658">
        <v>60</v>
      </c>
      <c r="R1658" s="73">
        <f t="shared" si="136"/>
        <v>2.0143411832289072E-4</v>
      </c>
      <c r="S1658" s="74">
        <f t="shared" si="134"/>
        <v>2.0306234726368772E-4</v>
      </c>
      <c r="U1658" s="81">
        <f t="shared" si="135"/>
        <v>1.204705191028399E-2</v>
      </c>
      <c r="W1658" s="80">
        <v>0.98795294808971601</v>
      </c>
    </row>
    <row r="1659" spans="2:23" x14ac:dyDescent="0.3">
      <c r="B1659">
        <v>81</v>
      </c>
      <c r="C1659">
        <v>2</v>
      </c>
      <c r="D1659">
        <v>80</v>
      </c>
      <c r="R1659" s="73">
        <f t="shared" si="136"/>
        <v>1.406095683333164E-4</v>
      </c>
      <c r="S1659" s="74">
        <f t="shared" si="134"/>
        <v>1.423241548144534E-4</v>
      </c>
      <c r="U1659" s="81">
        <f t="shared" si="135"/>
        <v>1.4859243276950318E-2</v>
      </c>
      <c r="W1659" s="80">
        <v>0.98514075672304968</v>
      </c>
    </row>
    <row r="1660" spans="2:23" x14ac:dyDescent="0.3">
      <c r="B1660">
        <v>81</v>
      </c>
      <c r="C1660">
        <v>2</v>
      </c>
      <c r="D1660">
        <v>100</v>
      </c>
      <c r="R1660" s="73">
        <f t="shared" si="136"/>
        <v>1.0776349136332186E-4</v>
      </c>
      <c r="S1660" s="74">
        <f t="shared" si="134"/>
        <v>1.0938892805712754E-4</v>
      </c>
      <c r="U1660" s="81">
        <f t="shared" si="135"/>
        <v>1.7014513104216755E-2</v>
      </c>
      <c r="W1660" s="80">
        <v>0.98298548689578324</v>
      </c>
    </row>
    <row r="1661" spans="2:23" x14ac:dyDescent="0.3">
      <c r="B1661">
        <v>81</v>
      </c>
      <c r="C1661">
        <v>2</v>
      </c>
      <c r="D1661">
        <v>120</v>
      </c>
      <c r="R1661" s="73">
        <f t="shared" si="136"/>
        <v>8.7214064582274989E-5</v>
      </c>
      <c r="S1661" s="74">
        <f t="shared" si="134"/>
        <v>8.8723654362072459E-5</v>
      </c>
      <c r="U1661" s="81">
        <f t="shared" si="135"/>
        <v>1.8758794395862255E-2</v>
      </c>
      <c r="W1661" s="80">
        <v>0.98124120560413775</v>
      </c>
    </row>
    <row r="1662" spans="2:23" x14ac:dyDescent="0.3">
      <c r="B1662">
        <v>81</v>
      </c>
      <c r="C1662">
        <v>2</v>
      </c>
      <c r="D1662">
        <v>140</v>
      </c>
      <c r="R1662" s="73">
        <f t="shared" si="136"/>
        <v>7.315761913869179E-5</v>
      </c>
      <c r="S1662" s="74">
        <f t="shared" si="134"/>
        <v>7.4556203633590346E-5</v>
      </c>
      <c r="U1662" s="81">
        <f t="shared" si="135"/>
        <v>2.0221946778636091E-2</v>
      </c>
      <c r="W1662" s="80">
        <v>0.97977805322136391</v>
      </c>
    </row>
    <row r="1663" spans="2:23" x14ac:dyDescent="0.3">
      <c r="B1663">
        <v>81</v>
      </c>
      <c r="C1663">
        <v>2</v>
      </c>
      <c r="D1663">
        <v>160</v>
      </c>
      <c r="R1663" s="73">
        <f t="shared" si="136"/>
        <v>6.294499448235569E-5</v>
      </c>
      <c r="S1663" s="74">
        <f t="shared" si="134"/>
        <v>6.4244135981002991E-5</v>
      </c>
      <c r="U1663" s="81">
        <f t="shared" si="135"/>
        <v>2.1480846668283204E-2</v>
      </c>
      <c r="W1663" s="80">
        <v>0.9785191533317168</v>
      </c>
    </row>
    <row r="1664" spans="2:23" x14ac:dyDescent="0.3">
      <c r="B1664">
        <v>81</v>
      </c>
      <c r="C1664">
        <v>2</v>
      </c>
      <c r="D1664">
        <v>180</v>
      </c>
      <c r="R1664" s="73">
        <f t="shared" si="136"/>
        <v>5.5194462896790418E-5</v>
      </c>
      <c r="S1664" s="74">
        <f t="shared" si="134"/>
        <v>5.6406113982400058E-5</v>
      </c>
      <c r="U1664" s="81">
        <f t="shared" si="135"/>
        <v>2.2584735926219013E-2</v>
      </c>
      <c r="W1664" s="80">
        <v>0.97741526407378099</v>
      </c>
    </row>
    <row r="1665" spans="2:23" x14ac:dyDescent="0.3">
      <c r="B1665">
        <v>81</v>
      </c>
      <c r="C1665">
        <v>2</v>
      </c>
      <c r="D1665">
        <v>200</v>
      </c>
      <c r="R1665" s="73">
        <f t="shared" si="136"/>
        <v>4.911488817602727E-5</v>
      </c>
      <c r="S1665" s="74">
        <f t="shared" si="134"/>
        <v>5.0249765868522179E-5</v>
      </c>
      <c r="U1665" s="81">
        <f t="shared" si="135"/>
        <v>2.3567033689739558E-2</v>
      </c>
      <c r="W1665" s="80">
        <v>0.97643296631026044</v>
      </c>
    </row>
    <row r="1666" spans="2:23" x14ac:dyDescent="0.3">
      <c r="B1666">
        <v>81</v>
      </c>
      <c r="C1666">
        <v>2</v>
      </c>
      <c r="D1666">
        <v>220</v>
      </c>
      <c r="R1666" s="73">
        <f t="shared" si="136"/>
        <v>4.4220785342774516E-5</v>
      </c>
      <c r="S1666" s="74">
        <f t="shared" si="134"/>
        <v>4.5288091316576267E-5</v>
      </c>
      <c r="U1666" s="81">
        <f t="shared" si="135"/>
        <v>2.4451449396595049E-2</v>
      </c>
      <c r="W1666" s="80">
        <v>0.97554855060340495</v>
      </c>
    </row>
    <row r="1667" spans="2:23" x14ac:dyDescent="0.3">
      <c r="B1667">
        <v>81</v>
      </c>
      <c r="C1667">
        <v>2</v>
      </c>
      <c r="D1667">
        <v>240</v>
      </c>
      <c r="R1667" s="73">
        <f t="shared" si="136"/>
        <v>4.0197809172953788E-5</v>
      </c>
      <c r="S1667" s="74">
        <f t="shared" si="134"/>
        <v>4.120533944526932E-5</v>
      </c>
      <c r="U1667" s="81">
        <f t="shared" si="135"/>
        <v>2.5255405580054124E-2</v>
      </c>
      <c r="W1667" s="80">
        <v>0.97474459441994588</v>
      </c>
    </row>
    <row r="1668" spans="2:23" x14ac:dyDescent="0.3">
      <c r="B1668">
        <v>81</v>
      </c>
      <c r="C1668">
        <v>2</v>
      </c>
      <c r="D1668">
        <v>260</v>
      </c>
      <c r="R1668" s="73">
        <f t="shared" si="136"/>
        <v>3.6833511738715298E-5</v>
      </c>
      <c r="S1668" s="74">
        <f t="shared" si="134"/>
        <v>3.7787859455259967E-5</v>
      </c>
      <c r="U1668" s="81">
        <f t="shared" si="135"/>
        <v>2.599207581482843E-2</v>
      </c>
      <c r="W1668" s="80">
        <v>0.97400792418517157</v>
      </c>
    </row>
    <row r="1669" spans="2:23" x14ac:dyDescent="0.3">
      <c r="B1669">
        <v>81</v>
      </c>
      <c r="C1669">
        <v>2</v>
      </c>
      <c r="D1669">
        <v>280</v>
      </c>
      <c r="R1669" s="73">
        <f t="shared" si="136"/>
        <v>3.3979188201210822E-5</v>
      </c>
      <c r="S1669" s="74">
        <f t="shared" si="134"/>
        <v>3.4885946363975306E-5</v>
      </c>
      <c r="U1669" s="81">
        <f t="shared" si="135"/>
        <v>2.6671659578852647E-2</v>
      </c>
      <c r="W1669" s="80">
        <v>0.97332834042114735</v>
      </c>
    </row>
    <row r="1670" spans="2:23" x14ac:dyDescent="0.3">
      <c r="B1670">
        <v>81</v>
      </c>
      <c r="C1670">
        <v>2</v>
      </c>
      <c r="D1670">
        <v>300</v>
      </c>
      <c r="R1670" s="73">
        <f t="shared" si="136"/>
        <v>3.1527663374869561E-5</v>
      </c>
      <c r="S1670" s="74">
        <f t="shared" si="134"/>
        <v>3.2391601133516698E-5</v>
      </c>
      <c r="U1670" s="81">
        <f t="shared" si="135"/>
        <v>2.7302212846350038E-2</v>
      </c>
      <c r="W1670" s="80">
        <v>0.97269778715364996</v>
      </c>
    </row>
    <row r="1671" spans="2:23" x14ac:dyDescent="0.3">
      <c r="B1671">
        <v>81</v>
      </c>
      <c r="C1671">
        <v>2</v>
      </c>
      <c r="D1671">
        <v>320</v>
      </c>
      <c r="R1671" s="73">
        <f t="shared" si="136"/>
        <v>2.9399756892162231E-5</v>
      </c>
      <c r="S1671" s="74">
        <f t="shared" si="134"/>
        <v>3.0224965328843879E-5</v>
      </c>
      <c r="U1671" s="81">
        <f t="shared" si="135"/>
        <v>2.7890207984193283E-2</v>
      </c>
      <c r="W1671" s="80">
        <v>0.97210979201580672</v>
      </c>
    </row>
    <row r="1672" spans="2:23" x14ac:dyDescent="0.3">
      <c r="B1672">
        <v>81</v>
      </c>
      <c r="C1672">
        <v>2</v>
      </c>
      <c r="D1672">
        <v>340</v>
      </c>
      <c r="R1672" s="73">
        <f t="shared" si="136"/>
        <v>2.7535714332166396E-5</v>
      </c>
      <c r="S1672" s="74">
        <f t="shared" si="134"/>
        <v>2.832572468493215E-5</v>
      </c>
      <c r="U1672" s="81">
        <f t="shared" si="135"/>
        <v>2.8440922270836611E-2</v>
      </c>
      <c r="W1672" s="80">
        <v>0.97155907772916339</v>
      </c>
    </row>
    <row r="1673" spans="2:23" x14ac:dyDescent="0.3">
      <c r="B1673">
        <v>81</v>
      </c>
      <c r="C1673">
        <v>2</v>
      </c>
      <c r="D1673">
        <v>360</v>
      </c>
      <c r="R1673" s="73">
        <f t="shared" si="136"/>
        <v>2.5889601929784956E-5</v>
      </c>
      <c r="S1673" s="74">
        <f t="shared" si="134"/>
        <v>2.6647480861685767E-5</v>
      </c>
      <c r="U1673" s="81">
        <f t="shared" si="135"/>
        <v>2.895871430943231E-2</v>
      </c>
      <c r="W1673" s="80">
        <v>0.97104128569056769</v>
      </c>
    </row>
    <row r="1674" spans="2:23" x14ac:dyDescent="0.3">
      <c r="B1674">
        <v>81</v>
      </c>
      <c r="C1674">
        <v>2</v>
      </c>
      <c r="D1674">
        <v>380</v>
      </c>
      <c r="R1674" s="73">
        <f t="shared" si="136"/>
        <v>2.4425534760347255E-5</v>
      </c>
      <c r="S1674" s="74">
        <f t="shared" si="134"/>
        <v>2.5153961134594545E-5</v>
      </c>
      <c r="U1674" s="81">
        <f t="shared" si="135"/>
        <v>2.9447225004639255E-2</v>
      </c>
      <c r="W1674" s="80">
        <v>0.97055277499536075</v>
      </c>
    </row>
    <row r="1675" spans="2:23" x14ac:dyDescent="0.3">
      <c r="B1675">
        <v>82</v>
      </c>
      <c r="C1675">
        <v>2</v>
      </c>
      <c r="D1675">
        <v>0</v>
      </c>
      <c r="R1675" s="73">
        <f t="shared" si="136"/>
        <v>0</v>
      </c>
      <c r="S1675" s="74">
        <f t="shared" ref="S1675:S1738" si="137">IF(D1675&gt;D1674,(U1675-U1674)/W1674/(D1675-D1674),0)</f>
        <v>0</v>
      </c>
      <c r="U1675" s="81">
        <f t="shared" ref="U1675:U1738" si="138">100%-W1675</f>
        <v>0</v>
      </c>
      <c r="W1675" s="80">
        <v>1</v>
      </c>
    </row>
    <row r="1676" spans="2:23" x14ac:dyDescent="0.3">
      <c r="B1676">
        <v>82</v>
      </c>
      <c r="C1676">
        <v>2</v>
      </c>
      <c r="D1676">
        <v>20</v>
      </c>
      <c r="R1676" s="73">
        <f t="shared" si="136"/>
        <v>1.2087035356093124E-4</v>
      </c>
      <c r="S1676" s="74">
        <f t="shared" si="137"/>
        <v>1.2087035356093124E-4</v>
      </c>
      <c r="U1676" s="81">
        <f t="shared" si="138"/>
        <v>2.4174070712186246E-3</v>
      </c>
      <c r="W1676" s="80">
        <v>0.99758259292878138</v>
      </c>
    </row>
    <row r="1677" spans="2:23" x14ac:dyDescent="0.3">
      <c r="B1677">
        <v>82</v>
      </c>
      <c r="C1677">
        <v>2</v>
      </c>
      <c r="D1677">
        <v>40</v>
      </c>
      <c r="R1677" s="73">
        <f t="shared" si="136"/>
        <v>5.5359755551787072E-5</v>
      </c>
      <c r="S1677" s="74">
        <f t="shared" si="137"/>
        <v>5.5493906914772385E-5</v>
      </c>
      <c r="U1677" s="81">
        <f t="shared" si="138"/>
        <v>3.5246021822543661E-3</v>
      </c>
      <c r="W1677" s="80">
        <v>0.99647539781774563</v>
      </c>
    </row>
    <row r="1678" spans="2:23" x14ac:dyDescent="0.3">
      <c r="B1678">
        <v>82</v>
      </c>
      <c r="C1678">
        <v>2</v>
      </c>
      <c r="D1678">
        <v>60</v>
      </c>
      <c r="R1678" s="73">
        <f t="shared" si="136"/>
        <v>4.3491997915945381E-5</v>
      </c>
      <c r="S1678" s="74">
        <f t="shared" si="137"/>
        <v>4.3645832111050298E-5</v>
      </c>
      <c r="U1678" s="81">
        <f t="shared" si="138"/>
        <v>4.3944421405732736E-3</v>
      </c>
      <c r="W1678" s="80">
        <v>0.99560555785942673</v>
      </c>
    </row>
    <row r="1679" spans="2:23" x14ac:dyDescent="0.3">
      <c r="B1679">
        <v>82</v>
      </c>
      <c r="C1679">
        <v>2</v>
      </c>
      <c r="D1679">
        <v>80</v>
      </c>
      <c r="R1679" s="73">
        <f t="shared" si="136"/>
        <v>3.7223044887541024E-5</v>
      </c>
      <c r="S1679" s="74">
        <f t="shared" si="137"/>
        <v>3.7387341396096031E-5</v>
      </c>
      <c r="U1679" s="81">
        <f t="shared" si="138"/>
        <v>5.1389030383240941E-3</v>
      </c>
      <c r="W1679" s="80">
        <v>0.99486109696167591</v>
      </c>
    </row>
    <row r="1680" spans="2:23" x14ac:dyDescent="0.3">
      <c r="B1680">
        <v>82</v>
      </c>
      <c r="C1680">
        <v>2</v>
      </c>
      <c r="D1680">
        <v>100</v>
      </c>
      <c r="R1680" s="73">
        <f t="shared" si="136"/>
        <v>3.3162694303479068E-5</v>
      </c>
      <c r="S1680" s="74">
        <f t="shared" si="137"/>
        <v>3.3333994468934956E-5</v>
      </c>
      <c r="U1680" s="81">
        <f t="shared" si="138"/>
        <v>5.8021569243936755E-3</v>
      </c>
      <c r="W1680" s="80">
        <v>0.99419784307560632</v>
      </c>
    </row>
    <row r="1681" spans="2:23" x14ac:dyDescent="0.3">
      <c r="B1681">
        <v>82</v>
      </c>
      <c r="C1681">
        <v>2</v>
      </c>
      <c r="D1681">
        <v>120</v>
      </c>
      <c r="R1681" s="73">
        <f t="shared" si="136"/>
        <v>3.0249046561453553E-5</v>
      </c>
      <c r="S1681" s="74">
        <f t="shared" si="137"/>
        <v>3.0425580554345646E-5</v>
      </c>
      <c r="U1681" s="81">
        <f t="shared" si="138"/>
        <v>6.4071378556227465E-3</v>
      </c>
      <c r="W1681" s="80">
        <v>0.99359286214437725</v>
      </c>
    </row>
    <row r="1682" spans="2:23" x14ac:dyDescent="0.3">
      <c r="B1682">
        <v>82</v>
      </c>
      <c r="C1682">
        <v>2</v>
      </c>
      <c r="D1682">
        <v>140</v>
      </c>
      <c r="R1682" s="73">
        <f t="shared" si="136"/>
        <v>2.8023036162500016E-5</v>
      </c>
      <c r="S1682" s="74">
        <f t="shared" si="137"/>
        <v>2.820374142183404E-5</v>
      </c>
      <c r="U1682" s="81">
        <f t="shared" si="138"/>
        <v>6.9675985788727468E-3</v>
      </c>
      <c r="W1682" s="80">
        <v>0.99303240142112725</v>
      </c>
    </row>
    <row r="1683" spans="2:23" x14ac:dyDescent="0.3">
      <c r="B1683">
        <v>82</v>
      </c>
      <c r="C1683">
        <v>2</v>
      </c>
      <c r="D1683">
        <v>160</v>
      </c>
      <c r="R1683" s="73">
        <f t="shared" si="136"/>
        <v>2.6248512391646717E-5</v>
      </c>
      <c r="S1683" s="74">
        <f t="shared" si="137"/>
        <v>2.6432684728194677E-5</v>
      </c>
      <c r="U1683" s="81">
        <f t="shared" si="138"/>
        <v>7.4925688267056811E-3</v>
      </c>
      <c r="W1683" s="80">
        <v>0.99250743117329432</v>
      </c>
    </row>
    <row r="1684" spans="2:23" x14ac:dyDescent="0.3">
      <c r="B1684">
        <v>82</v>
      </c>
      <c r="C1684">
        <v>2</v>
      </c>
      <c r="D1684">
        <v>180</v>
      </c>
      <c r="R1684" s="73">
        <f t="shared" si="136"/>
        <v>2.4789636752647892E-5</v>
      </c>
      <c r="S1684" s="74">
        <f t="shared" si="137"/>
        <v>2.4976776973188783E-5</v>
      </c>
      <c r="U1684" s="81">
        <f t="shared" si="138"/>
        <v>7.988361561758639E-3</v>
      </c>
      <c r="W1684" s="80">
        <v>0.99201163843824136</v>
      </c>
    </row>
    <row r="1685" spans="2:23" x14ac:dyDescent="0.3">
      <c r="B1685">
        <v>82</v>
      </c>
      <c r="C1685">
        <v>2</v>
      </c>
      <c r="D1685">
        <v>200</v>
      </c>
      <c r="R1685" s="73">
        <f t="shared" si="136"/>
        <v>2.3561882568634562E-5</v>
      </c>
      <c r="S1685" s="74">
        <f t="shared" si="137"/>
        <v>2.3751619089599454E-5</v>
      </c>
      <c r="U1685" s="81">
        <f t="shared" si="138"/>
        <v>8.4595992131313302E-3</v>
      </c>
      <c r="W1685" s="80">
        <v>0.99154040078686867</v>
      </c>
    </row>
    <row r="1686" spans="2:23" x14ac:dyDescent="0.3">
      <c r="B1686">
        <v>82</v>
      </c>
      <c r="C1686">
        <v>2</v>
      </c>
      <c r="D1686">
        <v>220</v>
      </c>
      <c r="R1686" s="73">
        <f t="shared" si="136"/>
        <v>2.2509478664983763E-5</v>
      </c>
      <c r="S1686" s="74">
        <f t="shared" si="137"/>
        <v>2.2701524463471829E-5</v>
      </c>
      <c r="U1686" s="81">
        <f t="shared" si="138"/>
        <v>8.9097887864310055E-3</v>
      </c>
      <c r="W1686" s="80">
        <v>0.99109021121356899</v>
      </c>
    </row>
    <row r="1687" spans="2:23" x14ac:dyDescent="0.3">
      <c r="B1687">
        <v>82</v>
      </c>
      <c r="C1687">
        <v>2</v>
      </c>
      <c r="D1687">
        <v>240</v>
      </c>
      <c r="R1687" s="73">
        <f t="shared" si="136"/>
        <v>2.1593914921885782E-5</v>
      </c>
      <c r="S1687" s="74">
        <f t="shared" si="137"/>
        <v>2.1788041772145535E-5</v>
      </c>
      <c r="U1687" s="81">
        <f t="shared" si="138"/>
        <v>9.3416670848687211E-3</v>
      </c>
      <c r="W1687" s="80">
        <v>0.99065833291513128</v>
      </c>
    </row>
    <row r="1688" spans="2:23" x14ac:dyDescent="0.3">
      <c r="B1688">
        <v>82</v>
      </c>
      <c r="C1688">
        <v>2</v>
      </c>
      <c r="D1688">
        <v>260</v>
      </c>
      <c r="R1688" s="73">
        <f t="shared" si="136"/>
        <v>2.078761493009007E-5</v>
      </c>
      <c r="S1688" s="74">
        <f t="shared" si="137"/>
        <v>2.0983637081939251E-5</v>
      </c>
      <c r="U1688" s="81">
        <f t="shared" si="138"/>
        <v>9.7574193834705225E-3</v>
      </c>
      <c r="W1688" s="80">
        <v>0.99024258061652948</v>
      </c>
    </row>
    <row r="1689" spans="2:23" x14ac:dyDescent="0.3">
      <c r="B1689">
        <v>82</v>
      </c>
      <c r="C1689">
        <v>2</v>
      </c>
      <c r="D1689">
        <v>280</v>
      </c>
      <c r="R1689" s="73">
        <f t="shared" si="136"/>
        <v>2.0070234617747264E-5</v>
      </c>
      <c r="S1689" s="74">
        <f t="shared" si="137"/>
        <v>2.0267997974043334E-5</v>
      </c>
      <c r="U1689" s="81">
        <f t="shared" si="138"/>
        <v>1.0158824075825468E-2</v>
      </c>
      <c r="W1689" s="80">
        <v>0.98984117592417453</v>
      </c>
    </row>
    <row r="1690" spans="2:23" x14ac:dyDescent="0.3">
      <c r="B1690">
        <v>82</v>
      </c>
      <c r="C1690">
        <v>2</v>
      </c>
      <c r="D1690">
        <v>300</v>
      </c>
      <c r="R1690" s="73">
        <f t="shared" si="136"/>
        <v>1.9426387673598945E-5</v>
      </c>
      <c r="S1690" s="74">
        <f t="shared" si="137"/>
        <v>1.9625762340570763E-5</v>
      </c>
      <c r="U1690" s="81">
        <f t="shared" si="138"/>
        <v>1.0547351829297447E-2</v>
      </c>
      <c r="W1690" s="80">
        <v>0.98945264817070255</v>
      </c>
    </row>
    <row r="1691" spans="2:23" x14ac:dyDescent="0.3">
      <c r="B1691">
        <v>82</v>
      </c>
      <c r="C1691">
        <v>2</v>
      </c>
      <c r="D1691">
        <v>320</v>
      </c>
      <c r="R1691" s="73">
        <f t="shared" si="136"/>
        <v>1.8844189573408164E-5</v>
      </c>
      <c r="S1691" s="74">
        <f t="shared" si="137"/>
        <v>1.9045064570040068E-5</v>
      </c>
      <c r="U1691" s="81">
        <f t="shared" si="138"/>
        <v>1.092423562076561E-2</v>
      </c>
      <c r="W1691" s="80">
        <v>0.98907576437923439</v>
      </c>
    </row>
    <row r="1692" spans="2:23" x14ac:dyDescent="0.3">
      <c r="B1692">
        <v>82</v>
      </c>
      <c r="C1692">
        <v>2</v>
      </c>
      <c r="D1692">
        <v>340</v>
      </c>
      <c r="R1692" s="73">
        <f t="shared" si="136"/>
        <v>1.8314293016069573E-5</v>
      </c>
      <c r="S1692" s="74">
        <f t="shared" si="137"/>
        <v>1.8516572416031265E-5</v>
      </c>
      <c r="U1692" s="81">
        <f t="shared" si="138"/>
        <v>1.1290521481087001E-2</v>
      </c>
      <c r="W1692" s="80">
        <v>0.988709478518913</v>
      </c>
    </row>
    <row r="1693" spans="2:23" x14ac:dyDescent="0.3">
      <c r="B1693">
        <v>82</v>
      </c>
      <c r="C1693">
        <v>2</v>
      </c>
      <c r="D1693">
        <v>360</v>
      </c>
      <c r="R1693" s="73">
        <f t="shared" si="136"/>
        <v>1.7829229866750395E-5</v>
      </c>
      <c r="S1693" s="74">
        <f t="shared" si="137"/>
        <v>1.8032829920330676E-5</v>
      </c>
      <c r="U1693" s="81">
        <f t="shared" si="138"/>
        <v>1.1647106078422009E-2</v>
      </c>
      <c r="W1693" s="80">
        <v>0.98835289392157799</v>
      </c>
    </row>
    <row r="1694" spans="2:23" x14ac:dyDescent="0.3">
      <c r="B1694">
        <v>82</v>
      </c>
      <c r="C1694">
        <v>2</v>
      </c>
      <c r="D1694">
        <v>380</v>
      </c>
      <c r="R1694" s="73">
        <f t="shared" si="136"/>
        <v>1.7382950658556552E-5</v>
      </c>
      <c r="S1694" s="74">
        <f t="shared" si="137"/>
        <v>1.7587797602923618E-5</v>
      </c>
      <c r="U1694" s="81">
        <f t="shared" si="138"/>
        <v>1.199476509159314E-2</v>
      </c>
      <c r="W1694" s="80">
        <v>0.98800523490840686</v>
      </c>
    </row>
    <row r="1695" spans="2:23" x14ac:dyDescent="0.3">
      <c r="B1695">
        <v>83</v>
      </c>
      <c r="C1695">
        <v>2</v>
      </c>
      <c r="D1695">
        <v>0</v>
      </c>
      <c r="R1695" s="73">
        <f t="shared" si="136"/>
        <v>0</v>
      </c>
      <c r="S1695" s="74">
        <f t="shared" si="137"/>
        <v>0</v>
      </c>
      <c r="U1695" s="81">
        <f t="shared" si="138"/>
        <v>0</v>
      </c>
      <c r="W1695" s="80">
        <v>1</v>
      </c>
    </row>
    <row r="1696" spans="2:23" x14ac:dyDescent="0.3">
      <c r="B1696">
        <v>83</v>
      </c>
      <c r="C1696">
        <v>2</v>
      </c>
      <c r="D1696">
        <v>20</v>
      </c>
      <c r="R1696" s="73">
        <f t="shared" si="136"/>
        <v>1.3845392380577582E-4</v>
      </c>
      <c r="S1696" s="74">
        <f t="shared" si="137"/>
        <v>1.3845392380577582E-4</v>
      </c>
      <c r="U1696" s="81">
        <f t="shared" si="138"/>
        <v>2.7690784761155163E-3</v>
      </c>
      <c r="W1696" s="80">
        <v>0.99723092152388448</v>
      </c>
    </row>
    <row r="1697" spans="2:23" x14ac:dyDescent="0.3">
      <c r="B1697">
        <v>83</v>
      </c>
      <c r="C1697">
        <v>2</v>
      </c>
      <c r="D1697">
        <v>40</v>
      </c>
      <c r="R1697" s="73">
        <f t="shared" si="136"/>
        <v>5.235897378887966E-5</v>
      </c>
      <c r="S1697" s="74">
        <f t="shared" si="137"/>
        <v>5.2504362488949973E-5</v>
      </c>
      <c r="U1697" s="81">
        <f t="shared" si="138"/>
        <v>3.8162579518931095E-3</v>
      </c>
      <c r="W1697" s="80">
        <v>0.99618374204810689</v>
      </c>
    </row>
    <row r="1698" spans="2:23" x14ac:dyDescent="0.3">
      <c r="B1698">
        <v>83</v>
      </c>
      <c r="C1698">
        <v>2</v>
      </c>
      <c r="D1698">
        <v>60</v>
      </c>
      <c r="R1698" s="73">
        <f t="shared" si="136"/>
        <v>3.9398877971041915E-5</v>
      </c>
      <c r="S1698" s="74">
        <f t="shared" si="137"/>
        <v>3.9549810248900143E-5</v>
      </c>
      <c r="U1698" s="81">
        <f t="shared" si="138"/>
        <v>4.6042355113139477E-3</v>
      </c>
      <c r="W1698" s="80">
        <v>0.99539576448868605</v>
      </c>
    </row>
    <row r="1699" spans="2:23" x14ac:dyDescent="0.3">
      <c r="B1699">
        <v>83</v>
      </c>
      <c r="C1699">
        <v>2</v>
      </c>
      <c r="D1699">
        <v>80</v>
      </c>
      <c r="R1699" s="73">
        <f t="shared" si="136"/>
        <v>3.2803860331981347E-5</v>
      </c>
      <c r="S1699" s="74">
        <f t="shared" si="137"/>
        <v>3.2955595655796272E-5</v>
      </c>
      <c r="U1699" s="81">
        <f t="shared" si="138"/>
        <v>5.2603127179535747E-3</v>
      </c>
      <c r="W1699" s="80">
        <v>0.99473968728204643</v>
      </c>
    </row>
    <row r="1700" spans="2:23" x14ac:dyDescent="0.3">
      <c r="B1700">
        <v>83</v>
      </c>
      <c r="C1700">
        <v>2</v>
      </c>
      <c r="D1700">
        <v>100</v>
      </c>
      <c r="R1700" s="73">
        <f t="shared" si="136"/>
        <v>2.863646161311295E-5</v>
      </c>
      <c r="S1700" s="74">
        <f t="shared" si="137"/>
        <v>2.8787894943004754E-5</v>
      </c>
      <c r="U1700" s="81">
        <f t="shared" si="138"/>
        <v>5.8330419502158337E-3</v>
      </c>
      <c r="W1700" s="80">
        <v>0.99416695804978417</v>
      </c>
    </row>
    <row r="1701" spans="2:23" x14ac:dyDescent="0.3">
      <c r="B1701">
        <v>83</v>
      </c>
      <c r="C1701">
        <v>2</v>
      </c>
      <c r="D1701">
        <v>120</v>
      </c>
      <c r="R1701" s="73">
        <f t="shared" si="136"/>
        <v>2.5701269542166561E-5</v>
      </c>
      <c r="S1701" s="74">
        <f t="shared" si="137"/>
        <v>2.5852065726046326E-5</v>
      </c>
      <c r="U1701" s="81">
        <f t="shared" si="138"/>
        <v>6.3470673410591649E-3</v>
      </c>
      <c r="W1701" s="80">
        <v>0.99365293265894084</v>
      </c>
    </row>
    <row r="1702" spans="2:23" x14ac:dyDescent="0.3">
      <c r="B1702">
        <v>83</v>
      </c>
      <c r="C1702">
        <v>2</v>
      </c>
      <c r="D1702">
        <v>140</v>
      </c>
      <c r="R1702" s="73">
        <f t="shared" si="136"/>
        <v>2.3492295231136716E-5</v>
      </c>
      <c r="S1702" s="74">
        <f t="shared" si="137"/>
        <v>2.3642354849467503E-5</v>
      </c>
      <c r="U1702" s="81">
        <f t="shared" si="138"/>
        <v>6.8169132456818993E-3</v>
      </c>
      <c r="W1702" s="80">
        <v>0.9931830867543181</v>
      </c>
    </row>
    <row r="1703" spans="2:23" x14ac:dyDescent="0.3">
      <c r="B1703">
        <v>83</v>
      </c>
      <c r="C1703">
        <v>2</v>
      </c>
      <c r="D1703">
        <v>160</v>
      </c>
      <c r="R1703" s="73">
        <f t="shared" si="136"/>
        <v>2.1753454858514098E-5</v>
      </c>
      <c r="S1703" s="74">
        <f t="shared" si="137"/>
        <v>2.1902764101232839E-5</v>
      </c>
      <c r="U1703" s="81">
        <f t="shared" si="138"/>
        <v>7.2519823428521812E-3</v>
      </c>
      <c r="W1703" s="80">
        <v>0.99274801765714782</v>
      </c>
    </row>
    <row r="1704" spans="2:23" x14ac:dyDescent="0.3">
      <c r="B1704">
        <v>83</v>
      </c>
      <c r="C1704">
        <v>2</v>
      </c>
      <c r="D1704">
        <v>180</v>
      </c>
      <c r="R1704" s="73">
        <f t="shared" si="136"/>
        <v>2.0339398613189453E-5</v>
      </c>
      <c r="S1704" s="74">
        <f t="shared" si="137"/>
        <v>2.0487977061077145E-5</v>
      </c>
      <c r="U1704" s="81">
        <f t="shared" si="138"/>
        <v>7.6587703151159703E-3</v>
      </c>
      <c r="W1704" s="80">
        <v>0.99234122968488403</v>
      </c>
    </row>
    <row r="1705" spans="2:23" x14ac:dyDescent="0.3">
      <c r="B1705">
        <v>83</v>
      </c>
      <c r="C1705">
        <v>2</v>
      </c>
      <c r="D1705">
        <v>200</v>
      </c>
      <c r="R1705" s="73">
        <f t="shared" si="136"/>
        <v>1.9160703016152247E-5</v>
      </c>
      <c r="S1705" s="74">
        <f t="shared" si="137"/>
        <v>1.930858301860207E-5</v>
      </c>
      <c r="U1705" s="81">
        <f t="shared" si="138"/>
        <v>8.0419843754390152E-3</v>
      </c>
      <c r="W1705" s="80">
        <v>0.99195801562456098</v>
      </c>
    </row>
    <row r="1706" spans="2:23" x14ac:dyDescent="0.3">
      <c r="B1706">
        <v>83</v>
      </c>
      <c r="C1706">
        <v>2</v>
      </c>
      <c r="D1706">
        <v>220</v>
      </c>
      <c r="R1706" s="73">
        <f t="shared" si="136"/>
        <v>1.8158947238106073E-5</v>
      </c>
      <c r="S1706" s="74">
        <f t="shared" si="137"/>
        <v>1.8306165132072405E-5</v>
      </c>
      <c r="U1706" s="81">
        <f t="shared" si="138"/>
        <v>8.4051633202011367E-3</v>
      </c>
      <c r="W1706" s="80">
        <v>0.99159483667979886</v>
      </c>
    </row>
    <row r="1707" spans="2:23" x14ac:dyDescent="0.3">
      <c r="B1707">
        <v>83</v>
      </c>
      <c r="C1707">
        <v>2</v>
      </c>
      <c r="D1707">
        <v>240</v>
      </c>
      <c r="R1707" s="73">
        <f t="shared" si="136"/>
        <v>1.7294144301255309E-5</v>
      </c>
      <c r="S1707" s="74">
        <f t="shared" si="137"/>
        <v>1.744073654030114E-5</v>
      </c>
      <c r="U1707" s="81">
        <f t="shared" si="138"/>
        <v>8.7510462062262429E-3</v>
      </c>
      <c r="W1707" s="80">
        <v>0.99124895379377376</v>
      </c>
    </row>
    <row r="1708" spans="2:23" x14ac:dyDescent="0.3">
      <c r="B1708">
        <v>83</v>
      </c>
      <c r="C1708">
        <v>2</v>
      </c>
      <c r="D1708">
        <v>260</v>
      </c>
      <c r="R1708" s="73">
        <f t="shared" si="136"/>
        <v>1.6537885459705359E-5</v>
      </c>
      <c r="S1708" s="74">
        <f t="shared" si="137"/>
        <v>1.668388692508624E-5</v>
      </c>
      <c r="U1708" s="81">
        <f t="shared" si="138"/>
        <v>9.08180391542035E-3</v>
      </c>
      <c r="W1708" s="80">
        <v>0.99091819608457965</v>
      </c>
    </row>
    <row r="1709" spans="2:23" x14ac:dyDescent="0.3">
      <c r="B1709">
        <v>83</v>
      </c>
      <c r="C1709">
        <v>2</v>
      </c>
      <c r="D1709">
        <v>280</v>
      </c>
      <c r="R1709" s="73">
        <f t="shared" ref="R1709:R1772" si="139">IF(D1709&gt;D1708,(U1709-U1708)/1/(D1709-D1708),0)</f>
        <v>1.586936244909465E-5</v>
      </c>
      <c r="S1709" s="74">
        <f t="shared" si="137"/>
        <v>1.6014805774885701E-5</v>
      </c>
      <c r="U1709" s="81">
        <f t="shared" si="138"/>
        <v>9.399191164402243E-3</v>
      </c>
      <c r="W1709" s="80">
        <v>0.99060080883559776</v>
      </c>
    </row>
    <row r="1710" spans="2:23" x14ac:dyDescent="0.3">
      <c r="B1710">
        <v>83</v>
      </c>
      <c r="C1710">
        <v>2</v>
      </c>
      <c r="D1710">
        <v>300</v>
      </c>
      <c r="R1710" s="73">
        <f t="shared" si="139"/>
        <v>1.5272941059063516E-5</v>
      </c>
      <c r="S1710" s="74">
        <f t="shared" si="137"/>
        <v>1.5417856439079738E-5</v>
      </c>
      <c r="U1710" s="81">
        <f t="shared" si="138"/>
        <v>9.7046499855835133E-3</v>
      </c>
      <c r="W1710" s="80">
        <v>0.99029535001441649</v>
      </c>
    </row>
    <row r="1711" spans="2:23" x14ac:dyDescent="0.3">
      <c r="B1711">
        <v>83</v>
      </c>
      <c r="C1711">
        <v>2</v>
      </c>
      <c r="D1711">
        <v>320</v>
      </c>
      <c r="R1711" s="73">
        <f t="shared" si="139"/>
        <v>1.4736618394395328E-5</v>
      </c>
      <c r="S1711" s="74">
        <f t="shared" si="137"/>
        <v>1.4881033617072722E-5</v>
      </c>
      <c r="U1711" s="81">
        <f t="shared" si="138"/>
        <v>9.9993823534714199E-3</v>
      </c>
      <c r="W1711" s="80">
        <v>0.99000061764652858</v>
      </c>
    </row>
    <row r="1712" spans="2:23" x14ac:dyDescent="0.3">
      <c r="B1712">
        <v>83</v>
      </c>
      <c r="C1712">
        <v>2</v>
      </c>
      <c r="D1712">
        <v>340</v>
      </c>
      <c r="R1712" s="73">
        <f t="shared" si="139"/>
        <v>1.4251007150251072E-5</v>
      </c>
      <c r="S1712" s="74">
        <f t="shared" si="137"/>
        <v>1.4394947736627853E-5</v>
      </c>
      <c r="U1712" s="81">
        <f t="shared" si="138"/>
        <v>1.0284402496476441E-2</v>
      </c>
      <c r="W1712" s="80">
        <v>0.98971559750352356</v>
      </c>
    </row>
    <row r="1713" spans="2:23" x14ac:dyDescent="0.3">
      <c r="B1713">
        <v>83</v>
      </c>
      <c r="C1713">
        <v>2</v>
      </c>
      <c r="D1713">
        <v>360</v>
      </c>
      <c r="R1713" s="73">
        <f t="shared" si="139"/>
        <v>1.3808646622337495E-5</v>
      </c>
      <c r="S1713" s="74">
        <f t="shared" si="137"/>
        <v>1.3952136004695363E-5</v>
      </c>
      <c r="U1713" s="81">
        <f t="shared" si="138"/>
        <v>1.0560575428923191E-2</v>
      </c>
      <c r="W1713" s="80">
        <v>0.98943942457107681</v>
      </c>
    </row>
    <row r="1714" spans="2:23" x14ac:dyDescent="0.3">
      <c r="B1714">
        <v>83</v>
      </c>
      <c r="C1714">
        <v>2</v>
      </c>
      <c r="D1714">
        <v>380</v>
      </c>
      <c r="R1714" s="73">
        <f t="shared" si="139"/>
        <v>1.3403523136334972E-5</v>
      </c>
      <c r="S1714" s="74">
        <f t="shared" si="137"/>
        <v>1.3546582846287346E-5</v>
      </c>
      <c r="U1714" s="81">
        <f t="shared" si="138"/>
        <v>1.0828645891649891E-2</v>
      </c>
      <c r="W1714" s="80">
        <v>0.98917135410835011</v>
      </c>
    </row>
    <row r="1715" spans="2:23" x14ac:dyDescent="0.3">
      <c r="B1715">
        <v>84</v>
      </c>
      <c r="C1715">
        <v>2</v>
      </c>
      <c r="D1715">
        <v>0</v>
      </c>
      <c r="R1715" s="73">
        <f t="shared" si="139"/>
        <v>0</v>
      </c>
      <c r="S1715" s="74">
        <f t="shared" si="137"/>
        <v>0</v>
      </c>
      <c r="U1715" s="81">
        <f t="shared" si="138"/>
        <v>0</v>
      </c>
      <c r="W1715" s="80">
        <v>1</v>
      </c>
    </row>
    <row r="1716" spans="2:23" x14ac:dyDescent="0.3">
      <c r="B1716">
        <v>84</v>
      </c>
      <c r="C1716">
        <v>2</v>
      </c>
      <c r="D1716">
        <v>20</v>
      </c>
      <c r="R1716" s="73">
        <f t="shared" si="139"/>
        <v>1.4152945966687259E-4</v>
      </c>
      <c r="S1716" s="74">
        <f t="shared" si="137"/>
        <v>1.4152945966687259E-4</v>
      </c>
      <c r="U1716" s="81">
        <f t="shared" si="138"/>
        <v>2.8305891933374516E-3</v>
      </c>
      <c r="W1716" s="80">
        <v>0.99716941080666255</v>
      </c>
    </row>
    <row r="1717" spans="2:23" x14ac:dyDescent="0.3">
      <c r="B1717">
        <v>84</v>
      </c>
      <c r="C1717">
        <v>2</v>
      </c>
      <c r="D1717">
        <v>40</v>
      </c>
      <c r="R1717" s="73">
        <f t="shared" si="139"/>
        <v>5.0254041302782995E-5</v>
      </c>
      <c r="S1717" s="74">
        <f t="shared" si="137"/>
        <v>5.0396693639177986E-5</v>
      </c>
      <c r="U1717" s="81">
        <f t="shared" si="138"/>
        <v>3.8356700193931115E-3</v>
      </c>
      <c r="W1717" s="80">
        <v>0.99616432998060689</v>
      </c>
    </row>
    <row r="1718" spans="2:23" x14ac:dyDescent="0.3">
      <c r="B1718">
        <v>84</v>
      </c>
      <c r="C1718">
        <v>2</v>
      </c>
      <c r="D1718">
        <v>60</v>
      </c>
      <c r="R1718" s="73">
        <f t="shared" si="139"/>
        <v>3.7341923124506462E-5</v>
      </c>
      <c r="S1718" s="74">
        <f t="shared" si="137"/>
        <v>3.7485705922870598E-5</v>
      </c>
      <c r="U1718" s="81">
        <f t="shared" si="138"/>
        <v>4.5825084818832407E-3</v>
      </c>
      <c r="W1718" s="80">
        <v>0.99541749151811676</v>
      </c>
    </row>
    <row r="1719" spans="2:23" x14ac:dyDescent="0.3">
      <c r="B1719">
        <v>84</v>
      </c>
      <c r="C1719">
        <v>2</v>
      </c>
      <c r="D1719">
        <v>80</v>
      </c>
      <c r="R1719" s="73">
        <f t="shared" si="139"/>
        <v>3.0843775221600647E-5</v>
      </c>
      <c r="S1719" s="74">
        <f t="shared" si="137"/>
        <v>3.0985767765202348E-5</v>
      </c>
      <c r="U1719" s="81">
        <f t="shared" si="138"/>
        <v>5.1993839863152536E-3</v>
      </c>
      <c r="W1719" s="80">
        <v>0.99480061601368475</v>
      </c>
    </row>
    <row r="1720" spans="2:23" x14ac:dyDescent="0.3">
      <c r="B1720">
        <v>84</v>
      </c>
      <c r="C1720">
        <v>2</v>
      </c>
      <c r="D1720">
        <v>100</v>
      </c>
      <c r="R1720" s="73">
        <f t="shared" si="139"/>
        <v>2.6767384582510047E-5</v>
      </c>
      <c r="S1720" s="74">
        <f t="shared" si="137"/>
        <v>2.6907285893902002E-5</v>
      </c>
      <c r="U1720" s="81">
        <f t="shared" si="138"/>
        <v>5.7347316779654545E-3</v>
      </c>
      <c r="W1720" s="80">
        <v>0.99426526832203455</v>
      </c>
    </row>
    <row r="1721" spans="2:23" x14ac:dyDescent="0.3">
      <c r="B1721">
        <v>84</v>
      </c>
      <c r="C1721">
        <v>2</v>
      </c>
      <c r="D1721">
        <v>120</v>
      </c>
      <c r="R1721" s="73">
        <f t="shared" si="139"/>
        <v>2.3911995132752662E-5</v>
      </c>
      <c r="S1721" s="74">
        <f t="shared" si="137"/>
        <v>2.40499149418219E-5</v>
      </c>
      <c r="U1721" s="81">
        <f t="shared" si="138"/>
        <v>6.2129715806205077E-3</v>
      </c>
      <c r="W1721" s="80">
        <v>0.99378702841937949</v>
      </c>
    </row>
    <row r="1722" spans="2:23" x14ac:dyDescent="0.3">
      <c r="B1722">
        <v>84</v>
      </c>
      <c r="C1722">
        <v>2</v>
      </c>
      <c r="D1722">
        <v>140</v>
      </c>
      <c r="R1722" s="73">
        <f t="shared" si="139"/>
        <v>2.1772541000841806E-5</v>
      </c>
      <c r="S1722" s="74">
        <f t="shared" si="137"/>
        <v>2.1908658875806701E-5</v>
      </c>
      <c r="U1722" s="81">
        <f t="shared" si="138"/>
        <v>6.6484224006373438E-3</v>
      </c>
      <c r="W1722" s="80">
        <v>0.99335157759936266</v>
      </c>
    </row>
    <row r="1723" spans="2:23" x14ac:dyDescent="0.3">
      <c r="B1723">
        <v>84</v>
      </c>
      <c r="C1723">
        <v>2</v>
      </c>
      <c r="D1723">
        <v>160</v>
      </c>
      <c r="R1723" s="73">
        <f t="shared" si="139"/>
        <v>2.0094638083284487E-5</v>
      </c>
      <c r="S1723" s="74">
        <f t="shared" si="137"/>
        <v>2.0229129883547669E-5</v>
      </c>
      <c r="U1723" s="81">
        <f t="shared" si="138"/>
        <v>7.0503151623030336E-3</v>
      </c>
      <c r="W1723" s="80">
        <v>0.99294968483769697</v>
      </c>
    </row>
    <row r="1724" spans="2:23" x14ac:dyDescent="0.3">
      <c r="B1724">
        <v>84</v>
      </c>
      <c r="C1724">
        <v>2</v>
      </c>
      <c r="D1724">
        <v>180</v>
      </c>
      <c r="R1724" s="73">
        <f t="shared" si="139"/>
        <v>1.8734471175552158E-5</v>
      </c>
      <c r="S1724" s="74">
        <f t="shared" si="137"/>
        <v>1.8867492947152109E-5</v>
      </c>
      <c r="U1724" s="81">
        <f t="shared" si="138"/>
        <v>7.4250045858140767E-3</v>
      </c>
      <c r="W1724" s="80">
        <v>0.99257499541418592</v>
      </c>
    </row>
    <row r="1725" spans="2:23" x14ac:dyDescent="0.3">
      <c r="B1725">
        <v>84</v>
      </c>
      <c r="C1725">
        <v>2</v>
      </c>
      <c r="D1725">
        <v>200</v>
      </c>
      <c r="R1725" s="73">
        <f t="shared" si="139"/>
        <v>1.7603857455306127E-5</v>
      </c>
      <c r="S1725" s="74">
        <f t="shared" si="137"/>
        <v>1.7735543950470277E-5</v>
      </c>
      <c r="U1725" s="81">
        <f t="shared" si="138"/>
        <v>7.7770817349201993E-3</v>
      </c>
      <c r="W1725" s="80">
        <v>0.9922229182650798</v>
      </c>
    </row>
    <row r="1726" spans="2:23" x14ac:dyDescent="0.3">
      <c r="B1726">
        <v>84</v>
      </c>
      <c r="C1726">
        <v>2</v>
      </c>
      <c r="D1726">
        <v>220</v>
      </c>
      <c r="R1726" s="73">
        <f t="shared" si="139"/>
        <v>1.6645354650990372E-5</v>
      </c>
      <c r="S1726" s="74">
        <f t="shared" si="137"/>
        <v>1.6775821586640112E-5</v>
      </c>
      <c r="U1726" s="81">
        <f t="shared" si="138"/>
        <v>8.1099888279400068E-3</v>
      </c>
      <c r="W1726" s="80">
        <v>0.99189001117205999</v>
      </c>
    </row>
    <row r="1727" spans="2:23" x14ac:dyDescent="0.3">
      <c r="B1727">
        <v>84</v>
      </c>
      <c r="C1727">
        <v>2</v>
      </c>
      <c r="D1727">
        <v>240</v>
      </c>
      <c r="R1727" s="73">
        <f t="shared" si="139"/>
        <v>1.5819747175011002E-5</v>
      </c>
      <c r="S1727" s="74">
        <f t="shared" si="137"/>
        <v>1.5949094150386397E-5</v>
      </c>
      <c r="U1727" s="81">
        <f t="shared" si="138"/>
        <v>8.4263837714402268E-3</v>
      </c>
      <c r="W1727" s="80">
        <v>0.99157361622855977</v>
      </c>
    </row>
    <row r="1728" spans="2:23" x14ac:dyDescent="0.3">
      <c r="B1728">
        <v>84</v>
      </c>
      <c r="C1728">
        <v>2</v>
      </c>
      <c r="D1728">
        <v>260</v>
      </c>
      <c r="R1728" s="73">
        <f t="shared" si="139"/>
        <v>1.5099238979149331E-5</v>
      </c>
      <c r="S1728" s="74">
        <f t="shared" si="137"/>
        <v>1.5227552177698249E-5</v>
      </c>
      <c r="U1728" s="81">
        <f t="shared" si="138"/>
        <v>8.7283685510232134E-3</v>
      </c>
      <c r="W1728" s="80">
        <v>0.99127163144897679</v>
      </c>
    </row>
    <row r="1729" spans="2:23" x14ac:dyDescent="0.3">
      <c r="B1729">
        <v>84</v>
      </c>
      <c r="C1729">
        <v>2</v>
      </c>
      <c r="D1729">
        <v>280</v>
      </c>
      <c r="R1729" s="73">
        <f t="shared" si="139"/>
        <v>1.4463513474810563E-5</v>
      </c>
      <c r="S1729" s="74">
        <f t="shared" si="137"/>
        <v>1.4590867947737729E-5</v>
      </c>
      <c r="U1729" s="81">
        <f t="shared" si="138"/>
        <v>9.0176388205194247E-3</v>
      </c>
      <c r="W1729" s="80">
        <v>0.99098236117948058</v>
      </c>
    </row>
    <row r="1730" spans="2:23" x14ac:dyDescent="0.3">
      <c r="B1730">
        <v>84</v>
      </c>
      <c r="C1730">
        <v>2</v>
      </c>
      <c r="D1730">
        <v>300</v>
      </c>
      <c r="R1730" s="73">
        <f t="shared" si="139"/>
        <v>1.3897335327239801E-5</v>
      </c>
      <c r="S1730" s="74">
        <f t="shared" si="137"/>
        <v>1.4023796862235778E-5</v>
      </c>
      <c r="U1730" s="81">
        <f t="shared" si="138"/>
        <v>9.2955855270642207E-3</v>
      </c>
      <c r="W1730" s="80">
        <v>0.99070441447293578</v>
      </c>
    </row>
    <row r="1731" spans="2:23" x14ac:dyDescent="0.3">
      <c r="B1731">
        <v>84</v>
      </c>
      <c r="C1731">
        <v>2</v>
      </c>
      <c r="D1731">
        <v>320</v>
      </c>
      <c r="R1731" s="73">
        <f t="shared" si="139"/>
        <v>1.3389028692556426E-5</v>
      </c>
      <c r="S1731" s="74">
        <f t="shared" si="137"/>
        <v>1.3514655327017511E-5</v>
      </c>
      <c r="U1731" s="81">
        <f t="shared" si="138"/>
        <v>9.5633661009153492E-3</v>
      </c>
      <c r="W1731" s="80">
        <v>0.99043663389908465</v>
      </c>
    </row>
    <row r="1732" spans="2:23" x14ac:dyDescent="0.3">
      <c r="B1732">
        <v>84</v>
      </c>
      <c r="C1732">
        <v>2</v>
      </c>
      <c r="D1732">
        <v>340</v>
      </c>
      <c r="R1732" s="73">
        <f t="shared" si="139"/>
        <v>1.2929477135403821E-5</v>
      </c>
      <c r="S1732" s="74">
        <f t="shared" si="137"/>
        <v>1.3054320380400229E-5</v>
      </c>
      <c r="U1732" s="81">
        <f t="shared" si="138"/>
        <v>9.8219556436234257E-3</v>
      </c>
      <c r="W1732" s="80">
        <v>0.99017804435637657</v>
      </c>
    </row>
    <row r="1733" spans="2:23" x14ac:dyDescent="0.3">
      <c r="B1733">
        <v>84</v>
      </c>
      <c r="C1733">
        <v>2</v>
      </c>
      <c r="D1733">
        <v>360</v>
      </c>
      <c r="R1733" s="73">
        <f t="shared" si="139"/>
        <v>1.2511446397939219E-5</v>
      </c>
      <c r="S1733" s="74">
        <f t="shared" si="137"/>
        <v>1.2635552231489595E-5</v>
      </c>
      <c r="U1733" s="81">
        <f t="shared" si="138"/>
        <v>1.007218457158221E-2</v>
      </c>
      <c r="W1733" s="80">
        <v>0.98992781542841779</v>
      </c>
    </row>
    <row r="1734" spans="2:23" x14ac:dyDescent="0.3">
      <c r="B1734">
        <v>84</v>
      </c>
      <c r="C1734">
        <v>2</v>
      </c>
      <c r="D1734">
        <v>380</v>
      </c>
      <c r="R1734" s="73">
        <f t="shared" si="139"/>
        <v>1.2129113756725873E-5</v>
      </c>
      <c r="S1734" s="74">
        <f t="shared" si="137"/>
        <v>1.2252523434223004E-5</v>
      </c>
      <c r="U1734" s="81">
        <f t="shared" si="138"/>
        <v>1.0314766846716727E-2</v>
      </c>
      <c r="W1734" s="80">
        <v>0.98968523315328327</v>
      </c>
    </row>
    <row r="1735" spans="2:23" x14ac:dyDescent="0.3">
      <c r="B1735">
        <v>85</v>
      </c>
      <c r="C1735">
        <v>2</v>
      </c>
      <c r="D1735">
        <v>0</v>
      </c>
      <c r="R1735" s="73">
        <f t="shared" si="139"/>
        <v>0</v>
      </c>
      <c r="S1735" s="74">
        <f t="shared" si="137"/>
        <v>0</v>
      </c>
      <c r="U1735" s="81">
        <f t="shared" si="138"/>
        <v>0</v>
      </c>
      <c r="W1735" s="80">
        <v>1</v>
      </c>
    </row>
    <row r="1736" spans="2:23" x14ac:dyDescent="0.3">
      <c r="B1736">
        <v>85</v>
      </c>
      <c r="C1736">
        <v>2</v>
      </c>
      <c r="D1736">
        <v>20</v>
      </c>
      <c r="R1736" s="73">
        <f t="shared" si="139"/>
        <v>1.9491614624111419E-4</v>
      </c>
      <c r="S1736" s="74">
        <f t="shared" si="137"/>
        <v>1.9491614624111419E-4</v>
      </c>
      <c r="U1736" s="81">
        <f t="shared" si="138"/>
        <v>3.8983229248222839E-3</v>
      </c>
      <c r="W1736" s="80">
        <v>0.99610167707517772</v>
      </c>
    </row>
    <row r="1737" spans="2:23" x14ac:dyDescent="0.3">
      <c r="B1737">
        <v>85</v>
      </c>
      <c r="C1737">
        <v>2</v>
      </c>
      <c r="D1737">
        <v>40</v>
      </c>
      <c r="R1737" s="73">
        <f t="shared" si="139"/>
        <v>8.3424886296068484E-5</v>
      </c>
      <c r="S1737" s="74">
        <f t="shared" si="137"/>
        <v>8.375137620591743E-5</v>
      </c>
      <c r="U1737" s="81">
        <f t="shared" si="138"/>
        <v>5.5668206507436535E-3</v>
      </c>
      <c r="W1737" s="80">
        <v>0.99443317934925635</v>
      </c>
    </row>
    <row r="1738" spans="2:23" x14ac:dyDescent="0.3">
      <c r="B1738">
        <v>85</v>
      </c>
      <c r="C1738">
        <v>2</v>
      </c>
      <c r="D1738">
        <v>60</v>
      </c>
      <c r="R1738" s="73">
        <f t="shared" si="139"/>
        <v>6.4496326626983788E-5</v>
      </c>
      <c r="S1738" s="74">
        <f t="shared" si="137"/>
        <v>6.485737600709313E-5</v>
      </c>
      <c r="U1738" s="81">
        <f t="shared" si="138"/>
        <v>6.8567471832833293E-3</v>
      </c>
      <c r="W1738" s="80">
        <v>0.99314325281671667</v>
      </c>
    </row>
    <row r="1739" spans="2:23" x14ac:dyDescent="0.3">
      <c r="B1739">
        <v>85</v>
      </c>
      <c r="C1739">
        <v>2</v>
      </c>
      <c r="D1739">
        <v>80</v>
      </c>
      <c r="R1739" s="73">
        <f t="shared" si="139"/>
        <v>5.4634743008591392E-5</v>
      </c>
      <c r="S1739" s="74">
        <f t="shared" ref="S1739:S1802" si="140">IF(D1739&gt;D1738,(U1739-U1738)/W1738/(D1739-D1738),0)</f>
        <v>5.5011946014473062E-5</v>
      </c>
      <c r="U1739" s="81">
        <f t="shared" ref="U1739:U1802" si="141">100%-W1739</f>
        <v>7.9494420434551571E-3</v>
      </c>
      <c r="W1739" s="80">
        <v>0.99205055795654484</v>
      </c>
    </row>
    <row r="1740" spans="2:23" x14ac:dyDescent="0.3">
      <c r="B1740">
        <v>85</v>
      </c>
      <c r="C1740">
        <v>2</v>
      </c>
      <c r="D1740">
        <v>100</v>
      </c>
      <c r="R1740" s="73">
        <f t="shared" si="139"/>
        <v>4.8305658686920158E-5</v>
      </c>
      <c r="S1740" s="74">
        <f t="shared" si="140"/>
        <v>4.8692738791883343E-5</v>
      </c>
      <c r="U1740" s="81">
        <f t="shared" si="141"/>
        <v>8.9155552171935604E-3</v>
      </c>
      <c r="W1740" s="80">
        <v>0.99108444478280644</v>
      </c>
    </row>
    <row r="1741" spans="2:23" x14ac:dyDescent="0.3">
      <c r="B1741">
        <v>85</v>
      </c>
      <c r="C1741">
        <v>2</v>
      </c>
      <c r="D1741">
        <v>120</v>
      </c>
      <c r="R1741" s="73">
        <f t="shared" si="139"/>
        <v>4.3795352411463154E-5</v>
      </c>
      <c r="S1741" s="74">
        <f t="shared" si="140"/>
        <v>4.4189324776518701E-5</v>
      </c>
      <c r="U1741" s="81">
        <f t="shared" si="141"/>
        <v>9.7914622654228234E-3</v>
      </c>
      <c r="W1741" s="80">
        <v>0.99020853773457718</v>
      </c>
    </row>
    <row r="1742" spans="2:23" x14ac:dyDescent="0.3">
      <c r="B1742">
        <v>85</v>
      </c>
      <c r="C1742">
        <v>2</v>
      </c>
      <c r="D1742">
        <v>140</v>
      </c>
      <c r="R1742" s="73">
        <f t="shared" si="139"/>
        <v>4.0368726061845714E-5</v>
      </c>
      <c r="S1742" s="74">
        <f t="shared" si="140"/>
        <v>4.0767903450117944E-5</v>
      </c>
      <c r="U1742" s="81">
        <f t="shared" si="141"/>
        <v>1.0598836786659738E-2</v>
      </c>
      <c r="W1742" s="80">
        <v>0.98940116321334026</v>
      </c>
    </row>
    <row r="1743" spans="2:23" x14ac:dyDescent="0.3">
      <c r="B1743">
        <v>85</v>
      </c>
      <c r="C1743">
        <v>2</v>
      </c>
      <c r="D1743">
        <v>160</v>
      </c>
      <c r="R1743" s="73">
        <f t="shared" si="139"/>
        <v>3.7649904383491027E-5</v>
      </c>
      <c r="S1743" s="74">
        <f t="shared" si="140"/>
        <v>3.8053224297021314E-5</v>
      </c>
      <c r="U1743" s="81">
        <f t="shared" si="141"/>
        <v>1.1351834874329558E-2</v>
      </c>
      <c r="W1743" s="80">
        <v>0.98864816512567044</v>
      </c>
    </row>
    <row r="1744" spans="2:23" x14ac:dyDescent="0.3">
      <c r="B1744">
        <v>85</v>
      </c>
      <c r="C1744">
        <v>2</v>
      </c>
      <c r="D1744">
        <v>180</v>
      </c>
      <c r="R1744" s="73">
        <f t="shared" si="139"/>
        <v>3.5423743226614682E-5</v>
      </c>
      <c r="S1744" s="74">
        <f t="shared" si="140"/>
        <v>3.5830484975523974E-5</v>
      </c>
      <c r="U1744" s="81">
        <f t="shared" si="141"/>
        <v>1.2060309738861852E-2</v>
      </c>
      <c r="W1744" s="80">
        <v>0.98793969026113815</v>
      </c>
    </row>
    <row r="1745" spans="2:23" x14ac:dyDescent="0.3">
      <c r="B1745">
        <v>85</v>
      </c>
      <c r="C1745">
        <v>2</v>
      </c>
      <c r="D1745">
        <v>200</v>
      </c>
      <c r="R1745" s="73">
        <f t="shared" si="139"/>
        <v>3.3556929619621423E-5</v>
      </c>
      <c r="S1745" s="74">
        <f t="shared" si="140"/>
        <v>3.3966577059730695E-5</v>
      </c>
      <c r="U1745" s="81">
        <f t="shared" si="141"/>
        <v>1.273144833125428E-2</v>
      </c>
      <c r="W1745" s="80">
        <v>0.98726855166874572</v>
      </c>
    </row>
    <row r="1746" spans="2:23" x14ac:dyDescent="0.3">
      <c r="B1746">
        <v>85</v>
      </c>
      <c r="C1746">
        <v>2</v>
      </c>
      <c r="D1746">
        <v>220</v>
      </c>
      <c r="R1746" s="73">
        <f t="shared" si="139"/>
        <v>3.1961825204412928E-5</v>
      </c>
      <c r="S1746" s="74">
        <f t="shared" si="140"/>
        <v>3.2373993023872756E-5</v>
      </c>
      <c r="U1746" s="81">
        <f t="shared" si="141"/>
        <v>1.3370684835342539E-2</v>
      </c>
      <c r="W1746" s="80">
        <v>0.98662931516465746</v>
      </c>
    </row>
    <row r="1747" spans="2:23" x14ac:dyDescent="0.3">
      <c r="B1747">
        <v>85</v>
      </c>
      <c r="C1747">
        <v>2</v>
      </c>
      <c r="D1747">
        <v>240</v>
      </c>
      <c r="R1747" s="73">
        <f t="shared" si="139"/>
        <v>3.0578112330870155E-5</v>
      </c>
      <c r="S1747" s="74">
        <f t="shared" si="140"/>
        <v>3.0992503325088216E-5</v>
      </c>
      <c r="U1747" s="81">
        <f t="shared" si="141"/>
        <v>1.3982247081959942E-2</v>
      </c>
      <c r="W1747" s="80">
        <v>0.98601775291804006</v>
      </c>
    </row>
    <row r="1748" spans="2:23" x14ac:dyDescent="0.3">
      <c r="B1748">
        <v>85</v>
      </c>
      <c r="C1748">
        <v>2</v>
      </c>
      <c r="D1748">
        <v>260</v>
      </c>
      <c r="R1748" s="73">
        <f t="shared" si="139"/>
        <v>2.936272500079773E-5</v>
      </c>
      <c r="S1748" s="74">
        <f t="shared" si="140"/>
        <v>2.9779103787838618E-5</v>
      </c>
      <c r="U1748" s="81">
        <f t="shared" si="141"/>
        <v>1.4569501581975897E-2</v>
      </c>
      <c r="W1748" s="80">
        <v>0.9854304984180241</v>
      </c>
    </row>
    <row r="1749" spans="2:23" x14ac:dyDescent="0.3">
      <c r="B1749">
        <v>85</v>
      </c>
      <c r="C1749">
        <v>2</v>
      </c>
      <c r="D1749">
        <v>280</v>
      </c>
      <c r="R1749" s="73">
        <f t="shared" si="139"/>
        <v>2.828397647033354E-5</v>
      </c>
      <c r="S1749" s="74">
        <f t="shared" si="140"/>
        <v>2.8702152526981511E-5</v>
      </c>
      <c r="U1749" s="81">
        <f t="shared" si="141"/>
        <v>1.5135181111382567E-2</v>
      </c>
      <c r="W1749" s="80">
        <v>0.98486481888861743</v>
      </c>
    </row>
    <row r="1750" spans="2:23" x14ac:dyDescent="0.3">
      <c r="B1750">
        <v>85</v>
      </c>
      <c r="C1750">
        <v>2</v>
      </c>
      <c r="D1750">
        <v>300</v>
      </c>
      <c r="R1750" s="73">
        <f t="shared" si="139"/>
        <v>2.73179603913265E-5</v>
      </c>
      <c r="S1750" s="74">
        <f t="shared" si="140"/>
        <v>2.7737776664774949E-5</v>
      </c>
      <c r="U1750" s="81">
        <f t="shared" si="141"/>
        <v>1.5681540319209097E-2</v>
      </c>
      <c r="W1750" s="80">
        <v>0.9843184596807909</v>
      </c>
    </row>
    <row r="1751" spans="2:23" x14ac:dyDescent="0.3">
      <c r="B1751">
        <v>85</v>
      </c>
      <c r="C1751">
        <v>2</v>
      </c>
      <c r="D1751">
        <v>320</v>
      </c>
      <c r="R1751" s="73">
        <f t="shared" si="139"/>
        <v>2.6446252903067348E-5</v>
      </c>
      <c r="S1751" s="74">
        <f t="shared" si="140"/>
        <v>2.6867577909332031E-5</v>
      </c>
      <c r="U1751" s="81">
        <f t="shared" si="141"/>
        <v>1.6210465377270444E-2</v>
      </c>
      <c r="W1751" s="80">
        <v>0.98378953462272956</v>
      </c>
    </row>
    <row r="1752" spans="2:23" x14ac:dyDescent="0.3">
      <c r="B1752">
        <v>85</v>
      </c>
      <c r="C1752">
        <v>2</v>
      </c>
      <c r="D1752">
        <v>340</v>
      </c>
      <c r="R1752" s="73">
        <f t="shared" si="139"/>
        <v>2.5654393794311005E-5</v>
      </c>
      <c r="S1752" s="74">
        <f t="shared" si="140"/>
        <v>2.607711598004458E-5</v>
      </c>
      <c r="U1752" s="81">
        <f t="shared" si="141"/>
        <v>1.6723553253156664E-2</v>
      </c>
      <c r="W1752" s="80">
        <v>0.98327644674684334</v>
      </c>
    </row>
    <row r="1753" spans="2:23" x14ac:dyDescent="0.3">
      <c r="B1753">
        <v>85</v>
      </c>
      <c r="C1753">
        <v>2</v>
      </c>
      <c r="D1753">
        <v>360</v>
      </c>
      <c r="R1753" s="73">
        <f t="shared" si="139"/>
        <v>2.4930852508631139E-5</v>
      </c>
      <c r="S1753" s="74">
        <f t="shared" si="140"/>
        <v>2.5354876129815298E-5</v>
      </c>
      <c r="U1753" s="81">
        <f t="shared" si="141"/>
        <v>1.7222170303329287E-2</v>
      </c>
      <c r="W1753" s="80">
        <v>0.98277782969667071</v>
      </c>
    </row>
    <row r="1754" spans="2:23" x14ac:dyDescent="0.3">
      <c r="B1754">
        <v>85</v>
      </c>
      <c r="C1754">
        <v>2</v>
      </c>
      <c r="D1754">
        <v>380</v>
      </c>
      <c r="R1754" s="73">
        <f t="shared" si="139"/>
        <v>2.4266306005843451E-5</v>
      </c>
      <c r="S1754" s="74">
        <f t="shared" si="140"/>
        <v>2.469154805143816E-5</v>
      </c>
      <c r="U1754" s="81">
        <f t="shared" si="141"/>
        <v>1.7707496423446156E-2</v>
      </c>
      <c r="W1754" s="80">
        <v>0.98229250357655384</v>
      </c>
    </row>
    <row r="1755" spans="2:23" x14ac:dyDescent="0.3">
      <c r="B1755">
        <v>86</v>
      </c>
      <c r="C1755">
        <v>2</v>
      </c>
      <c r="D1755">
        <v>0</v>
      </c>
      <c r="R1755" s="73">
        <f t="shared" si="139"/>
        <v>0</v>
      </c>
      <c r="S1755" s="74">
        <f t="shared" si="140"/>
        <v>0</v>
      </c>
      <c r="U1755" s="81">
        <f t="shared" si="141"/>
        <v>0</v>
      </c>
      <c r="W1755" s="80">
        <v>1</v>
      </c>
    </row>
    <row r="1756" spans="2:23" x14ac:dyDescent="0.3">
      <c r="B1756">
        <v>86</v>
      </c>
      <c r="C1756">
        <v>2</v>
      </c>
      <c r="D1756">
        <v>20</v>
      </c>
      <c r="R1756" s="73">
        <f t="shared" si="139"/>
        <v>4.261877048167717E-4</v>
      </c>
      <c r="S1756" s="74">
        <f t="shared" si="140"/>
        <v>4.261877048167717E-4</v>
      </c>
      <c r="U1756" s="81">
        <f t="shared" si="141"/>
        <v>8.5237540963354341E-3</v>
      </c>
      <c r="W1756" s="80">
        <v>0.99147624590366457</v>
      </c>
    </row>
    <row r="1757" spans="2:23" x14ac:dyDescent="0.3">
      <c r="B1757">
        <v>86</v>
      </c>
      <c r="C1757">
        <v>2</v>
      </c>
      <c r="D1757">
        <v>40</v>
      </c>
      <c r="R1757" s="73">
        <f t="shared" si="139"/>
        <v>1.1251487459411625E-4</v>
      </c>
      <c r="S1757" s="74">
        <f t="shared" si="140"/>
        <v>1.1348216869438604E-4</v>
      </c>
      <c r="U1757" s="81">
        <f t="shared" si="141"/>
        <v>1.0774051588217759E-2</v>
      </c>
      <c r="W1757" s="80">
        <v>0.98922594841178224</v>
      </c>
    </row>
    <row r="1758" spans="2:23" x14ac:dyDescent="0.3">
      <c r="B1758">
        <v>86</v>
      </c>
      <c r="C1758">
        <v>2</v>
      </c>
      <c r="D1758">
        <v>60</v>
      </c>
      <c r="R1758" s="73">
        <f t="shared" si="139"/>
        <v>7.9125867193291513E-5</v>
      </c>
      <c r="S1758" s="74">
        <f t="shared" si="140"/>
        <v>7.9987658350783589E-5</v>
      </c>
      <c r="U1758" s="81">
        <f t="shared" si="141"/>
        <v>1.2356568932083589E-2</v>
      </c>
      <c r="W1758" s="80">
        <v>0.98764343106791641</v>
      </c>
    </row>
    <row r="1759" spans="2:23" x14ac:dyDescent="0.3">
      <c r="B1759">
        <v>86</v>
      </c>
      <c r="C1759">
        <v>2</v>
      </c>
      <c r="D1759">
        <v>80</v>
      </c>
      <c r="R1759" s="73">
        <f t="shared" si="139"/>
        <v>6.3093282915699373E-5</v>
      </c>
      <c r="S1759" s="74">
        <f t="shared" si="140"/>
        <v>6.3882653325075066E-5</v>
      </c>
      <c r="U1759" s="81">
        <f t="shared" si="141"/>
        <v>1.3618434590397577E-2</v>
      </c>
      <c r="W1759" s="80">
        <v>0.98638156540960242</v>
      </c>
    </row>
    <row r="1760" spans="2:23" x14ac:dyDescent="0.3">
      <c r="B1760">
        <v>86</v>
      </c>
      <c r="C1760">
        <v>2</v>
      </c>
      <c r="D1760">
        <v>100</v>
      </c>
      <c r="R1760" s="73">
        <f t="shared" si="139"/>
        <v>5.3343187055315824E-5</v>
      </c>
      <c r="S1760" s="74">
        <f t="shared" si="140"/>
        <v>5.4079667469418544E-5</v>
      </c>
      <c r="U1760" s="81">
        <f t="shared" si="141"/>
        <v>1.4685298331503893E-2</v>
      </c>
      <c r="W1760" s="80">
        <v>0.98531470166849611</v>
      </c>
    </row>
    <row r="1761" spans="2:23" x14ac:dyDescent="0.3">
      <c r="B1761">
        <v>86</v>
      </c>
      <c r="C1761">
        <v>2</v>
      </c>
      <c r="D1761">
        <v>120</v>
      </c>
      <c r="R1761" s="73">
        <f t="shared" si="139"/>
        <v>4.6672154244770117E-5</v>
      </c>
      <c r="S1761" s="74">
        <f t="shared" si="140"/>
        <v>4.7367763990263403E-5</v>
      </c>
      <c r="U1761" s="81">
        <f t="shared" si="141"/>
        <v>1.5618741416399295E-2</v>
      </c>
      <c r="W1761" s="80">
        <v>0.9843812585836007</v>
      </c>
    </row>
    <row r="1762" spans="2:23" x14ac:dyDescent="0.3">
      <c r="B1762">
        <v>86</v>
      </c>
      <c r="C1762">
        <v>2</v>
      </c>
      <c r="D1762">
        <v>140</v>
      </c>
      <c r="R1762" s="73">
        <f t="shared" si="139"/>
        <v>4.1767772483142227E-5</v>
      </c>
      <c r="S1762" s="74">
        <f t="shared" si="140"/>
        <v>4.2430483228866764E-5</v>
      </c>
      <c r="U1762" s="81">
        <f t="shared" si="141"/>
        <v>1.645409686606214E-2</v>
      </c>
      <c r="W1762" s="80">
        <v>0.98354590313393786</v>
      </c>
    </row>
    <row r="1763" spans="2:23" x14ac:dyDescent="0.3">
      <c r="B1763">
        <v>86</v>
      </c>
      <c r="C1763">
        <v>2</v>
      </c>
      <c r="D1763">
        <v>160</v>
      </c>
      <c r="R1763" s="73">
        <f t="shared" si="139"/>
        <v>3.7982332613867299E-5</v>
      </c>
      <c r="S1763" s="74">
        <f t="shared" si="140"/>
        <v>3.8617752860178319E-5</v>
      </c>
      <c r="U1763" s="81">
        <f t="shared" si="141"/>
        <v>1.7213743518339486E-2</v>
      </c>
      <c r="W1763" s="80">
        <v>0.98278625648166051</v>
      </c>
    </row>
    <row r="1764" spans="2:23" x14ac:dyDescent="0.3">
      <c r="B1764">
        <v>86</v>
      </c>
      <c r="C1764">
        <v>2</v>
      </c>
      <c r="D1764">
        <v>180</v>
      </c>
      <c r="R1764" s="73">
        <f t="shared" si="139"/>
        <v>3.4955718327112087E-5</v>
      </c>
      <c r="S1764" s="74">
        <f t="shared" si="140"/>
        <v>3.5567976349458022E-5</v>
      </c>
      <c r="U1764" s="81">
        <f t="shared" si="141"/>
        <v>1.7912857884881728E-2</v>
      </c>
      <c r="W1764" s="80">
        <v>0.98208714211511827</v>
      </c>
    </row>
    <row r="1765" spans="2:23" x14ac:dyDescent="0.3">
      <c r="B1765">
        <v>86</v>
      </c>
      <c r="C1765">
        <v>2</v>
      </c>
      <c r="D1765">
        <v>200</v>
      </c>
      <c r="R1765" s="73">
        <f t="shared" si="139"/>
        <v>3.2470235392151327E-5</v>
      </c>
      <c r="S1765" s="74">
        <f t="shared" si="140"/>
        <v>3.3062478877607818E-5</v>
      </c>
      <c r="U1765" s="81">
        <f t="shared" si="141"/>
        <v>1.8562262592724754E-2</v>
      </c>
      <c r="W1765" s="80">
        <v>0.98143773740727525</v>
      </c>
    </row>
    <row r="1766" spans="2:23" x14ac:dyDescent="0.3">
      <c r="B1766">
        <v>86</v>
      </c>
      <c r="C1766">
        <v>2</v>
      </c>
      <c r="D1766">
        <v>220</v>
      </c>
      <c r="R1766" s="73">
        <f t="shared" si="139"/>
        <v>3.0385826155182593E-5</v>
      </c>
      <c r="S1766" s="74">
        <f t="shared" si="140"/>
        <v>3.0960523522821436E-5</v>
      </c>
      <c r="U1766" s="81">
        <f t="shared" si="141"/>
        <v>1.9169979115828406E-2</v>
      </c>
      <c r="W1766" s="80">
        <v>0.98083002088417159</v>
      </c>
    </row>
    <row r="1767" spans="2:23" x14ac:dyDescent="0.3">
      <c r="B1767">
        <v>86</v>
      </c>
      <c r="C1767">
        <v>2</v>
      </c>
      <c r="D1767">
        <v>240</v>
      </c>
      <c r="R1767" s="73">
        <f t="shared" si="139"/>
        <v>2.8607921421680559E-5</v>
      </c>
      <c r="S1767" s="74">
        <f t="shared" si="140"/>
        <v>2.9167053222832517E-5</v>
      </c>
      <c r="U1767" s="81">
        <f t="shared" si="141"/>
        <v>1.9742137544262017E-2</v>
      </c>
      <c r="W1767" s="80">
        <v>0.98025786245573798</v>
      </c>
    </row>
    <row r="1768" spans="2:23" x14ac:dyDescent="0.3">
      <c r="B1768">
        <v>86</v>
      </c>
      <c r="C1768">
        <v>2</v>
      </c>
      <c r="D1768">
        <v>260</v>
      </c>
      <c r="R1768" s="73">
        <f t="shared" si="139"/>
        <v>2.7070151742447644E-5</v>
      </c>
      <c r="S1768" s="74">
        <f t="shared" si="140"/>
        <v>2.7615337534382652E-5</v>
      </c>
      <c r="U1768" s="81">
        <f t="shared" si="141"/>
        <v>2.028354057911097E-2</v>
      </c>
      <c r="W1768" s="80">
        <v>0.97971645942088903</v>
      </c>
    </row>
    <row r="1769" spans="2:23" x14ac:dyDescent="0.3">
      <c r="B1769">
        <v>86</v>
      </c>
      <c r="C1769">
        <v>2</v>
      </c>
      <c r="D1769">
        <v>280</v>
      </c>
      <c r="R1769" s="73">
        <f t="shared" si="139"/>
        <v>2.572444209171243E-5</v>
      </c>
      <c r="S1769" s="74">
        <f t="shared" si="140"/>
        <v>2.6257027576037831E-5</v>
      </c>
      <c r="U1769" s="81">
        <f t="shared" si="141"/>
        <v>2.0798029420945219E-2</v>
      </c>
      <c r="W1769" s="80">
        <v>0.97920197057905478</v>
      </c>
    </row>
    <row r="1770" spans="2:23" x14ac:dyDescent="0.3">
      <c r="B1770">
        <v>86</v>
      </c>
      <c r="C1770">
        <v>2</v>
      </c>
      <c r="D1770">
        <v>300</v>
      </c>
      <c r="R1770" s="73">
        <f t="shared" si="139"/>
        <v>2.4535038210177218E-5</v>
      </c>
      <c r="S1770" s="74">
        <f t="shared" si="140"/>
        <v>2.5056156898528636E-5</v>
      </c>
      <c r="U1770" s="81">
        <f t="shared" si="141"/>
        <v>2.1288730185148763E-2</v>
      </c>
      <c r="W1770" s="80">
        <v>0.97871126981485124</v>
      </c>
    </row>
    <row r="1771" spans="2:23" x14ac:dyDescent="0.3">
      <c r="B1771">
        <v>86</v>
      </c>
      <c r="C1771">
        <v>2</v>
      </c>
      <c r="D1771">
        <v>320</v>
      </c>
      <c r="R1771" s="73">
        <f t="shared" si="139"/>
        <v>2.3474747900203986E-5</v>
      </c>
      <c r="S1771" s="74">
        <f t="shared" si="140"/>
        <v>2.3985365882876617E-5</v>
      </c>
      <c r="U1771" s="81">
        <f t="shared" si="141"/>
        <v>2.1758225143152843E-2</v>
      </c>
      <c r="W1771" s="80">
        <v>0.97824177485684716</v>
      </c>
    </row>
    <row r="1772" spans="2:23" x14ac:dyDescent="0.3">
      <c r="B1772">
        <v>86</v>
      </c>
      <c r="C1772">
        <v>2</v>
      </c>
      <c r="D1772">
        <v>340</v>
      </c>
      <c r="R1772" s="73">
        <f t="shared" si="139"/>
        <v>2.252248996376105E-5</v>
      </c>
      <c r="S1772" s="74">
        <f t="shared" si="140"/>
        <v>2.3023439136052967E-5</v>
      </c>
      <c r="U1772" s="81">
        <f t="shared" si="141"/>
        <v>2.2208674942428064E-2</v>
      </c>
      <c r="W1772" s="80">
        <v>0.97779132505757194</v>
      </c>
    </row>
    <row r="1773" spans="2:23" x14ac:dyDescent="0.3">
      <c r="B1773">
        <v>86</v>
      </c>
      <c r="C1773">
        <v>2</v>
      </c>
      <c r="D1773">
        <v>360</v>
      </c>
      <c r="R1773" s="73">
        <f t="shared" ref="R1773:R1836" si="142">IF(D1773&gt;D1772,(U1773-U1772)/1/(D1773-D1772),0)</f>
        <v>2.1661646310355832E-5</v>
      </c>
      <c r="S1773" s="74">
        <f t="shared" si="140"/>
        <v>2.2153649511137158E-5</v>
      </c>
      <c r="U1773" s="81">
        <f t="shared" si="141"/>
        <v>2.264190786863518E-2</v>
      </c>
      <c r="W1773" s="80">
        <v>0.97735809213136482</v>
      </c>
    </row>
    <row r="1774" spans="2:23" x14ac:dyDescent="0.3">
      <c r="B1774">
        <v>86</v>
      </c>
      <c r="C1774">
        <v>2</v>
      </c>
      <c r="D1774">
        <v>380</v>
      </c>
      <c r="R1774" s="73">
        <f t="shared" si="142"/>
        <v>2.0878924412226497E-5</v>
      </c>
      <c r="S1774" s="74">
        <f t="shared" si="140"/>
        <v>2.136261476762828E-5</v>
      </c>
      <c r="U1774" s="81">
        <f t="shared" si="141"/>
        <v>2.305948635687971E-2</v>
      </c>
      <c r="W1774" s="80">
        <v>0.97694051364312029</v>
      </c>
    </row>
    <row r="1775" spans="2:23" x14ac:dyDescent="0.3">
      <c r="B1775">
        <v>87</v>
      </c>
      <c r="C1775">
        <v>2</v>
      </c>
      <c r="D1775">
        <v>0</v>
      </c>
      <c r="R1775" s="73">
        <f t="shared" si="142"/>
        <v>0</v>
      </c>
      <c r="S1775" s="74">
        <f t="shared" si="140"/>
        <v>0</v>
      </c>
      <c r="U1775" s="81">
        <f t="shared" si="141"/>
        <v>0</v>
      </c>
      <c r="W1775" s="80">
        <v>1</v>
      </c>
    </row>
    <row r="1776" spans="2:23" x14ac:dyDescent="0.3">
      <c r="B1776">
        <v>87</v>
      </c>
      <c r="C1776">
        <v>2</v>
      </c>
      <c r="D1776">
        <v>20</v>
      </c>
      <c r="R1776" s="73">
        <f t="shared" si="142"/>
        <v>1.9143661709844495E-4</v>
      </c>
      <c r="S1776" s="74">
        <f t="shared" si="140"/>
        <v>1.9143661709844495E-4</v>
      </c>
      <c r="U1776" s="81">
        <f t="shared" si="141"/>
        <v>3.828732341968899E-3</v>
      </c>
      <c r="W1776" s="80">
        <v>0.9961712676580311</v>
      </c>
    </row>
    <row r="1777" spans="2:23" x14ac:dyDescent="0.3">
      <c r="B1777">
        <v>87</v>
      </c>
      <c r="C1777">
        <v>2</v>
      </c>
      <c r="D1777">
        <v>40</v>
      </c>
      <c r="R1777" s="73">
        <f t="shared" si="142"/>
        <v>7.1527656553171945E-5</v>
      </c>
      <c r="S1777" s="74">
        <f t="shared" si="140"/>
        <v>7.1802569372765923E-5</v>
      </c>
      <c r="U1777" s="81">
        <f t="shared" si="141"/>
        <v>5.259285473032338E-3</v>
      </c>
      <c r="W1777" s="80">
        <v>0.99474071452696766</v>
      </c>
    </row>
    <row r="1778" spans="2:23" x14ac:dyDescent="0.3">
      <c r="B1778">
        <v>87</v>
      </c>
      <c r="C1778">
        <v>2</v>
      </c>
      <c r="D1778">
        <v>60</v>
      </c>
      <c r="R1778" s="73">
        <f t="shared" si="142"/>
        <v>5.3661705516933056E-5</v>
      </c>
      <c r="S1778" s="74">
        <f t="shared" si="140"/>
        <v>5.3945419880044808E-5</v>
      </c>
      <c r="U1778" s="81">
        <f t="shared" si="141"/>
        <v>6.3325195833709991E-3</v>
      </c>
      <c r="W1778" s="80">
        <v>0.993667480416629</v>
      </c>
    </row>
    <row r="1779" spans="2:23" x14ac:dyDescent="0.3">
      <c r="B1779">
        <v>87</v>
      </c>
      <c r="C1779">
        <v>2</v>
      </c>
      <c r="D1779">
        <v>80</v>
      </c>
      <c r="R1779" s="73">
        <f t="shared" si="142"/>
        <v>4.4591275216815382E-5</v>
      </c>
      <c r="S1779" s="74">
        <f t="shared" si="140"/>
        <v>4.4875449882005767E-5</v>
      </c>
      <c r="U1779" s="81">
        <f t="shared" si="141"/>
        <v>7.2243450877073068E-3</v>
      </c>
      <c r="W1779" s="80">
        <v>0.99277565491229269</v>
      </c>
    </row>
    <row r="1780" spans="2:23" x14ac:dyDescent="0.3">
      <c r="B1780">
        <v>87</v>
      </c>
      <c r="C1780">
        <v>2</v>
      </c>
      <c r="D1780">
        <v>100</v>
      </c>
      <c r="R1780" s="73">
        <f t="shared" si="142"/>
        <v>3.8868670607000724E-5</v>
      </c>
      <c r="S1780" s="74">
        <f t="shared" si="140"/>
        <v>3.9151514659608162E-5</v>
      </c>
      <c r="U1780" s="81">
        <f t="shared" si="141"/>
        <v>8.0017184998473212E-3</v>
      </c>
      <c r="W1780" s="80">
        <v>0.99199828150015268</v>
      </c>
    </row>
    <row r="1781" spans="2:23" x14ac:dyDescent="0.3">
      <c r="B1781">
        <v>87</v>
      </c>
      <c r="C1781">
        <v>2</v>
      </c>
      <c r="D1781">
        <v>120</v>
      </c>
      <c r="R1781" s="73">
        <f t="shared" si="142"/>
        <v>3.4842992438682832E-5</v>
      </c>
      <c r="S1781" s="74">
        <f t="shared" si="140"/>
        <v>3.5124045160634148E-5</v>
      </c>
      <c r="U1781" s="81">
        <f t="shared" si="141"/>
        <v>8.6985783486209778E-3</v>
      </c>
      <c r="W1781" s="80">
        <v>0.99130142165137902</v>
      </c>
    </row>
    <row r="1782" spans="2:23" x14ac:dyDescent="0.3">
      <c r="B1782">
        <v>87</v>
      </c>
      <c r="C1782">
        <v>2</v>
      </c>
      <c r="D1782">
        <v>140</v>
      </c>
      <c r="R1782" s="73">
        <f t="shared" si="142"/>
        <v>3.1816339699242133E-5</v>
      </c>
      <c r="S1782" s="74">
        <f t="shared" si="140"/>
        <v>3.2095525139306528E-5</v>
      </c>
      <c r="U1782" s="81">
        <f t="shared" si="141"/>
        <v>9.3349051426058205E-3</v>
      </c>
      <c r="W1782" s="80">
        <v>0.99066509485739418</v>
      </c>
    </row>
    <row r="1783" spans="2:23" x14ac:dyDescent="0.3">
      <c r="B1783">
        <v>87</v>
      </c>
      <c r="C1783">
        <v>2</v>
      </c>
      <c r="D1783">
        <v>160</v>
      </c>
      <c r="R1783" s="73">
        <f t="shared" si="142"/>
        <v>2.9435851633413667E-5</v>
      </c>
      <c r="S1783" s="74">
        <f t="shared" si="140"/>
        <v>2.9713221739836252E-5</v>
      </c>
      <c r="U1783" s="81">
        <f t="shared" si="141"/>
        <v>9.9236221752740938E-3</v>
      </c>
      <c r="W1783" s="80">
        <v>0.99007637782472591</v>
      </c>
    </row>
    <row r="1784" spans="2:23" x14ac:dyDescent="0.3">
      <c r="B1784">
        <v>87</v>
      </c>
      <c r="C1784">
        <v>2</v>
      </c>
      <c r="D1784">
        <v>180</v>
      </c>
      <c r="R1784" s="73">
        <f t="shared" si="142"/>
        <v>2.7501414485686658E-5</v>
      </c>
      <c r="S1784" s="74">
        <f t="shared" si="140"/>
        <v>2.7777063569690841E-5</v>
      </c>
      <c r="U1784" s="81">
        <f t="shared" si="141"/>
        <v>1.0473650464987827E-2</v>
      </c>
      <c r="W1784" s="80">
        <v>0.98952634953501217</v>
      </c>
    </row>
    <row r="1785" spans="2:23" x14ac:dyDescent="0.3">
      <c r="B1785">
        <v>87</v>
      </c>
      <c r="C1785">
        <v>2</v>
      </c>
      <c r="D1785">
        <v>200</v>
      </c>
      <c r="R1785" s="73">
        <f t="shared" si="142"/>
        <v>2.5889999805328577E-5</v>
      </c>
      <c r="S1785" s="74">
        <f t="shared" si="140"/>
        <v>2.6164032738991269E-5</v>
      </c>
      <c r="U1785" s="81">
        <f t="shared" si="141"/>
        <v>1.0991450461094399E-2</v>
      </c>
      <c r="W1785" s="80">
        <v>0.9890085495389056</v>
      </c>
    </row>
    <row r="1786" spans="2:23" x14ac:dyDescent="0.3">
      <c r="B1786">
        <v>87</v>
      </c>
      <c r="C1786">
        <v>2</v>
      </c>
      <c r="D1786">
        <v>220</v>
      </c>
      <c r="R1786" s="73">
        <f t="shared" si="142"/>
        <v>2.4521282665462828E-5</v>
      </c>
      <c r="S1786" s="74">
        <f t="shared" si="140"/>
        <v>2.4793802517576936E-5</v>
      </c>
      <c r="U1786" s="81">
        <f t="shared" si="141"/>
        <v>1.1481876114403655E-2</v>
      </c>
      <c r="W1786" s="80">
        <v>0.98851812388559634</v>
      </c>
    </row>
    <row r="1787" spans="2:23" x14ac:dyDescent="0.3">
      <c r="B1787">
        <v>87</v>
      </c>
      <c r="C1787">
        <v>2</v>
      </c>
      <c r="D1787">
        <v>240</v>
      </c>
      <c r="R1787" s="73">
        <f t="shared" si="142"/>
        <v>2.3340314229430836E-5</v>
      </c>
      <c r="S1787" s="74">
        <f t="shared" si="140"/>
        <v>2.3611417601213421E-5</v>
      </c>
      <c r="U1787" s="81">
        <f t="shared" si="141"/>
        <v>1.1948682398992272E-2</v>
      </c>
      <c r="W1787" s="80">
        <v>0.98805131760100773</v>
      </c>
    </row>
    <row r="1788" spans="2:23" x14ac:dyDescent="0.3">
      <c r="B1788">
        <v>87</v>
      </c>
      <c r="C1788">
        <v>2</v>
      </c>
      <c r="D1788">
        <v>260</v>
      </c>
      <c r="R1788" s="73">
        <f t="shared" si="142"/>
        <v>2.2308075852572884E-5</v>
      </c>
      <c r="S1788" s="74">
        <f t="shared" si="140"/>
        <v>2.2577851428544192E-5</v>
      </c>
      <c r="U1788" s="81">
        <f t="shared" si="141"/>
        <v>1.239484391604373E-2</v>
      </c>
      <c r="W1788" s="80">
        <v>0.98760515608395627</v>
      </c>
    </row>
    <row r="1789" spans="2:23" x14ac:dyDescent="0.3">
      <c r="B1789">
        <v>87</v>
      </c>
      <c r="C1789">
        <v>2</v>
      </c>
      <c r="D1789">
        <v>280</v>
      </c>
      <c r="R1789" s="73">
        <f t="shared" si="142"/>
        <v>2.1396001173401569E-5</v>
      </c>
      <c r="S1789" s="74">
        <f t="shared" si="140"/>
        <v>2.1664529636763759E-5</v>
      </c>
      <c r="U1789" s="81">
        <f t="shared" si="141"/>
        <v>1.2822763939511761E-2</v>
      </c>
      <c r="W1789" s="80">
        <v>0.98717723606048824</v>
      </c>
    </row>
    <row r="1790" spans="2:23" x14ac:dyDescent="0.3">
      <c r="B1790">
        <v>87</v>
      </c>
      <c r="C1790">
        <v>2</v>
      </c>
      <c r="D1790">
        <v>300</v>
      </c>
      <c r="R1790" s="73">
        <f t="shared" si="142"/>
        <v>2.058263612458311E-5</v>
      </c>
      <c r="S1790" s="74">
        <f t="shared" si="140"/>
        <v>2.084999063260605E-5</v>
      </c>
      <c r="U1790" s="81">
        <f t="shared" si="141"/>
        <v>1.3234416662003423E-2</v>
      </c>
      <c r="W1790" s="80">
        <v>0.98676558333799658</v>
      </c>
    </row>
    <row r="1791" spans="2:23" x14ac:dyDescent="0.3">
      <c r="B1791">
        <v>87</v>
      </c>
      <c r="C1791">
        <v>2</v>
      </c>
      <c r="D1791">
        <v>320</v>
      </c>
      <c r="R1791" s="73">
        <f t="shared" si="142"/>
        <v>1.9851516240948498E-5</v>
      </c>
      <c r="S1791" s="74">
        <f t="shared" si="140"/>
        <v>2.0117763100123002E-5</v>
      </c>
      <c r="U1791" s="81">
        <f t="shared" si="141"/>
        <v>1.3631446986822393E-2</v>
      </c>
      <c r="W1791" s="80">
        <v>0.98636855301317761</v>
      </c>
    </row>
    <row r="1792" spans="2:23" x14ac:dyDescent="0.3">
      <c r="B1792">
        <v>87</v>
      </c>
      <c r="C1792">
        <v>2</v>
      </c>
      <c r="D1792">
        <v>340</v>
      </c>
      <c r="R1792" s="73">
        <f t="shared" si="142"/>
        <v>1.9189769644917255E-5</v>
      </c>
      <c r="S1792" s="74">
        <f t="shared" si="140"/>
        <v>1.9454969023795393E-5</v>
      </c>
      <c r="U1792" s="81">
        <f t="shared" si="141"/>
        <v>1.4015242379720738E-2</v>
      </c>
      <c r="W1792" s="80">
        <v>0.98598475762027926</v>
      </c>
    </row>
    <row r="1793" spans="2:23" x14ac:dyDescent="0.3">
      <c r="B1793">
        <v>87</v>
      </c>
      <c r="C1793">
        <v>2</v>
      </c>
      <c r="D1793">
        <v>360</v>
      </c>
      <c r="R1793" s="73">
        <f t="shared" si="142"/>
        <v>1.8587169763178978E-5</v>
      </c>
      <c r="S1793" s="74">
        <f t="shared" si="140"/>
        <v>1.8851376372227082E-5</v>
      </c>
      <c r="U1793" s="81">
        <f t="shared" si="141"/>
        <v>1.4386985774984318E-2</v>
      </c>
      <c r="W1793" s="80">
        <v>0.98561301422501568</v>
      </c>
    </row>
    <row r="1794" spans="2:23" x14ac:dyDescent="0.3">
      <c r="B1794">
        <v>87</v>
      </c>
      <c r="C1794">
        <v>2</v>
      </c>
      <c r="D1794">
        <v>380</v>
      </c>
      <c r="R1794" s="73">
        <f t="shared" si="142"/>
        <v>1.8035476195726873E-5</v>
      </c>
      <c r="S1794" s="74">
        <f t="shared" si="140"/>
        <v>1.8298739906461268E-5</v>
      </c>
      <c r="U1794" s="81">
        <f t="shared" si="141"/>
        <v>1.4747695298898855E-2</v>
      </c>
      <c r="W1794" s="80">
        <v>0.98525230470110114</v>
      </c>
    </row>
    <row r="1795" spans="2:23" x14ac:dyDescent="0.3">
      <c r="B1795">
        <v>88</v>
      </c>
      <c r="C1795">
        <v>2</v>
      </c>
      <c r="D1795">
        <v>0</v>
      </c>
      <c r="R1795" s="73">
        <f t="shared" si="142"/>
        <v>0</v>
      </c>
      <c r="S1795" s="74">
        <f t="shared" si="140"/>
        <v>0</v>
      </c>
      <c r="U1795" s="81">
        <f t="shared" si="141"/>
        <v>0</v>
      </c>
      <c r="W1795" s="80">
        <v>1</v>
      </c>
    </row>
    <row r="1796" spans="2:23" x14ac:dyDescent="0.3">
      <c r="B1796">
        <v>88</v>
      </c>
      <c r="C1796">
        <v>2</v>
      </c>
      <c r="D1796">
        <v>20</v>
      </c>
      <c r="R1796" s="73">
        <f t="shared" si="142"/>
        <v>1.345445314657967E-4</v>
      </c>
      <c r="S1796" s="74">
        <f t="shared" si="140"/>
        <v>1.345445314657967E-4</v>
      </c>
      <c r="U1796" s="81">
        <f t="shared" si="141"/>
        <v>2.690890629315934E-3</v>
      </c>
      <c r="W1796" s="80">
        <v>0.99730910937068407</v>
      </c>
    </row>
    <row r="1797" spans="2:23" x14ac:dyDescent="0.3">
      <c r="B1797">
        <v>88</v>
      </c>
      <c r="C1797">
        <v>2</v>
      </c>
      <c r="D1797">
        <v>40</v>
      </c>
      <c r="R1797" s="73">
        <f t="shared" si="142"/>
        <v>3.729759534681909E-5</v>
      </c>
      <c r="S1797" s="74">
        <f t="shared" si="140"/>
        <v>3.7398229893191686E-5</v>
      </c>
      <c r="U1797" s="81">
        <f t="shared" si="141"/>
        <v>3.4368425362523158E-3</v>
      </c>
      <c r="W1797" s="80">
        <v>0.99656315746374768</v>
      </c>
    </row>
    <row r="1798" spans="2:23" x14ac:dyDescent="0.3">
      <c r="B1798">
        <v>88</v>
      </c>
      <c r="C1798">
        <v>2</v>
      </c>
      <c r="D1798">
        <v>60</v>
      </c>
      <c r="R1798" s="73">
        <f t="shared" si="142"/>
        <v>2.6442869501153154E-5</v>
      </c>
      <c r="S1798" s="74">
        <f t="shared" si="140"/>
        <v>2.6534062897177769E-5</v>
      </c>
      <c r="U1798" s="81">
        <f t="shared" si="141"/>
        <v>3.9656999262753789E-3</v>
      </c>
      <c r="W1798" s="80">
        <v>0.99603430007372462</v>
      </c>
    </row>
    <row r="1799" spans="2:23" x14ac:dyDescent="0.3">
      <c r="B1799">
        <v>88</v>
      </c>
      <c r="C1799">
        <v>2</v>
      </c>
      <c r="D1799">
        <v>80</v>
      </c>
      <c r="R1799" s="73">
        <f t="shared" si="142"/>
        <v>2.1194132460700121E-5</v>
      </c>
      <c r="S1799" s="74">
        <f t="shared" si="140"/>
        <v>2.1278516672700299E-5</v>
      </c>
      <c r="U1799" s="81">
        <f t="shared" si="141"/>
        <v>4.3895825754893814E-3</v>
      </c>
      <c r="W1799" s="80">
        <v>0.99561041742451062</v>
      </c>
    </row>
    <row r="1800" spans="2:23" x14ac:dyDescent="0.3">
      <c r="B1800">
        <v>88</v>
      </c>
      <c r="C1800">
        <v>2</v>
      </c>
      <c r="D1800">
        <v>100</v>
      </c>
      <c r="R1800" s="73">
        <f t="shared" si="142"/>
        <v>1.7987431875443606E-5</v>
      </c>
      <c r="S1800" s="74">
        <f t="shared" si="140"/>
        <v>1.8066737310738769E-5</v>
      </c>
      <c r="U1800" s="81">
        <f t="shared" si="141"/>
        <v>4.7493312129982534E-3</v>
      </c>
      <c r="W1800" s="80">
        <v>0.99525066878700175</v>
      </c>
    </row>
    <row r="1801" spans="2:23" x14ac:dyDescent="0.3">
      <c r="B1801">
        <v>88</v>
      </c>
      <c r="C1801">
        <v>2</v>
      </c>
      <c r="D1801">
        <v>120</v>
      </c>
      <c r="R1801" s="73">
        <f t="shared" si="142"/>
        <v>1.578576488403538E-5</v>
      </c>
      <c r="S1801" s="74">
        <f t="shared" si="140"/>
        <v>1.586109447509828E-5</v>
      </c>
      <c r="U1801" s="81">
        <f t="shared" si="141"/>
        <v>5.0650465106789611E-3</v>
      </c>
      <c r="W1801" s="80">
        <v>0.99493495348932104</v>
      </c>
    </row>
    <row r="1802" spans="2:23" x14ac:dyDescent="0.3">
      <c r="B1802">
        <v>88</v>
      </c>
      <c r="C1802">
        <v>2</v>
      </c>
      <c r="D1802">
        <v>140</v>
      </c>
      <c r="R1802" s="73">
        <f t="shared" si="142"/>
        <v>1.416260948269854E-5</v>
      </c>
      <c r="S1802" s="74">
        <f t="shared" si="140"/>
        <v>1.423470894557385E-5</v>
      </c>
      <c r="U1802" s="81">
        <f t="shared" si="141"/>
        <v>5.3482987003329319E-3</v>
      </c>
      <c r="W1802" s="80">
        <v>0.99465170129966707</v>
      </c>
    </row>
    <row r="1803" spans="2:23" x14ac:dyDescent="0.3">
      <c r="B1803">
        <v>88</v>
      </c>
      <c r="C1803">
        <v>2</v>
      </c>
      <c r="D1803">
        <v>160</v>
      </c>
      <c r="R1803" s="73">
        <f t="shared" si="142"/>
        <v>1.2906828110315072E-5</v>
      </c>
      <c r="S1803" s="74">
        <f t="shared" ref="S1803:S1866" si="143">IF(D1803&gt;D1802,(U1803-U1802)/W1802/(D1803-D1802),0)</f>
        <v>1.2976228858252889E-5</v>
      </c>
      <c r="U1803" s="81">
        <f t="shared" ref="U1803:U1866" si="144">100%-W1803</f>
        <v>5.6064352625392333E-3</v>
      </c>
      <c r="W1803" s="80">
        <v>0.99439356473746077</v>
      </c>
    </row>
    <row r="1804" spans="2:23" x14ac:dyDescent="0.3">
      <c r="B1804">
        <v>88</v>
      </c>
      <c r="C1804">
        <v>2</v>
      </c>
      <c r="D1804">
        <v>180</v>
      </c>
      <c r="R1804" s="73">
        <f t="shared" si="142"/>
        <v>1.1900739971554274E-5</v>
      </c>
      <c r="S1804" s="74">
        <f t="shared" si="143"/>
        <v>1.1967836874222232E-5</v>
      </c>
      <c r="U1804" s="81">
        <f t="shared" si="144"/>
        <v>5.8444500619703188E-3</v>
      </c>
      <c r="W1804" s="80">
        <v>0.99415554993802968</v>
      </c>
    </row>
    <row r="1805" spans="2:23" x14ac:dyDescent="0.3">
      <c r="B1805">
        <v>88</v>
      </c>
      <c r="C1805">
        <v>2</v>
      </c>
      <c r="D1805">
        <v>200</v>
      </c>
      <c r="R1805" s="73">
        <f t="shared" si="142"/>
        <v>1.1073055512361706E-5</v>
      </c>
      <c r="S1805" s="74">
        <f t="shared" si="143"/>
        <v>1.1138151884835268E-5</v>
      </c>
      <c r="U1805" s="81">
        <f t="shared" si="144"/>
        <v>6.0659111722175529E-3</v>
      </c>
      <c r="W1805" s="80">
        <v>0.99393408882778245</v>
      </c>
    </row>
    <row r="1806" spans="2:23" x14ac:dyDescent="0.3">
      <c r="B1806">
        <v>88</v>
      </c>
      <c r="C1806">
        <v>2</v>
      </c>
      <c r="D1806">
        <v>220</v>
      </c>
      <c r="R1806" s="73">
        <f t="shared" si="142"/>
        <v>1.0377824856983019E-5</v>
      </c>
      <c r="S1806" s="74">
        <f t="shared" si="143"/>
        <v>1.0441160006115024E-5</v>
      </c>
      <c r="U1806" s="81">
        <f t="shared" si="144"/>
        <v>6.2734676693572133E-3</v>
      </c>
      <c r="W1806" s="80">
        <v>0.99372653233064279</v>
      </c>
    </row>
    <row r="1807" spans="2:23" x14ac:dyDescent="0.3">
      <c r="B1807">
        <v>88</v>
      </c>
      <c r="C1807">
        <v>2</v>
      </c>
      <c r="D1807">
        <v>240</v>
      </c>
      <c r="R1807" s="73">
        <f t="shared" si="142"/>
        <v>9.7839712523362096E-6</v>
      </c>
      <c r="S1807" s="74">
        <f t="shared" si="143"/>
        <v>9.8457381724419814E-6</v>
      </c>
      <c r="U1807" s="81">
        <f t="shared" si="144"/>
        <v>6.4691470944039375E-3</v>
      </c>
      <c r="W1807" s="80">
        <v>0.99353085290559606</v>
      </c>
    </row>
    <row r="1808" spans="2:23" x14ac:dyDescent="0.3">
      <c r="B1808">
        <v>88</v>
      </c>
      <c r="C1808">
        <v>2</v>
      </c>
      <c r="D1808">
        <v>260</v>
      </c>
      <c r="R1808" s="73">
        <f t="shared" si="142"/>
        <v>9.26965275565017E-6</v>
      </c>
      <c r="S1808" s="74">
        <f t="shared" si="143"/>
        <v>9.3300099624897705E-6</v>
      </c>
      <c r="U1808" s="81">
        <f t="shared" si="144"/>
        <v>6.654540149516941E-3</v>
      </c>
      <c r="W1808" s="80">
        <v>0.99334545985048306</v>
      </c>
    </row>
    <row r="1809" spans="2:23" x14ac:dyDescent="0.3">
      <c r="B1809">
        <v>88</v>
      </c>
      <c r="C1809">
        <v>2</v>
      </c>
      <c r="D1809">
        <v>280</v>
      </c>
      <c r="R1809" s="73">
        <f t="shared" si="142"/>
        <v>8.8190269417587348E-6</v>
      </c>
      <c r="S1809" s="74">
        <f t="shared" si="143"/>
        <v>8.8781066589725615E-6</v>
      </c>
      <c r="U1809" s="81">
        <f t="shared" si="144"/>
        <v>6.8309206883521156E-3</v>
      </c>
      <c r="W1809" s="80">
        <v>0.99316907931164788</v>
      </c>
    </row>
    <row r="1810" spans="2:23" x14ac:dyDescent="0.3">
      <c r="B1810">
        <v>88</v>
      </c>
      <c r="C1810">
        <v>2</v>
      </c>
      <c r="D1810">
        <v>300</v>
      </c>
      <c r="R1810" s="73">
        <f t="shared" si="142"/>
        <v>8.4202971020186368E-6</v>
      </c>
      <c r="S1810" s="74">
        <f t="shared" si="143"/>
        <v>8.4782110895504624E-6</v>
      </c>
      <c r="U1810" s="81">
        <f t="shared" si="144"/>
        <v>6.9993266303924884E-3</v>
      </c>
      <c r="W1810" s="80">
        <v>0.99300067336960751</v>
      </c>
    </row>
    <row r="1811" spans="2:23" x14ac:dyDescent="0.3">
      <c r="B1811">
        <v>88</v>
      </c>
      <c r="C1811">
        <v>2</v>
      </c>
      <c r="D1811">
        <v>320</v>
      </c>
      <c r="R1811" s="73">
        <f t="shared" si="142"/>
        <v>8.0644813480412744E-6</v>
      </c>
      <c r="S1811" s="74">
        <f t="shared" si="143"/>
        <v>8.1213251554760735E-6</v>
      </c>
      <c r="U1811" s="81">
        <f t="shared" si="144"/>
        <v>7.1606162573533139E-3</v>
      </c>
      <c r="W1811" s="80">
        <v>0.99283938374264669</v>
      </c>
    </row>
    <row r="1812" spans="2:23" x14ac:dyDescent="0.3">
      <c r="B1812">
        <v>88</v>
      </c>
      <c r="C1812">
        <v>2</v>
      </c>
      <c r="D1812">
        <v>340</v>
      </c>
      <c r="R1812" s="73">
        <f t="shared" si="142"/>
        <v>7.7446090162525124E-6</v>
      </c>
      <c r="S1812" s="74">
        <f t="shared" si="143"/>
        <v>7.800465153848075E-6</v>
      </c>
      <c r="U1812" s="81">
        <f t="shared" si="144"/>
        <v>7.3155084376783641E-3</v>
      </c>
      <c r="W1812" s="80">
        <v>0.99268449156232164</v>
      </c>
    </row>
    <row r="1813" spans="2:23" x14ac:dyDescent="0.3">
      <c r="B1813">
        <v>88</v>
      </c>
      <c r="C1813">
        <v>2</v>
      </c>
      <c r="D1813">
        <v>360</v>
      </c>
      <c r="R1813" s="73">
        <f t="shared" si="142"/>
        <v>7.4551798200206408E-6</v>
      </c>
      <c r="S1813" s="74">
        <f t="shared" si="143"/>
        <v>7.5101201674737738E-6</v>
      </c>
      <c r="U1813" s="81">
        <f t="shared" si="144"/>
        <v>7.4646120340787769E-3</v>
      </c>
      <c r="W1813" s="80">
        <v>0.99253538796592122</v>
      </c>
    </row>
    <row r="1814" spans="2:23" x14ac:dyDescent="0.3">
      <c r="B1814">
        <v>88</v>
      </c>
      <c r="C1814">
        <v>2</v>
      </c>
      <c r="D1814">
        <v>380</v>
      </c>
      <c r="R1814" s="73">
        <f t="shared" si="142"/>
        <v>7.191790129701392E-6</v>
      </c>
      <c r="S1814" s="74">
        <f t="shared" si="143"/>
        <v>7.2458777962970958E-6</v>
      </c>
      <c r="U1814" s="81">
        <f t="shared" si="144"/>
        <v>7.6084478366728048E-3</v>
      </c>
      <c r="W1814" s="80">
        <v>0.9923915521633272</v>
      </c>
    </row>
    <row r="1815" spans="2:23" x14ac:dyDescent="0.3">
      <c r="B1815">
        <v>89</v>
      </c>
      <c r="C1815">
        <v>2</v>
      </c>
      <c r="D1815">
        <v>0</v>
      </c>
      <c r="R1815" s="73">
        <f t="shared" si="142"/>
        <v>0</v>
      </c>
      <c r="S1815" s="74">
        <f t="shared" si="143"/>
        <v>0</v>
      </c>
      <c r="U1815" s="81">
        <f t="shared" si="144"/>
        <v>0</v>
      </c>
      <c r="W1815" s="80">
        <v>1</v>
      </c>
    </row>
    <row r="1816" spans="2:23" x14ac:dyDescent="0.3">
      <c r="B1816">
        <v>89</v>
      </c>
      <c r="C1816">
        <v>2</v>
      </c>
      <c r="D1816">
        <v>20</v>
      </c>
      <c r="R1816" s="73">
        <f t="shared" si="142"/>
        <v>3.9317877074108721E-4</v>
      </c>
      <c r="S1816" s="74">
        <f t="shared" si="143"/>
        <v>3.9317877074108721E-4</v>
      </c>
      <c r="U1816" s="81">
        <f t="shared" si="144"/>
        <v>7.863575414821744E-3</v>
      </c>
      <c r="W1816" s="80">
        <v>0.99213642458517826</v>
      </c>
    </row>
    <row r="1817" spans="2:23" x14ac:dyDescent="0.3">
      <c r="B1817">
        <v>89</v>
      </c>
      <c r="C1817">
        <v>2</v>
      </c>
      <c r="D1817">
        <v>40</v>
      </c>
      <c r="R1817" s="73">
        <f t="shared" si="142"/>
        <v>8.9875547979034737E-5</v>
      </c>
      <c r="S1817" s="74">
        <f t="shared" si="143"/>
        <v>9.0587892704990217E-5</v>
      </c>
      <c r="U1817" s="81">
        <f t="shared" si="144"/>
        <v>9.6610863744024389E-3</v>
      </c>
      <c r="W1817" s="80">
        <v>0.99033891362559756</v>
      </c>
    </row>
    <row r="1818" spans="2:23" x14ac:dyDescent="0.3">
      <c r="B1818">
        <v>89</v>
      </c>
      <c r="C1818">
        <v>2</v>
      </c>
      <c r="D1818">
        <v>60</v>
      </c>
      <c r="R1818" s="73">
        <f t="shared" si="142"/>
        <v>6.1818411878661328E-5</v>
      </c>
      <c r="S1818" s="74">
        <f t="shared" si="143"/>
        <v>6.2421471102600822E-5</v>
      </c>
      <c r="U1818" s="81">
        <f t="shared" si="144"/>
        <v>1.0897454611975665E-2</v>
      </c>
      <c r="W1818" s="80">
        <v>0.98910254538802433</v>
      </c>
    </row>
    <row r="1819" spans="2:23" x14ac:dyDescent="0.3">
      <c r="B1819">
        <v>89</v>
      </c>
      <c r="C1819">
        <v>2</v>
      </c>
      <c r="D1819">
        <v>80</v>
      </c>
      <c r="R1819" s="73">
        <f t="shared" si="142"/>
        <v>4.8601516228802263E-5</v>
      </c>
      <c r="S1819" s="74">
        <f t="shared" si="143"/>
        <v>4.9136984284815408E-5</v>
      </c>
      <c r="U1819" s="81">
        <f t="shared" si="144"/>
        <v>1.1869484936551711E-2</v>
      </c>
      <c r="W1819" s="80">
        <v>0.98813051506344829</v>
      </c>
    </row>
    <row r="1820" spans="2:23" x14ac:dyDescent="0.3">
      <c r="B1820">
        <v>89</v>
      </c>
      <c r="C1820">
        <v>2</v>
      </c>
      <c r="D1820">
        <v>100</v>
      </c>
      <c r="R1820" s="73">
        <f t="shared" si="142"/>
        <v>4.0664298180992378E-5</v>
      </c>
      <c r="S1820" s="74">
        <f t="shared" si="143"/>
        <v>4.115276024886379E-5</v>
      </c>
      <c r="U1820" s="81">
        <f t="shared" si="144"/>
        <v>1.2682770900171558E-2</v>
      </c>
      <c r="W1820" s="80">
        <v>0.98731722909982844</v>
      </c>
    </row>
    <row r="1821" spans="2:23" x14ac:dyDescent="0.3">
      <c r="B1821">
        <v>89</v>
      </c>
      <c r="C1821">
        <v>2</v>
      </c>
      <c r="D1821">
        <v>120</v>
      </c>
      <c r="R1821" s="73">
        <f t="shared" si="142"/>
        <v>3.5284997804962972E-5</v>
      </c>
      <c r="S1821" s="74">
        <f t="shared" si="143"/>
        <v>3.5738257942823035E-5</v>
      </c>
      <c r="U1821" s="81">
        <f t="shared" si="144"/>
        <v>1.3388470856270818E-2</v>
      </c>
      <c r="W1821" s="80">
        <v>0.98661152914372918</v>
      </c>
    </row>
    <row r="1822" spans="2:23" x14ac:dyDescent="0.3">
      <c r="B1822">
        <v>89</v>
      </c>
      <c r="C1822">
        <v>2</v>
      </c>
      <c r="D1822">
        <v>140</v>
      </c>
      <c r="R1822" s="73">
        <f t="shared" si="142"/>
        <v>3.1360458433410399E-5</v>
      </c>
      <c r="S1822" s="74">
        <f t="shared" si="143"/>
        <v>3.1786024698725999E-5</v>
      </c>
      <c r="U1822" s="81">
        <f t="shared" si="144"/>
        <v>1.4015680024939026E-2</v>
      </c>
      <c r="W1822" s="80">
        <v>0.98598431997506097</v>
      </c>
    </row>
    <row r="1823" spans="2:23" x14ac:dyDescent="0.3">
      <c r="B1823">
        <v>89</v>
      </c>
      <c r="C1823">
        <v>2</v>
      </c>
      <c r="D1823">
        <v>160</v>
      </c>
      <c r="R1823" s="73">
        <f t="shared" si="142"/>
        <v>2.8350731635207183E-5</v>
      </c>
      <c r="S1823" s="74">
        <f t="shared" si="143"/>
        <v>2.8753734781425606E-5</v>
      </c>
      <c r="U1823" s="81">
        <f t="shared" si="144"/>
        <v>1.4582694657643169E-2</v>
      </c>
      <c r="W1823" s="80">
        <v>0.98541730534235683</v>
      </c>
    </row>
    <row r="1824" spans="2:23" x14ac:dyDescent="0.3">
      <c r="B1824">
        <v>89</v>
      </c>
      <c r="C1824">
        <v>2</v>
      </c>
      <c r="D1824">
        <v>180</v>
      </c>
      <c r="R1824" s="73">
        <f t="shared" si="142"/>
        <v>2.5957644029722671E-5</v>
      </c>
      <c r="S1824" s="74">
        <f t="shared" si="143"/>
        <v>2.6341778137034426E-5</v>
      </c>
      <c r="U1824" s="81">
        <f t="shared" si="144"/>
        <v>1.5101847538237623E-2</v>
      </c>
      <c r="W1824" s="80">
        <v>0.98489815246176238</v>
      </c>
    </row>
    <row r="1825" spans="2:23" x14ac:dyDescent="0.3">
      <c r="B1825">
        <v>89</v>
      </c>
      <c r="C1825">
        <v>2</v>
      </c>
      <c r="D1825">
        <v>200</v>
      </c>
      <c r="R1825" s="73">
        <f t="shared" si="142"/>
        <v>2.4001983284410721E-5</v>
      </c>
      <c r="S1825" s="74">
        <f t="shared" si="143"/>
        <v>2.437001554365549E-5</v>
      </c>
      <c r="U1825" s="81">
        <f t="shared" si="144"/>
        <v>1.5581887203925837E-2</v>
      </c>
      <c r="W1825" s="80">
        <v>0.98441811279607416</v>
      </c>
    </row>
    <row r="1826" spans="2:23" x14ac:dyDescent="0.3">
      <c r="B1826">
        <v>89</v>
      </c>
      <c r="C1826">
        <v>2</v>
      </c>
      <c r="D1826">
        <v>220</v>
      </c>
      <c r="R1826" s="73">
        <f t="shared" si="142"/>
        <v>2.2369027953833552E-5</v>
      </c>
      <c r="S1826" s="74">
        <f t="shared" si="143"/>
        <v>2.2723096683276266E-5</v>
      </c>
      <c r="U1826" s="81">
        <f t="shared" si="144"/>
        <v>1.6029267763002508E-2</v>
      </c>
      <c r="W1826" s="80">
        <v>0.98397073223699749</v>
      </c>
    </row>
    <row r="1827" spans="2:23" x14ac:dyDescent="0.3">
      <c r="B1827">
        <v>89</v>
      </c>
      <c r="C1827">
        <v>2</v>
      </c>
      <c r="D1827">
        <v>240</v>
      </c>
      <c r="R1827" s="73">
        <f t="shared" si="142"/>
        <v>2.0981660954388915E-5</v>
      </c>
      <c r="S1827" s="74">
        <f t="shared" si="143"/>
        <v>2.1323460410949812E-5</v>
      </c>
      <c r="U1827" s="81">
        <f t="shared" si="144"/>
        <v>1.6448900982090287E-2</v>
      </c>
      <c r="W1827" s="80">
        <v>0.98355109901790971</v>
      </c>
    </row>
    <row r="1828" spans="2:23" x14ac:dyDescent="0.3">
      <c r="B1828">
        <v>89</v>
      </c>
      <c r="C1828">
        <v>2</v>
      </c>
      <c r="D1828">
        <v>260</v>
      </c>
      <c r="R1828" s="73">
        <f t="shared" si="142"/>
        <v>1.9785977491332263E-5</v>
      </c>
      <c r="S1828" s="74">
        <f t="shared" si="143"/>
        <v>2.0116878026051573E-5</v>
      </c>
      <c r="U1828" s="81">
        <f t="shared" si="144"/>
        <v>1.6844620531916932E-2</v>
      </c>
      <c r="W1828" s="80">
        <v>0.98315537946808307</v>
      </c>
    </row>
    <row r="1829" spans="2:23" x14ac:dyDescent="0.3">
      <c r="B1829">
        <v>89</v>
      </c>
      <c r="C1829">
        <v>2</v>
      </c>
      <c r="D1829">
        <v>280</v>
      </c>
      <c r="R1829" s="73">
        <f t="shared" si="142"/>
        <v>1.8743073440757873E-5</v>
      </c>
      <c r="S1829" s="74">
        <f t="shared" si="143"/>
        <v>1.9064202700999759E-5</v>
      </c>
      <c r="U1829" s="81">
        <f t="shared" si="144"/>
        <v>1.7219482000732089E-2</v>
      </c>
      <c r="W1829" s="80">
        <v>0.98278051799926791</v>
      </c>
    </row>
    <row r="1830" spans="2:23" x14ac:dyDescent="0.3">
      <c r="B1830">
        <v>89</v>
      </c>
      <c r="C1830">
        <v>2</v>
      </c>
      <c r="D1830">
        <v>300</v>
      </c>
      <c r="R1830" s="73">
        <f t="shared" si="142"/>
        <v>1.7824111640746267E-5</v>
      </c>
      <c r="S1830" s="74">
        <f t="shared" si="143"/>
        <v>1.8136411247785379E-5</v>
      </c>
      <c r="U1830" s="81">
        <f t="shared" si="144"/>
        <v>1.7575964233547015E-2</v>
      </c>
      <c r="W1830" s="80">
        <v>0.98242403576645299</v>
      </c>
    </row>
    <row r="1831" spans="2:23" x14ac:dyDescent="0.3">
      <c r="B1831">
        <v>89</v>
      </c>
      <c r="C1831">
        <v>2</v>
      </c>
      <c r="D1831">
        <v>320</v>
      </c>
      <c r="R1831" s="73">
        <f t="shared" si="142"/>
        <v>1.700722813238187E-5</v>
      </c>
      <c r="S1831" s="74">
        <f t="shared" si="143"/>
        <v>1.7311494337690364E-5</v>
      </c>
      <c r="U1831" s="81">
        <f t="shared" si="144"/>
        <v>1.7916108796194652E-2</v>
      </c>
      <c r="W1831" s="80">
        <v>0.98208389120380535</v>
      </c>
    </row>
    <row r="1832" spans="2:23" x14ac:dyDescent="0.3">
      <c r="B1832">
        <v>89</v>
      </c>
      <c r="C1832">
        <v>2</v>
      </c>
      <c r="D1832">
        <v>340</v>
      </c>
      <c r="R1832" s="73">
        <f t="shared" si="142"/>
        <v>1.6275521049252673E-5</v>
      </c>
      <c r="S1832" s="74">
        <f t="shared" si="143"/>
        <v>1.6572434590391953E-5</v>
      </c>
      <c r="U1832" s="81">
        <f t="shared" si="144"/>
        <v>1.8241619217179705E-2</v>
      </c>
      <c r="W1832" s="80">
        <v>0.98175838078282029</v>
      </c>
    </row>
    <row r="1833" spans="2:23" x14ac:dyDescent="0.3">
      <c r="B1833">
        <v>89</v>
      </c>
      <c r="C1833">
        <v>2</v>
      </c>
      <c r="D1833">
        <v>360</v>
      </c>
      <c r="R1833" s="73">
        <f t="shared" si="142"/>
        <v>1.5615702448712464E-5</v>
      </c>
      <c r="S1833" s="74">
        <f t="shared" si="143"/>
        <v>1.5905850924604322E-5</v>
      </c>
      <c r="U1833" s="81">
        <f t="shared" si="144"/>
        <v>1.8553933266153955E-2</v>
      </c>
      <c r="W1833" s="80">
        <v>0.98144606673384605</v>
      </c>
    </row>
    <row r="1834" spans="2:23" x14ac:dyDescent="0.3">
      <c r="B1834">
        <v>89</v>
      </c>
      <c r="C1834">
        <v>2</v>
      </c>
      <c r="D1834">
        <v>380</v>
      </c>
      <c r="R1834" s="73">
        <f t="shared" si="142"/>
        <v>1.5017170191911066E-5</v>
      </c>
      <c r="S1834" s="74">
        <f t="shared" si="143"/>
        <v>1.5301065133295304E-5</v>
      </c>
      <c r="U1834" s="81">
        <f t="shared" si="144"/>
        <v>1.8854276669992176E-2</v>
      </c>
      <c r="W1834" s="80">
        <v>0.98114572333000782</v>
      </c>
    </row>
    <row r="1835" spans="2:23" x14ac:dyDescent="0.3">
      <c r="B1835">
        <v>90</v>
      </c>
      <c r="C1835">
        <v>2</v>
      </c>
      <c r="D1835">
        <v>0</v>
      </c>
      <c r="R1835" s="73">
        <f t="shared" si="142"/>
        <v>0</v>
      </c>
      <c r="S1835" s="74">
        <f t="shared" si="143"/>
        <v>0</v>
      </c>
      <c r="U1835" s="81">
        <f t="shared" si="144"/>
        <v>0</v>
      </c>
      <c r="W1835" s="80">
        <v>1</v>
      </c>
    </row>
    <row r="1836" spans="2:23" x14ac:dyDescent="0.3">
      <c r="B1836">
        <v>90</v>
      </c>
      <c r="C1836">
        <v>2</v>
      </c>
      <c r="D1836">
        <v>20</v>
      </c>
      <c r="R1836" s="73">
        <f t="shared" si="142"/>
        <v>1.4279218327228893E-4</v>
      </c>
      <c r="S1836" s="74">
        <f t="shared" si="143"/>
        <v>1.4279218327228893E-4</v>
      </c>
      <c r="U1836" s="81">
        <f t="shared" si="144"/>
        <v>2.8558436654457786E-3</v>
      </c>
      <c r="W1836" s="80">
        <v>0.99714415633455422</v>
      </c>
    </row>
    <row r="1837" spans="2:23" x14ac:dyDescent="0.3">
      <c r="B1837">
        <v>90</v>
      </c>
      <c r="C1837">
        <v>2</v>
      </c>
      <c r="D1837">
        <v>40</v>
      </c>
      <c r="R1837" s="73">
        <f t="shared" ref="R1837:R1900" si="145">IF(D1837&gt;D1836,(U1837-U1836)/1/(D1837-D1836),0)</f>
        <v>2.7370773318680099E-5</v>
      </c>
      <c r="S1837" s="74">
        <f t="shared" si="143"/>
        <v>2.7449163839352496E-5</v>
      </c>
      <c r="U1837" s="81">
        <f t="shared" si="144"/>
        <v>3.4032591318193806E-3</v>
      </c>
      <c r="W1837" s="80">
        <v>0.99659674086818062</v>
      </c>
    </row>
    <row r="1838" spans="2:23" x14ac:dyDescent="0.3">
      <c r="B1838">
        <v>90</v>
      </c>
      <c r="C1838">
        <v>2</v>
      </c>
      <c r="D1838">
        <v>60</v>
      </c>
      <c r="R1838" s="73">
        <f t="shared" si="145"/>
        <v>1.8382517272780285E-5</v>
      </c>
      <c r="S1838" s="74">
        <f t="shared" si="143"/>
        <v>1.8445291379105296E-5</v>
      </c>
      <c r="U1838" s="81">
        <f t="shared" si="144"/>
        <v>3.7709094772749863E-3</v>
      </c>
      <c r="W1838" s="80">
        <v>0.99622909052272501</v>
      </c>
    </row>
    <row r="1839" spans="2:23" x14ac:dyDescent="0.3">
      <c r="B1839">
        <v>90</v>
      </c>
      <c r="C1839">
        <v>2</v>
      </c>
      <c r="D1839">
        <v>80</v>
      </c>
      <c r="R1839" s="73">
        <f t="shared" si="145"/>
        <v>1.4234756343711741E-5</v>
      </c>
      <c r="S1839" s="74">
        <f t="shared" si="143"/>
        <v>1.428863750228646E-5</v>
      </c>
      <c r="U1839" s="81">
        <f t="shared" si="144"/>
        <v>4.0556046041492211E-3</v>
      </c>
      <c r="W1839" s="80">
        <v>0.99594439539585078</v>
      </c>
    </row>
    <row r="1840" spans="2:23" x14ac:dyDescent="0.3">
      <c r="B1840">
        <v>90</v>
      </c>
      <c r="C1840">
        <v>2</v>
      </c>
      <c r="D1840">
        <v>100</v>
      </c>
      <c r="R1840" s="73">
        <f t="shared" si="145"/>
        <v>1.1777341358304439E-5</v>
      </c>
      <c r="S1840" s="74">
        <f t="shared" si="143"/>
        <v>1.1825300099834774E-5</v>
      </c>
      <c r="U1840" s="81">
        <f t="shared" si="144"/>
        <v>4.2911514313153098E-3</v>
      </c>
      <c r="W1840" s="80">
        <v>0.99570884856868469</v>
      </c>
    </row>
    <row r="1841" spans="2:23" x14ac:dyDescent="0.3">
      <c r="B1841">
        <v>90</v>
      </c>
      <c r="C1841">
        <v>2</v>
      </c>
      <c r="D1841">
        <v>120</v>
      </c>
      <c r="R1841" s="73">
        <f t="shared" si="145"/>
        <v>1.0128784152474424E-5</v>
      </c>
      <c r="S1841" s="74">
        <f t="shared" si="143"/>
        <v>1.0172435614119917E-5</v>
      </c>
      <c r="U1841" s="81">
        <f t="shared" si="144"/>
        <v>4.4937271143647983E-3</v>
      </c>
      <c r="W1841" s="80">
        <v>0.9955062728856352</v>
      </c>
    </row>
    <row r="1842" spans="2:23" x14ac:dyDescent="0.3">
      <c r="B1842">
        <v>90</v>
      </c>
      <c r="C1842">
        <v>2</v>
      </c>
      <c r="D1842">
        <v>140</v>
      </c>
      <c r="R1842" s="73">
        <f t="shared" si="145"/>
        <v>8.935913537555517E-6</v>
      </c>
      <c r="S1842" s="74">
        <f t="shared" si="143"/>
        <v>8.9762503571708636E-6</v>
      </c>
      <c r="U1842" s="81">
        <f t="shared" si="144"/>
        <v>4.6724453851159087E-3</v>
      </c>
      <c r="W1842" s="80">
        <v>0.99532755461488409</v>
      </c>
    </row>
    <row r="1843" spans="2:23" x14ac:dyDescent="0.3">
      <c r="B1843">
        <v>90</v>
      </c>
      <c r="C1843">
        <v>2</v>
      </c>
      <c r="D1843">
        <v>160</v>
      </c>
      <c r="R1843" s="73">
        <f t="shared" si="145"/>
        <v>8.0273975505529289E-6</v>
      </c>
      <c r="S1843" s="74">
        <f t="shared" si="143"/>
        <v>8.0650812019957787E-6</v>
      </c>
      <c r="U1843" s="81">
        <f t="shared" si="144"/>
        <v>4.8329933361269672E-3</v>
      </c>
      <c r="W1843" s="80">
        <v>0.99516700666387303</v>
      </c>
    </row>
    <row r="1844" spans="2:23" x14ac:dyDescent="0.3">
      <c r="B1844">
        <v>90</v>
      </c>
      <c r="C1844">
        <v>2</v>
      </c>
      <c r="D1844">
        <v>180</v>
      </c>
      <c r="R1844" s="73">
        <f t="shared" si="145"/>
        <v>7.309309097236483E-6</v>
      </c>
      <c r="S1844" s="74">
        <f t="shared" si="143"/>
        <v>7.3448064980969277E-6</v>
      </c>
      <c r="U1844" s="81">
        <f t="shared" si="144"/>
        <v>4.9791795180716969E-3</v>
      </c>
      <c r="W1844" s="80">
        <v>0.9950208204819283</v>
      </c>
    </row>
    <row r="1845" spans="2:23" x14ac:dyDescent="0.3">
      <c r="B1845">
        <v>90</v>
      </c>
      <c r="C1845">
        <v>2</v>
      </c>
      <c r="D1845">
        <v>200</v>
      </c>
      <c r="R1845" s="73">
        <f t="shared" si="145"/>
        <v>6.7255433742585689E-6</v>
      </c>
      <c r="S1845" s="74">
        <f t="shared" si="143"/>
        <v>6.7591986376738533E-6</v>
      </c>
      <c r="U1845" s="81">
        <f t="shared" si="144"/>
        <v>5.1136903855568683E-3</v>
      </c>
      <c r="W1845" s="80">
        <v>0.99488630961444313</v>
      </c>
    </row>
    <row r="1846" spans="2:23" x14ac:dyDescent="0.3">
      <c r="B1846">
        <v>90</v>
      </c>
      <c r="C1846">
        <v>2</v>
      </c>
      <c r="D1846">
        <v>220</v>
      </c>
      <c r="R1846" s="73">
        <f t="shared" si="145"/>
        <v>6.2403786229348061E-6</v>
      </c>
      <c r="S1846" s="74">
        <f t="shared" si="143"/>
        <v>6.2724540107031859E-6</v>
      </c>
      <c r="U1846" s="81">
        <f t="shared" si="144"/>
        <v>5.2384979580155644E-3</v>
      </c>
      <c r="W1846" s="80">
        <v>0.99476150204198444</v>
      </c>
    </row>
    <row r="1847" spans="2:23" x14ac:dyDescent="0.3">
      <c r="B1847">
        <v>90</v>
      </c>
      <c r="C1847">
        <v>2</v>
      </c>
      <c r="D1847">
        <v>240</v>
      </c>
      <c r="R1847" s="73">
        <f t="shared" si="145"/>
        <v>5.829916953192793E-6</v>
      </c>
      <c r="S1847" s="74">
        <f t="shared" si="143"/>
        <v>5.8606177875053497E-6</v>
      </c>
      <c r="U1847" s="81">
        <f t="shared" si="144"/>
        <v>5.3550962970794203E-3</v>
      </c>
      <c r="W1847" s="80">
        <v>0.99464490370292058</v>
      </c>
    </row>
    <row r="1848" spans="2:23" x14ac:dyDescent="0.3">
      <c r="B1848">
        <v>90</v>
      </c>
      <c r="C1848">
        <v>2</v>
      </c>
      <c r="D1848">
        <v>260</v>
      </c>
      <c r="R1848" s="73">
        <f t="shared" si="145"/>
        <v>5.4775255142303079E-6</v>
      </c>
      <c r="S1848" s="74">
        <f t="shared" si="143"/>
        <v>5.5070161158402009E-6</v>
      </c>
      <c r="U1848" s="81">
        <f t="shared" si="144"/>
        <v>5.4646468073640264E-3</v>
      </c>
      <c r="W1848" s="80">
        <v>0.99453535319263597</v>
      </c>
    </row>
    <row r="1849" spans="2:23" x14ac:dyDescent="0.3">
      <c r="B1849">
        <v>90</v>
      </c>
      <c r="C1849">
        <v>2</v>
      </c>
      <c r="D1849">
        <v>280</v>
      </c>
      <c r="R1849" s="73">
        <f t="shared" si="145"/>
        <v>5.1712469363751625E-6</v>
      </c>
      <c r="S1849" s="74">
        <f t="shared" si="143"/>
        <v>5.1996612486167903E-6</v>
      </c>
      <c r="U1849" s="81">
        <f t="shared" si="144"/>
        <v>5.5680717460915297E-3</v>
      </c>
      <c r="W1849" s="80">
        <v>0.99443192825390847</v>
      </c>
    </row>
    <row r="1850" spans="2:23" x14ac:dyDescent="0.3">
      <c r="B1850">
        <v>90</v>
      </c>
      <c r="C1850">
        <v>2</v>
      </c>
      <c r="D1850">
        <v>300</v>
      </c>
      <c r="R1850" s="73">
        <f t="shared" si="145"/>
        <v>4.9022497157935609E-6</v>
      </c>
      <c r="S1850" s="74">
        <f t="shared" si="143"/>
        <v>4.9296986314601399E-6</v>
      </c>
      <c r="U1850" s="81">
        <f t="shared" si="144"/>
        <v>5.6661167404074009E-3</v>
      </c>
      <c r="W1850" s="80">
        <v>0.9943338832595926</v>
      </c>
    </row>
    <row r="1851" spans="2:23" x14ac:dyDescent="0.3">
      <c r="B1851">
        <v>90</v>
      </c>
      <c r="C1851">
        <v>2</v>
      </c>
      <c r="D1851">
        <v>320</v>
      </c>
      <c r="R1851" s="73">
        <f t="shared" si="145"/>
        <v>4.6638600643800208E-6</v>
      </c>
      <c r="S1851" s="74">
        <f t="shared" si="143"/>
        <v>4.6904366258656586E-6</v>
      </c>
      <c r="U1851" s="81">
        <f t="shared" si="144"/>
        <v>5.7593939416950013E-3</v>
      </c>
      <c r="W1851" s="80">
        <v>0.994240606058305</v>
      </c>
    </row>
    <row r="1852" spans="2:23" x14ac:dyDescent="0.3">
      <c r="B1852">
        <v>90</v>
      </c>
      <c r="C1852">
        <v>2</v>
      </c>
      <c r="D1852">
        <v>340</v>
      </c>
      <c r="R1852" s="73">
        <f t="shared" si="145"/>
        <v>4.4509346819154859E-6</v>
      </c>
      <c r="S1852" s="74">
        <f t="shared" si="143"/>
        <v>4.4767178636581158E-6</v>
      </c>
      <c r="U1852" s="81">
        <f t="shared" si="144"/>
        <v>5.848412635333311E-3</v>
      </c>
      <c r="W1852" s="80">
        <v>0.99415158736466669</v>
      </c>
    </row>
    <row r="1853" spans="2:23" x14ac:dyDescent="0.3">
      <c r="B1853">
        <v>90</v>
      </c>
      <c r="C1853">
        <v>2</v>
      </c>
      <c r="D1853">
        <v>360</v>
      </c>
      <c r="R1853" s="73">
        <f t="shared" si="145"/>
        <v>4.2594416014341E-6</v>
      </c>
      <c r="S1853" s="74">
        <f t="shared" si="143"/>
        <v>4.284499120224897E-6</v>
      </c>
      <c r="U1853" s="81">
        <f t="shared" si="144"/>
        <v>5.933601467361993E-3</v>
      </c>
      <c r="W1853" s="80">
        <v>0.99406639853263801</v>
      </c>
    </row>
    <row r="1854" spans="2:23" x14ac:dyDescent="0.3">
      <c r="B1854">
        <v>90</v>
      </c>
      <c r="C1854">
        <v>2</v>
      </c>
      <c r="D1854">
        <v>380</v>
      </c>
      <c r="R1854" s="73">
        <f t="shared" si="145"/>
        <v>4.0861724704910337E-6</v>
      </c>
      <c r="S1854" s="74">
        <f t="shared" si="143"/>
        <v>4.1105629126210456E-6</v>
      </c>
      <c r="U1854" s="81">
        <f t="shared" si="144"/>
        <v>6.0153249167718137E-3</v>
      </c>
      <c r="W1854" s="80">
        <v>0.99398467508322819</v>
      </c>
    </row>
    <row r="1855" spans="2:23" x14ac:dyDescent="0.3">
      <c r="B1855">
        <v>91</v>
      </c>
      <c r="C1855">
        <v>2</v>
      </c>
      <c r="D1855">
        <v>0</v>
      </c>
      <c r="R1855" s="73">
        <f t="shared" si="145"/>
        <v>0</v>
      </c>
      <c r="S1855" s="74">
        <f t="shared" si="143"/>
        <v>0</v>
      </c>
      <c r="U1855" s="81">
        <f t="shared" si="144"/>
        <v>0</v>
      </c>
      <c r="W1855" s="80">
        <v>1</v>
      </c>
    </row>
    <row r="1856" spans="2:23" x14ac:dyDescent="0.3">
      <c r="B1856">
        <v>91</v>
      </c>
      <c r="C1856">
        <v>2</v>
      </c>
      <c r="D1856">
        <v>20</v>
      </c>
      <c r="R1856" s="73">
        <f t="shared" si="145"/>
        <v>1.2836260602295258E-4</v>
      </c>
      <c r="S1856" s="74">
        <f t="shared" si="143"/>
        <v>1.2836260602295258E-4</v>
      </c>
      <c r="U1856" s="81">
        <f t="shared" si="144"/>
        <v>2.5672521204590515E-3</v>
      </c>
      <c r="W1856" s="80">
        <v>0.99743274787954095</v>
      </c>
    </row>
    <row r="1857" spans="2:23" x14ac:dyDescent="0.3">
      <c r="B1857">
        <v>91</v>
      </c>
      <c r="C1857">
        <v>2</v>
      </c>
      <c r="D1857">
        <v>40</v>
      </c>
      <c r="R1857" s="73">
        <f t="shared" si="145"/>
        <v>3.4564312655610552E-5</v>
      </c>
      <c r="S1857" s="74">
        <f t="shared" si="143"/>
        <v>3.4653276352808152E-5</v>
      </c>
      <c r="U1857" s="81">
        <f t="shared" si="144"/>
        <v>3.2585383735712625E-3</v>
      </c>
      <c r="W1857" s="80">
        <v>0.99674146162642874</v>
      </c>
    </row>
    <row r="1858" spans="2:23" x14ac:dyDescent="0.3">
      <c r="B1858">
        <v>91</v>
      </c>
      <c r="C1858">
        <v>2</v>
      </c>
      <c r="D1858">
        <v>60</v>
      </c>
      <c r="R1858" s="73">
        <f t="shared" si="145"/>
        <v>2.4386218318789289E-5</v>
      </c>
      <c r="S1858" s="74">
        <f t="shared" si="143"/>
        <v>2.4465941528104163E-5</v>
      </c>
      <c r="U1858" s="81">
        <f t="shared" si="144"/>
        <v>3.7462627399470483E-3</v>
      </c>
      <c r="W1858" s="80">
        <v>0.99625373726005295</v>
      </c>
    </row>
    <row r="1859" spans="2:23" x14ac:dyDescent="0.3">
      <c r="B1859">
        <v>91</v>
      </c>
      <c r="C1859">
        <v>2</v>
      </c>
      <c r="D1859">
        <v>80</v>
      </c>
      <c r="R1859" s="73">
        <f t="shared" si="145"/>
        <v>1.9485257430262858E-5</v>
      </c>
      <c r="S1859" s="74">
        <f t="shared" si="143"/>
        <v>1.9558528818021993E-5</v>
      </c>
      <c r="U1859" s="81">
        <f t="shared" si="144"/>
        <v>4.1359678885523055E-3</v>
      </c>
      <c r="W1859" s="80">
        <v>0.99586403211144769</v>
      </c>
    </row>
    <row r="1860" spans="2:23" x14ac:dyDescent="0.3">
      <c r="B1860">
        <v>91</v>
      </c>
      <c r="C1860">
        <v>2</v>
      </c>
      <c r="D1860">
        <v>100</v>
      </c>
      <c r="R1860" s="73">
        <f t="shared" si="145"/>
        <v>1.6499283603971239E-5</v>
      </c>
      <c r="S1860" s="74">
        <f t="shared" si="143"/>
        <v>1.6567807523873696E-5</v>
      </c>
      <c r="U1860" s="81">
        <f t="shared" si="144"/>
        <v>4.4659535606317302E-3</v>
      </c>
      <c r="W1860" s="80">
        <v>0.99553404643936827</v>
      </c>
    </row>
    <row r="1861" spans="2:23" x14ac:dyDescent="0.3">
      <c r="B1861">
        <v>91</v>
      </c>
      <c r="C1861">
        <v>2</v>
      </c>
      <c r="D1861">
        <v>120</v>
      </c>
      <c r="R1861" s="73">
        <f t="shared" si="145"/>
        <v>1.4453433328198706E-5</v>
      </c>
      <c r="S1861" s="74">
        <f t="shared" si="143"/>
        <v>1.4518271253397032E-5</v>
      </c>
      <c r="U1861" s="81">
        <f t="shared" si="144"/>
        <v>4.7550222271957043E-3</v>
      </c>
      <c r="W1861" s="80">
        <v>0.9952449777728043</v>
      </c>
    </row>
    <row r="1862" spans="2:23" x14ac:dyDescent="0.3">
      <c r="B1862">
        <v>91</v>
      </c>
      <c r="C1862">
        <v>2</v>
      </c>
      <c r="D1862">
        <v>140</v>
      </c>
      <c r="R1862" s="73">
        <f t="shared" si="145"/>
        <v>1.2947686436320938E-5</v>
      </c>
      <c r="S1862" s="74">
        <f t="shared" si="143"/>
        <v>1.3009547122052044E-5</v>
      </c>
      <c r="U1862" s="81">
        <f t="shared" si="144"/>
        <v>5.0139759559221231E-3</v>
      </c>
      <c r="W1862" s="80">
        <v>0.99498602404407788</v>
      </c>
    </row>
    <row r="1863" spans="2:23" x14ac:dyDescent="0.3">
      <c r="B1863">
        <v>91</v>
      </c>
      <c r="C1863">
        <v>2</v>
      </c>
      <c r="D1863">
        <v>160</v>
      </c>
      <c r="R1863" s="73">
        <f t="shared" si="145"/>
        <v>1.1784383526508569E-5</v>
      </c>
      <c r="S1863" s="74">
        <f t="shared" si="143"/>
        <v>1.1843767893956387E-5</v>
      </c>
      <c r="U1863" s="81">
        <f t="shared" si="144"/>
        <v>5.2496636264522945E-3</v>
      </c>
      <c r="W1863" s="80">
        <v>0.99475033637354771</v>
      </c>
    </row>
    <row r="1864" spans="2:23" x14ac:dyDescent="0.3">
      <c r="B1864">
        <v>91</v>
      </c>
      <c r="C1864">
        <v>2</v>
      </c>
      <c r="D1864">
        <v>180</v>
      </c>
      <c r="R1864" s="73">
        <f t="shared" si="145"/>
        <v>1.0853519908871068E-5</v>
      </c>
      <c r="S1864" s="74">
        <f t="shared" si="143"/>
        <v>1.0910797927888677E-5</v>
      </c>
      <c r="U1864" s="81">
        <f t="shared" si="144"/>
        <v>5.4667340246297158E-3</v>
      </c>
      <c r="W1864" s="80">
        <v>0.99453326597537028</v>
      </c>
    </row>
    <row r="1865" spans="2:23" x14ac:dyDescent="0.3">
      <c r="B1865">
        <v>91</v>
      </c>
      <c r="C1865">
        <v>2</v>
      </c>
      <c r="D1865">
        <v>200</v>
      </c>
      <c r="R1865" s="73">
        <f t="shared" si="145"/>
        <v>1.0088540409830538E-5</v>
      </c>
      <c r="S1865" s="74">
        <f t="shared" si="143"/>
        <v>1.0143994932071364E-5</v>
      </c>
      <c r="U1865" s="81">
        <f t="shared" si="144"/>
        <v>5.6685048328263266E-3</v>
      </c>
      <c r="W1865" s="80">
        <v>0.99433149516717367</v>
      </c>
    </row>
    <row r="1866" spans="2:23" x14ac:dyDescent="0.3">
      <c r="B1866">
        <v>91</v>
      </c>
      <c r="C1866">
        <v>2</v>
      </c>
      <c r="D1866">
        <v>220</v>
      </c>
      <c r="R1866" s="73">
        <f t="shared" si="145"/>
        <v>9.4465940089771827E-6</v>
      </c>
      <c r="S1866" s="74">
        <f t="shared" si="143"/>
        <v>9.5004473406416214E-6</v>
      </c>
      <c r="U1866" s="81">
        <f t="shared" si="144"/>
        <v>5.8574367130058702E-3</v>
      </c>
      <c r="W1866" s="80">
        <v>0.99414256328699413</v>
      </c>
    </row>
    <row r="1867" spans="2:23" x14ac:dyDescent="0.3">
      <c r="B1867">
        <v>91</v>
      </c>
      <c r="C1867">
        <v>2</v>
      </c>
      <c r="D1867">
        <v>240</v>
      </c>
      <c r="R1867" s="73">
        <f t="shared" si="145"/>
        <v>8.8987281175290096E-6</v>
      </c>
      <c r="S1867" s="74">
        <f t="shared" ref="S1867:S1930" si="146">IF(D1867&gt;D1866,(U1867-U1866)/W1866/(D1867-D1866),0)</f>
        <v>8.9511589646726354E-6</v>
      </c>
      <c r="U1867" s="81">
        <f t="shared" ref="U1867:U1894" si="147">100%-W1867</f>
        <v>6.0354112753564504E-3</v>
      </c>
      <c r="W1867" s="80">
        <v>0.99396458872464355</v>
      </c>
    </row>
    <row r="1868" spans="2:23" x14ac:dyDescent="0.3">
      <c r="B1868">
        <v>91</v>
      </c>
      <c r="C1868">
        <v>2</v>
      </c>
      <c r="D1868">
        <v>260</v>
      </c>
      <c r="R1868" s="73">
        <f t="shared" si="145"/>
        <v>8.424611640239776E-6</v>
      </c>
      <c r="S1868" s="74">
        <f t="shared" si="146"/>
        <v>8.4757663761939437E-6</v>
      </c>
      <c r="U1868" s="81">
        <f t="shared" si="147"/>
        <v>6.2039035081612459E-3</v>
      </c>
      <c r="W1868" s="80">
        <v>0.99379609649183875</v>
      </c>
    </row>
    <row r="1869" spans="2:23" x14ac:dyDescent="0.3">
      <c r="B1869">
        <v>91</v>
      </c>
      <c r="C1869">
        <v>2</v>
      </c>
      <c r="D1869">
        <v>280</v>
      </c>
      <c r="R1869" s="73">
        <f t="shared" si="145"/>
        <v>8.0095097946986098E-6</v>
      </c>
      <c r="S1869" s="74">
        <f t="shared" si="146"/>
        <v>8.0595102184167073E-6</v>
      </c>
      <c r="U1869" s="81">
        <f t="shared" si="147"/>
        <v>6.3640937040552181E-3</v>
      </c>
      <c r="W1869" s="80">
        <v>0.99363590629594478</v>
      </c>
    </row>
    <row r="1870" spans="2:23" x14ac:dyDescent="0.3">
      <c r="B1870">
        <v>91</v>
      </c>
      <c r="C1870">
        <v>2</v>
      </c>
      <c r="D1870">
        <v>300</v>
      </c>
      <c r="R1870" s="73">
        <f t="shared" si="145"/>
        <v>7.6424586986589823E-6</v>
      </c>
      <c r="S1870" s="74">
        <f t="shared" si="146"/>
        <v>7.6914075369401464E-6</v>
      </c>
      <c r="U1870" s="81">
        <f t="shared" si="147"/>
        <v>6.5169428780283978E-3</v>
      </c>
      <c r="W1870" s="80">
        <v>0.9934830571219716</v>
      </c>
    </row>
    <row r="1871" spans="2:23" x14ac:dyDescent="0.3">
      <c r="B1871">
        <v>91</v>
      </c>
      <c r="C1871">
        <v>2</v>
      </c>
      <c r="D1871">
        <v>320</v>
      </c>
      <c r="R1871" s="73">
        <f t="shared" si="145"/>
        <v>7.3151162212292672E-6</v>
      </c>
      <c r="S1871" s="74">
        <f t="shared" si="146"/>
        <v>7.3631011307032063E-6</v>
      </c>
      <c r="U1871" s="81">
        <f t="shared" si="147"/>
        <v>6.6632452024529831E-3</v>
      </c>
      <c r="W1871" s="80">
        <v>0.99333675479754702</v>
      </c>
    </row>
    <row r="1872" spans="2:23" x14ac:dyDescent="0.3">
      <c r="B1872">
        <v>91</v>
      </c>
      <c r="C1872">
        <v>2</v>
      </c>
      <c r="D1872">
        <v>340</v>
      </c>
      <c r="R1872" s="73">
        <f t="shared" si="145"/>
        <v>7.0210122745439921E-6</v>
      </c>
      <c r="S1872" s="74">
        <f t="shared" si="146"/>
        <v>7.0681088167073326E-6</v>
      </c>
      <c r="U1872" s="81">
        <f t="shared" si="147"/>
        <v>6.803665447943863E-3</v>
      </c>
      <c r="W1872" s="80">
        <v>0.99319633455205614</v>
      </c>
    </row>
    <row r="1873" spans="2:23" x14ac:dyDescent="0.3">
      <c r="B1873">
        <v>91</v>
      </c>
      <c r="C1873">
        <v>2</v>
      </c>
      <c r="D1873">
        <v>360</v>
      </c>
      <c r="R1873" s="73">
        <f t="shared" si="145"/>
        <v>6.7550445566222363E-6</v>
      </c>
      <c r="S1873" s="74">
        <f t="shared" si="146"/>
        <v>6.8013184519743968E-6</v>
      </c>
      <c r="U1873" s="81">
        <f t="shared" si="147"/>
        <v>6.9387663390763077E-3</v>
      </c>
      <c r="W1873" s="80">
        <v>0.99306123366092369</v>
      </c>
    </row>
    <row r="1874" spans="2:23" x14ac:dyDescent="0.3">
      <c r="B1874">
        <v>91</v>
      </c>
      <c r="C1874">
        <v>2</v>
      </c>
      <c r="D1874">
        <v>380</v>
      </c>
      <c r="R1874" s="73">
        <f t="shared" si="145"/>
        <v>6.5131303228105343E-6</v>
      </c>
      <c r="S1874" s="74">
        <f t="shared" si="146"/>
        <v>6.5586391876358491E-6</v>
      </c>
      <c r="U1874" s="81">
        <f t="shared" si="147"/>
        <v>7.0690289455325184E-3</v>
      </c>
      <c r="W1874" s="80">
        <v>0.99293097105446748</v>
      </c>
    </row>
    <row r="1875" spans="2:23" x14ac:dyDescent="0.3">
      <c r="B1875">
        <v>92</v>
      </c>
      <c r="C1875">
        <v>2</v>
      </c>
      <c r="D1875">
        <v>0</v>
      </c>
      <c r="R1875" s="73">
        <f t="shared" si="145"/>
        <v>0</v>
      </c>
      <c r="S1875" s="74">
        <f t="shared" si="146"/>
        <v>0</v>
      </c>
      <c r="U1875" s="81">
        <f t="shared" si="147"/>
        <v>0</v>
      </c>
      <c r="W1875" s="80">
        <v>1</v>
      </c>
    </row>
    <row r="1876" spans="2:23" x14ac:dyDescent="0.3">
      <c r="B1876">
        <v>92</v>
      </c>
      <c r="C1876">
        <v>2</v>
      </c>
      <c r="D1876">
        <v>20</v>
      </c>
      <c r="R1876" s="73">
        <f t="shared" si="145"/>
        <v>6.7594696004791294E-5</v>
      </c>
      <c r="S1876" s="74">
        <f t="shared" si="146"/>
        <v>6.7594696004791294E-5</v>
      </c>
      <c r="U1876" s="81">
        <f t="shared" si="147"/>
        <v>1.3518939200958258E-3</v>
      </c>
      <c r="W1876" s="80">
        <v>0.99864810607990417</v>
      </c>
    </row>
    <row r="1877" spans="2:23" x14ac:dyDescent="0.3">
      <c r="B1877">
        <v>92</v>
      </c>
      <c r="C1877">
        <v>2</v>
      </c>
      <c r="D1877">
        <v>40</v>
      </c>
      <c r="R1877" s="73">
        <f t="shared" si="145"/>
        <v>2.2842110337406572E-5</v>
      </c>
      <c r="S1877" s="74">
        <f t="shared" si="146"/>
        <v>2.287303225064037E-5</v>
      </c>
      <c r="U1877" s="81">
        <f t="shared" si="147"/>
        <v>1.8087361268439572E-3</v>
      </c>
      <c r="W1877" s="80">
        <v>0.99819126387315604</v>
      </c>
    </row>
    <row r="1878" spans="2:23" x14ac:dyDescent="0.3">
      <c r="B1878">
        <v>92</v>
      </c>
      <c r="C1878">
        <v>2</v>
      </c>
      <c r="D1878">
        <v>60</v>
      </c>
      <c r="R1878" s="73">
        <f t="shared" si="145"/>
        <v>1.6790043234310436E-5</v>
      </c>
      <c r="S1878" s="74">
        <f t="shared" si="146"/>
        <v>1.6820467020681132E-5</v>
      </c>
      <c r="U1878" s="81">
        <f t="shared" si="147"/>
        <v>2.144536991530166E-3</v>
      </c>
      <c r="W1878" s="80">
        <v>0.99785546300846983</v>
      </c>
    </row>
    <row r="1879" spans="2:23" x14ac:dyDescent="0.3">
      <c r="B1879">
        <v>92</v>
      </c>
      <c r="C1879">
        <v>2</v>
      </c>
      <c r="D1879">
        <v>80</v>
      </c>
      <c r="R1879" s="73">
        <f t="shared" si="145"/>
        <v>1.3771045595573072E-5</v>
      </c>
      <c r="S1879" s="74">
        <f t="shared" si="146"/>
        <v>1.380064158195242E-5</v>
      </c>
      <c r="U1879" s="81">
        <f t="shared" si="147"/>
        <v>2.4199579034416274E-3</v>
      </c>
      <c r="W1879" s="80">
        <v>0.99758004209655837</v>
      </c>
    </row>
    <row r="1880" spans="2:23" x14ac:dyDescent="0.3">
      <c r="B1880">
        <v>92</v>
      </c>
      <c r="C1880">
        <v>2</v>
      </c>
      <c r="D1880">
        <v>100</v>
      </c>
      <c r="R1880" s="73">
        <f t="shared" si="145"/>
        <v>1.1888347201272075E-5</v>
      </c>
      <c r="S1880" s="74">
        <f t="shared" si="146"/>
        <v>1.191718629042237E-5</v>
      </c>
      <c r="U1880" s="81">
        <f t="shared" si="147"/>
        <v>2.6577248474670689E-3</v>
      </c>
      <c r="W1880" s="80">
        <v>0.99734227515253293</v>
      </c>
    </row>
    <row r="1881" spans="2:23" x14ac:dyDescent="0.3">
      <c r="B1881">
        <v>92</v>
      </c>
      <c r="C1881">
        <v>2</v>
      </c>
      <c r="D1881">
        <v>120</v>
      </c>
      <c r="R1881" s="73">
        <f t="shared" si="145"/>
        <v>1.0575514287963772E-5</v>
      </c>
      <c r="S1881" s="74">
        <f t="shared" si="146"/>
        <v>1.0603695994282765E-5</v>
      </c>
      <c r="U1881" s="81">
        <f t="shared" si="147"/>
        <v>2.8692351332263444E-3</v>
      </c>
      <c r="W1881" s="80">
        <v>0.99713076486677366</v>
      </c>
    </row>
    <row r="1882" spans="2:23" x14ac:dyDescent="0.3">
      <c r="B1882">
        <v>92</v>
      </c>
      <c r="C1882">
        <v>2</v>
      </c>
      <c r="D1882">
        <v>140</v>
      </c>
      <c r="R1882" s="73">
        <f t="shared" si="145"/>
        <v>9.5954545687171322E-6</v>
      </c>
      <c r="S1882" s="74">
        <f t="shared" si="146"/>
        <v>9.6230654060695621E-6</v>
      </c>
      <c r="U1882" s="81">
        <f t="shared" si="147"/>
        <v>3.061144224600687E-3</v>
      </c>
      <c r="W1882" s="80">
        <v>0.99693885577539931</v>
      </c>
    </row>
    <row r="1883" spans="2:23" x14ac:dyDescent="0.3">
      <c r="B1883">
        <v>92</v>
      </c>
      <c r="C1883">
        <v>2</v>
      </c>
      <c r="D1883">
        <v>160</v>
      </c>
      <c r="R1883" s="73">
        <f t="shared" si="145"/>
        <v>8.8292067918160907E-6</v>
      </c>
      <c r="S1883" s="74">
        <f t="shared" si="146"/>
        <v>8.8563172562362503E-6</v>
      </c>
      <c r="U1883" s="81">
        <f t="shared" si="147"/>
        <v>3.2377283604370088E-3</v>
      </c>
      <c r="W1883" s="80">
        <v>0.99676227163956299</v>
      </c>
    </row>
    <row r="1884" spans="2:23" x14ac:dyDescent="0.3">
      <c r="B1884">
        <v>92</v>
      </c>
      <c r="C1884">
        <v>2</v>
      </c>
      <c r="D1884">
        <v>180</v>
      </c>
      <c r="R1884" s="73">
        <f t="shared" si="145"/>
        <v>8.2097278249815279E-6</v>
      </c>
      <c r="S1884" s="74">
        <f t="shared" si="146"/>
        <v>8.2363950347733767E-6</v>
      </c>
      <c r="U1884" s="81">
        <f t="shared" si="147"/>
        <v>3.4019229169366394E-3</v>
      </c>
      <c r="W1884" s="80">
        <v>0.99659807708306336</v>
      </c>
    </row>
    <row r="1885" spans="2:23" x14ac:dyDescent="0.3">
      <c r="B1885">
        <v>92</v>
      </c>
      <c r="C1885">
        <v>2</v>
      </c>
      <c r="D1885">
        <v>200</v>
      </c>
      <c r="R1885" s="73">
        <f t="shared" si="145"/>
        <v>7.6960194764663641E-6</v>
      </c>
      <c r="S1885" s="74">
        <f t="shared" si="146"/>
        <v>7.7222901121701895E-6</v>
      </c>
      <c r="U1885" s="81">
        <f t="shared" si="147"/>
        <v>3.5558433064659667E-3</v>
      </c>
      <c r="W1885" s="80">
        <v>0.99644415669353403</v>
      </c>
    </row>
    <row r="1886" spans="2:23" x14ac:dyDescent="0.3">
      <c r="B1886">
        <v>92</v>
      </c>
      <c r="C1886">
        <v>2</v>
      </c>
      <c r="D1886">
        <v>220</v>
      </c>
      <c r="R1886" s="73">
        <f t="shared" si="145"/>
        <v>7.2614384210467621E-6</v>
      </c>
      <c r="S1886" s="74">
        <f t="shared" si="146"/>
        <v>7.2873510996764139E-6</v>
      </c>
      <c r="U1886" s="81">
        <f t="shared" si="147"/>
        <v>3.7010720748869019E-3</v>
      </c>
      <c r="W1886" s="80">
        <v>0.9962989279251131</v>
      </c>
    </row>
    <row r="1887" spans="2:23" x14ac:dyDescent="0.3">
      <c r="B1887">
        <v>92</v>
      </c>
      <c r="C1887">
        <v>2</v>
      </c>
      <c r="D1887">
        <v>240</v>
      </c>
      <c r="R1887" s="73">
        <f t="shared" si="145"/>
        <v>6.8878335508448792E-6</v>
      </c>
      <c r="S1887" s="74">
        <f t="shared" si="146"/>
        <v>6.9134206188392129E-6</v>
      </c>
      <c r="U1887" s="81">
        <f t="shared" si="147"/>
        <v>3.8388287459037995E-3</v>
      </c>
      <c r="W1887" s="80">
        <v>0.9961611712540962</v>
      </c>
    </row>
    <row r="1888" spans="2:23" x14ac:dyDescent="0.3">
      <c r="B1888">
        <v>92</v>
      </c>
      <c r="C1888">
        <v>2</v>
      </c>
      <c r="D1888">
        <v>260</v>
      </c>
      <c r="R1888" s="73">
        <f t="shared" si="145"/>
        <v>6.5623637203637843E-6</v>
      </c>
      <c r="S1888" s="74">
        <f t="shared" si="146"/>
        <v>6.5876525904962078E-6</v>
      </c>
      <c r="U1888" s="81">
        <f t="shared" si="147"/>
        <v>3.9700760203110752E-3</v>
      </c>
      <c r="W1888" s="80">
        <v>0.99602992397968892</v>
      </c>
    </row>
    <row r="1889" spans="2:23" x14ac:dyDescent="0.3">
      <c r="B1889">
        <v>92</v>
      </c>
      <c r="C1889">
        <v>2</v>
      </c>
      <c r="D1889">
        <v>280</v>
      </c>
      <c r="R1889" s="73">
        <f t="shared" si="145"/>
        <v>6.2756593478319193E-6</v>
      </c>
      <c r="S1889" s="74">
        <f t="shared" si="146"/>
        <v>6.3006735006084937E-6</v>
      </c>
      <c r="U1889" s="81">
        <f t="shared" si="147"/>
        <v>4.0955892072677136E-3</v>
      </c>
      <c r="W1889" s="80">
        <v>0.99590441079273229</v>
      </c>
    </row>
    <row r="1890" spans="2:23" x14ac:dyDescent="0.3">
      <c r="B1890">
        <v>92</v>
      </c>
      <c r="C1890">
        <v>2</v>
      </c>
      <c r="D1890">
        <v>300</v>
      </c>
      <c r="R1890" s="73">
        <f t="shared" si="145"/>
        <v>6.0207053884542285E-6</v>
      </c>
      <c r="S1890" s="74">
        <f t="shared" si="146"/>
        <v>6.0454651301943656E-6</v>
      </c>
      <c r="U1890" s="81">
        <f t="shared" si="147"/>
        <v>4.2160033150367981E-3</v>
      </c>
      <c r="W1890" s="80">
        <v>0.9957839966849632</v>
      </c>
    </row>
    <row r="1891" spans="2:23" x14ac:dyDescent="0.3">
      <c r="B1891">
        <v>92</v>
      </c>
      <c r="C1891">
        <v>2</v>
      </c>
      <c r="D1891">
        <v>320</v>
      </c>
      <c r="R1891" s="73">
        <f t="shared" si="145"/>
        <v>5.7921336652166918E-6</v>
      </c>
      <c r="S1891" s="74">
        <f t="shared" si="146"/>
        <v>5.8166567091850472E-6</v>
      </c>
      <c r="U1891" s="81">
        <f t="shared" si="147"/>
        <v>4.331845988341132E-3</v>
      </c>
      <c r="W1891" s="80">
        <v>0.99566815401165887</v>
      </c>
    </row>
    <row r="1892" spans="2:23" x14ac:dyDescent="0.3">
      <c r="B1892">
        <v>92</v>
      </c>
      <c r="C1892">
        <v>2</v>
      </c>
      <c r="D1892">
        <v>340</v>
      </c>
      <c r="R1892" s="73">
        <f t="shared" si="145"/>
        <v>5.5857584834062559E-6</v>
      </c>
      <c r="S1892" s="74">
        <f t="shared" si="146"/>
        <v>5.6100604010488904E-6</v>
      </c>
      <c r="U1892" s="81">
        <f t="shared" si="147"/>
        <v>4.4435611580092571E-3</v>
      </c>
      <c r="W1892" s="80">
        <v>0.99555643884199074</v>
      </c>
    </row>
    <row r="1893" spans="2:23" x14ac:dyDescent="0.3">
      <c r="B1893">
        <v>92</v>
      </c>
      <c r="C1893">
        <v>2</v>
      </c>
      <c r="D1893">
        <v>360</v>
      </c>
      <c r="R1893" s="73">
        <f t="shared" si="145"/>
        <v>5.3982625909387849E-6</v>
      </c>
      <c r="S1893" s="74">
        <f t="shared" si="146"/>
        <v>5.4223571666292716E-6</v>
      </c>
      <c r="U1893" s="81">
        <f t="shared" si="147"/>
        <v>4.5515264098280328E-3</v>
      </c>
      <c r="W1893" s="80">
        <v>0.99544847359017197</v>
      </c>
    </row>
    <row r="1894" spans="2:23" x14ac:dyDescent="0.3">
      <c r="B1894">
        <v>92</v>
      </c>
      <c r="C1894">
        <v>2</v>
      </c>
      <c r="D1894">
        <v>380</v>
      </c>
      <c r="R1894" s="73">
        <f t="shared" si="145"/>
        <v>5.2269792148895712E-6</v>
      </c>
      <c r="S1894" s="74">
        <f t="shared" si="146"/>
        <v>5.2508787280953004E-6</v>
      </c>
      <c r="U1894" s="81">
        <f t="shared" si="147"/>
        <v>4.6560659941258242E-3</v>
      </c>
      <c r="W1894" s="80">
        <v>0.99534393400587418</v>
      </c>
    </row>
    <row r="1895" spans="2:23" x14ac:dyDescent="0.3">
      <c r="B1895">
        <v>93</v>
      </c>
      <c r="C1895">
        <v>3</v>
      </c>
      <c r="D1895">
        <v>0</v>
      </c>
      <c r="R1895" s="73">
        <f t="shared" si="145"/>
        <v>0</v>
      </c>
      <c r="S1895" s="74">
        <f t="shared" si="146"/>
        <v>0</v>
      </c>
      <c r="U1895" s="80">
        <v>0</v>
      </c>
      <c r="W1895" s="81">
        <f>100%-U1895</f>
        <v>1</v>
      </c>
    </row>
    <row r="1896" spans="2:23" x14ac:dyDescent="0.3">
      <c r="B1896">
        <v>93</v>
      </c>
      <c r="C1896">
        <v>3</v>
      </c>
      <c r="D1896">
        <v>3</v>
      </c>
      <c r="R1896" s="73">
        <f t="shared" si="145"/>
        <v>1.4916334312770375E-4</v>
      </c>
      <c r="S1896" s="74">
        <f t="shared" si="146"/>
        <v>1.4916334312770375E-4</v>
      </c>
      <c r="U1896" s="80">
        <v>4.4749002938311127E-4</v>
      </c>
      <c r="W1896" s="81">
        <f t="shared" ref="W1896:W1959" si="148">100%-U1896</f>
        <v>0.99955250997061684</v>
      </c>
    </row>
    <row r="1897" spans="2:23" x14ac:dyDescent="0.3">
      <c r="B1897">
        <v>93</v>
      </c>
      <c r="C1897">
        <v>3</v>
      </c>
      <c r="D1897">
        <v>9</v>
      </c>
      <c r="R1897" s="73">
        <f t="shared" si="145"/>
        <v>8.242386855948629E-5</v>
      </c>
      <c r="S1897" s="74">
        <f t="shared" si="146"/>
        <v>8.2460768931398351E-5</v>
      </c>
      <c r="U1897" s="80">
        <v>9.4203324074002893E-4</v>
      </c>
      <c r="W1897" s="81">
        <f t="shared" si="148"/>
        <v>0.99905796675925995</v>
      </c>
    </row>
    <row r="1898" spans="2:23" x14ac:dyDescent="0.3">
      <c r="B1898">
        <v>93</v>
      </c>
      <c r="C1898">
        <v>3</v>
      </c>
      <c r="D1898">
        <v>20</v>
      </c>
      <c r="R1898" s="73">
        <f t="shared" si="145"/>
        <v>3.3984192327835988E-5</v>
      </c>
      <c r="S1898" s="74">
        <f t="shared" si="146"/>
        <v>3.401623675358275E-5</v>
      </c>
      <c r="U1898" s="80">
        <v>1.3158593563462248E-3</v>
      </c>
      <c r="W1898" s="81">
        <f t="shared" si="148"/>
        <v>0.99868414064365374</v>
      </c>
    </row>
    <row r="1899" spans="2:23" x14ac:dyDescent="0.3">
      <c r="B1899">
        <v>93</v>
      </c>
      <c r="C1899">
        <v>3</v>
      </c>
      <c r="D1899">
        <v>42</v>
      </c>
      <c r="R1899" s="73">
        <f t="shared" si="145"/>
        <v>2.3457721673326674E-5</v>
      </c>
      <c r="S1899" s="74">
        <f t="shared" si="146"/>
        <v>2.3488629406098437E-5</v>
      </c>
      <c r="U1899" s="80">
        <v>1.8319292331594116E-3</v>
      </c>
      <c r="W1899" s="81">
        <f t="shared" si="148"/>
        <v>0.99816807076684055</v>
      </c>
    </row>
    <row r="1900" spans="2:23" x14ac:dyDescent="0.3">
      <c r="B1900">
        <v>93</v>
      </c>
      <c r="C1900">
        <v>3</v>
      </c>
      <c r="D1900">
        <v>63</v>
      </c>
      <c r="R1900" s="73">
        <f t="shared" si="145"/>
        <v>1.3082386576134696E-5</v>
      </c>
      <c r="S1900" s="74">
        <f t="shared" si="146"/>
        <v>1.3106396567147435E-5</v>
      </c>
      <c r="U1900" s="80">
        <v>2.1066593512582403E-3</v>
      </c>
      <c r="W1900" s="81">
        <f t="shared" si="148"/>
        <v>0.9978933406487418</v>
      </c>
    </row>
    <row r="1901" spans="2:23" x14ac:dyDescent="0.3">
      <c r="B1901">
        <v>93</v>
      </c>
      <c r="C1901">
        <v>3</v>
      </c>
      <c r="D1901">
        <v>84</v>
      </c>
      <c r="R1901" s="73">
        <f t="shared" ref="R1901:R1964" si="149">IF(D1901&gt;D1900,(U1901-U1900)/1/(D1901-D1900),0)</f>
        <v>1.5466606235524746E-5</v>
      </c>
      <c r="S1901" s="74">
        <f t="shared" si="146"/>
        <v>1.5499257892100706E-5</v>
      </c>
      <c r="U1901" s="80">
        <v>2.4314580822042599E-3</v>
      </c>
      <c r="W1901" s="81">
        <f t="shared" si="148"/>
        <v>0.99756854191779576</v>
      </c>
    </row>
    <row r="1902" spans="2:23" x14ac:dyDescent="0.3">
      <c r="B1902">
        <v>93</v>
      </c>
      <c r="C1902">
        <v>3</v>
      </c>
      <c r="D1902">
        <v>133</v>
      </c>
      <c r="R1902" s="73">
        <f t="shared" si="149"/>
        <v>1.2913800078481057E-5</v>
      </c>
      <c r="S1902" s="74">
        <f t="shared" si="146"/>
        <v>1.2945275974375316E-5</v>
      </c>
      <c r="U1902" s="80">
        <v>3.0642342860498317E-3</v>
      </c>
      <c r="W1902" s="81">
        <f t="shared" si="148"/>
        <v>0.99693576571395015</v>
      </c>
    </row>
    <row r="1903" spans="2:23" x14ac:dyDescent="0.3">
      <c r="B1903">
        <v>93</v>
      </c>
      <c r="C1903">
        <v>3</v>
      </c>
      <c r="D1903">
        <v>196</v>
      </c>
      <c r="R1903" s="73">
        <f t="shared" si="149"/>
        <v>1.1323784792121037E-5</v>
      </c>
      <c r="S1903" s="74">
        <f t="shared" si="146"/>
        <v>1.1358590173572085E-5</v>
      </c>
      <c r="U1903" s="80">
        <v>3.777632727953457E-3</v>
      </c>
      <c r="W1903" s="81">
        <f t="shared" si="148"/>
        <v>0.99622236727204649</v>
      </c>
    </row>
    <row r="1904" spans="2:23" x14ac:dyDescent="0.3">
      <c r="B1904">
        <v>93</v>
      </c>
      <c r="C1904">
        <v>3</v>
      </c>
      <c r="D1904">
        <v>287</v>
      </c>
      <c r="R1904" s="73">
        <f t="shared" si="149"/>
        <v>1.1654867138423946E-5</v>
      </c>
      <c r="S1904" s="74">
        <f t="shared" si="146"/>
        <v>1.1699061897534427E-5</v>
      </c>
      <c r="U1904" s="80">
        <v>4.838225637550036E-3</v>
      </c>
      <c r="W1904" s="81">
        <f t="shared" si="148"/>
        <v>0.99516177436245001</v>
      </c>
    </row>
    <row r="1905" spans="2:23" x14ac:dyDescent="0.3">
      <c r="B1905">
        <v>93</v>
      </c>
      <c r="C1905">
        <v>3</v>
      </c>
      <c r="D1905">
        <v>364</v>
      </c>
      <c r="R1905" s="73">
        <f t="shared" si="149"/>
        <v>1.0665548257891042E-5</v>
      </c>
      <c r="S1905" s="74">
        <f t="shared" si="146"/>
        <v>1.0717401464424134E-5</v>
      </c>
      <c r="U1905" s="80">
        <v>5.6594728534076462E-3</v>
      </c>
      <c r="W1905" s="81">
        <f t="shared" si="148"/>
        <v>0.99434052714659238</v>
      </c>
    </row>
    <row r="1906" spans="2:23" x14ac:dyDescent="0.3">
      <c r="B1906">
        <v>93</v>
      </c>
      <c r="C1906">
        <v>3</v>
      </c>
      <c r="D1906">
        <v>462</v>
      </c>
      <c r="R1906" s="73">
        <f t="shared" si="149"/>
        <v>8.629054216391242E-6</v>
      </c>
      <c r="S1906" s="74">
        <f t="shared" si="146"/>
        <v>8.6781680730177944E-6</v>
      </c>
      <c r="U1906" s="80">
        <v>6.5051201666139879E-3</v>
      </c>
      <c r="W1906" s="81">
        <f t="shared" si="148"/>
        <v>0.99349487983338602</v>
      </c>
    </row>
    <row r="1907" spans="2:23" x14ac:dyDescent="0.3">
      <c r="B1907">
        <v>93</v>
      </c>
      <c r="C1907">
        <v>3</v>
      </c>
      <c r="D1907">
        <v>581</v>
      </c>
      <c r="R1907" s="73">
        <f t="shared" si="149"/>
        <v>7.0848761096953278E-6</v>
      </c>
      <c r="S1907" s="74">
        <f t="shared" si="146"/>
        <v>7.1312658509961288E-6</v>
      </c>
      <c r="U1907" s="80">
        <v>7.3482204236677319E-3</v>
      </c>
      <c r="W1907" s="81">
        <f t="shared" si="148"/>
        <v>0.99265177957633222</v>
      </c>
    </row>
    <row r="1908" spans="2:23" x14ac:dyDescent="0.3">
      <c r="B1908">
        <v>93</v>
      </c>
      <c r="C1908">
        <v>3</v>
      </c>
      <c r="D1908">
        <v>728</v>
      </c>
      <c r="R1908" s="73">
        <f t="shared" si="149"/>
        <v>5.940182082893449E-6</v>
      </c>
      <c r="S1908" s="74">
        <f t="shared" si="146"/>
        <v>5.9841549726821054E-6</v>
      </c>
      <c r="U1908" s="80">
        <v>8.2214271898530689E-3</v>
      </c>
      <c r="W1908" s="81">
        <f t="shared" si="148"/>
        <v>0.99177857281014692</v>
      </c>
    </row>
    <row r="1909" spans="2:23" x14ac:dyDescent="0.3">
      <c r="B1909">
        <v>93</v>
      </c>
      <c r="C1909">
        <v>3</v>
      </c>
      <c r="D1909">
        <v>847</v>
      </c>
      <c r="R1909" s="73">
        <f t="shared" si="149"/>
        <v>6.7430207362511973E-6</v>
      </c>
      <c r="S1909" s="74">
        <f t="shared" si="146"/>
        <v>6.7989175417908453E-6</v>
      </c>
      <c r="U1909" s="80">
        <v>9.0238466574669614E-3</v>
      </c>
      <c r="W1909" s="81">
        <f t="shared" si="148"/>
        <v>0.99097615334253308</v>
      </c>
    </row>
    <row r="1910" spans="2:23" x14ac:dyDescent="0.3">
      <c r="B1910">
        <v>93</v>
      </c>
      <c r="C1910">
        <v>3</v>
      </c>
      <c r="D1910">
        <v>966</v>
      </c>
      <c r="R1910" s="73">
        <f t="shared" si="149"/>
        <v>6.5554257340393653E-6</v>
      </c>
      <c r="S1910" s="74">
        <f t="shared" si="146"/>
        <v>6.6151195585565909E-6</v>
      </c>
      <c r="U1910" s="80">
        <v>9.8039423198176458E-3</v>
      </c>
      <c r="W1910" s="81">
        <f t="shared" si="148"/>
        <v>0.99019605768018237</v>
      </c>
    </row>
    <row r="1911" spans="2:23" x14ac:dyDescent="0.3">
      <c r="B1911">
        <v>93</v>
      </c>
      <c r="C1911">
        <v>3</v>
      </c>
      <c r="D1911">
        <v>1064</v>
      </c>
      <c r="R1911" s="73">
        <f t="shared" si="149"/>
        <v>5.5799572869655881E-6</v>
      </c>
      <c r="S1911" s="74">
        <f t="shared" si="146"/>
        <v>5.6352045069117275E-6</v>
      </c>
      <c r="U1911" s="80">
        <v>1.0350778133940274E-2</v>
      </c>
      <c r="W1911" s="81">
        <f t="shared" si="148"/>
        <v>0.98964922186605975</v>
      </c>
    </row>
    <row r="1912" spans="2:23" x14ac:dyDescent="0.3">
      <c r="B1912">
        <v>93</v>
      </c>
      <c r="C1912">
        <v>3</v>
      </c>
      <c r="D1912">
        <v>1274</v>
      </c>
      <c r="R1912" s="73">
        <f t="shared" si="149"/>
        <v>1.0741494511311678E-5</v>
      </c>
      <c r="S1912" s="74">
        <f t="shared" si="146"/>
        <v>1.0853840203155784E-5</v>
      </c>
      <c r="U1912" s="80">
        <v>1.2606491981315726E-2</v>
      </c>
      <c r="W1912" s="81">
        <f t="shared" si="148"/>
        <v>0.98739350801868431</v>
      </c>
    </row>
    <row r="1913" spans="2:23" x14ac:dyDescent="0.3">
      <c r="B1913">
        <v>93</v>
      </c>
      <c r="C1913">
        <v>3</v>
      </c>
      <c r="D1913">
        <v>1450</v>
      </c>
      <c r="R1913" s="73">
        <f t="shared" si="149"/>
        <v>1.0092523894163626E-5</v>
      </c>
      <c r="S1913" s="74">
        <f t="shared" si="146"/>
        <v>1.0221379634564749E-5</v>
      </c>
      <c r="U1913" s="80">
        <v>1.4382776186688524E-2</v>
      </c>
      <c r="W1913" s="81">
        <f t="shared" si="148"/>
        <v>0.98561722381331152</v>
      </c>
    </row>
    <row r="1914" spans="2:23" x14ac:dyDescent="0.3">
      <c r="B1914">
        <v>93</v>
      </c>
      <c r="C1914">
        <v>3</v>
      </c>
      <c r="D1914">
        <v>1660</v>
      </c>
      <c r="R1914" s="73">
        <f t="shared" si="149"/>
        <v>8.5565243602746263E-6</v>
      </c>
      <c r="S1914" s="74">
        <f t="shared" si="146"/>
        <v>8.6813868036617649E-6</v>
      </c>
      <c r="U1914" s="80">
        <v>1.6179646302346196E-2</v>
      </c>
      <c r="W1914" s="81">
        <f t="shared" si="148"/>
        <v>0.98382035369765375</v>
      </c>
    </row>
    <row r="1915" spans="2:23" x14ac:dyDescent="0.3">
      <c r="B1915">
        <v>93</v>
      </c>
      <c r="C1915">
        <v>3</v>
      </c>
      <c r="D1915">
        <v>1829</v>
      </c>
      <c r="R1915" s="73">
        <f t="shared" si="149"/>
        <v>9.8774536622020027E-6</v>
      </c>
      <c r="S1915" s="74">
        <f t="shared" si="146"/>
        <v>1.0039895622283016E-5</v>
      </c>
      <c r="U1915" s="80">
        <v>1.7848935971258334E-2</v>
      </c>
      <c r="W1915" s="81">
        <f t="shared" si="148"/>
        <v>0.98215106402874164</v>
      </c>
    </row>
    <row r="1916" spans="2:23" x14ac:dyDescent="0.3">
      <c r="B1916">
        <v>94</v>
      </c>
      <c r="C1916">
        <v>3</v>
      </c>
      <c r="D1916">
        <v>0</v>
      </c>
      <c r="R1916" s="73">
        <f t="shared" si="149"/>
        <v>0</v>
      </c>
      <c r="S1916" s="74">
        <f t="shared" si="146"/>
        <v>0</v>
      </c>
      <c r="U1916" s="80">
        <v>0</v>
      </c>
      <c r="W1916" s="81">
        <f t="shared" si="148"/>
        <v>1</v>
      </c>
    </row>
    <row r="1917" spans="2:23" x14ac:dyDescent="0.3">
      <c r="B1917">
        <v>94</v>
      </c>
      <c r="C1917">
        <v>3</v>
      </c>
      <c r="D1917">
        <v>3</v>
      </c>
      <c r="R1917" s="73">
        <f t="shared" si="149"/>
        <v>1.7498492424130468E-4</v>
      </c>
      <c r="S1917" s="74">
        <f t="shared" si="146"/>
        <v>1.7498492424130468E-4</v>
      </c>
      <c r="U1917" s="80">
        <v>5.2495477272391405E-4</v>
      </c>
      <c r="W1917" s="81">
        <f t="shared" si="148"/>
        <v>0.99947504522727604</v>
      </c>
    </row>
    <row r="1918" spans="2:23" x14ac:dyDescent="0.3">
      <c r="B1918">
        <v>94</v>
      </c>
      <c r="C1918">
        <v>3</v>
      </c>
      <c r="D1918">
        <v>9</v>
      </c>
      <c r="R1918" s="73">
        <f t="shared" si="149"/>
        <v>3.0522214509814232E-5</v>
      </c>
      <c r="S1918" s="74">
        <f t="shared" si="146"/>
        <v>3.0538245707649076E-5</v>
      </c>
      <c r="U1918" s="80">
        <v>7.0808805978279943E-4</v>
      </c>
      <c r="W1918" s="81">
        <f t="shared" si="148"/>
        <v>0.99929191194021716</v>
      </c>
    </row>
    <row r="1919" spans="2:23" x14ac:dyDescent="0.3">
      <c r="B1919">
        <v>94</v>
      </c>
      <c r="C1919">
        <v>3</v>
      </c>
      <c r="D1919">
        <v>20</v>
      </c>
      <c r="R1919" s="73">
        <f t="shared" si="149"/>
        <v>1.1504212640720651E-5</v>
      </c>
      <c r="S1919" s="74">
        <f t="shared" si="146"/>
        <v>1.1512364408498178E-5</v>
      </c>
      <c r="U1919" s="80">
        <v>8.3463439883072659E-4</v>
      </c>
      <c r="W1919" s="81">
        <f t="shared" si="148"/>
        <v>0.99916536560116931</v>
      </c>
    </row>
    <row r="1920" spans="2:23" x14ac:dyDescent="0.3">
      <c r="B1920">
        <v>94</v>
      </c>
      <c r="C1920">
        <v>3</v>
      </c>
      <c r="D1920">
        <v>42</v>
      </c>
      <c r="R1920" s="73">
        <f t="shared" si="149"/>
        <v>1.0154848133273768E-5</v>
      </c>
      <c r="S1920" s="74">
        <f t="shared" si="146"/>
        <v>1.0163330798765112E-5</v>
      </c>
      <c r="U1920" s="80">
        <v>1.0580410577627495E-3</v>
      </c>
      <c r="W1920" s="81">
        <f t="shared" si="148"/>
        <v>0.99894195894223725</v>
      </c>
    </row>
    <row r="1921" spans="2:23" x14ac:dyDescent="0.3">
      <c r="B1921">
        <v>94</v>
      </c>
      <c r="C1921">
        <v>3</v>
      </c>
      <c r="D1921">
        <v>63</v>
      </c>
      <c r="R1921" s="73">
        <f t="shared" si="149"/>
        <v>4.8752749395221369E-6</v>
      </c>
      <c r="S1921" s="74">
        <f t="shared" si="146"/>
        <v>4.8804386439873672E-6</v>
      </c>
      <c r="U1921" s="80">
        <v>1.1604218314927143E-3</v>
      </c>
      <c r="W1921" s="81">
        <f t="shared" si="148"/>
        <v>0.99883957816850732</v>
      </c>
    </row>
    <row r="1922" spans="2:23" x14ac:dyDescent="0.3">
      <c r="B1922">
        <v>94</v>
      </c>
      <c r="C1922">
        <v>3</v>
      </c>
      <c r="D1922">
        <v>84</v>
      </c>
      <c r="R1922" s="73">
        <f t="shared" si="149"/>
        <v>3.3298168557984426E-6</v>
      </c>
      <c r="S1922" s="74">
        <f t="shared" si="146"/>
        <v>3.3336853370428743E-6</v>
      </c>
      <c r="U1922" s="80">
        <v>1.2303479854644816E-3</v>
      </c>
      <c r="W1922" s="81">
        <f t="shared" si="148"/>
        <v>0.99876965201453549</v>
      </c>
    </row>
    <row r="1923" spans="2:23" x14ac:dyDescent="0.3">
      <c r="B1923">
        <v>94</v>
      </c>
      <c r="C1923">
        <v>3</v>
      </c>
      <c r="D1923">
        <v>133</v>
      </c>
      <c r="R1923" s="73">
        <f t="shared" si="149"/>
        <v>2.8297979526823352E-6</v>
      </c>
      <c r="S1923" s="74">
        <f t="shared" si="146"/>
        <v>2.8332838777936278E-6</v>
      </c>
      <c r="U1923" s="80">
        <v>1.369008085145916E-3</v>
      </c>
      <c r="W1923" s="81">
        <f t="shared" si="148"/>
        <v>0.99863099191485405</v>
      </c>
    </row>
    <row r="1924" spans="2:23" x14ac:dyDescent="0.3">
      <c r="B1924">
        <v>94</v>
      </c>
      <c r="C1924">
        <v>3</v>
      </c>
      <c r="D1924">
        <v>196</v>
      </c>
      <c r="R1924" s="73">
        <f t="shared" si="149"/>
        <v>2.5229896077275957E-6</v>
      </c>
      <c r="S1924" s="74">
        <f t="shared" si="146"/>
        <v>2.526448335926182E-6</v>
      </c>
      <c r="U1924" s="80">
        <v>1.5279564304327546E-3</v>
      </c>
      <c r="W1924" s="81">
        <f t="shared" si="148"/>
        <v>0.9984720435695672</v>
      </c>
    </row>
    <row r="1925" spans="2:23" x14ac:dyDescent="0.3">
      <c r="B1925">
        <v>94</v>
      </c>
      <c r="C1925">
        <v>3</v>
      </c>
      <c r="D1925">
        <v>287</v>
      </c>
      <c r="R1925" s="73">
        <f t="shared" si="149"/>
        <v>1.89323934134502E-6</v>
      </c>
      <c r="S1925" s="74">
        <f t="shared" si="146"/>
        <v>1.8961365553878033E-6</v>
      </c>
      <c r="U1925" s="80">
        <v>1.7002412104951514E-3</v>
      </c>
      <c r="W1925" s="81">
        <f t="shared" si="148"/>
        <v>0.99829975878950483</v>
      </c>
    </row>
    <row r="1926" spans="2:23" x14ac:dyDescent="0.3">
      <c r="B1926">
        <v>94</v>
      </c>
      <c r="C1926">
        <v>3</v>
      </c>
      <c r="D1926">
        <v>364</v>
      </c>
      <c r="R1926" s="73">
        <f t="shared" si="149"/>
        <v>1.8507519665124011E-6</v>
      </c>
      <c r="S1926" s="74">
        <f t="shared" si="146"/>
        <v>1.8539040505795004E-6</v>
      </c>
      <c r="U1926" s="80">
        <v>1.8427491119166063E-3</v>
      </c>
      <c r="W1926" s="81">
        <f t="shared" si="148"/>
        <v>0.99815725088808338</v>
      </c>
    </row>
    <row r="1927" spans="2:23" x14ac:dyDescent="0.3">
      <c r="B1927">
        <v>94</v>
      </c>
      <c r="C1927">
        <v>3</v>
      </c>
      <c r="D1927">
        <v>462</v>
      </c>
      <c r="R1927" s="73">
        <f t="shared" si="149"/>
        <v>1.2354884603796549E-6</v>
      </c>
      <c r="S1927" s="74">
        <f t="shared" si="146"/>
        <v>1.2377693587662792E-6</v>
      </c>
      <c r="U1927" s="80">
        <v>1.9638269810338125E-3</v>
      </c>
      <c r="W1927" s="81">
        <f t="shared" si="148"/>
        <v>0.99803617301896619</v>
      </c>
    </row>
    <row r="1928" spans="2:23" x14ac:dyDescent="0.3">
      <c r="B1928">
        <v>94</v>
      </c>
      <c r="C1928">
        <v>3</v>
      </c>
      <c r="D1928">
        <v>581</v>
      </c>
      <c r="R1928" s="73">
        <f t="shared" si="149"/>
        <v>1.6923629381846419E-6</v>
      </c>
      <c r="S1928" s="74">
        <f t="shared" si="146"/>
        <v>1.6956929858217484E-6</v>
      </c>
      <c r="U1928" s="80">
        <v>2.1652181706777848E-3</v>
      </c>
      <c r="W1928" s="81">
        <f t="shared" si="148"/>
        <v>0.99783478182932217</v>
      </c>
    </row>
    <row r="1929" spans="2:23" x14ac:dyDescent="0.3">
      <c r="B1929">
        <v>94</v>
      </c>
      <c r="C1929">
        <v>3</v>
      </c>
      <c r="D1929">
        <v>728</v>
      </c>
      <c r="R1929" s="73">
        <f t="shared" si="149"/>
        <v>1.5596534051337187E-6</v>
      </c>
      <c r="S1929" s="74">
        <f t="shared" si="146"/>
        <v>1.5630377228126074E-6</v>
      </c>
      <c r="U1929" s="80">
        <v>2.3944872212324415E-3</v>
      </c>
      <c r="W1929" s="81">
        <f t="shared" si="148"/>
        <v>0.99760551277876752</v>
      </c>
    </row>
    <row r="1930" spans="2:23" x14ac:dyDescent="0.3">
      <c r="B1930">
        <v>94</v>
      </c>
      <c r="C1930">
        <v>3</v>
      </c>
      <c r="D1930">
        <v>847</v>
      </c>
      <c r="R1930" s="73">
        <f t="shared" si="149"/>
        <v>1.3538317747623069E-6</v>
      </c>
      <c r="S1930" s="74">
        <f t="shared" si="146"/>
        <v>1.3570812885659518E-6</v>
      </c>
      <c r="U1930" s="80">
        <v>2.555593202429156E-3</v>
      </c>
      <c r="W1930" s="81">
        <f t="shared" si="148"/>
        <v>0.99744440679757085</v>
      </c>
    </row>
    <row r="1931" spans="2:23" x14ac:dyDescent="0.3">
      <c r="B1931">
        <v>94</v>
      </c>
      <c r="C1931">
        <v>3</v>
      </c>
      <c r="D1931">
        <v>966</v>
      </c>
      <c r="R1931" s="73">
        <f t="shared" si="149"/>
        <v>1.4748130952875018E-6</v>
      </c>
      <c r="S1931" s="74">
        <f t="shared" ref="S1931:S1994" si="150">IF(D1931&gt;D1930,(U1931-U1930)/W1930/(D1931-D1930),0)</f>
        <v>1.4785917743752628E-6</v>
      </c>
      <c r="U1931" s="80">
        <v>2.7310959607683687E-3</v>
      </c>
      <c r="W1931" s="81">
        <f t="shared" si="148"/>
        <v>0.99726890403923163</v>
      </c>
    </row>
    <row r="1932" spans="2:23" x14ac:dyDescent="0.3">
      <c r="B1932">
        <v>94</v>
      </c>
      <c r="C1932">
        <v>3</v>
      </c>
      <c r="D1932">
        <v>1064</v>
      </c>
      <c r="R1932" s="73">
        <f t="shared" si="149"/>
        <v>2.1558328969912078E-6</v>
      </c>
      <c r="S1932" s="74">
        <f t="shared" si="150"/>
        <v>2.161736807654838E-6</v>
      </c>
      <c r="U1932" s="80">
        <v>2.9423675846735071E-3</v>
      </c>
      <c r="W1932" s="81">
        <f t="shared" si="148"/>
        <v>0.99705763241532652</v>
      </c>
    </row>
    <row r="1933" spans="2:23" x14ac:dyDescent="0.3">
      <c r="B1933">
        <v>94</v>
      </c>
      <c r="C1933">
        <v>3</v>
      </c>
      <c r="D1933">
        <v>1274</v>
      </c>
      <c r="R1933" s="73">
        <f t="shared" si="149"/>
        <v>3.5774513046303907E-6</v>
      </c>
      <c r="S1933" s="74">
        <f t="shared" si="150"/>
        <v>3.5880085446657466E-6</v>
      </c>
      <c r="U1933" s="80">
        <v>3.6936323586458891E-3</v>
      </c>
      <c r="W1933" s="81">
        <f t="shared" si="148"/>
        <v>0.99630636764135416</v>
      </c>
    </row>
    <row r="1934" spans="2:23" x14ac:dyDescent="0.3">
      <c r="B1934">
        <v>94</v>
      </c>
      <c r="C1934">
        <v>3</v>
      </c>
      <c r="D1934">
        <v>1450</v>
      </c>
      <c r="R1934" s="73">
        <f t="shared" si="149"/>
        <v>2.6933793366440609E-6</v>
      </c>
      <c r="S1934" s="74">
        <f t="shared" si="150"/>
        <v>2.7033645715025795E-6</v>
      </c>
      <c r="U1934" s="80">
        <v>4.1676671218952438E-3</v>
      </c>
      <c r="W1934" s="81">
        <f t="shared" si="148"/>
        <v>0.9958323328781048</v>
      </c>
    </row>
    <row r="1935" spans="2:23" x14ac:dyDescent="0.3">
      <c r="B1935">
        <v>94</v>
      </c>
      <c r="C1935">
        <v>3</v>
      </c>
      <c r="D1935">
        <v>1660</v>
      </c>
      <c r="R1935" s="73">
        <f t="shared" si="149"/>
        <v>2.4427088131702147E-6</v>
      </c>
      <c r="S1935" s="74">
        <f t="shared" si="150"/>
        <v>2.4529318164539005E-6</v>
      </c>
      <c r="U1935" s="80">
        <v>4.6806359726609889E-3</v>
      </c>
      <c r="W1935" s="81">
        <f t="shared" si="148"/>
        <v>0.995319364027339</v>
      </c>
    </row>
    <row r="1936" spans="2:23" x14ac:dyDescent="0.3">
      <c r="B1936">
        <v>94</v>
      </c>
      <c r="C1936">
        <v>3</v>
      </c>
      <c r="D1936">
        <v>1829</v>
      </c>
      <c r="R1936" s="73">
        <f t="shared" si="149"/>
        <v>3.3908898362136624E-6</v>
      </c>
      <c r="S1936" s="74">
        <f t="shared" si="150"/>
        <v>3.4068359953263431E-6</v>
      </c>
      <c r="U1936" s="80">
        <v>5.2536963549810979E-3</v>
      </c>
      <c r="W1936" s="81">
        <f t="shared" si="148"/>
        <v>0.99474630364501893</v>
      </c>
    </row>
    <row r="1937" spans="2:23" x14ac:dyDescent="0.3">
      <c r="B1937">
        <v>95</v>
      </c>
      <c r="C1937">
        <v>3</v>
      </c>
      <c r="D1937">
        <v>0</v>
      </c>
      <c r="R1937" s="73">
        <f t="shared" si="149"/>
        <v>0</v>
      </c>
      <c r="S1937" s="74">
        <f t="shared" si="150"/>
        <v>0</v>
      </c>
      <c r="U1937" s="80">
        <v>0</v>
      </c>
      <c r="W1937" s="81">
        <f t="shared" si="148"/>
        <v>1</v>
      </c>
    </row>
    <row r="1938" spans="2:23" x14ac:dyDescent="0.3">
      <c r="B1938">
        <v>95</v>
      </c>
      <c r="C1938">
        <v>3</v>
      </c>
      <c r="D1938">
        <v>3</v>
      </c>
      <c r="R1938" s="73">
        <f t="shared" si="149"/>
        <v>1.3187176824753586E-4</v>
      </c>
      <c r="S1938" s="74">
        <f t="shared" si="150"/>
        <v>1.3187176824753586E-4</v>
      </c>
      <c r="U1938" s="80">
        <v>3.956153047426076E-4</v>
      </c>
      <c r="W1938" s="81">
        <f t="shared" si="148"/>
        <v>0.99960438469525736</v>
      </c>
    </row>
    <row r="1939" spans="2:23" x14ac:dyDescent="0.3">
      <c r="B1939">
        <v>95</v>
      </c>
      <c r="C1939">
        <v>3</v>
      </c>
      <c r="D1939">
        <v>9</v>
      </c>
      <c r="R1939" s="73">
        <f t="shared" si="149"/>
        <v>8.9678604750081153E-5</v>
      </c>
      <c r="S1939" s="74">
        <f t="shared" si="150"/>
        <v>8.9714097019913386E-5</v>
      </c>
      <c r="U1939" s="80">
        <v>9.3368693324309454E-4</v>
      </c>
      <c r="W1939" s="81">
        <f t="shared" si="148"/>
        <v>0.99906631306675686</v>
      </c>
    </row>
    <row r="1940" spans="2:23" x14ac:dyDescent="0.3">
      <c r="B1940">
        <v>95</v>
      </c>
      <c r="C1940">
        <v>3</v>
      </c>
      <c r="D1940">
        <v>20</v>
      </c>
      <c r="R1940" s="73">
        <f t="shared" si="149"/>
        <v>4.8485137817766077E-5</v>
      </c>
      <c r="S1940" s="74">
        <f t="shared" si="150"/>
        <v>4.8530450064856041E-5</v>
      </c>
      <c r="U1940" s="80">
        <v>1.4670234492385214E-3</v>
      </c>
      <c r="W1940" s="81">
        <f t="shared" si="148"/>
        <v>0.99853297655076145</v>
      </c>
    </row>
    <row r="1941" spans="2:23" x14ac:dyDescent="0.3">
      <c r="B1941">
        <v>95</v>
      </c>
      <c r="C1941">
        <v>3</v>
      </c>
      <c r="D1941">
        <v>42</v>
      </c>
      <c r="R1941" s="73">
        <f t="shared" si="149"/>
        <v>3.0237584002170799E-5</v>
      </c>
      <c r="S1941" s="74">
        <f t="shared" si="150"/>
        <v>3.0282008418610938E-5</v>
      </c>
      <c r="U1941" s="80">
        <v>2.132250297286279E-3</v>
      </c>
      <c r="W1941" s="81">
        <f t="shared" si="148"/>
        <v>0.99786774970271375</v>
      </c>
    </row>
    <row r="1942" spans="2:23" x14ac:dyDescent="0.3">
      <c r="B1942">
        <v>95</v>
      </c>
      <c r="C1942">
        <v>3</v>
      </c>
      <c r="D1942">
        <v>63</v>
      </c>
      <c r="R1942" s="73">
        <f t="shared" si="149"/>
        <v>1.7600661393778281E-5</v>
      </c>
      <c r="S1942" s="74">
        <f t="shared" si="150"/>
        <v>1.7638270601511968E-5</v>
      </c>
      <c r="U1942" s="80">
        <v>2.5018641865556229E-3</v>
      </c>
      <c r="W1942" s="81">
        <f t="shared" si="148"/>
        <v>0.99749813581344438</v>
      </c>
    </row>
    <row r="1943" spans="2:23" x14ac:dyDescent="0.3">
      <c r="B1943">
        <v>95</v>
      </c>
      <c r="C1943">
        <v>3</v>
      </c>
      <c r="D1943">
        <v>84</v>
      </c>
      <c r="R1943" s="73">
        <f t="shared" si="149"/>
        <v>1.33001228490332E-5</v>
      </c>
      <c r="S1943" s="74">
        <f t="shared" si="150"/>
        <v>1.333348140865161E-5</v>
      </c>
      <c r="U1943" s="80">
        <v>2.7811667663853201E-3</v>
      </c>
      <c r="W1943" s="81">
        <f t="shared" si="148"/>
        <v>0.99721883323361471</v>
      </c>
    </row>
    <row r="1944" spans="2:23" x14ac:dyDescent="0.3">
      <c r="B1944">
        <v>95</v>
      </c>
      <c r="C1944">
        <v>3</v>
      </c>
      <c r="D1944">
        <v>133</v>
      </c>
      <c r="R1944" s="73">
        <f t="shared" si="149"/>
        <v>1.2348488989764054E-5</v>
      </c>
      <c r="S1944" s="74">
        <f t="shared" si="150"/>
        <v>1.2382927977525691E-5</v>
      </c>
      <c r="U1944" s="80">
        <v>3.3862427268837587E-3</v>
      </c>
      <c r="W1944" s="81">
        <f t="shared" si="148"/>
        <v>0.9966137572731163</v>
      </c>
    </row>
    <row r="1945" spans="2:23" x14ac:dyDescent="0.3">
      <c r="B1945">
        <v>95</v>
      </c>
      <c r="C1945">
        <v>3</v>
      </c>
      <c r="D1945">
        <v>196</v>
      </c>
      <c r="R1945" s="73">
        <f t="shared" si="149"/>
        <v>1.4152041882010775E-5</v>
      </c>
      <c r="S1945" s="74">
        <f t="shared" si="150"/>
        <v>1.4200126958645312E-5</v>
      </c>
      <c r="U1945" s="80">
        <v>4.2778213654504375E-3</v>
      </c>
      <c r="W1945" s="81">
        <f t="shared" si="148"/>
        <v>0.99572217863454959</v>
      </c>
    </row>
    <row r="1946" spans="2:23" x14ac:dyDescent="0.3">
      <c r="B1946">
        <v>95</v>
      </c>
      <c r="C1946">
        <v>3</v>
      </c>
      <c r="D1946">
        <v>287</v>
      </c>
      <c r="R1946" s="73">
        <f t="shared" si="149"/>
        <v>1.2518301114060365E-5</v>
      </c>
      <c r="S1946" s="74">
        <f t="shared" si="150"/>
        <v>1.2572082236057972E-5</v>
      </c>
      <c r="U1946" s="80">
        <v>5.4169867668299307E-3</v>
      </c>
      <c r="W1946" s="81">
        <f t="shared" si="148"/>
        <v>0.99458301323317011</v>
      </c>
    </row>
    <row r="1947" spans="2:23" x14ac:dyDescent="0.3">
      <c r="B1947">
        <v>95</v>
      </c>
      <c r="C1947">
        <v>3</v>
      </c>
      <c r="D1947">
        <v>364</v>
      </c>
      <c r="R1947" s="73">
        <f t="shared" si="149"/>
        <v>1.1287893703270895E-5</v>
      </c>
      <c r="S1947" s="74">
        <f t="shared" si="150"/>
        <v>1.1349373107204437E-5</v>
      </c>
      <c r="U1947" s="80">
        <v>6.2861545819817895E-3</v>
      </c>
      <c r="W1947" s="81">
        <f t="shared" si="148"/>
        <v>0.99371384541801822</v>
      </c>
    </row>
    <row r="1948" spans="2:23" x14ac:dyDescent="0.3">
      <c r="B1948">
        <v>95</v>
      </c>
      <c r="C1948">
        <v>3</v>
      </c>
      <c r="D1948">
        <v>462</v>
      </c>
      <c r="R1948" s="73">
        <f t="shared" si="149"/>
        <v>9.4015050598073718E-6</v>
      </c>
      <c r="S1948" s="74">
        <f t="shared" si="150"/>
        <v>9.4609782314671379E-6</v>
      </c>
      <c r="U1948" s="80">
        <v>7.207502077842912E-3</v>
      </c>
      <c r="W1948" s="81">
        <f t="shared" si="148"/>
        <v>0.99279249792215707</v>
      </c>
    </row>
    <row r="1949" spans="2:23" x14ac:dyDescent="0.3">
      <c r="B1949">
        <v>95</v>
      </c>
      <c r="C1949">
        <v>3</v>
      </c>
      <c r="D1949">
        <v>581</v>
      </c>
      <c r="R1949" s="73">
        <f t="shared" si="149"/>
        <v>8.1395066407527659E-6</v>
      </c>
      <c r="S1949" s="74">
        <f t="shared" si="150"/>
        <v>8.1985980532570146E-6</v>
      </c>
      <c r="U1949" s="80">
        <v>8.1761033680924911E-3</v>
      </c>
      <c r="W1949" s="81">
        <f t="shared" si="148"/>
        <v>0.99182389663190751</v>
      </c>
    </row>
    <row r="1950" spans="2:23" x14ac:dyDescent="0.3">
      <c r="B1950">
        <v>95</v>
      </c>
      <c r="C1950">
        <v>3</v>
      </c>
      <c r="D1950">
        <v>728</v>
      </c>
      <c r="R1950" s="73">
        <f t="shared" si="149"/>
        <v>7.0648608328185719E-6</v>
      </c>
      <c r="S1950" s="74">
        <f t="shared" si="150"/>
        <v>7.1231000350060443E-6</v>
      </c>
      <c r="U1950" s="80">
        <v>9.2146379105168211E-3</v>
      </c>
      <c r="W1950" s="81">
        <f t="shared" si="148"/>
        <v>0.9907853620894832</v>
      </c>
    </row>
    <row r="1951" spans="2:23" x14ac:dyDescent="0.3">
      <c r="B1951">
        <v>95</v>
      </c>
      <c r="C1951">
        <v>3</v>
      </c>
      <c r="D1951">
        <v>847</v>
      </c>
      <c r="R1951" s="73">
        <f t="shared" si="149"/>
        <v>7.1617502343989977E-6</v>
      </c>
      <c r="S1951" s="74">
        <f t="shared" si="150"/>
        <v>7.228356926161552E-6</v>
      </c>
      <c r="U1951" s="80">
        <v>1.0066886188410302E-2</v>
      </c>
      <c r="W1951" s="81">
        <f t="shared" si="148"/>
        <v>0.98993311381158966</v>
      </c>
    </row>
    <row r="1952" spans="2:23" x14ac:dyDescent="0.3">
      <c r="B1952">
        <v>95</v>
      </c>
      <c r="C1952">
        <v>3</v>
      </c>
      <c r="D1952">
        <v>966</v>
      </c>
      <c r="R1952" s="73">
        <f t="shared" si="149"/>
        <v>8.7047031487987892E-6</v>
      </c>
      <c r="S1952" s="74">
        <f t="shared" si="150"/>
        <v>8.7932235292974789E-6</v>
      </c>
      <c r="U1952" s="80">
        <v>1.1102745863117358E-2</v>
      </c>
      <c r="W1952" s="81">
        <f t="shared" si="148"/>
        <v>0.98889725413688268</v>
      </c>
    </row>
    <row r="1953" spans="2:23" x14ac:dyDescent="0.3">
      <c r="B1953">
        <v>95</v>
      </c>
      <c r="C1953">
        <v>3</v>
      </c>
      <c r="D1953">
        <v>1064</v>
      </c>
      <c r="R1953" s="73">
        <f t="shared" si="149"/>
        <v>6.938841897901239E-6</v>
      </c>
      <c r="S1953" s="74">
        <f t="shared" si="150"/>
        <v>7.0167470572638152E-6</v>
      </c>
      <c r="U1953" s="80">
        <v>1.1782752369111679E-2</v>
      </c>
      <c r="W1953" s="81">
        <f t="shared" si="148"/>
        <v>0.98821724763088836</v>
      </c>
    </row>
    <row r="1954" spans="2:23" x14ac:dyDescent="0.3">
      <c r="B1954">
        <v>95</v>
      </c>
      <c r="C1954">
        <v>3</v>
      </c>
      <c r="D1954">
        <v>1274</v>
      </c>
      <c r="R1954" s="73">
        <f t="shared" si="149"/>
        <v>1.1382553233066485E-5</v>
      </c>
      <c r="S1954" s="74">
        <f t="shared" si="150"/>
        <v>1.1518270158059429E-5</v>
      </c>
      <c r="U1954" s="80">
        <v>1.4173088548055641E-2</v>
      </c>
      <c r="W1954" s="81">
        <f t="shared" si="148"/>
        <v>0.98582691145194434</v>
      </c>
    </row>
    <row r="1955" spans="2:23" x14ac:dyDescent="0.3">
      <c r="B1955">
        <v>95</v>
      </c>
      <c r="C1955">
        <v>3</v>
      </c>
      <c r="D1955">
        <v>1450</v>
      </c>
      <c r="R1955" s="73">
        <f t="shared" si="149"/>
        <v>1.1396962767692527E-5</v>
      </c>
      <c r="S1955" s="74">
        <f t="shared" si="150"/>
        <v>1.1560815225572274E-5</v>
      </c>
      <c r="U1955" s="80">
        <v>1.6178953995169526E-2</v>
      </c>
      <c r="W1955" s="81">
        <f t="shared" si="148"/>
        <v>0.98382104600483045</v>
      </c>
    </row>
    <row r="1956" spans="2:23" x14ac:dyDescent="0.3">
      <c r="B1956">
        <v>95</v>
      </c>
      <c r="C1956">
        <v>3</v>
      </c>
      <c r="D1956">
        <v>1660</v>
      </c>
      <c r="R1956" s="73">
        <f t="shared" si="149"/>
        <v>8.6906457414149903E-6</v>
      </c>
      <c r="S1956" s="74">
        <f t="shared" si="150"/>
        <v>8.8335635598634265E-6</v>
      </c>
      <c r="U1956" s="80">
        <v>1.8003989600866674E-2</v>
      </c>
      <c r="W1956" s="81">
        <f t="shared" si="148"/>
        <v>0.98199601039913331</v>
      </c>
    </row>
    <row r="1957" spans="2:23" x14ac:dyDescent="0.3">
      <c r="B1957">
        <v>95</v>
      </c>
      <c r="C1957">
        <v>3</v>
      </c>
      <c r="D1957">
        <v>1829</v>
      </c>
      <c r="R1957" s="73">
        <f t="shared" si="149"/>
        <v>1.0211288839092463E-5</v>
      </c>
      <c r="S1957" s="74">
        <f t="shared" si="150"/>
        <v>1.0398503385917091E-5</v>
      </c>
      <c r="U1957" s="80">
        <v>1.97296974146733E-2</v>
      </c>
      <c r="W1957" s="81">
        <f t="shared" si="148"/>
        <v>0.98027030258532666</v>
      </c>
    </row>
    <row r="1958" spans="2:23" x14ac:dyDescent="0.3">
      <c r="B1958">
        <v>96</v>
      </c>
      <c r="C1958">
        <v>3</v>
      </c>
      <c r="D1958">
        <v>0</v>
      </c>
      <c r="R1958" s="73">
        <f t="shared" si="149"/>
        <v>0</v>
      </c>
      <c r="S1958" s="74">
        <f t="shared" si="150"/>
        <v>0</v>
      </c>
      <c r="U1958" s="80">
        <v>0</v>
      </c>
      <c r="W1958" s="81">
        <f t="shared" si="148"/>
        <v>1</v>
      </c>
    </row>
    <row r="1959" spans="2:23" x14ac:dyDescent="0.3">
      <c r="B1959">
        <v>96</v>
      </c>
      <c r="C1959">
        <v>3</v>
      </c>
      <c r="D1959">
        <v>3</v>
      </c>
      <c r="R1959" s="73">
        <f t="shared" si="149"/>
        <v>2.1272200023679654E-4</v>
      </c>
      <c r="S1959" s="74">
        <f t="shared" si="150"/>
        <v>2.1272200023679654E-4</v>
      </c>
      <c r="U1959" s="80">
        <v>6.3816600071038966E-4</v>
      </c>
      <c r="W1959" s="81">
        <f t="shared" si="148"/>
        <v>0.99936183399928957</v>
      </c>
    </row>
    <row r="1960" spans="2:23" x14ac:dyDescent="0.3">
      <c r="B1960">
        <v>96</v>
      </c>
      <c r="C1960">
        <v>3</v>
      </c>
      <c r="D1960">
        <v>9</v>
      </c>
      <c r="R1960" s="73">
        <f t="shared" si="149"/>
        <v>5.0518705590749212E-5</v>
      </c>
      <c r="S1960" s="74">
        <f t="shared" si="150"/>
        <v>5.0550965498233272E-5</v>
      </c>
      <c r="U1960" s="80">
        <v>9.4127823425488495E-4</v>
      </c>
      <c r="W1960" s="81">
        <f t="shared" ref="W1960:W2023" si="151">100%-U1960</f>
        <v>0.99905872176574506</v>
      </c>
    </row>
    <row r="1961" spans="2:23" x14ac:dyDescent="0.3">
      <c r="B1961">
        <v>96</v>
      </c>
      <c r="C1961">
        <v>3</v>
      </c>
      <c r="D1961">
        <v>20</v>
      </c>
      <c r="R1961" s="73">
        <f t="shared" si="149"/>
        <v>1.4295854664425009E-5</v>
      </c>
      <c r="S1961" s="74">
        <f t="shared" si="150"/>
        <v>1.4309323719388977E-5</v>
      </c>
      <c r="U1961" s="80">
        <v>1.0985326355635601E-3</v>
      </c>
      <c r="W1961" s="81">
        <f t="shared" si="151"/>
        <v>0.99890146736443641</v>
      </c>
    </row>
    <row r="1962" spans="2:23" x14ac:dyDescent="0.3">
      <c r="B1962">
        <v>96</v>
      </c>
      <c r="C1962">
        <v>3</v>
      </c>
      <c r="D1962">
        <v>42</v>
      </c>
      <c r="R1962" s="73">
        <f t="shared" si="149"/>
        <v>1.1036494243681381E-5</v>
      </c>
      <c r="S1962" s="74">
        <f t="shared" si="150"/>
        <v>1.1048631525990998E-5</v>
      </c>
      <c r="U1962" s="80">
        <v>1.3413355089245504E-3</v>
      </c>
      <c r="W1962" s="81">
        <f t="shared" si="151"/>
        <v>0.99865866449107543</v>
      </c>
    </row>
    <row r="1963" spans="2:23" x14ac:dyDescent="0.3">
      <c r="B1963">
        <v>96</v>
      </c>
      <c r="C1963">
        <v>3</v>
      </c>
      <c r="D1963">
        <v>63</v>
      </c>
      <c r="R1963" s="73">
        <f t="shared" si="149"/>
        <v>4.4267009110543125E-6</v>
      </c>
      <c r="S1963" s="74">
        <f t="shared" si="150"/>
        <v>4.4326465773069669E-6</v>
      </c>
      <c r="U1963" s="80">
        <v>1.434296228056691E-3</v>
      </c>
      <c r="W1963" s="81">
        <f t="shared" si="151"/>
        <v>0.99856570377194331</v>
      </c>
    </row>
    <row r="1964" spans="2:23" x14ac:dyDescent="0.3">
      <c r="B1964">
        <v>96</v>
      </c>
      <c r="C1964">
        <v>3</v>
      </c>
      <c r="D1964">
        <v>84</v>
      </c>
      <c r="R1964" s="73">
        <f t="shared" si="149"/>
        <v>2.9242271866001034E-6</v>
      </c>
      <c r="S1964" s="74">
        <f t="shared" si="150"/>
        <v>2.9284274190013148E-6</v>
      </c>
      <c r="U1964" s="80">
        <v>1.4957049989752932E-3</v>
      </c>
      <c r="W1964" s="81">
        <f t="shared" si="151"/>
        <v>0.99850429500102467</v>
      </c>
    </row>
    <row r="1965" spans="2:23" x14ac:dyDescent="0.3">
      <c r="B1965">
        <v>96</v>
      </c>
      <c r="C1965">
        <v>3</v>
      </c>
      <c r="D1965">
        <v>133</v>
      </c>
      <c r="R1965" s="73">
        <f t="shared" ref="R1965:R2028" si="152">IF(D1965&gt;D1964,(U1965-U1964)/1/(D1965-D1964),0)</f>
        <v>2.5373166061170813E-6</v>
      </c>
      <c r="S1965" s="74">
        <f t="shared" si="150"/>
        <v>2.5411173680674831E-6</v>
      </c>
      <c r="U1965" s="80">
        <v>1.6200335126750301E-3</v>
      </c>
      <c r="W1965" s="81">
        <f t="shared" si="151"/>
        <v>0.99837996648732497</v>
      </c>
    </row>
    <row r="1966" spans="2:23" x14ac:dyDescent="0.3">
      <c r="B1966">
        <v>96</v>
      </c>
      <c r="C1966">
        <v>3</v>
      </c>
      <c r="D1966">
        <v>196</v>
      </c>
      <c r="R1966" s="73">
        <f t="shared" si="152"/>
        <v>1.9218400549243711E-6</v>
      </c>
      <c r="S1966" s="74">
        <f t="shared" si="150"/>
        <v>1.9249585522895906E-6</v>
      </c>
      <c r="U1966" s="80">
        <v>1.7411094361352655E-3</v>
      </c>
      <c r="W1966" s="81">
        <f t="shared" si="151"/>
        <v>0.99825889056386474</v>
      </c>
    </row>
    <row r="1967" spans="2:23" x14ac:dyDescent="0.3">
      <c r="B1967">
        <v>96</v>
      </c>
      <c r="C1967">
        <v>3</v>
      </c>
      <c r="D1967">
        <v>287</v>
      </c>
      <c r="R1967" s="73">
        <f t="shared" si="152"/>
        <v>1.376441829199005E-6</v>
      </c>
      <c r="S1967" s="74">
        <f t="shared" si="150"/>
        <v>1.3788425449649884E-6</v>
      </c>
      <c r="U1967" s="80">
        <v>1.866365642592375E-3</v>
      </c>
      <c r="W1967" s="81">
        <f t="shared" si="151"/>
        <v>0.99813363435740765</v>
      </c>
    </row>
    <row r="1968" spans="2:23" x14ac:dyDescent="0.3">
      <c r="B1968">
        <v>96</v>
      </c>
      <c r="C1968">
        <v>3</v>
      </c>
      <c r="D1968">
        <v>364</v>
      </c>
      <c r="R1968" s="73">
        <f t="shared" si="152"/>
        <v>1.7500947202612456E-6</v>
      </c>
      <c r="S1968" s="74">
        <f t="shared" si="150"/>
        <v>1.7533671444585132E-6</v>
      </c>
      <c r="U1968" s="80">
        <v>2.0011229360524909E-3</v>
      </c>
      <c r="W1968" s="81">
        <f t="shared" si="151"/>
        <v>0.99799887706394752</v>
      </c>
    </row>
    <row r="1969" spans="2:23" x14ac:dyDescent="0.3">
      <c r="B1969">
        <v>96</v>
      </c>
      <c r="C1969">
        <v>3</v>
      </c>
      <c r="D1969">
        <v>462</v>
      </c>
      <c r="R1969" s="73">
        <f t="shared" si="152"/>
        <v>7.3342891857517837E-7</v>
      </c>
      <c r="S1969" s="74">
        <f t="shared" si="150"/>
        <v>7.348995429061825E-7</v>
      </c>
      <c r="U1969" s="80">
        <v>2.0729989700728584E-3</v>
      </c>
      <c r="W1969" s="81">
        <f t="shared" si="151"/>
        <v>0.99792700102992715</v>
      </c>
    </row>
    <row r="1970" spans="2:23" x14ac:dyDescent="0.3">
      <c r="B1970">
        <v>96</v>
      </c>
      <c r="C1970">
        <v>3</v>
      </c>
      <c r="D1970">
        <v>581</v>
      </c>
      <c r="R1970" s="73">
        <f t="shared" si="152"/>
        <v>1.015030689266163E-6</v>
      </c>
      <c r="S1970" s="74">
        <f t="shared" si="150"/>
        <v>1.0171392178171187E-6</v>
      </c>
      <c r="U1970" s="80">
        <v>2.1937876220955318E-3</v>
      </c>
      <c r="W1970" s="81">
        <f t="shared" si="151"/>
        <v>0.99780621237790446</v>
      </c>
    </row>
    <row r="1971" spans="2:23" x14ac:dyDescent="0.3">
      <c r="B1971">
        <v>96</v>
      </c>
      <c r="C1971">
        <v>3</v>
      </c>
      <c r="D1971">
        <v>728</v>
      </c>
      <c r="R1971" s="73">
        <f t="shared" si="152"/>
        <v>1.4369009530885415E-6</v>
      </c>
      <c r="S1971" s="74">
        <f t="shared" si="150"/>
        <v>1.440060139196985E-6</v>
      </c>
      <c r="U1971" s="80">
        <v>2.4050120621995474E-3</v>
      </c>
      <c r="W1971" s="81">
        <f t="shared" si="151"/>
        <v>0.99759498793780044</v>
      </c>
    </row>
    <row r="1972" spans="2:23" x14ac:dyDescent="0.3">
      <c r="B1972">
        <v>96</v>
      </c>
      <c r="C1972">
        <v>3</v>
      </c>
      <c r="D1972">
        <v>847</v>
      </c>
      <c r="R1972" s="73">
        <f t="shared" si="152"/>
        <v>1.1974663936477364E-6</v>
      </c>
      <c r="S1972" s="74">
        <f t="shared" si="150"/>
        <v>1.2003532577114331E-6</v>
      </c>
      <c r="U1972" s="80">
        <v>2.547510563043628E-3</v>
      </c>
      <c r="W1972" s="81">
        <f t="shared" si="151"/>
        <v>0.99745248943695641</v>
      </c>
    </row>
    <row r="1973" spans="2:23" x14ac:dyDescent="0.3">
      <c r="B1973">
        <v>96</v>
      </c>
      <c r="C1973">
        <v>3</v>
      </c>
      <c r="D1973">
        <v>966</v>
      </c>
      <c r="R1973" s="73">
        <f t="shared" si="152"/>
        <v>2.1329359074545029E-6</v>
      </c>
      <c r="S1973" s="74">
        <f t="shared" si="150"/>
        <v>2.1383834619115601E-6</v>
      </c>
      <c r="U1973" s="80">
        <v>2.8013299360307138E-3</v>
      </c>
      <c r="W1973" s="81">
        <f t="shared" si="151"/>
        <v>0.99719867006396934</v>
      </c>
    </row>
    <row r="1974" spans="2:23" x14ac:dyDescent="0.3">
      <c r="B1974">
        <v>96</v>
      </c>
      <c r="C1974">
        <v>3</v>
      </c>
      <c r="D1974">
        <v>1064</v>
      </c>
      <c r="R1974" s="73">
        <f t="shared" si="152"/>
        <v>1.3288834200603766E-6</v>
      </c>
      <c r="S1974" s="74">
        <f t="shared" si="150"/>
        <v>1.3326165186072E-6</v>
      </c>
      <c r="U1974" s="80">
        <v>2.9315605111966308E-3</v>
      </c>
      <c r="W1974" s="81">
        <f t="shared" si="151"/>
        <v>0.99706843948880342</v>
      </c>
    </row>
    <row r="1975" spans="2:23" x14ac:dyDescent="0.3">
      <c r="B1975">
        <v>96</v>
      </c>
      <c r="C1975">
        <v>3</v>
      </c>
      <c r="D1975">
        <v>1274</v>
      </c>
      <c r="R1975" s="73">
        <f t="shared" si="152"/>
        <v>2.2224082750195548E-6</v>
      </c>
      <c r="S1975" s="74">
        <f t="shared" si="150"/>
        <v>2.2289425549955051E-6</v>
      </c>
      <c r="U1975" s="80">
        <v>3.3982662489507372E-3</v>
      </c>
      <c r="W1975" s="81">
        <f t="shared" si="151"/>
        <v>0.99660173375104921</v>
      </c>
    </row>
    <row r="1976" spans="2:23" x14ac:dyDescent="0.3">
      <c r="B1976">
        <v>96</v>
      </c>
      <c r="C1976">
        <v>3</v>
      </c>
      <c r="D1976">
        <v>1450</v>
      </c>
      <c r="R1976" s="73">
        <f t="shared" si="152"/>
        <v>2.5619681291179168E-6</v>
      </c>
      <c r="S1976" s="74">
        <f t="shared" si="150"/>
        <v>2.5707040659813822E-6</v>
      </c>
      <c r="U1976" s="80">
        <v>3.8491726396754906E-3</v>
      </c>
      <c r="W1976" s="81">
        <f t="shared" si="151"/>
        <v>0.99615082736032456</v>
      </c>
    </row>
    <row r="1977" spans="2:23" x14ac:dyDescent="0.3">
      <c r="B1977">
        <v>96</v>
      </c>
      <c r="C1977">
        <v>3</v>
      </c>
      <c r="D1977">
        <v>1660</v>
      </c>
      <c r="R1977" s="73">
        <f t="shared" si="152"/>
        <v>2.2548829480680305E-6</v>
      </c>
      <c r="S1977" s="74">
        <f t="shared" si="150"/>
        <v>2.2635959195488387E-6</v>
      </c>
      <c r="U1977" s="80">
        <v>4.3226980587697771E-3</v>
      </c>
      <c r="W1977" s="81">
        <f t="shared" si="151"/>
        <v>0.99567730194123027</v>
      </c>
    </row>
    <row r="1978" spans="2:23" x14ac:dyDescent="0.3">
      <c r="B1978">
        <v>96</v>
      </c>
      <c r="C1978">
        <v>3</v>
      </c>
      <c r="D1978">
        <v>1829</v>
      </c>
      <c r="R1978" s="73">
        <f t="shared" si="152"/>
        <v>2.840378983354934E-6</v>
      </c>
      <c r="S1978" s="74">
        <f t="shared" si="150"/>
        <v>2.8527103890157647E-6</v>
      </c>
      <c r="U1978" s="80">
        <v>4.8027221069567609E-3</v>
      </c>
      <c r="W1978" s="81">
        <f t="shared" si="151"/>
        <v>0.99519727789304324</v>
      </c>
    </row>
    <row r="1979" spans="2:23" x14ac:dyDescent="0.3">
      <c r="B1979">
        <v>97</v>
      </c>
      <c r="C1979">
        <v>3</v>
      </c>
      <c r="D1979">
        <v>0</v>
      </c>
      <c r="R1979" s="73">
        <f t="shared" si="152"/>
        <v>0</v>
      </c>
      <c r="S1979" s="74">
        <f t="shared" si="150"/>
        <v>0</v>
      </c>
      <c r="U1979" s="80">
        <v>0</v>
      </c>
      <c r="W1979" s="81">
        <f t="shared" si="151"/>
        <v>1</v>
      </c>
    </row>
    <row r="1980" spans="2:23" x14ac:dyDescent="0.3">
      <c r="B1980">
        <v>97</v>
      </c>
      <c r="C1980">
        <v>3</v>
      </c>
      <c r="D1980">
        <v>3</v>
      </c>
      <c r="R1980" s="73">
        <f t="shared" si="152"/>
        <v>4.9387538111504757E-4</v>
      </c>
      <c r="S1980" s="74">
        <f t="shared" si="150"/>
        <v>4.9387538111504757E-4</v>
      </c>
      <c r="U1980" s="80">
        <v>1.4816261433451428E-3</v>
      </c>
      <c r="W1980" s="81">
        <f t="shared" si="151"/>
        <v>0.99851837385665487</v>
      </c>
    </row>
    <row r="1981" spans="2:23" x14ac:dyDescent="0.3">
      <c r="B1981">
        <v>97</v>
      </c>
      <c r="C1981">
        <v>3</v>
      </c>
      <c r="D1981">
        <v>9</v>
      </c>
      <c r="R1981" s="73">
        <f t="shared" si="152"/>
        <v>1.9636406083994978E-4</v>
      </c>
      <c r="S1981" s="74">
        <f t="shared" si="150"/>
        <v>1.9665543066725718E-4</v>
      </c>
      <c r="U1981" s="80">
        <v>2.6598105083848415E-3</v>
      </c>
      <c r="W1981" s="81">
        <f t="shared" si="151"/>
        <v>0.99734018949161518</v>
      </c>
    </row>
    <row r="1982" spans="2:23" x14ac:dyDescent="0.3">
      <c r="B1982">
        <v>97</v>
      </c>
      <c r="C1982">
        <v>3</v>
      </c>
      <c r="D1982">
        <v>20</v>
      </c>
      <c r="R1982" s="73">
        <f t="shared" si="152"/>
        <v>9.1684633175464965E-5</v>
      </c>
      <c r="S1982" s="74">
        <f t="shared" si="150"/>
        <v>9.1929147287446976E-5</v>
      </c>
      <c r="U1982" s="80">
        <v>3.6683414733149561E-3</v>
      </c>
      <c r="W1982" s="81">
        <f t="shared" si="151"/>
        <v>0.99633165852668504</v>
      </c>
    </row>
    <row r="1983" spans="2:23" x14ac:dyDescent="0.3">
      <c r="B1983">
        <v>97</v>
      </c>
      <c r="C1983">
        <v>3</v>
      </c>
      <c r="D1983">
        <v>42</v>
      </c>
      <c r="R1983" s="73">
        <f t="shared" si="152"/>
        <v>5.3743382019143231E-5</v>
      </c>
      <c r="S1983" s="74">
        <f t="shared" si="150"/>
        <v>5.3941256969206111E-5</v>
      </c>
      <c r="U1983" s="80">
        <v>4.8506958777361072E-3</v>
      </c>
      <c r="W1983" s="81">
        <f t="shared" si="151"/>
        <v>0.99514930412226388</v>
      </c>
    </row>
    <row r="1984" spans="2:23" x14ac:dyDescent="0.3">
      <c r="B1984">
        <v>97</v>
      </c>
      <c r="C1984">
        <v>3</v>
      </c>
      <c r="D1984">
        <v>63</v>
      </c>
      <c r="R1984" s="73">
        <f t="shared" si="152"/>
        <v>3.1197682200735762E-5</v>
      </c>
      <c r="S1984" s="74">
        <f t="shared" si="150"/>
        <v>3.1349750305309786E-5</v>
      </c>
      <c r="U1984" s="80">
        <v>5.5058472039515582E-3</v>
      </c>
      <c r="W1984" s="81">
        <f t="shared" si="151"/>
        <v>0.99449415279604847</v>
      </c>
    </row>
    <row r="1985" spans="2:23" x14ac:dyDescent="0.3">
      <c r="B1985">
        <v>97</v>
      </c>
      <c r="C1985">
        <v>3</v>
      </c>
      <c r="D1985">
        <v>84</v>
      </c>
      <c r="R1985" s="73">
        <f t="shared" si="152"/>
        <v>2.5694221493632468E-5</v>
      </c>
      <c r="S1985" s="74">
        <f t="shared" si="150"/>
        <v>2.5836473167179955E-5</v>
      </c>
      <c r="U1985" s="80">
        <v>6.0454258553178401E-3</v>
      </c>
      <c r="W1985" s="81">
        <f t="shared" si="151"/>
        <v>0.99395457414468213</v>
      </c>
    </row>
    <row r="1986" spans="2:23" x14ac:dyDescent="0.3">
      <c r="B1986">
        <v>97</v>
      </c>
      <c r="C1986">
        <v>3</v>
      </c>
      <c r="D1986">
        <v>133</v>
      </c>
      <c r="R1986" s="73">
        <f t="shared" si="152"/>
        <v>2.045888331815013E-5</v>
      </c>
      <c r="S1986" s="74">
        <f t="shared" si="150"/>
        <v>2.0583318242441222E-5</v>
      </c>
      <c r="U1986" s="80">
        <v>7.0479111379071965E-3</v>
      </c>
      <c r="W1986" s="81">
        <f t="shared" si="151"/>
        <v>0.99295208886209285</v>
      </c>
    </row>
    <row r="1987" spans="2:23" x14ac:dyDescent="0.3">
      <c r="B1987">
        <v>97</v>
      </c>
      <c r="C1987">
        <v>3</v>
      </c>
      <c r="D1987">
        <v>196</v>
      </c>
      <c r="R1987" s="73">
        <f t="shared" si="152"/>
        <v>1.4236692501668502E-5</v>
      </c>
      <c r="S1987" s="74">
        <f t="shared" si="150"/>
        <v>1.4337743644795113E-5</v>
      </c>
      <c r="U1987" s="80">
        <v>7.9448227655123122E-3</v>
      </c>
      <c r="W1987" s="81">
        <f t="shared" si="151"/>
        <v>0.99205517723448766</v>
      </c>
    </row>
    <row r="1988" spans="2:23" x14ac:dyDescent="0.3">
      <c r="B1988">
        <v>97</v>
      </c>
      <c r="C1988">
        <v>3</v>
      </c>
      <c r="D1988">
        <v>287</v>
      </c>
      <c r="R1988" s="73">
        <f t="shared" si="152"/>
        <v>1.5217186217463214E-5</v>
      </c>
      <c r="S1988" s="74">
        <f t="shared" si="150"/>
        <v>1.5339052269132402E-5</v>
      </c>
      <c r="U1988" s="80">
        <v>9.3295867113014647E-3</v>
      </c>
      <c r="W1988" s="81">
        <f t="shared" si="151"/>
        <v>0.99067041328869854</v>
      </c>
    </row>
    <row r="1989" spans="2:23" x14ac:dyDescent="0.3">
      <c r="B1989">
        <v>97</v>
      </c>
      <c r="C1989">
        <v>3</v>
      </c>
      <c r="D1989">
        <v>364</v>
      </c>
      <c r="R1989" s="73">
        <f t="shared" si="152"/>
        <v>1.2643140513024419E-5</v>
      </c>
      <c r="S1989" s="74">
        <f t="shared" si="150"/>
        <v>1.276220662637271E-5</v>
      </c>
      <c r="U1989" s="80">
        <v>1.0303108530804345E-2</v>
      </c>
      <c r="W1989" s="81">
        <f t="shared" si="151"/>
        <v>0.98969689146919571</v>
      </c>
    </row>
    <row r="1990" spans="2:23" x14ac:dyDescent="0.3">
      <c r="B1990">
        <v>97</v>
      </c>
      <c r="C1990">
        <v>3</v>
      </c>
      <c r="D1990">
        <v>462</v>
      </c>
      <c r="R1990" s="73">
        <f t="shared" si="152"/>
        <v>1.3325659826126214E-5</v>
      </c>
      <c r="S1990" s="74">
        <f t="shared" si="150"/>
        <v>1.3464384844479401E-5</v>
      </c>
      <c r="U1990" s="80">
        <v>1.1609023193764714E-2</v>
      </c>
      <c r="W1990" s="81">
        <f t="shared" si="151"/>
        <v>0.98839097680623533</v>
      </c>
    </row>
    <row r="1991" spans="2:23" x14ac:dyDescent="0.3">
      <c r="B1991">
        <v>97</v>
      </c>
      <c r="C1991">
        <v>3</v>
      </c>
      <c r="D1991">
        <v>581</v>
      </c>
      <c r="R1991" s="73">
        <f t="shared" si="152"/>
        <v>9.6014730731689021E-6</v>
      </c>
      <c r="S1991" s="74">
        <f t="shared" si="150"/>
        <v>9.714245980061368E-6</v>
      </c>
      <c r="U1991" s="80">
        <v>1.2751598489471813E-2</v>
      </c>
      <c r="W1991" s="81">
        <f t="shared" si="151"/>
        <v>0.98724840151052817</v>
      </c>
    </row>
    <row r="1992" spans="2:23" x14ac:dyDescent="0.3">
      <c r="B1992">
        <v>97</v>
      </c>
      <c r="C1992">
        <v>3</v>
      </c>
      <c r="D1992">
        <v>728</v>
      </c>
      <c r="R1992" s="73">
        <f t="shared" si="152"/>
        <v>6.5724960953699451E-6</v>
      </c>
      <c r="S1992" s="74">
        <f t="shared" si="150"/>
        <v>6.6573884397419874E-6</v>
      </c>
      <c r="U1992" s="80">
        <v>1.3717755415491195E-2</v>
      </c>
      <c r="W1992" s="81">
        <f t="shared" si="151"/>
        <v>0.98628224458450875</v>
      </c>
    </row>
    <row r="1993" spans="2:23" x14ac:dyDescent="0.3">
      <c r="B1993">
        <v>97</v>
      </c>
      <c r="C1993">
        <v>3</v>
      </c>
      <c r="D1993">
        <v>847</v>
      </c>
      <c r="R1993" s="73">
        <f t="shared" si="152"/>
        <v>5.7748721034212232E-6</v>
      </c>
      <c r="S1993" s="74">
        <f t="shared" si="150"/>
        <v>5.8551921979027464E-6</v>
      </c>
      <c r="U1993" s="80">
        <v>1.4404965195798321E-2</v>
      </c>
      <c r="W1993" s="81">
        <f t="shared" si="151"/>
        <v>0.98559503480420163</v>
      </c>
    </row>
    <row r="1994" spans="2:23" x14ac:dyDescent="0.3">
      <c r="B1994">
        <v>97</v>
      </c>
      <c r="C1994">
        <v>3</v>
      </c>
      <c r="D1994">
        <v>966</v>
      </c>
      <c r="R1994" s="73">
        <f t="shared" si="152"/>
        <v>9.2985972442954738E-6</v>
      </c>
      <c r="S1994" s="74">
        <f t="shared" si="150"/>
        <v>9.4345009014201578E-6</v>
      </c>
      <c r="U1994" s="80">
        <v>1.5511498267869482E-2</v>
      </c>
      <c r="W1994" s="81">
        <f t="shared" si="151"/>
        <v>0.98448850173213054</v>
      </c>
    </row>
    <row r="1995" spans="2:23" x14ac:dyDescent="0.3">
      <c r="B1995">
        <v>97</v>
      </c>
      <c r="C1995">
        <v>3</v>
      </c>
      <c r="D1995">
        <v>1064</v>
      </c>
      <c r="R1995" s="73">
        <f t="shared" si="152"/>
        <v>7.3747825430187702E-6</v>
      </c>
      <c r="S1995" s="74">
        <f t="shared" ref="S1995:S2058" si="153">IF(D1995&gt;D1994,(U1995-U1994)/W1994/(D1995-D1994),0)</f>
        <v>7.4909788484511682E-6</v>
      </c>
      <c r="U1995" s="80">
        <v>1.6234226957085322E-2</v>
      </c>
      <c r="W1995" s="81">
        <f t="shared" si="151"/>
        <v>0.98376577304291468</v>
      </c>
    </row>
    <row r="1996" spans="2:23" x14ac:dyDescent="0.3">
      <c r="B1996">
        <v>97</v>
      </c>
      <c r="C1996">
        <v>3</v>
      </c>
      <c r="D1996">
        <v>1274</v>
      </c>
      <c r="R1996" s="73">
        <f t="shared" si="152"/>
        <v>1.202175279766581E-5</v>
      </c>
      <c r="S1996" s="74">
        <f t="shared" si="153"/>
        <v>1.2220137279711385E-5</v>
      </c>
      <c r="U1996" s="80">
        <v>1.8758795044595142E-2</v>
      </c>
      <c r="W1996" s="81">
        <f t="shared" si="151"/>
        <v>0.9812412049554049</v>
      </c>
    </row>
    <row r="1997" spans="2:23" x14ac:dyDescent="0.3">
      <c r="B1997">
        <v>97</v>
      </c>
      <c r="C1997">
        <v>3</v>
      </c>
      <c r="D1997">
        <v>1450</v>
      </c>
      <c r="R1997" s="73">
        <f t="shared" si="152"/>
        <v>1.1579569356857234E-5</v>
      </c>
      <c r="S1997" s="74">
        <f t="shared" si="153"/>
        <v>1.1800940786402768E-5</v>
      </c>
      <c r="U1997" s="80">
        <v>2.0796799251402015E-2</v>
      </c>
      <c r="W1997" s="81">
        <f t="shared" si="151"/>
        <v>0.97920320074859801</v>
      </c>
    </row>
    <row r="1998" spans="2:23" x14ac:dyDescent="0.3">
      <c r="B1998">
        <v>97</v>
      </c>
      <c r="C1998">
        <v>3</v>
      </c>
      <c r="D1998">
        <v>1660</v>
      </c>
      <c r="R1998" s="73">
        <f t="shared" si="152"/>
        <v>1.0383061043193336E-5</v>
      </c>
      <c r="S1998" s="74">
        <f t="shared" si="153"/>
        <v>1.0603581601097215E-5</v>
      </c>
      <c r="U1998" s="80">
        <v>2.2977242070472616E-2</v>
      </c>
      <c r="W1998" s="81">
        <f t="shared" si="151"/>
        <v>0.97702275792952742</v>
      </c>
    </row>
    <row r="1999" spans="2:23" x14ac:dyDescent="0.3">
      <c r="B1999">
        <v>97</v>
      </c>
      <c r="C1999">
        <v>3</v>
      </c>
      <c r="D1999">
        <v>1829</v>
      </c>
      <c r="R1999" s="73">
        <f t="shared" si="152"/>
        <v>1.0715695376378481E-5</v>
      </c>
      <c r="S1999" s="74">
        <f t="shared" si="153"/>
        <v>1.0967702941829941E-5</v>
      </c>
      <c r="U1999" s="80">
        <v>2.4788194589080579E-2</v>
      </c>
      <c r="W1999" s="81">
        <f t="shared" si="151"/>
        <v>0.97521180541091945</v>
      </c>
    </row>
    <row r="2000" spans="2:23" x14ac:dyDescent="0.3">
      <c r="B2000">
        <v>98</v>
      </c>
      <c r="C2000">
        <v>3</v>
      </c>
      <c r="D2000">
        <v>0</v>
      </c>
      <c r="R2000" s="73">
        <f t="shared" si="152"/>
        <v>0</v>
      </c>
      <c r="S2000" s="74">
        <f t="shared" si="153"/>
        <v>0</v>
      </c>
      <c r="U2000" s="80">
        <v>0</v>
      </c>
      <c r="W2000" s="81">
        <f t="shared" si="151"/>
        <v>1</v>
      </c>
    </row>
    <row r="2001" spans="2:23" x14ac:dyDescent="0.3">
      <c r="B2001">
        <v>98</v>
      </c>
      <c r="C2001">
        <v>3</v>
      </c>
      <c r="D2001">
        <v>3</v>
      </c>
      <c r="R2001" s="73">
        <f t="shared" si="152"/>
        <v>5.0985804864849319E-4</v>
      </c>
      <c r="S2001" s="74">
        <f t="shared" si="153"/>
        <v>5.0985804864849319E-4</v>
      </c>
      <c r="U2001" s="80">
        <v>1.5295741459454796E-3</v>
      </c>
      <c r="W2001" s="81">
        <f t="shared" si="151"/>
        <v>0.99847042585405454</v>
      </c>
    </row>
    <row r="2002" spans="2:23" x14ac:dyDescent="0.3">
      <c r="B2002">
        <v>98</v>
      </c>
      <c r="C2002">
        <v>3</v>
      </c>
      <c r="D2002">
        <v>9</v>
      </c>
      <c r="R2002" s="73">
        <f t="shared" si="152"/>
        <v>1.5414029108729574E-4</v>
      </c>
      <c r="S2002" s="74">
        <f t="shared" si="153"/>
        <v>1.5437642127001395E-4</v>
      </c>
      <c r="U2002" s="80">
        <v>2.454415892469254E-3</v>
      </c>
      <c r="W2002" s="81">
        <f t="shared" si="151"/>
        <v>0.99754558410753069</v>
      </c>
    </row>
    <row r="2003" spans="2:23" x14ac:dyDescent="0.3">
      <c r="B2003">
        <v>98</v>
      </c>
      <c r="C2003">
        <v>3</v>
      </c>
      <c r="D2003">
        <v>20</v>
      </c>
      <c r="R2003" s="73">
        <f t="shared" si="152"/>
        <v>2.6542766807014371E-5</v>
      </c>
      <c r="S2003" s="74">
        <f t="shared" si="153"/>
        <v>2.6608074086921311E-5</v>
      </c>
      <c r="U2003" s="80">
        <v>2.7463863273464121E-3</v>
      </c>
      <c r="W2003" s="81">
        <f t="shared" si="151"/>
        <v>0.99725361367265364</v>
      </c>
    </row>
    <row r="2004" spans="2:23" x14ac:dyDescent="0.3">
      <c r="B2004">
        <v>98</v>
      </c>
      <c r="C2004">
        <v>3</v>
      </c>
      <c r="D2004">
        <v>42</v>
      </c>
      <c r="R2004" s="73">
        <f t="shared" si="152"/>
        <v>1.8108243201042076E-5</v>
      </c>
      <c r="S2004" s="74">
        <f t="shared" si="153"/>
        <v>1.8158112392647663E-5</v>
      </c>
      <c r="U2004" s="80">
        <v>3.1447676777693378E-3</v>
      </c>
      <c r="W2004" s="81">
        <f t="shared" si="151"/>
        <v>0.99685523232223061</v>
      </c>
    </row>
    <row r="2005" spans="2:23" x14ac:dyDescent="0.3">
      <c r="B2005">
        <v>98</v>
      </c>
      <c r="C2005">
        <v>3</v>
      </c>
      <c r="D2005">
        <v>63</v>
      </c>
      <c r="R2005" s="73">
        <f t="shared" si="152"/>
        <v>8.2946153663424167E-6</v>
      </c>
      <c r="S2005" s="74">
        <f t="shared" si="153"/>
        <v>8.3207822935529381E-6</v>
      </c>
      <c r="U2005" s="80">
        <v>3.3189546004625285E-3</v>
      </c>
      <c r="W2005" s="81">
        <f t="shared" si="151"/>
        <v>0.9966810453995375</v>
      </c>
    </row>
    <row r="2006" spans="2:23" x14ac:dyDescent="0.3">
      <c r="B2006">
        <v>98</v>
      </c>
      <c r="C2006">
        <v>3</v>
      </c>
      <c r="D2006">
        <v>84</v>
      </c>
      <c r="R2006" s="73">
        <f t="shared" si="152"/>
        <v>1.0726866583951987E-5</v>
      </c>
      <c r="S2006" s="74">
        <f t="shared" si="153"/>
        <v>1.0762587121993406E-5</v>
      </c>
      <c r="U2006" s="80">
        <v>3.5442187987255202E-3</v>
      </c>
      <c r="W2006" s="81">
        <f t="shared" si="151"/>
        <v>0.99645578120127443</v>
      </c>
    </row>
    <row r="2007" spans="2:23" x14ac:dyDescent="0.3">
      <c r="B2007">
        <v>98</v>
      </c>
      <c r="C2007">
        <v>3</v>
      </c>
      <c r="D2007">
        <v>133</v>
      </c>
      <c r="R2007" s="73">
        <f t="shared" si="152"/>
        <v>7.1995730481363242E-6</v>
      </c>
      <c r="S2007" s="74">
        <f t="shared" si="153"/>
        <v>7.2251806692886061E-6</v>
      </c>
      <c r="U2007" s="80">
        <v>3.8969978780842001E-3</v>
      </c>
      <c r="W2007" s="81">
        <f t="shared" si="151"/>
        <v>0.99610300212191583</v>
      </c>
    </row>
    <row r="2008" spans="2:23" x14ac:dyDescent="0.3">
      <c r="B2008">
        <v>98</v>
      </c>
      <c r="C2008">
        <v>3</v>
      </c>
      <c r="D2008">
        <v>196</v>
      </c>
      <c r="R2008" s="73">
        <f t="shared" si="152"/>
        <v>5.3414506272312596E-6</v>
      </c>
      <c r="S2008" s="74">
        <f t="shared" si="153"/>
        <v>5.3623476847803986E-6</v>
      </c>
      <c r="U2008" s="80">
        <v>4.2335092675997695E-3</v>
      </c>
      <c r="W2008" s="81">
        <f t="shared" si="151"/>
        <v>0.9957664907324002</v>
      </c>
    </row>
    <row r="2009" spans="2:23" x14ac:dyDescent="0.3">
      <c r="B2009">
        <v>98</v>
      </c>
      <c r="C2009">
        <v>3</v>
      </c>
      <c r="D2009">
        <v>287</v>
      </c>
      <c r="R2009" s="73">
        <f t="shared" si="152"/>
        <v>3.5764235685958463E-6</v>
      </c>
      <c r="S2009" s="74">
        <f t="shared" si="153"/>
        <v>3.5916287622465954E-6</v>
      </c>
      <c r="U2009" s="80">
        <v>4.5589638123419915E-3</v>
      </c>
      <c r="W2009" s="81">
        <f t="shared" si="151"/>
        <v>0.995441036187658</v>
      </c>
    </row>
    <row r="2010" spans="2:23" x14ac:dyDescent="0.3">
      <c r="B2010">
        <v>98</v>
      </c>
      <c r="C2010">
        <v>3</v>
      </c>
      <c r="D2010">
        <v>364</v>
      </c>
      <c r="R2010" s="73">
        <f t="shared" si="152"/>
        <v>4.3724351517480537E-6</v>
      </c>
      <c r="S2010" s="74">
        <f t="shared" si="153"/>
        <v>4.3924602189333229E-6</v>
      </c>
      <c r="U2010" s="80">
        <v>4.8956413190265917E-3</v>
      </c>
      <c r="W2010" s="81">
        <f t="shared" si="151"/>
        <v>0.99510435868097336</v>
      </c>
    </row>
    <row r="2011" spans="2:23" x14ac:dyDescent="0.3">
      <c r="B2011">
        <v>98</v>
      </c>
      <c r="C2011">
        <v>3</v>
      </c>
      <c r="D2011">
        <v>462</v>
      </c>
      <c r="R2011" s="73">
        <f t="shared" si="152"/>
        <v>4.3393744702281511E-6</v>
      </c>
      <c r="S2011" s="74">
        <f t="shared" si="153"/>
        <v>4.3607230059569439E-6</v>
      </c>
      <c r="U2011" s="80">
        <v>5.3209000171089505E-3</v>
      </c>
      <c r="W2011" s="81">
        <f t="shared" si="151"/>
        <v>0.99467909998289106</v>
      </c>
    </row>
    <row r="2012" spans="2:23" x14ac:dyDescent="0.3">
      <c r="B2012">
        <v>98</v>
      </c>
      <c r="C2012">
        <v>3</v>
      </c>
      <c r="D2012">
        <v>581</v>
      </c>
      <c r="R2012" s="73">
        <f t="shared" si="152"/>
        <v>3.5241637723914677E-6</v>
      </c>
      <c r="S2012" s="74">
        <f t="shared" si="153"/>
        <v>3.5430158052502405E-6</v>
      </c>
      <c r="U2012" s="80">
        <v>5.7402755060235351E-3</v>
      </c>
      <c r="W2012" s="81">
        <f t="shared" si="151"/>
        <v>0.99425972449397648</v>
      </c>
    </row>
    <row r="2013" spans="2:23" x14ac:dyDescent="0.3">
      <c r="B2013">
        <v>98</v>
      </c>
      <c r="C2013">
        <v>3</v>
      </c>
      <c r="D2013">
        <v>728</v>
      </c>
      <c r="R2013" s="73">
        <f t="shared" si="152"/>
        <v>1.9463814511310287E-6</v>
      </c>
      <c r="S2013" s="74">
        <f t="shared" si="153"/>
        <v>1.9576187219306602E-6</v>
      </c>
      <c r="U2013" s="80">
        <v>6.0263935793397963E-3</v>
      </c>
      <c r="W2013" s="81">
        <f t="shared" si="151"/>
        <v>0.99397360642066024</v>
      </c>
    </row>
    <row r="2014" spans="2:23" x14ac:dyDescent="0.3">
      <c r="B2014">
        <v>98</v>
      </c>
      <c r="C2014">
        <v>3</v>
      </c>
      <c r="D2014">
        <v>847</v>
      </c>
      <c r="R2014" s="73">
        <f t="shared" si="152"/>
        <v>2.9977994597665747E-6</v>
      </c>
      <c r="S2014" s="74">
        <f t="shared" si="153"/>
        <v>3.0159749116093472E-6</v>
      </c>
      <c r="U2014" s="80">
        <v>6.3831317150520187E-3</v>
      </c>
      <c r="W2014" s="81">
        <f t="shared" si="151"/>
        <v>0.993616868284948</v>
      </c>
    </row>
    <row r="2015" spans="2:23" x14ac:dyDescent="0.3">
      <c r="B2015">
        <v>98</v>
      </c>
      <c r="C2015">
        <v>3</v>
      </c>
      <c r="D2015">
        <v>966</v>
      </c>
      <c r="R2015" s="73">
        <f t="shared" si="152"/>
        <v>3.5770387104244967E-6</v>
      </c>
      <c r="S2015" s="74">
        <f t="shared" si="153"/>
        <v>3.6000181001342245E-6</v>
      </c>
      <c r="U2015" s="80">
        <v>6.8087993215925338E-3</v>
      </c>
      <c r="W2015" s="81">
        <f t="shared" si="151"/>
        <v>0.99319120067840749</v>
      </c>
    </row>
    <row r="2016" spans="2:23" x14ac:dyDescent="0.3">
      <c r="B2016">
        <v>98</v>
      </c>
      <c r="C2016">
        <v>3</v>
      </c>
      <c r="D2016">
        <v>1064</v>
      </c>
      <c r="R2016" s="73">
        <f t="shared" si="152"/>
        <v>4.7706556608792452E-6</v>
      </c>
      <c r="S2016" s="74">
        <f t="shared" si="153"/>
        <v>4.8033607805028979E-6</v>
      </c>
      <c r="U2016" s="80">
        <v>7.2763235763586998E-3</v>
      </c>
      <c r="W2016" s="81">
        <f t="shared" si="151"/>
        <v>0.99272367642364134</v>
      </c>
    </row>
    <row r="2017" spans="2:23" x14ac:dyDescent="0.3">
      <c r="B2017">
        <v>98</v>
      </c>
      <c r="C2017">
        <v>3</v>
      </c>
      <c r="D2017">
        <v>1274</v>
      </c>
      <c r="R2017" s="73">
        <f t="shared" si="152"/>
        <v>7.1781187424402398E-6</v>
      </c>
      <c r="S2017" s="74">
        <f t="shared" si="153"/>
        <v>7.2307318873464672E-6</v>
      </c>
      <c r="U2017" s="80">
        <v>8.7837285122711502E-3</v>
      </c>
      <c r="W2017" s="81">
        <f t="shared" si="151"/>
        <v>0.99121627148772884</v>
      </c>
    </row>
    <row r="2018" spans="2:23" x14ac:dyDescent="0.3">
      <c r="B2018">
        <v>98</v>
      </c>
      <c r="C2018">
        <v>3</v>
      </c>
      <c r="D2018">
        <v>1450</v>
      </c>
      <c r="R2018" s="73">
        <f t="shared" si="152"/>
        <v>7.5396466462401082E-6</v>
      </c>
      <c r="S2018" s="74">
        <f t="shared" si="153"/>
        <v>7.6064597233898906E-6</v>
      </c>
      <c r="U2018" s="80">
        <v>1.0110706322009409E-2</v>
      </c>
      <c r="W2018" s="81">
        <f t="shared" si="151"/>
        <v>0.98988929367799061</v>
      </c>
    </row>
    <row r="2019" spans="2:23" x14ac:dyDescent="0.3">
      <c r="B2019">
        <v>98</v>
      </c>
      <c r="C2019">
        <v>3</v>
      </c>
      <c r="D2019">
        <v>1660</v>
      </c>
      <c r="R2019" s="73">
        <f t="shared" si="152"/>
        <v>5.8431368240062195E-6</v>
      </c>
      <c r="S2019" s="74">
        <f t="shared" si="153"/>
        <v>5.9028184882126652E-6</v>
      </c>
      <c r="U2019" s="80">
        <v>1.1337765055050715E-2</v>
      </c>
      <c r="W2019" s="81">
        <f t="shared" si="151"/>
        <v>0.98866223494494931</v>
      </c>
    </row>
    <row r="2020" spans="2:23" x14ac:dyDescent="0.3">
      <c r="B2020">
        <v>98</v>
      </c>
      <c r="C2020">
        <v>3</v>
      </c>
      <c r="D2020">
        <v>1829</v>
      </c>
      <c r="R2020" s="73">
        <f t="shared" si="152"/>
        <v>6.234802311536451E-6</v>
      </c>
      <c r="S2020" s="74">
        <f t="shared" si="153"/>
        <v>6.3063016783316469E-6</v>
      </c>
      <c r="U2020" s="80">
        <v>1.2391446645700376E-2</v>
      </c>
      <c r="W2020" s="81">
        <f t="shared" si="151"/>
        <v>0.98760855335429965</v>
      </c>
    </row>
    <row r="2021" spans="2:23" x14ac:dyDescent="0.3">
      <c r="B2021">
        <v>99</v>
      </c>
      <c r="C2021">
        <v>3</v>
      </c>
      <c r="D2021">
        <v>0</v>
      </c>
      <c r="R2021" s="73">
        <f t="shared" si="152"/>
        <v>0</v>
      </c>
      <c r="S2021" s="74">
        <f t="shared" si="153"/>
        <v>0</v>
      </c>
      <c r="U2021" s="80">
        <v>0</v>
      </c>
      <c r="W2021" s="81">
        <f t="shared" si="151"/>
        <v>1</v>
      </c>
    </row>
    <row r="2022" spans="2:23" x14ac:dyDescent="0.3">
      <c r="B2022">
        <v>99</v>
      </c>
      <c r="C2022">
        <v>3</v>
      </c>
      <c r="D2022">
        <v>3</v>
      </c>
      <c r="R2022" s="73">
        <f t="shared" si="152"/>
        <v>1.4344944138480155E-3</v>
      </c>
      <c r="S2022" s="74">
        <f t="shared" si="153"/>
        <v>1.4344944138480155E-3</v>
      </c>
      <c r="U2022" s="80">
        <v>4.3034832415440464E-3</v>
      </c>
      <c r="W2022" s="81">
        <f t="shared" si="151"/>
        <v>0.99569651675845594</v>
      </c>
    </row>
    <row r="2023" spans="2:23" x14ac:dyDescent="0.3">
      <c r="B2023">
        <v>99</v>
      </c>
      <c r="C2023">
        <v>3</v>
      </c>
      <c r="D2023">
        <v>9</v>
      </c>
      <c r="R2023" s="73">
        <f t="shared" si="152"/>
        <v>9.8961929446888153E-4</v>
      </c>
      <c r="S2023" s="74">
        <f t="shared" si="153"/>
        <v>9.9389651144973453E-4</v>
      </c>
      <c r="U2023" s="80">
        <v>1.0241199008357335E-2</v>
      </c>
      <c r="W2023" s="81">
        <f t="shared" si="151"/>
        <v>0.98975880099164271</v>
      </c>
    </row>
    <row r="2024" spans="2:23" x14ac:dyDescent="0.3">
      <c r="B2024">
        <v>99</v>
      </c>
      <c r="C2024">
        <v>3</v>
      </c>
      <c r="D2024">
        <v>20</v>
      </c>
      <c r="R2024" s="73">
        <f t="shared" si="152"/>
        <v>5.3495732715604029E-4</v>
      </c>
      <c r="S2024" s="74">
        <f t="shared" si="153"/>
        <v>5.4049261963628385E-4</v>
      </c>
      <c r="U2024" s="80">
        <v>1.6125729607073779E-2</v>
      </c>
      <c r="W2024" s="81">
        <f t="shared" ref="W2024:W2087" si="154">100%-U2024</f>
        <v>0.98387427039292619</v>
      </c>
    </row>
    <row r="2025" spans="2:23" x14ac:dyDescent="0.3">
      <c r="B2025">
        <v>99</v>
      </c>
      <c r="C2025">
        <v>3</v>
      </c>
      <c r="D2025">
        <v>42</v>
      </c>
      <c r="R2025" s="73">
        <f t="shared" si="152"/>
        <v>3.9250694838462949E-4</v>
      </c>
      <c r="S2025" s="74">
        <f t="shared" si="153"/>
        <v>3.9894014936265736E-4</v>
      </c>
      <c r="U2025" s="80">
        <v>2.4760882471535628E-2</v>
      </c>
      <c r="W2025" s="81">
        <f t="shared" si="154"/>
        <v>0.97523911752846437</v>
      </c>
    </row>
    <row r="2026" spans="2:23" x14ac:dyDescent="0.3">
      <c r="B2026">
        <v>99</v>
      </c>
      <c r="C2026">
        <v>3</v>
      </c>
      <c r="D2026">
        <v>63</v>
      </c>
      <c r="R2026" s="73">
        <f t="shared" si="152"/>
        <v>2.8788507016607709E-4</v>
      </c>
      <c r="S2026" s="74">
        <f t="shared" si="153"/>
        <v>2.9519434258919029E-4</v>
      </c>
      <c r="U2026" s="80">
        <v>3.0806468945023247E-2</v>
      </c>
      <c r="W2026" s="81">
        <f t="shared" si="154"/>
        <v>0.96919353105497674</v>
      </c>
    </row>
    <row r="2027" spans="2:23" x14ac:dyDescent="0.3">
      <c r="B2027">
        <v>99</v>
      </c>
      <c r="C2027">
        <v>3</v>
      </c>
      <c r="D2027">
        <v>84</v>
      </c>
      <c r="R2027" s="73">
        <f t="shared" si="152"/>
        <v>2.6293129401993291E-4</v>
      </c>
      <c r="S2027" s="74">
        <f t="shared" si="153"/>
        <v>2.7128874223265767E-4</v>
      </c>
      <c r="U2027" s="80">
        <v>3.6328026119441838E-2</v>
      </c>
      <c r="W2027" s="81">
        <f t="shared" si="154"/>
        <v>0.96367197388055814</v>
      </c>
    </row>
    <row r="2028" spans="2:23" x14ac:dyDescent="0.3">
      <c r="B2028">
        <v>99</v>
      </c>
      <c r="C2028">
        <v>3</v>
      </c>
      <c r="D2028">
        <v>133</v>
      </c>
      <c r="R2028" s="73">
        <f t="shared" si="152"/>
        <v>1.7018017060917327E-4</v>
      </c>
      <c r="S2028" s="74">
        <f t="shared" si="153"/>
        <v>1.7659553792343262E-4</v>
      </c>
      <c r="U2028" s="80">
        <v>4.4666854479291328E-2</v>
      </c>
      <c r="W2028" s="81">
        <f t="shared" si="154"/>
        <v>0.95533314552070869</v>
      </c>
    </row>
    <row r="2029" spans="2:23" x14ac:dyDescent="0.3">
      <c r="B2029">
        <v>99</v>
      </c>
      <c r="C2029">
        <v>3</v>
      </c>
      <c r="D2029">
        <v>196</v>
      </c>
      <c r="R2029" s="73">
        <f t="shared" ref="R2029:R2092" si="155">IF(D2029&gt;D2028,(U2029-U2028)/1/(D2029-D2028),0)</f>
        <v>6.7283550385515591E-5</v>
      </c>
      <c r="S2029" s="74">
        <f t="shared" si="153"/>
        <v>7.0429410620776055E-5</v>
      </c>
      <c r="U2029" s="80">
        <v>4.890571815357881E-2</v>
      </c>
      <c r="W2029" s="81">
        <f t="shared" si="154"/>
        <v>0.9510942818464212</v>
      </c>
    </row>
    <row r="2030" spans="2:23" x14ac:dyDescent="0.3">
      <c r="B2030">
        <v>99</v>
      </c>
      <c r="C2030">
        <v>3</v>
      </c>
      <c r="D2030">
        <v>287</v>
      </c>
      <c r="R2030" s="73">
        <f t="shared" si="155"/>
        <v>3.4391748822463662E-5</v>
      </c>
      <c r="S2030" s="74">
        <f t="shared" si="153"/>
        <v>3.6160188825546005E-5</v>
      </c>
      <c r="U2030" s="80">
        <v>5.2035367296423003E-2</v>
      </c>
      <c r="W2030" s="81">
        <f t="shared" si="154"/>
        <v>0.947964632703577</v>
      </c>
    </row>
    <row r="2031" spans="2:23" x14ac:dyDescent="0.3">
      <c r="B2031">
        <v>99</v>
      </c>
      <c r="C2031">
        <v>3</v>
      </c>
      <c r="D2031">
        <v>364</v>
      </c>
      <c r="R2031" s="73">
        <f t="shared" si="155"/>
        <v>3.2505979313558139E-5</v>
      </c>
      <c r="S2031" s="74">
        <f t="shared" si="153"/>
        <v>3.4290286991880387E-5</v>
      </c>
      <c r="U2031" s="80">
        <v>5.453832770356698E-2</v>
      </c>
      <c r="W2031" s="81">
        <f t="shared" si="154"/>
        <v>0.94546167229643308</v>
      </c>
    </row>
    <row r="2032" spans="2:23" x14ac:dyDescent="0.3">
      <c r="B2032">
        <v>99</v>
      </c>
      <c r="C2032">
        <v>3</v>
      </c>
      <c r="D2032">
        <v>462</v>
      </c>
      <c r="R2032" s="73">
        <f t="shared" si="155"/>
        <v>3.1057584278789194E-5</v>
      </c>
      <c r="S2032" s="74">
        <f t="shared" si="153"/>
        <v>3.2849120370319598E-5</v>
      </c>
      <c r="U2032" s="80">
        <v>5.7581970962888321E-2</v>
      </c>
      <c r="W2032" s="81">
        <f t="shared" si="154"/>
        <v>0.94241802903711169</v>
      </c>
    </row>
    <row r="2033" spans="2:23" x14ac:dyDescent="0.3">
      <c r="B2033">
        <v>99</v>
      </c>
      <c r="C2033">
        <v>3</v>
      </c>
      <c r="D2033">
        <v>581</v>
      </c>
      <c r="R2033" s="73">
        <f t="shared" si="155"/>
        <v>2.722755079428273E-5</v>
      </c>
      <c r="S2033" s="74">
        <f t="shared" si="153"/>
        <v>2.8891160775119819E-5</v>
      </c>
      <c r="U2033" s="80">
        <v>6.0822049507407966E-2</v>
      </c>
      <c r="W2033" s="81">
        <f t="shared" si="154"/>
        <v>0.93917795049259201</v>
      </c>
    </row>
    <row r="2034" spans="2:23" x14ac:dyDescent="0.3">
      <c r="B2034">
        <v>99</v>
      </c>
      <c r="C2034">
        <v>3</v>
      </c>
      <c r="D2034">
        <v>728</v>
      </c>
      <c r="R2034" s="73">
        <f t="shared" si="155"/>
        <v>2.3761071312481502E-5</v>
      </c>
      <c r="S2034" s="74">
        <f t="shared" si="153"/>
        <v>2.52998606920222E-5</v>
      </c>
      <c r="U2034" s="80">
        <v>6.4314926990342747E-2</v>
      </c>
      <c r="W2034" s="81">
        <f t="shared" si="154"/>
        <v>0.93568507300965731</v>
      </c>
    </row>
    <row r="2035" spans="2:23" x14ac:dyDescent="0.3">
      <c r="B2035">
        <v>99</v>
      </c>
      <c r="C2035">
        <v>3</v>
      </c>
      <c r="D2035">
        <v>847</v>
      </c>
      <c r="R2035" s="73">
        <f t="shared" si="155"/>
        <v>2.9582780417375084E-5</v>
      </c>
      <c r="S2035" s="74">
        <f t="shared" si="153"/>
        <v>3.1616172225790931E-5</v>
      </c>
      <c r="U2035" s="80">
        <v>6.7835277860010382E-2</v>
      </c>
      <c r="W2035" s="81">
        <f t="shared" si="154"/>
        <v>0.93216472213998958</v>
      </c>
    </row>
    <row r="2036" spans="2:23" x14ac:dyDescent="0.3">
      <c r="B2036">
        <v>99</v>
      </c>
      <c r="C2036">
        <v>3</v>
      </c>
      <c r="D2036">
        <v>966</v>
      </c>
      <c r="R2036" s="73">
        <f t="shared" si="155"/>
        <v>2.9304009292214363E-5</v>
      </c>
      <c r="S2036" s="74">
        <f t="shared" si="153"/>
        <v>3.1436513951032762E-5</v>
      </c>
      <c r="U2036" s="80">
        <v>7.1322454965783891E-2</v>
      </c>
      <c r="W2036" s="81">
        <f t="shared" si="154"/>
        <v>0.92867754503421607</v>
      </c>
    </row>
    <row r="2037" spans="2:23" x14ac:dyDescent="0.3">
      <c r="B2037">
        <v>99</v>
      </c>
      <c r="C2037">
        <v>3</v>
      </c>
      <c r="D2037">
        <v>1064</v>
      </c>
      <c r="R2037" s="73">
        <f t="shared" si="155"/>
        <v>2.6912729453030825E-5</v>
      </c>
      <c r="S2037" s="74">
        <f t="shared" si="153"/>
        <v>2.8979627640333716E-5</v>
      </c>
      <c r="U2037" s="80">
        <v>7.3959902452180912E-2</v>
      </c>
      <c r="W2037" s="81">
        <f t="shared" si="154"/>
        <v>0.92604009754781913</v>
      </c>
    </row>
    <row r="2038" spans="2:23" x14ac:dyDescent="0.3">
      <c r="B2038">
        <v>99</v>
      </c>
      <c r="C2038">
        <v>3</v>
      </c>
      <c r="D2038">
        <v>1274</v>
      </c>
      <c r="R2038" s="73">
        <f t="shared" si="155"/>
        <v>1.8919649512701804E-5</v>
      </c>
      <c r="S2038" s="74">
        <f t="shared" si="153"/>
        <v>2.043070225879158E-5</v>
      </c>
      <c r="U2038" s="80">
        <v>7.793302884984829E-2</v>
      </c>
      <c r="W2038" s="81">
        <f t="shared" si="154"/>
        <v>0.92206697115015168</v>
      </c>
    </row>
    <row r="2039" spans="2:23" x14ac:dyDescent="0.3">
      <c r="B2039">
        <v>99</v>
      </c>
      <c r="C2039">
        <v>3</v>
      </c>
      <c r="D2039">
        <v>1450</v>
      </c>
      <c r="R2039" s="73">
        <f t="shared" si="155"/>
        <v>2.3724732077239248E-5</v>
      </c>
      <c r="S2039" s="74">
        <f t="shared" si="153"/>
        <v>2.5729944591384624E-5</v>
      </c>
      <c r="U2039" s="80">
        <v>8.2108581695442398E-2</v>
      </c>
      <c r="W2039" s="81">
        <f t="shared" si="154"/>
        <v>0.91789141830455756</v>
      </c>
    </row>
    <row r="2040" spans="2:23" x14ac:dyDescent="0.3">
      <c r="B2040">
        <v>99</v>
      </c>
      <c r="C2040">
        <v>3</v>
      </c>
      <c r="D2040">
        <v>1660</v>
      </c>
      <c r="R2040" s="73">
        <f t="shared" si="155"/>
        <v>1.741764548249364E-5</v>
      </c>
      <c r="S2040" s="74">
        <f t="shared" si="153"/>
        <v>1.8975714485560689E-5</v>
      </c>
      <c r="U2040" s="80">
        <v>8.5766287246766063E-2</v>
      </c>
      <c r="W2040" s="81">
        <f t="shared" si="154"/>
        <v>0.91423371275323395</v>
      </c>
    </row>
    <row r="2041" spans="2:23" x14ac:dyDescent="0.3">
      <c r="B2041">
        <v>99</v>
      </c>
      <c r="C2041">
        <v>3</v>
      </c>
      <c r="D2041">
        <v>1829</v>
      </c>
      <c r="R2041" s="73">
        <f t="shared" si="155"/>
        <v>2.1467957023652335E-5</v>
      </c>
      <c r="S2041" s="74">
        <f t="shared" si="153"/>
        <v>2.3481913567813129E-5</v>
      </c>
      <c r="U2041" s="80">
        <v>8.9394371983763307E-2</v>
      </c>
      <c r="W2041" s="81">
        <f t="shared" si="154"/>
        <v>0.91060562801623668</v>
      </c>
    </row>
    <row r="2042" spans="2:23" x14ac:dyDescent="0.3">
      <c r="B2042">
        <v>100</v>
      </c>
      <c r="C2042">
        <v>3</v>
      </c>
      <c r="D2042">
        <v>0</v>
      </c>
      <c r="R2042" s="73">
        <f t="shared" si="155"/>
        <v>0</v>
      </c>
      <c r="S2042" s="74">
        <f t="shared" si="153"/>
        <v>0</v>
      </c>
      <c r="U2042" s="80">
        <v>0</v>
      </c>
      <c r="W2042" s="81">
        <f t="shared" si="154"/>
        <v>1</v>
      </c>
    </row>
    <row r="2043" spans="2:23" x14ac:dyDescent="0.3">
      <c r="B2043">
        <v>100</v>
      </c>
      <c r="C2043">
        <v>3</v>
      </c>
      <c r="D2043">
        <v>3</v>
      </c>
      <c r="R2043" s="73">
        <f t="shared" si="155"/>
        <v>2.5938172641697698E-3</v>
      </c>
      <c r="S2043" s="74">
        <f t="shared" si="153"/>
        <v>2.5938172641697698E-3</v>
      </c>
      <c r="U2043" s="80">
        <v>7.7814517925093099E-3</v>
      </c>
      <c r="W2043" s="81">
        <f t="shared" si="154"/>
        <v>0.99221854820749067</v>
      </c>
    </row>
    <row r="2044" spans="2:23" x14ac:dyDescent="0.3">
      <c r="B2044">
        <v>100</v>
      </c>
      <c r="C2044">
        <v>3</v>
      </c>
      <c r="D2044">
        <v>9</v>
      </c>
      <c r="R2044" s="73">
        <f t="shared" si="155"/>
        <v>2.2905365779724491E-3</v>
      </c>
      <c r="S2044" s="74">
        <f t="shared" si="153"/>
        <v>2.3085000599015783E-3</v>
      </c>
      <c r="U2044" s="80">
        <v>2.1524671260344005E-2</v>
      </c>
      <c r="W2044" s="81">
        <f t="shared" si="154"/>
        <v>0.97847532873965604</v>
      </c>
    </row>
    <row r="2045" spans="2:23" x14ac:dyDescent="0.3">
      <c r="B2045">
        <v>100</v>
      </c>
      <c r="C2045">
        <v>3</v>
      </c>
      <c r="D2045">
        <v>20</v>
      </c>
      <c r="R2045" s="73">
        <f t="shared" si="155"/>
        <v>4.3521427439908371E-4</v>
      </c>
      <c r="S2045" s="74">
        <f t="shared" si="153"/>
        <v>4.447881940566348E-4</v>
      </c>
      <c r="U2045" s="80">
        <v>2.6312028278733926E-2</v>
      </c>
      <c r="W2045" s="81">
        <f t="shared" si="154"/>
        <v>0.97368797172126609</v>
      </c>
    </row>
    <row r="2046" spans="2:23" x14ac:dyDescent="0.3">
      <c r="B2046">
        <v>100</v>
      </c>
      <c r="C2046">
        <v>3</v>
      </c>
      <c r="D2046">
        <v>42</v>
      </c>
      <c r="R2046" s="73">
        <f t="shared" si="155"/>
        <v>1.7313123196963272E-4</v>
      </c>
      <c r="S2046" s="74">
        <f t="shared" si="153"/>
        <v>1.7780976760303898E-4</v>
      </c>
      <c r="U2046" s="80">
        <v>3.0120915382065846E-2</v>
      </c>
      <c r="W2046" s="81">
        <f t="shared" si="154"/>
        <v>0.96987908461793415</v>
      </c>
    </row>
    <row r="2047" spans="2:23" x14ac:dyDescent="0.3">
      <c r="B2047">
        <v>100</v>
      </c>
      <c r="C2047">
        <v>3</v>
      </c>
      <c r="D2047">
        <v>63</v>
      </c>
      <c r="R2047" s="73">
        <f t="shared" si="155"/>
        <v>8.7199354554112527E-5</v>
      </c>
      <c r="S2047" s="74">
        <f t="shared" si="153"/>
        <v>8.9907449224418628E-5</v>
      </c>
      <c r="U2047" s="80">
        <v>3.1952101827702209E-2</v>
      </c>
      <c r="W2047" s="81">
        <f t="shared" si="154"/>
        <v>0.96804789817229775</v>
      </c>
    </row>
    <row r="2048" spans="2:23" x14ac:dyDescent="0.3">
      <c r="B2048">
        <v>100</v>
      </c>
      <c r="C2048">
        <v>3</v>
      </c>
      <c r="D2048">
        <v>84</v>
      </c>
      <c r="R2048" s="73">
        <f t="shared" si="155"/>
        <v>5.9917033420760146E-5</v>
      </c>
      <c r="S2048" s="74">
        <f t="shared" si="153"/>
        <v>6.1894699150615603E-5</v>
      </c>
      <c r="U2048" s="80">
        <v>3.3210359529538172E-2</v>
      </c>
      <c r="W2048" s="81">
        <f t="shared" si="154"/>
        <v>0.96678964047046179</v>
      </c>
    </row>
    <row r="2049" spans="2:23" x14ac:dyDescent="0.3">
      <c r="B2049">
        <v>100</v>
      </c>
      <c r="C2049">
        <v>3</v>
      </c>
      <c r="D2049">
        <v>133</v>
      </c>
      <c r="R2049" s="73">
        <f t="shared" si="155"/>
        <v>5.1313182539560536E-5</v>
      </c>
      <c r="S2049" s="74">
        <f t="shared" si="153"/>
        <v>5.3075850621020692E-5</v>
      </c>
      <c r="U2049" s="80">
        <v>3.5724705473976638E-2</v>
      </c>
      <c r="W2049" s="81">
        <f t="shared" si="154"/>
        <v>0.96427529452602334</v>
      </c>
    </row>
    <row r="2050" spans="2:23" x14ac:dyDescent="0.3">
      <c r="B2050">
        <v>100</v>
      </c>
      <c r="C2050">
        <v>3</v>
      </c>
      <c r="D2050">
        <v>196</v>
      </c>
      <c r="R2050" s="73">
        <f t="shared" si="155"/>
        <v>4.1340516459969748E-5</v>
      </c>
      <c r="S2050" s="74">
        <f t="shared" si="153"/>
        <v>4.2872109961388287E-5</v>
      </c>
      <c r="U2050" s="80">
        <v>3.8329158010954732E-2</v>
      </c>
      <c r="W2050" s="81">
        <f t="shared" si="154"/>
        <v>0.96167084198904529</v>
      </c>
    </row>
    <row r="2051" spans="2:23" x14ac:dyDescent="0.3">
      <c r="B2051">
        <v>100</v>
      </c>
      <c r="C2051">
        <v>3</v>
      </c>
      <c r="D2051">
        <v>287</v>
      </c>
      <c r="R2051" s="73">
        <f t="shared" si="155"/>
        <v>2.3197779010846351E-5</v>
      </c>
      <c r="S2051" s="74">
        <f t="shared" si="153"/>
        <v>2.4122369107984876E-5</v>
      </c>
      <c r="U2051" s="80">
        <v>4.044015590094175E-2</v>
      </c>
      <c r="W2051" s="81">
        <f t="shared" si="154"/>
        <v>0.95955984409905826</v>
      </c>
    </row>
    <row r="2052" spans="2:23" x14ac:dyDescent="0.3">
      <c r="B2052">
        <v>100</v>
      </c>
      <c r="C2052">
        <v>3</v>
      </c>
      <c r="D2052">
        <v>364</v>
      </c>
      <c r="R2052" s="73">
        <f t="shared" si="155"/>
        <v>2.2198185603620645E-5</v>
      </c>
      <c r="S2052" s="74">
        <f t="shared" si="153"/>
        <v>2.3133716714107368E-5</v>
      </c>
      <c r="U2052" s="80">
        <v>4.214941619242054E-2</v>
      </c>
      <c r="W2052" s="81">
        <f t="shared" si="154"/>
        <v>0.95785058380757948</v>
      </c>
    </row>
    <row r="2053" spans="2:23" x14ac:dyDescent="0.3">
      <c r="B2053">
        <v>100</v>
      </c>
      <c r="C2053">
        <v>3</v>
      </c>
      <c r="D2053">
        <v>462</v>
      </c>
      <c r="R2053" s="73">
        <f t="shared" si="155"/>
        <v>2.3297157544956529E-5</v>
      </c>
      <c r="S2053" s="74">
        <f t="shared" si="153"/>
        <v>2.432232953530949E-5</v>
      </c>
      <c r="U2053" s="80">
        <v>4.443253763182628E-2</v>
      </c>
      <c r="W2053" s="81">
        <f t="shared" si="154"/>
        <v>0.95556746236817369</v>
      </c>
    </row>
    <row r="2054" spans="2:23" x14ac:dyDescent="0.3">
      <c r="B2054">
        <v>100</v>
      </c>
      <c r="C2054">
        <v>3</v>
      </c>
      <c r="D2054">
        <v>581</v>
      </c>
      <c r="R2054" s="73">
        <f t="shared" si="155"/>
        <v>1.8422694015242357E-5</v>
      </c>
      <c r="S2054" s="74">
        <f t="shared" si="153"/>
        <v>1.9279323272043577E-5</v>
      </c>
      <c r="U2054" s="80">
        <v>4.662483821964012E-2</v>
      </c>
      <c r="W2054" s="81">
        <f t="shared" si="154"/>
        <v>0.95337516178035986</v>
      </c>
    </row>
    <row r="2055" spans="2:23" x14ac:dyDescent="0.3">
      <c r="B2055">
        <v>100</v>
      </c>
      <c r="C2055">
        <v>3</v>
      </c>
      <c r="D2055">
        <v>728</v>
      </c>
      <c r="R2055" s="73">
        <f t="shared" si="155"/>
        <v>1.1681661283698168E-5</v>
      </c>
      <c r="S2055" s="74">
        <f t="shared" si="153"/>
        <v>1.2252953246530467E-5</v>
      </c>
      <c r="U2055" s="80">
        <v>4.8342042428343751E-2</v>
      </c>
      <c r="W2055" s="81">
        <f t="shared" si="154"/>
        <v>0.95165795757165628</v>
      </c>
    </row>
    <row r="2056" spans="2:23" x14ac:dyDescent="0.3">
      <c r="B2056">
        <v>100</v>
      </c>
      <c r="C2056">
        <v>3</v>
      </c>
      <c r="D2056">
        <v>847</v>
      </c>
      <c r="R2056" s="73">
        <f t="shared" si="155"/>
        <v>1.3538350641924956E-5</v>
      </c>
      <c r="S2056" s="74">
        <f t="shared" si="153"/>
        <v>1.4226067815868149E-5</v>
      </c>
      <c r="U2056" s="80">
        <v>4.9953106154732821E-2</v>
      </c>
      <c r="W2056" s="81">
        <f t="shared" si="154"/>
        <v>0.95004689384526719</v>
      </c>
    </row>
    <row r="2057" spans="2:23" x14ac:dyDescent="0.3">
      <c r="B2057">
        <v>100</v>
      </c>
      <c r="C2057">
        <v>3</v>
      </c>
      <c r="D2057">
        <v>966</v>
      </c>
      <c r="R2057" s="73">
        <f t="shared" si="155"/>
        <v>1.656298175469495E-5</v>
      </c>
      <c r="S2057" s="74">
        <f t="shared" si="153"/>
        <v>1.7433857067472857E-5</v>
      </c>
      <c r="U2057" s="80">
        <v>5.192410098354152E-2</v>
      </c>
      <c r="W2057" s="81">
        <f t="shared" si="154"/>
        <v>0.9480758990164585</v>
      </c>
    </row>
    <row r="2058" spans="2:23" x14ac:dyDescent="0.3">
      <c r="B2058">
        <v>100</v>
      </c>
      <c r="C2058">
        <v>3</v>
      </c>
      <c r="D2058">
        <v>1064</v>
      </c>
      <c r="R2058" s="73">
        <f t="shared" si="155"/>
        <v>1.9105288839145402E-5</v>
      </c>
      <c r="S2058" s="74">
        <f t="shared" si="153"/>
        <v>2.0151644883036664E-5</v>
      </c>
      <c r="U2058" s="80">
        <v>5.3796419289777769E-2</v>
      </c>
      <c r="W2058" s="81">
        <f t="shared" si="154"/>
        <v>0.94620358071022226</v>
      </c>
    </row>
    <row r="2059" spans="2:23" x14ac:dyDescent="0.3">
      <c r="B2059">
        <v>100</v>
      </c>
      <c r="C2059">
        <v>3</v>
      </c>
      <c r="D2059">
        <v>1274</v>
      </c>
      <c r="R2059" s="73">
        <f t="shared" si="155"/>
        <v>2.2212570579413371E-5</v>
      </c>
      <c r="S2059" s="74">
        <f t="shared" ref="S2059:S2122" si="156">IF(D2059&gt;D2058,(U2059-U2058)/W2058/(D2059-D2058),0)</f>
        <v>2.3475466624994776E-5</v>
      </c>
      <c r="U2059" s="80">
        <v>5.8461059111454577E-2</v>
      </c>
      <c r="W2059" s="81">
        <f t="shared" si="154"/>
        <v>0.94153894088854539</v>
      </c>
    </row>
    <row r="2060" spans="2:23" x14ac:dyDescent="0.3">
      <c r="B2060">
        <v>100</v>
      </c>
      <c r="C2060">
        <v>3</v>
      </c>
      <c r="D2060">
        <v>1450</v>
      </c>
      <c r="R2060" s="73">
        <f t="shared" si="155"/>
        <v>2.3509694792183064E-5</v>
      </c>
      <c r="S2060" s="74">
        <f t="shared" si="156"/>
        <v>2.4969434370921069E-5</v>
      </c>
      <c r="U2060" s="80">
        <v>6.2598765394878797E-2</v>
      </c>
      <c r="W2060" s="81">
        <f t="shared" si="154"/>
        <v>0.93740123460512126</v>
      </c>
    </row>
    <row r="2061" spans="2:23" x14ac:dyDescent="0.3">
      <c r="B2061">
        <v>100</v>
      </c>
      <c r="C2061">
        <v>3</v>
      </c>
      <c r="D2061">
        <v>1660</v>
      </c>
      <c r="R2061" s="73">
        <f t="shared" si="155"/>
        <v>1.7458344081629814E-5</v>
      </c>
      <c r="S2061" s="74">
        <f t="shared" si="156"/>
        <v>1.8624195741521624E-5</v>
      </c>
      <c r="U2061" s="80">
        <v>6.6265017652021058E-2</v>
      </c>
      <c r="W2061" s="81">
        <f t="shared" si="154"/>
        <v>0.93373498234797891</v>
      </c>
    </row>
    <row r="2062" spans="2:23" x14ac:dyDescent="0.3">
      <c r="B2062">
        <v>100</v>
      </c>
      <c r="C2062">
        <v>3</v>
      </c>
      <c r="D2062">
        <v>1829</v>
      </c>
      <c r="R2062" s="73">
        <f t="shared" si="155"/>
        <v>1.8254996247988617E-5</v>
      </c>
      <c r="S2062" s="74">
        <f t="shared" si="156"/>
        <v>1.955051121902323E-5</v>
      </c>
      <c r="U2062" s="80">
        <v>6.9350112017931134E-2</v>
      </c>
      <c r="W2062" s="81">
        <f t="shared" si="154"/>
        <v>0.93064988798206882</v>
      </c>
    </row>
    <row r="2063" spans="2:23" x14ac:dyDescent="0.3">
      <c r="B2063">
        <v>101</v>
      </c>
      <c r="C2063">
        <v>3</v>
      </c>
      <c r="D2063">
        <v>0</v>
      </c>
      <c r="R2063" s="73">
        <f t="shared" si="155"/>
        <v>0</v>
      </c>
      <c r="S2063" s="74">
        <f t="shared" si="156"/>
        <v>0</v>
      </c>
      <c r="U2063" s="80">
        <v>0</v>
      </c>
      <c r="W2063" s="81">
        <f t="shared" si="154"/>
        <v>1</v>
      </c>
    </row>
    <row r="2064" spans="2:23" x14ac:dyDescent="0.3">
      <c r="B2064">
        <v>101</v>
      </c>
      <c r="C2064">
        <v>3</v>
      </c>
      <c r="D2064">
        <v>3</v>
      </c>
      <c r="R2064" s="73">
        <f t="shared" si="155"/>
        <v>9.5497125958876096E-4</v>
      </c>
      <c r="S2064" s="74">
        <f t="shared" si="156"/>
        <v>9.5497125958876096E-4</v>
      </c>
      <c r="U2064" s="80">
        <v>2.864913778766283E-3</v>
      </c>
      <c r="W2064" s="81">
        <f t="shared" si="154"/>
        <v>0.9971350862212337</v>
      </c>
    </row>
    <row r="2065" spans="2:23" x14ac:dyDescent="0.3">
      <c r="B2065">
        <v>101</v>
      </c>
      <c r="C2065">
        <v>3</v>
      </c>
      <c r="D2065">
        <v>9</v>
      </c>
      <c r="R2065" s="73">
        <f t="shared" si="155"/>
        <v>4.7223643576970988E-4</v>
      </c>
      <c r="S2065" s="74">
        <f t="shared" si="156"/>
        <v>4.7359323956727679E-4</v>
      </c>
      <c r="U2065" s="80">
        <v>5.6983323933845424E-3</v>
      </c>
      <c r="W2065" s="81">
        <f t="shared" si="154"/>
        <v>0.99430166760661542</v>
      </c>
    </row>
    <row r="2066" spans="2:23" x14ac:dyDescent="0.3">
      <c r="B2066">
        <v>101</v>
      </c>
      <c r="C2066">
        <v>3</v>
      </c>
      <c r="D2066">
        <v>20</v>
      </c>
      <c r="R2066" s="73">
        <f t="shared" si="155"/>
        <v>9.5988896885495928E-5</v>
      </c>
      <c r="S2066" s="74">
        <f t="shared" si="156"/>
        <v>9.6539008243394498E-5</v>
      </c>
      <c r="U2066" s="80">
        <v>6.7542102591249976E-3</v>
      </c>
      <c r="W2066" s="81">
        <f t="shared" si="154"/>
        <v>0.99324578974087496</v>
      </c>
    </row>
    <row r="2067" spans="2:23" x14ac:dyDescent="0.3">
      <c r="B2067">
        <v>101</v>
      </c>
      <c r="C2067">
        <v>3</v>
      </c>
      <c r="D2067">
        <v>42</v>
      </c>
      <c r="R2067" s="73">
        <f t="shared" si="155"/>
        <v>2.5208006524259756E-5</v>
      </c>
      <c r="S2067" s="74">
        <f t="shared" si="156"/>
        <v>2.5379424493544745E-5</v>
      </c>
      <c r="U2067" s="80">
        <v>7.3087864026587122E-3</v>
      </c>
      <c r="W2067" s="81">
        <f t="shared" si="154"/>
        <v>0.99269121359734125</v>
      </c>
    </row>
    <row r="2068" spans="2:23" x14ac:dyDescent="0.3">
      <c r="B2068">
        <v>101</v>
      </c>
      <c r="C2068">
        <v>3</v>
      </c>
      <c r="D2068">
        <v>63</v>
      </c>
      <c r="R2068" s="73">
        <f t="shared" si="155"/>
        <v>9.3237295913890266E-6</v>
      </c>
      <c r="S2068" s="74">
        <f t="shared" si="156"/>
        <v>9.3923764647834879E-6</v>
      </c>
      <c r="U2068" s="80">
        <v>7.5045847240778818E-3</v>
      </c>
      <c r="W2068" s="81">
        <f t="shared" si="154"/>
        <v>0.99249541527592211</v>
      </c>
    </row>
    <row r="2069" spans="2:23" x14ac:dyDescent="0.3">
      <c r="B2069">
        <v>101</v>
      </c>
      <c r="C2069">
        <v>3</v>
      </c>
      <c r="D2069">
        <v>84</v>
      </c>
      <c r="R2069" s="73">
        <f t="shared" si="155"/>
        <v>1.1027648886946418E-5</v>
      </c>
      <c r="S2069" s="74">
        <f t="shared" si="156"/>
        <v>1.1111032572256909E-5</v>
      </c>
      <c r="U2069" s="80">
        <v>7.7361653507037565E-3</v>
      </c>
      <c r="W2069" s="81">
        <f t="shared" si="154"/>
        <v>0.99226383464929624</v>
      </c>
    </row>
    <row r="2070" spans="2:23" x14ac:dyDescent="0.3">
      <c r="B2070">
        <v>101</v>
      </c>
      <c r="C2070">
        <v>3</v>
      </c>
      <c r="D2070">
        <v>133</v>
      </c>
      <c r="R2070" s="73">
        <f t="shared" si="155"/>
        <v>4.05443989653794E-6</v>
      </c>
      <c r="S2070" s="74">
        <f t="shared" si="156"/>
        <v>4.0860502569570453E-6</v>
      </c>
      <c r="U2070" s="80">
        <v>7.9348329056341156E-3</v>
      </c>
      <c r="W2070" s="81">
        <f t="shared" si="154"/>
        <v>0.99206516709436587</v>
      </c>
    </row>
    <row r="2071" spans="2:23" x14ac:dyDescent="0.3">
      <c r="B2071">
        <v>101</v>
      </c>
      <c r="C2071">
        <v>3</v>
      </c>
      <c r="D2071">
        <v>196</v>
      </c>
      <c r="R2071" s="73">
        <f t="shared" si="155"/>
        <v>8.6382543271452602E-6</v>
      </c>
      <c r="S2071" s="74">
        <f t="shared" si="156"/>
        <v>8.7073456600090316E-6</v>
      </c>
      <c r="U2071" s="80">
        <v>8.479042928244267E-3</v>
      </c>
      <c r="W2071" s="81">
        <f t="shared" si="154"/>
        <v>0.99152095707175569</v>
      </c>
    </row>
    <row r="2072" spans="2:23" x14ac:dyDescent="0.3">
      <c r="B2072">
        <v>101</v>
      </c>
      <c r="C2072">
        <v>3</v>
      </c>
      <c r="D2072">
        <v>287</v>
      </c>
      <c r="R2072" s="73">
        <f t="shared" si="155"/>
        <v>3.7815202942987119E-6</v>
      </c>
      <c r="S2072" s="74">
        <f t="shared" si="156"/>
        <v>3.8138581613712137E-6</v>
      </c>
      <c r="U2072" s="80">
        <v>8.8231612750254498E-3</v>
      </c>
      <c r="W2072" s="81">
        <f t="shared" si="154"/>
        <v>0.99117683872497453</v>
      </c>
    </row>
    <row r="2073" spans="2:23" x14ac:dyDescent="0.3">
      <c r="B2073">
        <v>101</v>
      </c>
      <c r="C2073">
        <v>3</v>
      </c>
      <c r="D2073">
        <v>364</v>
      </c>
      <c r="R2073" s="73">
        <f t="shared" si="155"/>
        <v>7.5614492130377038E-6</v>
      </c>
      <c r="S2073" s="74">
        <f t="shared" si="156"/>
        <v>7.6287589838807835E-6</v>
      </c>
      <c r="U2073" s="80">
        <v>9.405392864429353E-3</v>
      </c>
      <c r="W2073" s="81">
        <f t="shared" si="154"/>
        <v>0.99059460713557068</v>
      </c>
    </row>
    <row r="2074" spans="2:23" x14ac:dyDescent="0.3">
      <c r="B2074">
        <v>101</v>
      </c>
      <c r="C2074">
        <v>3</v>
      </c>
      <c r="D2074">
        <v>462</v>
      </c>
      <c r="R2074" s="73">
        <f t="shared" si="155"/>
        <v>6.0954387735223712E-6</v>
      </c>
      <c r="S2074" s="74">
        <f t="shared" si="156"/>
        <v>6.1533131006518424E-6</v>
      </c>
      <c r="U2074" s="80">
        <v>1.0002745864234545E-2</v>
      </c>
      <c r="W2074" s="81">
        <f t="shared" si="154"/>
        <v>0.98999725413576545</v>
      </c>
    </row>
    <row r="2075" spans="2:23" x14ac:dyDescent="0.3">
      <c r="B2075">
        <v>101</v>
      </c>
      <c r="C2075">
        <v>3</v>
      </c>
      <c r="D2075">
        <v>581</v>
      </c>
      <c r="R2075" s="73">
        <f t="shared" si="155"/>
        <v>4.7965429417321452E-6</v>
      </c>
      <c r="S2075" s="74">
        <f t="shared" si="156"/>
        <v>4.8450063085471551E-6</v>
      </c>
      <c r="U2075" s="80">
        <v>1.0573534474300671E-2</v>
      </c>
      <c r="W2075" s="81">
        <f t="shared" si="154"/>
        <v>0.98942646552569935</v>
      </c>
    </row>
    <row r="2076" spans="2:23" x14ac:dyDescent="0.3">
      <c r="B2076">
        <v>101</v>
      </c>
      <c r="C2076">
        <v>3</v>
      </c>
      <c r="D2076">
        <v>728</v>
      </c>
      <c r="R2076" s="73">
        <f t="shared" si="155"/>
        <v>4.7299938659794434E-6</v>
      </c>
      <c r="S2076" s="74">
        <f t="shared" si="156"/>
        <v>4.7805410819148808E-6</v>
      </c>
      <c r="U2076" s="80">
        <v>1.1268843572599649E-2</v>
      </c>
      <c r="W2076" s="81">
        <f t="shared" si="154"/>
        <v>0.98873115642740039</v>
      </c>
    </row>
    <row r="2077" spans="2:23" x14ac:dyDescent="0.3">
      <c r="B2077">
        <v>101</v>
      </c>
      <c r="C2077">
        <v>3</v>
      </c>
      <c r="D2077">
        <v>847</v>
      </c>
      <c r="R2077" s="73">
        <f t="shared" si="155"/>
        <v>4.8899142681280723E-6</v>
      </c>
      <c r="S2077" s="74">
        <f t="shared" si="156"/>
        <v>4.9456459790312307E-6</v>
      </c>
      <c r="U2077" s="80">
        <v>1.1850743370506889E-2</v>
      </c>
      <c r="W2077" s="81">
        <f t="shared" si="154"/>
        <v>0.98814925662949316</v>
      </c>
    </row>
    <row r="2078" spans="2:23" x14ac:dyDescent="0.3">
      <c r="B2078">
        <v>101</v>
      </c>
      <c r="C2078">
        <v>3</v>
      </c>
      <c r="D2078">
        <v>966</v>
      </c>
      <c r="R2078" s="73">
        <f t="shared" si="155"/>
        <v>7.0162276534340867E-6</v>
      </c>
      <c r="S2078" s="74">
        <f t="shared" si="156"/>
        <v>7.1003723439168903E-6</v>
      </c>
      <c r="U2078" s="80">
        <v>1.2685674461265546E-2</v>
      </c>
      <c r="W2078" s="81">
        <f t="shared" si="154"/>
        <v>0.98731432553873444</v>
      </c>
    </row>
    <row r="2079" spans="2:23" x14ac:dyDescent="0.3">
      <c r="B2079">
        <v>101</v>
      </c>
      <c r="C2079">
        <v>3</v>
      </c>
      <c r="D2079">
        <v>1064</v>
      </c>
      <c r="R2079" s="73">
        <f t="shared" si="155"/>
        <v>9.4003131924359221E-6</v>
      </c>
      <c r="S2079" s="74">
        <f t="shared" si="156"/>
        <v>9.5210947003190494E-6</v>
      </c>
      <c r="U2079" s="80">
        <v>1.3606905154124266E-2</v>
      </c>
      <c r="W2079" s="81">
        <f t="shared" si="154"/>
        <v>0.98639309484587578</v>
      </c>
    </row>
    <row r="2080" spans="2:23" x14ac:dyDescent="0.3">
      <c r="B2080">
        <v>101</v>
      </c>
      <c r="C2080">
        <v>3</v>
      </c>
      <c r="D2080">
        <v>1274</v>
      </c>
      <c r="R2080" s="73">
        <f t="shared" si="155"/>
        <v>9.6770600278330095E-6</v>
      </c>
      <c r="S2080" s="74">
        <f t="shared" si="156"/>
        <v>9.810551268452515E-6</v>
      </c>
      <c r="U2080" s="80">
        <v>1.5639087759969198E-2</v>
      </c>
      <c r="W2080" s="81">
        <f t="shared" si="154"/>
        <v>0.98436091224003075</v>
      </c>
    </row>
    <row r="2081" spans="2:23" x14ac:dyDescent="0.3">
      <c r="B2081">
        <v>101</v>
      </c>
      <c r="C2081">
        <v>3</v>
      </c>
      <c r="D2081">
        <v>1450</v>
      </c>
      <c r="R2081" s="73">
        <f t="shared" si="155"/>
        <v>1.0882209711582732E-5</v>
      </c>
      <c r="S2081" s="74">
        <f t="shared" si="156"/>
        <v>1.105510141277244E-5</v>
      </c>
      <c r="U2081" s="80">
        <v>1.7554356669207759E-2</v>
      </c>
      <c r="W2081" s="81">
        <f t="shared" si="154"/>
        <v>0.98244564333079221</v>
      </c>
    </row>
    <row r="2082" spans="2:23" x14ac:dyDescent="0.3">
      <c r="B2082">
        <v>101</v>
      </c>
      <c r="C2082">
        <v>3</v>
      </c>
      <c r="D2082">
        <v>1660</v>
      </c>
      <c r="R2082" s="73">
        <f t="shared" si="155"/>
        <v>7.9575522769551897E-6</v>
      </c>
      <c r="S2082" s="74">
        <f t="shared" si="156"/>
        <v>8.0997379661399345E-6</v>
      </c>
      <c r="U2082" s="80">
        <v>1.9225442647368349E-2</v>
      </c>
      <c r="W2082" s="81">
        <f t="shared" si="154"/>
        <v>0.98077455735263164</v>
      </c>
    </row>
    <row r="2083" spans="2:23" x14ac:dyDescent="0.3">
      <c r="B2083">
        <v>101</v>
      </c>
      <c r="C2083">
        <v>3</v>
      </c>
      <c r="D2083">
        <v>1829</v>
      </c>
      <c r="R2083" s="73">
        <f t="shared" si="155"/>
        <v>7.6605966141378196E-6</v>
      </c>
      <c r="S2083" s="74">
        <f t="shared" si="156"/>
        <v>7.8107619704326184E-6</v>
      </c>
      <c r="U2083" s="80">
        <v>2.052008347515764E-2</v>
      </c>
      <c r="W2083" s="81">
        <f t="shared" si="154"/>
        <v>0.97947991652484234</v>
      </c>
    </row>
    <row r="2084" spans="2:23" x14ac:dyDescent="0.3">
      <c r="B2084">
        <v>102</v>
      </c>
      <c r="C2084">
        <v>3</v>
      </c>
      <c r="D2084">
        <v>0</v>
      </c>
      <c r="R2084" s="73">
        <f t="shared" si="155"/>
        <v>0</v>
      </c>
      <c r="S2084" s="74">
        <f t="shared" si="156"/>
        <v>0</v>
      </c>
      <c r="U2084" s="80">
        <v>0</v>
      </c>
      <c r="W2084" s="81">
        <f t="shared" si="154"/>
        <v>1</v>
      </c>
    </row>
    <row r="2085" spans="2:23" x14ac:dyDescent="0.3">
      <c r="B2085">
        <v>102</v>
      </c>
      <c r="C2085">
        <v>3</v>
      </c>
      <c r="D2085">
        <v>3</v>
      </c>
      <c r="R2085" s="73">
        <f t="shared" si="155"/>
        <v>2.2752904777917555E-3</v>
      </c>
      <c r="S2085" s="74">
        <f t="shared" si="156"/>
        <v>2.2752904777917555E-3</v>
      </c>
      <c r="U2085" s="80">
        <v>6.8258714333752661E-3</v>
      </c>
      <c r="W2085" s="81">
        <f t="shared" si="154"/>
        <v>0.99317412856662468</v>
      </c>
    </row>
    <row r="2086" spans="2:23" x14ac:dyDescent="0.3">
      <c r="B2086">
        <v>102</v>
      </c>
      <c r="C2086">
        <v>3</v>
      </c>
      <c r="D2086">
        <v>9</v>
      </c>
      <c r="R2086" s="73">
        <f t="shared" si="155"/>
        <v>5.9884591489608703E-4</v>
      </c>
      <c r="S2086" s="74">
        <f t="shared" si="156"/>
        <v>6.0296165362297286E-4</v>
      </c>
      <c r="U2086" s="80">
        <v>1.0418946922751788E-2</v>
      </c>
      <c r="W2086" s="81">
        <f t="shared" si="154"/>
        <v>0.9895810530772482</v>
      </c>
    </row>
    <row r="2087" spans="2:23" x14ac:dyDescent="0.3">
      <c r="B2087">
        <v>102</v>
      </c>
      <c r="C2087">
        <v>3</v>
      </c>
      <c r="D2087">
        <v>20</v>
      </c>
      <c r="R2087" s="73">
        <f t="shared" si="155"/>
        <v>2.6237490243483682E-4</v>
      </c>
      <c r="S2087" s="74">
        <f t="shared" si="156"/>
        <v>2.6513735445817536E-4</v>
      </c>
      <c r="U2087" s="80">
        <v>1.3305070849534993E-2</v>
      </c>
      <c r="W2087" s="81">
        <f t="shared" si="154"/>
        <v>0.98669492915046497</v>
      </c>
    </row>
    <row r="2088" spans="2:23" x14ac:dyDescent="0.3">
      <c r="B2088">
        <v>102</v>
      </c>
      <c r="C2088">
        <v>3</v>
      </c>
      <c r="D2088">
        <v>42</v>
      </c>
      <c r="R2088" s="73">
        <f t="shared" si="155"/>
        <v>1.4472838225257497E-4</v>
      </c>
      <c r="S2088" s="74">
        <f t="shared" si="156"/>
        <v>1.4667996964085419E-4</v>
      </c>
      <c r="U2088" s="80">
        <v>1.6489095259091643E-2</v>
      </c>
      <c r="W2088" s="81">
        <f t="shared" ref="W2088:W2125" si="157">100%-U2088</f>
        <v>0.98351090474090841</v>
      </c>
    </row>
    <row r="2089" spans="2:23" x14ac:dyDescent="0.3">
      <c r="B2089">
        <v>102</v>
      </c>
      <c r="C2089">
        <v>3</v>
      </c>
      <c r="D2089">
        <v>63</v>
      </c>
      <c r="R2089" s="73">
        <f t="shared" si="155"/>
        <v>8.4964490973299419E-5</v>
      </c>
      <c r="S2089" s="74">
        <f t="shared" si="156"/>
        <v>8.6388966877476642E-5</v>
      </c>
      <c r="U2089" s="80">
        <v>1.8273349569530931E-2</v>
      </c>
      <c r="W2089" s="81">
        <f t="shared" si="157"/>
        <v>0.98172665043046903</v>
      </c>
    </row>
    <row r="2090" spans="2:23" x14ac:dyDescent="0.3">
      <c r="B2090">
        <v>102</v>
      </c>
      <c r="C2090">
        <v>3</v>
      </c>
      <c r="D2090">
        <v>84</v>
      </c>
      <c r="R2090" s="73">
        <f t="shared" si="155"/>
        <v>7.3162015931515495E-5</v>
      </c>
      <c r="S2090" s="74">
        <f t="shared" si="156"/>
        <v>7.4523815666443707E-5</v>
      </c>
      <c r="U2090" s="80">
        <v>1.9809751904092756E-2</v>
      </c>
      <c r="W2090" s="81">
        <f t="shared" si="157"/>
        <v>0.98019024809590727</v>
      </c>
    </row>
    <row r="2091" spans="2:23" x14ac:dyDescent="0.3">
      <c r="B2091">
        <v>102</v>
      </c>
      <c r="C2091">
        <v>3</v>
      </c>
      <c r="D2091">
        <v>133</v>
      </c>
      <c r="R2091" s="73">
        <f t="shared" si="155"/>
        <v>4.9695026112244919E-5</v>
      </c>
      <c r="S2091" s="74">
        <f t="shared" si="156"/>
        <v>5.0699368014302541E-5</v>
      </c>
      <c r="U2091" s="80">
        <v>2.2244808183592757E-2</v>
      </c>
      <c r="W2091" s="81">
        <f t="shared" si="157"/>
        <v>0.97775519181640724</v>
      </c>
    </row>
    <row r="2092" spans="2:23" x14ac:dyDescent="0.3">
      <c r="B2092">
        <v>102</v>
      </c>
      <c r="C2092">
        <v>3</v>
      </c>
      <c r="D2092">
        <v>196</v>
      </c>
      <c r="R2092" s="73">
        <f t="shared" si="155"/>
        <v>3.7827337425099359E-5</v>
      </c>
      <c r="S2092" s="74">
        <f t="shared" si="156"/>
        <v>3.8687943302889851E-5</v>
      </c>
      <c r="U2092" s="80">
        <v>2.4627930441374016E-2</v>
      </c>
      <c r="W2092" s="81">
        <f t="shared" si="157"/>
        <v>0.97537206955862599</v>
      </c>
    </row>
    <row r="2093" spans="2:23" x14ac:dyDescent="0.3">
      <c r="B2093">
        <v>102</v>
      </c>
      <c r="C2093">
        <v>3</v>
      </c>
      <c r="D2093">
        <v>287</v>
      </c>
      <c r="R2093" s="73">
        <f t="shared" ref="R2093:R2125" si="158">IF(D2093&gt;D2092,(U2093-U2092)/1/(D2093-D2092),0)</f>
        <v>3.3219153488392868E-5</v>
      </c>
      <c r="S2093" s="74">
        <f t="shared" si="156"/>
        <v>3.4057929814850192E-5</v>
      </c>
      <c r="U2093" s="80">
        <v>2.7650873408817767E-2</v>
      </c>
      <c r="W2093" s="81">
        <f t="shared" si="157"/>
        <v>0.97234912659118222</v>
      </c>
    </row>
    <row r="2094" spans="2:23" x14ac:dyDescent="0.3">
      <c r="B2094">
        <v>102</v>
      </c>
      <c r="C2094">
        <v>3</v>
      </c>
      <c r="D2094">
        <v>364</v>
      </c>
      <c r="R2094" s="73">
        <f t="shared" si="158"/>
        <v>2.9173777794092828E-5</v>
      </c>
      <c r="S2094" s="74">
        <f t="shared" si="156"/>
        <v>3.000339795271781E-5</v>
      </c>
      <c r="U2094" s="80">
        <v>2.9897254298962915E-2</v>
      </c>
      <c r="W2094" s="81">
        <f t="shared" si="157"/>
        <v>0.97010274570103705</v>
      </c>
    </row>
    <row r="2095" spans="2:23" x14ac:dyDescent="0.3">
      <c r="B2095">
        <v>102</v>
      </c>
      <c r="C2095">
        <v>3</v>
      </c>
      <c r="D2095">
        <v>462</v>
      </c>
      <c r="R2095" s="73">
        <f t="shared" si="158"/>
        <v>2.5234870050649835E-5</v>
      </c>
      <c r="S2095" s="74">
        <f t="shared" si="156"/>
        <v>2.601257460869679E-5</v>
      </c>
      <c r="U2095" s="80">
        <v>3.2370271563926599E-2</v>
      </c>
      <c r="W2095" s="81">
        <f t="shared" si="157"/>
        <v>0.96762972843607342</v>
      </c>
    </row>
    <row r="2096" spans="2:23" x14ac:dyDescent="0.3">
      <c r="B2096">
        <v>102</v>
      </c>
      <c r="C2096">
        <v>3</v>
      </c>
      <c r="D2096">
        <v>581</v>
      </c>
      <c r="R2096" s="73">
        <f t="shared" si="158"/>
        <v>2.4910211593952978E-5</v>
      </c>
      <c r="S2096" s="74">
        <f t="shared" si="156"/>
        <v>2.5743536873566278E-5</v>
      </c>
      <c r="U2096" s="80">
        <v>3.5334586743607004E-2</v>
      </c>
      <c r="W2096" s="81">
        <f t="shared" si="157"/>
        <v>0.96466541325639299</v>
      </c>
    </row>
    <row r="2097" spans="2:23" x14ac:dyDescent="0.3">
      <c r="B2097">
        <v>102</v>
      </c>
      <c r="C2097">
        <v>3</v>
      </c>
      <c r="D2097">
        <v>728</v>
      </c>
      <c r="R2097" s="73">
        <f t="shared" si="158"/>
        <v>2.1365040333269693E-5</v>
      </c>
      <c r="S2097" s="74">
        <f t="shared" si="156"/>
        <v>2.2147617235646861E-5</v>
      </c>
      <c r="U2097" s="80">
        <v>3.8475247672597648E-2</v>
      </c>
      <c r="W2097" s="81">
        <f t="shared" si="157"/>
        <v>0.96152475232740231</v>
      </c>
    </row>
    <row r="2098" spans="2:23" x14ac:dyDescent="0.3">
      <c r="B2098">
        <v>102</v>
      </c>
      <c r="C2098">
        <v>3</v>
      </c>
      <c r="D2098">
        <v>847</v>
      </c>
      <c r="R2098" s="73">
        <f t="shared" si="158"/>
        <v>1.6899732661236434E-5</v>
      </c>
      <c r="S2098" s="74">
        <f t="shared" si="156"/>
        <v>1.7575972558511963E-5</v>
      </c>
      <c r="U2098" s="80">
        <v>4.0486315859284784E-2</v>
      </c>
      <c r="W2098" s="81">
        <f t="shared" si="157"/>
        <v>0.95951368414071525</v>
      </c>
    </row>
    <row r="2099" spans="2:23" x14ac:dyDescent="0.3">
      <c r="B2099">
        <v>102</v>
      </c>
      <c r="C2099">
        <v>3</v>
      </c>
      <c r="D2099">
        <v>966</v>
      </c>
      <c r="R2099" s="73">
        <f t="shared" si="158"/>
        <v>2.2358379453908814E-5</v>
      </c>
      <c r="S2099" s="74">
        <f t="shared" si="156"/>
        <v>2.3301782792114819E-5</v>
      </c>
      <c r="U2099" s="80">
        <v>4.3146963014299933E-2</v>
      </c>
      <c r="W2099" s="81">
        <f t="shared" si="157"/>
        <v>0.95685303698570001</v>
      </c>
    </row>
    <row r="2100" spans="2:23" x14ac:dyDescent="0.3">
      <c r="B2100">
        <v>102</v>
      </c>
      <c r="C2100">
        <v>3</v>
      </c>
      <c r="D2100">
        <v>1064</v>
      </c>
      <c r="R2100" s="73">
        <f t="shared" si="158"/>
        <v>3.0083438933074674E-5</v>
      </c>
      <c r="S2100" s="74">
        <f t="shared" si="156"/>
        <v>3.1439978523602954E-5</v>
      </c>
      <c r="U2100" s="80">
        <v>4.6095140029741251E-2</v>
      </c>
      <c r="W2100" s="81">
        <f t="shared" si="157"/>
        <v>0.95390485997025876</v>
      </c>
    </row>
    <row r="2101" spans="2:23" x14ac:dyDescent="0.3">
      <c r="B2101">
        <v>102</v>
      </c>
      <c r="C2101">
        <v>3</v>
      </c>
      <c r="D2101">
        <v>1274</v>
      </c>
      <c r="R2101" s="73">
        <f t="shared" si="158"/>
        <v>3.6059567958451626E-5</v>
      </c>
      <c r="S2101" s="74">
        <f t="shared" si="156"/>
        <v>3.7802059169271772E-5</v>
      </c>
      <c r="U2101" s="80">
        <v>5.3667649301016092E-2</v>
      </c>
      <c r="W2101" s="81">
        <f t="shared" si="157"/>
        <v>0.94633235069898392</v>
      </c>
    </row>
    <row r="2102" spans="2:23" x14ac:dyDescent="0.3">
      <c r="B2102">
        <v>102</v>
      </c>
      <c r="C2102">
        <v>3</v>
      </c>
      <c r="D2102">
        <v>1450</v>
      </c>
      <c r="R2102" s="73">
        <f t="shared" si="158"/>
        <v>3.9964696950743461E-5</v>
      </c>
      <c r="S2102" s="74">
        <f t="shared" si="156"/>
        <v>4.2231143129815403E-5</v>
      </c>
      <c r="U2102" s="80">
        <v>6.0701435964346941E-2</v>
      </c>
      <c r="W2102" s="81">
        <f t="shared" si="157"/>
        <v>0.93929856403565304</v>
      </c>
    </row>
    <row r="2103" spans="2:23" x14ac:dyDescent="0.3">
      <c r="B2103">
        <v>102</v>
      </c>
      <c r="C2103">
        <v>3</v>
      </c>
      <c r="D2103">
        <v>1660</v>
      </c>
      <c r="R2103" s="73">
        <f t="shared" si="158"/>
        <v>2.9115324969993797E-5</v>
      </c>
      <c r="S2103" s="74">
        <f t="shared" si="156"/>
        <v>3.0996880102638662E-5</v>
      </c>
      <c r="U2103" s="80">
        <v>6.6815654208045638E-2</v>
      </c>
      <c r="W2103" s="81">
        <f t="shared" si="157"/>
        <v>0.93318434579195442</v>
      </c>
    </row>
    <row r="2104" spans="2:23" x14ac:dyDescent="0.3">
      <c r="B2104">
        <v>102</v>
      </c>
      <c r="C2104">
        <v>3</v>
      </c>
      <c r="D2104">
        <v>1829</v>
      </c>
      <c r="R2104" s="73">
        <f t="shared" si="158"/>
        <v>3.3831586671800911E-5</v>
      </c>
      <c r="S2104" s="74">
        <f t="shared" si="156"/>
        <v>3.6253915771689742E-5</v>
      </c>
      <c r="U2104" s="80">
        <v>7.2533192355579992E-2</v>
      </c>
      <c r="W2104" s="81">
        <f t="shared" si="157"/>
        <v>0.92746680764442002</v>
      </c>
    </row>
    <row r="2105" spans="2:23" x14ac:dyDescent="0.3">
      <c r="B2105">
        <v>103</v>
      </c>
      <c r="C2105">
        <v>3</v>
      </c>
      <c r="D2105">
        <v>0</v>
      </c>
      <c r="R2105" s="73">
        <f t="shared" si="158"/>
        <v>0</v>
      </c>
      <c r="S2105" s="74">
        <f t="shared" si="156"/>
        <v>0</v>
      </c>
      <c r="U2105" s="80">
        <v>0</v>
      </c>
      <c r="W2105" s="81">
        <f t="shared" si="157"/>
        <v>1</v>
      </c>
    </row>
    <row r="2106" spans="2:23" x14ac:dyDescent="0.3">
      <c r="B2106">
        <v>103</v>
      </c>
      <c r="C2106">
        <v>3</v>
      </c>
      <c r="D2106">
        <v>3</v>
      </c>
      <c r="R2106" s="73">
        <f t="shared" si="158"/>
        <v>4.8509998523475474E-4</v>
      </c>
      <c r="S2106" s="74">
        <f t="shared" si="156"/>
        <v>4.8509998523475474E-4</v>
      </c>
      <c r="U2106" s="80">
        <v>1.4552999557042642E-3</v>
      </c>
      <c r="W2106" s="81">
        <f t="shared" si="157"/>
        <v>0.99854470004429574</v>
      </c>
    </row>
    <row r="2107" spans="2:23" x14ac:dyDescent="0.3">
      <c r="B2107">
        <v>103</v>
      </c>
      <c r="C2107">
        <v>3</v>
      </c>
      <c r="D2107">
        <v>9</v>
      </c>
      <c r="R2107" s="73">
        <f t="shared" si="158"/>
        <v>1.7695762193682498E-4</v>
      </c>
      <c r="S2107" s="74">
        <f t="shared" si="156"/>
        <v>1.7721552368058741E-4</v>
      </c>
      <c r="U2107" s="80">
        <v>2.517045687325214E-3</v>
      </c>
      <c r="W2107" s="81">
        <f t="shared" si="157"/>
        <v>0.99748295431267475</v>
      </c>
    </row>
    <row r="2108" spans="2:23" x14ac:dyDescent="0.3">
      <c r="B2108">
        <v>103</v>
      </c>
      <c r="C2108">
        <v>3</v>
      </c>
      <c r="D2108">
        <v>20</v>
      </c>
      <c r="R2108" s="73">
        <f t="shared" si="158"/>
        <v>8.1954847918059911E-5</v>
      </c>
      <c r="S2108" s="74">
        <f t="shared" si="156"/>
        <v>8.2161652551277623E-5</v>
      </c>
      <c r="U2108" s="80">
        <v>3.418549014423873E-3</v>
      </c>
      <c r="W2108" s="81">
        <f t="shared" si="157"/>
        <v>0.99658145098557616</v>
      </c>
    </row>
    <row r="2109" spans="2:23" x14ac:dyDescent="0.3">
      <c r="B2109">
        <v>103</v>
      </c>
      <c r="C2109">
        <v>3</v>
      </c>
      <c r="D2109">
        <v>42</v>
      </c>
      <c r="R2109" s="73">
        <f t="shared" si="158"/>
        <v>3.7650504747774475E-5</v>
      </c>
      <c r="S2109" s="74">
        <f t="shared" si="156"/>
        <v>3.7779656354771354E-5</v>
      </c>
      <c r="U2109" s="80">
        <v>4.2468601188749115E-3</v>
      </c>
      <c r="W2109" s="81">
        <f t="shared" si="157"/>
        <v>0.99575313988112513</v>
      </c>
    </row>
    <row r="2110" spans="2:23" x14ac:dyDescent="0.3">
      <c r="B2110">
        <v>103</v>
      </c>
      <c r="C2110">
        <v>3</v>
      </c>
      <c r="D2110">
        <v>63</v>
      </c>
      <c r="R2110" s="73">
        <f t="shared" si="158"/>
        <v>2.7975209898443145E-5</v>
      </c>
      <c r="S2110" s="74">
        <f t="shared" si="156"/>
        <v>2.8094523409469614E-5</v>
      </c>
      <c r="U2110" s="80">
        <v>4.8343395267422175E-3</v>
      </c>
      <c r="W2110" s="81">
        <f t="shared" si="157"/>
        <v>0.99516566047325783</v>
      </c>
    </row>
    <row r="2111" spans="2:23" x14ac:dyDescent="0.3">
      <c r="B2111">
        <v>103</v>
      </c>
      <c r="C2111">
        <v>3</v>
      </c>
      <c r="D2111">
        <v>84</v>
      </c>
      <c r="R2111" s="73">
        <f t="shared" si="158"/>
        <v>2.5727542028755941E-5</v>
      </c>
      <c r="S2111" s="74">
        <f t="shared" si="156"/>
        <v>2.5852521897229686E-5</v>
      </c>
      <c r="U2111" s="80">
        <v>5.3746179093460923E-3</v>
      </c>
      <c r="W2111" s="81">
        <f t="shared" si="157"/>
        <v>0.99462538209065388</v>
      </c>
    </row>
    <row r="2112" spans="2:23" x14ac:dyDescent="0.3">
      <c r="B2112">
        <v>103</v>
      </c>
      <c r="C2112">
        <v>3</v>
      </c>
      <c r="D2112">
        <v>133</v>
      </c>
      <c r="R2112" s="73">
        <f t="shared" si="158"/>
        <v>1.9590095024119887E-5</v>
      </c>
      <c r="S2112" s="74">
        <f t="shared" si="156"/>
        <v>1.9695953247183845E-5</v>
      </c>
      <c r="U2112" s="80">
        <v>6.3345325655279668E-3</v>
      </c>
      <c r="W2112" s="81">
        <f t="shared" si="157"/>
        <v>0.99366546743447204</v>
      </c>
    </row>
    <row r="2113" spans="2:24" x14ac:dyDescent="0.3">
      <c r="B2113">
        <v>103</v>
      </c>
      <c r="C2113">
        <v>3</v>
      </c>
      <c r="D2113">
        <v>196</v>
      </c>
      <c r="R2113" s="73">
        <f t="shared" si="158"/>
        <v>1.4568128870757011E-5</v>
      </c>
      <c r="S2113" s="74">
        <f t="shared" si="156"/>
        <v>1.4660999449211226E-5</v>
      </c>
      <c r="U2113" s="80">
        <v>7.2523246843856585E-3</v>
      </c>
      <c r="W2113" s="81">
        <f t="shared" si="157"/>
        <v>0.99274767531561436</v>
      </c>
    </row>
    <row r="2114" spans="2:24" x14ac:dyDescent="0.3">
      <c r="B2114">
        <v>103</v>
      </c>
      <c r="C2114">
        <v>3</v>
      </c>
      <c r="D2114">
        <v>287</v>
      </c>
      <c r="R2114" s="73">
        <f t="shared" si="158"/>
        <v>9.4228820167033796E-6</v>
      </c>
      <c r="S2114" s="74">
        <f t="shared" si="156"/>
        <v>9.4917190450309104E-6</v>
      </c>
      <c r="U2114" s="80">
        <v>8.1098069479056661E-3</v>
      </c>
      <c r="W2114" s="81">
        <f t="shared" si="157"/>
        <v>0.99189019305209436</v>
      </c>
    </row>
    <row r="2115" spans="2:24" x14ac:dyDescent="0.3">
      <c r="B2115">
        <v>103</v>
      </c>
      <c r="C2115">
        <v>3</v>
      </c>
      <c r="D2115">
        <v>364</v>
      </c>
      <c r="R2115" s="73">
        <f t="shared" si="158"/>
        <v>8.4333558185875648E-6</v>
      </c>
      <c r="S2115" s="74">
        <f t="shared" si="156"/>
        <v>8.5023078942213551E-6</v>
      </c>
      <c r="U2115" s="80">
        <v>8.7591753459369086E-3</v>
      </c>
      <c r="W2115" s="81">
        <f t="shared" si="157"/>
        <v>0.99124082465406305</v>
      </c>
    </row>
    <row r="2116" spans="2:24" x14ac:dyDescent="0.3">
      <c r="B2116">
        <v>103</v>
      </c>
      <c r="C2116">
        <v>3</v>
      </c>
      <c r="D2116">
        <v>462</v>
      </c>
      <c r="R2116" s="73">
        <f t="shared" si="158"/>
        <v>8.5608141024040431E-6</v>
      </c>
      <c r="S2116" s="74">
        <f t="shared" si="156"/>
        <v>8.6364623908541247E-6</v>
      </c>
      <c r="U2116" s="80">
        <v>9.5981351279725048E-3</v>
      </c>
      <c r="W2116" s="81">
        <f t="shared" si="157"/>
        <v>0.99040186487202753</v>
      </c>
    </row>
    <row r="2117" spans="2:24" x14ac:dyDescent="0.3">
      <c r="B2117">
        <v>103</v>
      </c>
      <c r="C2117">
        <v>3</v>
      </c>
      <c r="D2117">
        <v>581</v>
      </c>
      <c r="R2117" s="73">
        <f t="shared" si="158"/>
        <v>3.5831058051055469E-6</v>
      </c>
      <c r="S2117" s="74">
        <f t="shared" si="156"/>
        <v>3.6178302285088384E-6</v>
      </c>
      <c r="U2117" s="80">
        <v>1.0024524718780065E-2</v>
      </c>
      <c r="W2117" s="81">
        <f t="shared" si="157"/>
        <v>0.98997547528121999</v>
      </c>
    </row>
    <row r="2118" spans="2:24" x14ac:dyDescent="0.3">
      <c r="B2118">
        <v>103</v>
      </c>
      <c r="C2118">
        <v>3</v>
      </c>
      <c r="D2118">
        <v>728</v>
      </c>
      <c r="R2118" s="73">
        <f t="shared" si="158"/>
        <v>6.4836217328382819E-6</v>
      </c>
      <c r="S2118" s="74">
        <f t="shared" si="156"/>
        <v>6.5492751029983798E-6</v>
      </c>
      <c r="U2118" s="80">
        <v>1.0977617113507292E-2</v>
      </c>
      <c r="W2118" s="81">
        <f t="shared" si="157"/>
        <v>0.98902238288649269</v>
      </c>
    </row>
    <row r="2119" spans="2:24" x14ac:dyDescent="0.3">
      <c r="B2119">
        <v>103</v>
      </c>
      <c r="C2119">
        <v>3</v>
      </c>
      <c r="D2119">
        <v>847</v>
      </c>
      <c r="R2119" s="73">
        <f t="shared" si="158"/>
        <v>4.719012491088917E-6</v>
      </c>
      <c r="S2119" s="74">
        <f t="shared" si="156"/>
        <v>4.7713909945256567E-6</v>
      </c>
      <c r="U2119" s="80">
        <v>1.1539179599946874E-2</v>
      </c>
      <c r="W2119" s="81">
        <f t="shared" si="157"/>
        <v>0.98846082040005312</v>
      </c>
    </row>
    <row r="2120" spans="2:24" x14ac:dyDescent="0.3">
      <c r="B2120">
        <v>103</v>
      </c>
      <c r="C2120">
        <v>3</v>
      </c>
      <c r="D2120">
        <v>966</v>
      </c>
      <c r="R2120" s="73">
        <f t="shared" si="158"/>
        <v>7.7566277945409095E-6</v>
      </c>
      <c r="S2120" s="74">
        <f t="shared" si="156"/>
        <v>7.8471777883939003E-6</v>
      </c>
      <c r="U2120" s="80">
        <v>1.2462218307497242E-2</v>
      </c>
      <c r="W2120" s="81">
        <f t="shared" si="157"/>
        <v>0.98753778169250273</v>
      </c>
    </row>
    <row r="2121" spans="2:24" x14ac:dyDescent="0.3">
      <c r="B2121">
        <v>103</v>
      </c>
      <c r="C2121">
        <v>3</v>
      </c>
      <c r="D2121">
        <v>1064</v>
      </c>
      <c r="R2121" s="73">
        <f t="shared" si="158"/>
        <v>9.3843342554195282E-6</v>
      </c>
      <c r="S2121" s="74">
        <f t="shared" si="156"/>
        <v>9.5027597215937199E-6</v>
      </c>
      <c r="U2121" s="80">
        <v>1.3381883064528356E-2</v>
      </c>
      <c r="W2121" s="81">
        <f t="shared" si="157"/>
        <v>0.98661811693547163</v>
      </c>
    </row>
    <row r="2122" spans="2:24" x14ac:dyDescent="0.3">
      <c r="B2122">
        <v>103</v>
      </c>
      <c r="C2122">
        <v>3</v>
      </c>
      <c r="D2122">
        <v>1274</v>
      </c>
      <c r="R2122" s="73">
        <f t="shared" si="158"/>
        <v>1.0619150767335097E-5</v>
      </c>
      <c r="S2122" s="74">
        <f t="shared" si="156"/>
        <v>1.0763182415825866E-5</v>
      </c>
      <c r="U2122" s="80">
        <v>1.5611904725668726E-2</v>
      </c>
      <c r="W2122" s="81">
        <f t="shared" si="157"/>
        <v>0.98438809527433124</v>
      </c>
    </row>
    <row r="2123" spans="2:24" x14ac:dyDescent="0.3">
      <c r="B2123">
        <v>103</v>
      </c>
      <c r="C2123">
        <v>3</v>
      </c>
      <c r="D2123">
        <v>1450</v>
      </c>
      <c r="R2123" s="73">
        <f t="shared" si="158"/>
        <v>1.3891523157796236E-5</v>
      </c>
      <c r="S2123" s="74">
        <f t="shared" ref="S2123:S2125" si="159">IF(D2123&gt;D2122,(U2123-U2122)/W2122/(D2123-D2122),0)</f>
        <v>1.4111835793711949E-5</v>
      </c>
      <c r="U2123" s="80">
        <v>1.8056812801440864E-2</v>
      </c>
      <c r="W2123" s="81">
        <f t="shared" si="157"/>
        <v>0.98194318719855911</v>
      </c>
    </row>
    <row r="2124" spans="2:24" x14ac:dyDescent="0.3">
      <c r="B2124">
        <v>103</v>
      </c>
      <c r="C2124">
        <v>3</v>
      </c>
      <c r="D2124">
        <v>1660</v>
      </c>
      <c r="R2124" s="73">
        <f t="shared" si="158"/>
        <v>8.9467785945955621E-6</v>
      </c>
      <c r="S2124" s="74">
        <f t="shared" si="159"/>
        <v>9.1112996263259692E-6</v>
      </c>
      <c r="U2124" s="80">
        <v>1.9935636306305932E-2</v>
      </c>
      <c r="W2124" s="81">
        <f t="shared" si="157"/>
        <v>0.9800643636936941</v>
      </c>
    </row>
    <row r="2125" spans="2:24" x14ac:dyDescent="0.3">
      <c r="B2125">
        <v>103</v>
      </c>
      <c r="C2125">
        <v>3</v>
      </c>
      <c r="D2125">
        <v>1829</v>
      </c>
      <c r="R2125" s="73">
        <f t="shared" si="158"/>
        <v>1.4314335780228394E-5</v>
      </c>
      <c r="S2125" s="74">
        <f t="shared" si="159"/>
        <v>1.4605505832576265E-5</v>
      </c>
      <c r="U2125" s="80">
        <v>2.235475905316453E-2</v>
      </c>
      <c r="W2125" s="81">
        <f t="shared" si="157"/>
        <v>0.97764524094683547</v>
      </c>
    </row>
    <row r="2126" spans="2:24" x14ac:dyDescent="0.3">
      <c r="B2126">
        <v>39</v>
      </c>
      <c r="C2126">
        <v>7</v>
      </c>
      <c r="D2126">
        <v>0</v>
      </c>
      <c r="F2126">
        <v>0</v>
      </c>
      <c r="R2126" s="73"/>
      <c r="S2126" s="74"/>
      <c r="U2126" s="80"/>
      <c r="W2126" s="81"/>
      <c r="X2126">
        <v>0</v>
      </c>
    </row>
    <row r="2127" spans="2:24" x14ac:dyDescent="0.3">
      <c r="B2127">
        <v>39</v>
      </c>
      <c r="C2127">
        <v>7</v>
      </c>
      <c r="D2127">
        <v>1</v>
      </c>
      <c r="F2127">
        <v>0.10262898827999997</v>
      </c>
      <c r="R2127" s="73"/>
      <c r="X2127">
        <v>0.10262898827999997</v>
      </c>
    </row>
    <row r="2128" spans="2:24" x14ac:dyDescent="0.3">
      <c r="B2128">
        <v>39</v>
      </c>
      <c r="C2128">
        <v>7</v>
      </c>
      <c r="D2128">
        <v>6</v>
      </c>
      <c r="F2128">
        <v>0.11737806443999999</v>
      </c>
      <c r="R2128" s="73"/>
      <c r="X2128">
        <v>0.22000705271999996</v>
      </c>
    </row>
    <row r="2129" spans="2:24" x14ac:dyDescent="0.3">
      <c r="B2129">
        <v>39</v>
      </c>
      <c r="C2129">
        <v>7</v>
      </c>
      <c r="D2129">
        <v>13</v>
      </c>
      <c r="F2129">
        <v>8.910900179999999E-2</v>
      </c>
      <c r="R2129" s="73"/>
      <c r="X2129">
        <v>0.30911605451999991</v>
      </c>
    </row>
    <row r="2130" spans="2:24" x14ac:dyDescent="0.3">
      <c r="B2130">
        <v>39</v>
      </c>
      <c r="C2130">
        <v>7</v>
      </c>
      <c r="D2130">
        <v>29</v>
      </c>
      <c r="F2130">
        <v>0.12058906122899998</v>
      </c>
      <c r="R2130" s="73"/>
      <c r="X2130">
        <v>0.42970511574899989</v>
      </c>
    </row>
    <row r="2131" spans="2:24" x14ac:dyDescent="0.3">
      <c r="B2131">
        <v>39</v>
      </c>
      <c r="C2131">
        <v>7</v>
      </c>
      <c r="D2131">
        <v>49</v>
      </c>
      <c r="F2131">
        <v>8.5898005010999992E-2</v>
      </c>
      <c r="R2131" s="73"/>
      <c r="X2131">
        <v>0.51560312075999992</v>
      </c>
    </row>
    <row r="2132" spans="2:24" x14ac:dyDescent="0.3">
      <c r="B2132">
        <v>39</v>
      </c>
      <c r="C2132">
        <v>7</v>
      </c>
      <c r="D2132">
        <v>78</v>
      </c>
      <c r="F2132">
        <v>8.3409098409000001E-2</v>
      </c>
      <c r="R2132" s="73"/>
      <c r="X2132">
        <v>0.59901221916899983</v>
      </c>
    </row>
    <row r="2133" spans="2:24" x14ac:dyDescent="0.3">
      <c r="B2133">
        <v>39</v>
      </c>
      <c r="C2133">
        <v>7</v>
      </c>
      <c r="D2133">
        <v>104</v>
      </c>
      <c r="F2133">
        <v>9.5239086579000001E-2</v>
      </c>
      <c r="R2133" s="73"/>
      <c r="X2133">
        <v>0.69425130574799987</v>
      </c>
    </row>
    <row r="2134" spans="2:24" x14ac:dyDescent="0.3">
      <c r="B2134">
        <v>39</v>
      </c>
      <c r="C2134">
        <v>7</v>
      </c>
      <c r="D2134">
        <v>142</v>
      </c>
      <c r="F2134">
        <v>0.10877443667999999</v>
      </c>
      <c r="R2134" s="73"/>
      <c r="X2134">
        <v>0.80302574242799984</v>
      </c>
    </row>
    <row r="2135" spans="2:24" x14ac:dyDescent="0.3">
      <c r="B2135">
        <v>39</v>
      </c>
      <c r="C2135">
        <v>7</v>
      </c>
      <c r="D2135">
        <v>198</v>
      </c>
      <c r="F2135">
        <v>0.11384443161000002</v>
      </c>
      <c r="R2135" s="73"/>
      <c r="X2135">
        <v>0.91687017403799986</v>
      </c>
    </row>
    <row r="2136" spans="2:24" x14ac:dyDescent="0.3">
      <c r="B2136">
        <v>39</v>
      </c>
      <c r="C2136">
        <v>7</v>
      </c>
      <c r="D2136">
        <v>249</v>
      </c>
      <c r="F2136">
        <v>0.10722271095899999</v>
      </c>
      <c r="R2136" s="73"/>
      <c r="X2136">
        <v>1.0240928849969999</v>
      </c>
    </row>
    <row r="2137" spans="2:24" x14ac:dyDescent="0.3">
      <c r="B2137">
        <v>39</v>
      </c>
      <c r="C2137">
        <v>7</v>
      </c>
      <c r="D2137">
        <v>311</v>
      </c>
      <c r="F2137">
        <v>8.3747098070999948E-2</v>
      </c>
      <c r="R2137" s="73"/>
      <c r="X2137">
        <v>1.1078399830679999</v>
      </c>
    </row>
    <row r="2138" spans="2:24" x14ac:dyDescent="0.3">
      <c r="B2138">
        <v>39</v>
      </c>
      <c r="C2138">
        <v>7</v>
      </c>
      <c r="D2138">
        <v>367</v>
      </c>
      <c r="F2138">
        <v>0.12828623535000006</v>
      </c>
      <c r="R2138" s="73"/>
      <c r="X2138">
        <v>1.2361262184179997</v>
      </c>
    </row>
    <row r="2139" spans="2:24" x14ac:dyDescent="0.3">
      <c r="B2139">
        <v>39</v>
      </c>
      <c r="C2139">
        <v>7</v>
      </c>
      <c r="D2139">
        <v>429</v>
      </c>
      <c r="F2139">
        <v>9.4178996729999992E-2</v>
      </c>
      <c r="R2139" s="73"/>
      <c r="X2139">
        <v>1.3303052151479997</v>
      </c>
    </row>
    <row r="2140" spans="2:24" x14ac:dyDescent="0.3">
      <c r="B2140">
        <v>39</v>
      </c>
      <c r="C2140">
        <v>7</v>
      </c>
      <c r="D2140">
        <v>490</v>
      </c>
      <c r="F2140">
        <v>8.9416274220000008E-2</v>
      </c>
      <c r="R2140" s="73"/>
      <c r="X2140">
        <v>1.4197214893679997</v>
      </c>
    </row>
    <row r="2141" spans="2:24" x14ac:dyDescent="0.3">
      <c r="B2141">
        <v>39</v>
      </c>
      <c r="C2141">
        <v>7</v>
      </c>
      <c r="D2141">
        <v>558</v>
      </c>
      <c r="F2141">
        <v>6.1843346051149044E-2</v>
      </c>
      <c r="R2141" s="73"/>
      <c r="X2141">
        <v>1.4815648354191486</v>
      </c>
    </row>
    <row r="2142" spans="2:24" x14ac:dyDescent="0.3">
      <c r="B2142">
        <v>39</v>
      </c>
      <c r="C2142">
        <v>7</v>
      </c>
      <c r="D2142">
        <v>667</v>
      </c>
      <c r="F2142">
        <v>3.8485870604999993E-2</v>
      </c>
      <c r="R2142" s="73"/>
      <c r="X2142">
        <v>1.5200507060241486</v>
      </c>
    </row>
    <row r="2143" spans="2:24" x14ac:dyDescent="0.3">
      <c r="B2143">
        <v>39</v>
      </c>
      <c r="C2143">
        <v>7</v>
      </c>
      <c r="D2143">
        <v>795</v>
      </c>
      <c r="F2143">
        <v>5.7306306330000077E-2</v>
      </c>
      <c r="R2143" s="73"/>
      <c r="X2143">
        <v>1.5773570123541487</v>
      </c>
    </row>
    <row r="2144" spans="2:24" x14ac:dyDescent="0.3">
      <c r="B2144">
        <v>39</v>
      </c>
      <c r="C2144">
        <v>7</v>
      </c>
      <c r="D2144">
        <v>920</v>
      </c>
      <c r="F2144">
        <v>0.13427804754</v>
      </c>
      <c r="R2144" s="73"/>
      <c r="X2144">
        <v>1.7116350598941488</v>
      </c>
    </row>
    <row r="2145" spans="2:24" x14ac:dyDescent="0.3">
      <c r="B2145">
        <v>39</v>
      </c>
      <c r="C2145">
        <v>7</v>
      </c>
      <c r="D2145">
        <v>921</v>
      </c>
      <c r="F2145">
        <v>5.2389947610000001E-2</v>
      </c>
      <c r="R2145" s="73"/>
      <c r="X2145">
        <v>1.7640250075041488</v>
      </c>
    </row>
    <row r="2146" spans="2:24" x14ac:dyDescent="0.3">
      <c r="B2146">
        <v>39</v>
      </c>
      <c r="C2146">
        <v>7</v>
      </c>
      <c r="D2146">
        <v>928</v>
      </c>
      <c r="F2146">
        <v>6.2990846100000001E-3</v>
      </c>
      <c r="R2146" s="73"/>
      <c r="X2146">
        <v>1.7703240921141488</v>
      </c>
    </row>
    <row r="2147" spans="2:24" x14ac:dyDescent="0.3">
      <c r="B2147">
        <v>39</v>
      </c>
      <c r="C2147">
        <v>7</v>
      </c>
      <c r="D2147">
        <v>942</v>
      </c>
      <c r="F2147">
        <v>3.0359574656068967E-2</v>
      </c>
      <c r="R2147" s="73"/>
      <c r="X2147">
        <v>1.8006836667702177</v>
      </c>
    </row>
    <row r="2148" spans="2:24" x14ac:dyDescent="0.3">
      <c r="B2148">
        <v>39</v>
      </c>
      <c r="C2148">
        <v>7</v>
      </c>
      <c r="D2148">
        <v>972</v>
      </c>
      <c r="F2148">
        <v>9.9679173047999989E-2</v>
      </c>
      <c r="R2148" s="73"/>
      <c r="X2148">
        <v>1.9003628398182177</v>
      </c>
    </row>
    <row r="2149" spans="2:24" x14ac:dyDescent="0.3">
      <c r="B2149">
        <v>39</v>
      </c>
      <c r="C2149">
        <v>7</v>
      </c>
      <c r="D2149">
        <v>1004</v>
      </c>
      <c r="F2149">
        <v>5.0643831859310345E-2</v>
      </c>
      <c r="R2149" s="73"/>
      <c r="X2149">
        <v>1.9510066716775278</v>
      </c>
    </row>
    <row r="2150" spans="2:24" x14ac:dyDescent="0.3">
      <c r="B2150">
        <v>39</v>
      </c>
      <c r="C2150">
        <v>7</v>
      </c>
      <c r="D2150">
        <v>1058</v>
      </c>
      <c r="F2150">
        <v>5.5616308019999998E-2</v>
      </c>
      <c r="R2150" s="73"/>
      <c r="X2150">
        <v>2.0066229796975277</v>
      </c>
    </row>
    <row r="2151" spans="2:24" x14ac:dyDescent="0.3">
      <c r="B2151">
        <v>39</v>
      </c>
      <c r="C2151">
        <v>7</v>
      </c>
      <c r="D2151">
        <v>1112</v>
      </c>
      <c r="F2151">
        <v>4.3863137954999992E-2</v>
      </c>
      <c r="R2151" s="73"/>
      <c r="X2151">
        <v>2.050486117652528</v>
      </c>
    </row>
    <row r="2152" spans="2:24" x14ac:dyDescent="0.3">
      <c r="B2152">
        <v>39</v>
      </c>
      <c r="C2152">
        <v>7</v>
      </c>
      <c r="D2152">
        <v>1159</v>
      </c>
      <c r="F2152">
        <v>2.719360916999999E-2</v>
      </c>
      <c r="R2152" s="73"/>
      <c r="X2152">
        <v>2.0776797268225278</v>
      </c>
    </row>
    <row r="2153" spans="2:24" x14ac:dyDescent="0.3">
      <c r="B2153">
        <v>39</v>
      </c>
      <c r="C2153">
        <v>7</v>
      </c>
      <c r="D2153">
        <v>1210</v>
      </c>
      <c r="F2153">
        <v>3.5870242114487701E-2</v>
      </c>
      <c r="R2153" s="73"/>
      <c r="X2153">
        <v>2.1135499689370154</v>
      </c>
    </row>
    <row r="2154" spans="2:24" x14ac:dyDescent="0.3">
      <c r="B2154">
        <v>39</v>
      </c>
      <c r="C2154">
        <v>7</v>
      </c>
      <c r="D2154">
        <v>1264</v>
      </c>
      <c r="F2154">
        <v>2.1151120787956047E-2</v>
      </c>
      <c r="R2154" s="73"/>
      <c r="X2154">
        <v>2.1347010897249716</v>
      </c>
    </row>
    <row r="2155" spans="2:24" x14ac:dyDescent="0.3">
      <c r="B2155">
        <v>39</v>
      </c>
      <c r="C2155">
        <v>7</v>
      </c>
      <c r="D2155">
        <v>1325</v>
      </c>
      <c r="F2155">
        <v>3.6258145559999996E-2</v>
      </c>
      <c r="R2155" s="73"/>
      <c r="X2155">
        <v>2.1709592352849714</v>
      </c>
    </row>
    <row r="2156" spans="2:24" x14ac:dyDescent="0.3">
      <c r="B2156">
        <v>39</v>
      </c>
      <c r="C2156">
        <v>7</v>
      </c>
      <c r="D2156">
        <v>1386</v>
      </c>
      <c r="F2156">
        <v>3.3799966200000003E-2</v>
      </c>
      <c r="R2156" s="73"/>
      <c r="X2156">
        <v>2.2047592014849715</v>
      </c>
    </row>
    <row r="2157" spans="2:24" x14ac:dyDescent="0.3">
      <c r="B2157">
        <v>39</v>
      </c>
      <c r="C2157">
        <v>7</v>
      </c>
      <c r="D2157">
        <v>1460</v>
      </c>
      <c r="F2157">
        <v>6.4972753208999992E-2</v>
      </c>
      <c r="R2157" s="73"/>
      <c r="X2157">
        <v>2.2697319546939716</v>
      </c>
    </row>
    <row r="2158" spans="2:24" x14ac:dyDescent="0.3">
      <c r="B2158">
        <v>39</v>
      </c>
      <c r="C2158">
        <v>7</v>
      </c>
      <c r="D2158">
        <v>1522</v>
      </c>
      <c r="F2158">
        <v>3.287814893999999E-2</v>
      </c>
      <c r="R2158" s="73"/>
      <c r="X2158">
        <v>2.3026101036339712</v>
      </c>
    </row>
    <row r="2159" spans="2:24" x14ac:dyDescent="0.3">
      <c r="B2159">
        <v>39</v>
      </c>
      <c r="C2159">
        <v>7</v>
      </c>
      <c r="D2159">
        <v>1523</v>
      </c>
      <c r="F2159">
        <v>6.7292659979999994E-3</v>
      </c>
      <c r="R2159" s="73"/>
      <c r="X2159">
        <v>2.3093393696319713</v>
      </c>
    </row>
    <row r="2160" spans="2:24" x14ac:dyDescent="0.3">
      <c r="B2160">
        <v>39</v>
      </c>
      <c r="C2160">
        <v>7</v>
      </c>
      <c r="D2160">
        <v>1530</v>
      </c>
      <c r="F2160">
        <v>1.0349959346999997E-2</v>
      </c>
      <c r="R2160" s="73"/>
      <c r="X2160">
        <v>2.3196893289789715</v>
      </c>
    </row>
    <row r="2161" spans="2:24" x14ac:dyDescent="0.3">
      <c r="B2161">
        <v>39</v>
      </c>
      <c r="C2161">
        <v>7</v>
      </c>
      <c r="D2161">
        <v>1544</v>
      </c>
      <c r="F2161">
        <v>1.1307625056000001E-2</v>
      </c>
      <c r="R2161" s="73"/>
      <c r="X2161">
        <v>2.3309969540349713</v>
      </c>
    </row>
    <row r="2162" spans="2:24" x14ac:dyDescent="0.3">
      <c r="B2162">
        <v>39</v>
      </c>
      <c r="C2162">
        <v>7</v>
      </c>
      <c r="D2162">
        <v>1580</v>
      </c>
      <c r="F2162">
        <v>2.7347245379999989E-2</v>
      </c>
      <c r="R2162" s="73"/>
      <c r="X2162">
        <v>2.358344199414971</v>
      </c>
    </row>
    <row r="2163" spans="2:24" x14ac:dyDescent="0.3">
      <c r="B2163">
        <v>39</v>
      </c>
      <c r="C2163">
        <v>7</v>
      </c>
      <c r="D2163">
        <v>1616</v>
      </c>
      <c r="F2163">
        <v>3.7656235071000001E-2</v>
      </c>
      <c r="R2163" s="73"/>
      <c r="X2163">
        <v>2.3960004344859711</v>
      </c>
    </row>
    <row r="2164" spans="2:24" x14ac:dyDescent="0.3">
      <c r="B2164">
        <v>39</v>
      </c>
      <c r="C2164">
        <v>7</v>
      </c>
      <c r="D2164">
        <v>1678</v>
      </c>
      <c r="F2164">
        <v>4.3494411051000006E-2</v>
      </c>
      <c r="R2164" s="73"/>
      <c r="X2164">
        <v>2.4394948455369714</v>
      </c>
    </row>
    <row r="2165" spans="2:24" x14ac:dyDescent="0.3">
      <c r="B2165">
        <v>39</v>
      </c>
      <c r="C2165">
        <v>7</v>
      </c>
      <c r="D2165">
        <v>1756</v>
      </c>
      <c r="F2165">
        <v>8.3762461691999995E-2</v>
      </c>
      <c r="R2165" s="73"/>
      <c r="X2165">
        <v>2.5232573072289717</v>
      </c>
    </row>
    <row r="2166" spans="2:24" x14ac:dyDescent="0.3">
      <c r="B2166">
        <v>39</v>
      </c>
      <c r="C2166">
        <v>7</v>
      </c>
      <c r="D2166">
        <v>1817</v>
      </c>
      <c r="F2166">
        <v>4.1162440298469515E-2</v>
      </c>
      <c r="R2166" s="73"/>
      <c r="X2166">
        <v>2.5644197475274408</v>
      </c>
    </row>
    <row r="2167" spans="2:24" x14ac:dyDescent="0.3">
      <c r="B2167">
        <v>39</v>
      </c>
      <c r="C2167">
        <v>7</v>
      </c>
      <c r="D2167">
        <v>1858</v>
      </c>
      <c r="F2167">
        <v>2.7116791065E-2</v>
      </c>
      <c r="R2167" s="73"/>
      <c r="X2167">
        <v>2.5915365385924409</v>
      </c>
    </row>
    <row r="2168" spans="2:24" x14ac:dyDescent="0.3">
      <c r="B2168">
        <v>39</v>
      </c>
      <c r="C2168">
        <v>7</v>
      </c>
      <c r="D2168">
        <v>1911</v>
      </c>
      <c r="F2168">
        <v>3.7364326271999988E-2</v>
      </c>
      <c r="R2168" s="73"/>
      <c r="X2168">
        <v>2.6289008648644412</v>
      </c>
    </row>
    <row r="2169" spans="2:24" x14ac:dyDescent="0.3">
      <c r="B2169">
        <v>39</v>
      </c>
      <c r="C2169">
        <v>7</v>
      </c>
      <c r="D2169">
        <v>1974</v>
      </c>
      <c r="F2169">
        <v>4.2025687534018877E-2</v>
      </c>
      <c r="R2169" s="73"/>
      <c r="X2169">
        <v>2.67092655239846</v>
      </c>
    </row>
    <row r="2170" spans="2:24" x14ac:dyDescent="0.3">
      <c r="B2170">
        <v>39</v>
      </c>
      <c r="C2170">
        <v>7</v>
      </c>
      <c r="D2170">
        <v>2009</v>
      </c>
      <c r="F2170">
        <v>2.8484153333999999E-2</v>
      </c>
      <c r="R2170" s="73"/>
      <c r="X2170">
        <v>2.6994107057324599</v>
      </c>
    </row>
    <row r="2171" spans="2:24" x14ac:dyDescent="0.3">
      <c r="B2171">
        <v>39</v>
      </c>
      <c r="C2171">
        <v>7</v>
      </c>
      <c r="D2171">
        <v>2010</v>
      </c>
      <c r="F2171">
        <v>2.8883607479999996E-3</v>
      </c>
      <c r="R2171" s="73"/>
      <c r="X2171">
        <v>2.7022990664804603</v>
      </c>
    </row>
    <row r="2172" spans="2:24" x14ac:dyDescent="0.3">
      <c r="B2172">
        <v>39</v>
      </c>
      <c r="C2172">
        <v>7</v>
      </c>
      <c r="D2172">
        <v>2030</v>
      </c>
      <c r="F2172">
        <v>2.1094251632999998E-2</v>
      </c>
      <c r="R2172" s="73"/>
      <c r="X2172">
        <v>2.7233933181134602</v>
      </c>
    </row>
    <row r="2173" spans="2:24" x14ac:dyDescent="0.3">
      <c r="B2173">
        <v>39</v>
      </c>
      <c r="C2173">
        <v>7</v>
      </c>
      <c r="D2173">
        <v>2071</v>
      </c>
      <c r="F2173">
        <v>3.6104509350000008E-2</v>
      </c>
      <c r="R2173" s="73"/>
      <c r="X2173">
        <v>2.7594978274634605</v>
      </c>
    </row>
    <row r="2174" spans="2:24" x14ac:dyDescent="0.3">
      <c r="B2174">
        <v>39</v>
      </c>
      <c r="C2174">
        <v>7</v>
      </c>
      <c r="D2174">
        <v>2240</v>
      </c>
      <c r="F2174">
        <v>0.20172434372999995</v>
      </c>
      <c r="R2174" s="73"/>
      <c r="X2174">
        <v>2.9612221711934605</v>
      </c>
    </row>
    <row r="2175" spans="2:24" x14ac:dyDescent="0.3">
      <c r="B2175">
        <v>39</v>
      </c>
      <c r="C2175">
        <v>7</v>
      </c>
      <c r="D2175">
        <v>2257</v>
      </c>
      <c r="F2175">
        <v>7.359174458999999E-3</v>
      </c>
      <c r="R2175" s="73"/>
      <c r="X2175">
        <v>2.9685813456524603</v>
      </c>
    </row>
    <row r="2176" spans="2:24" x14ac:dyDescent="0.3">
      <c r="B2176">
        <v>39</v>
      </c>
      <c r="C2176">
        <v>7</v>
      </c>
      <c r="D2176">
        <v>2264</v>
      </c>
      <c r="F2176">
        <v>5.5001763179999942E-3</v>
      </c>
      <c r="R2176" s="73"/>
      <c r="X2176">
        <v>2.9740815219704602</v>
      </c>
    </row>
    <row r="2177" spans="2:24" x14ac:dyDescent="0.3">
      <c r="B2177">
        <v>39</v>
      </c>
      <c r="C2177">
        <v>7</v>
      </c>
      <c r="D2177">
        <v>2278</v>
      </c>
      <c r="F2177">
        <v>1.4918075991E-2</v>
      </c>
      <c r="R2177" s="73"/>
      <c r="X2177">
        <v>2.9889995979614601</v>
      </c>
    </row>
    <row r="2178" spans="2:24" x14ac:dyDescent="0.3">
      <c r="B2178">
        <v>39</v>
      </c>
      <c r="C2178">
        <v>7</v>
      </c>
      <c r="D2178">
        <v>2312</v>
      </c>
      <c r="F2178">
        <v>7.1696898000000011E-3</v>
      </c>
      <c r="R2178" s="73"/>
      <c r="X2178">
        <v>2.9961692877614601</v>
      </c>
    </row>
    <row r="2179" spans="2:24" x14ac:dyDescent="0.3">
      <c r="B2179">
        <v>39</v>
      </c>
      <c r="C2179">
        <v>7</v>
      </c>
      <c r="D2179">
        <v>2373</v>
      </c>
      <c r="F2179">
        <v>2.131446353400001E-2</v>
      </c>
      <c r="R2179" s="73"/>
      <c r="X2179">
        <v>3.01748375129546</v>
      </c>
    </row>
    <row r="2180" spans="2:24" x14ac:dyDescent="0.3">
      <c r="B2180">
        <v>39</v>
      </c>
      <c r="C2180">
        <v>7</v>
      </c>
      <c r="D2180">
        <v>2432</v>
      </c>
      <c r="F2180">
        <v>4.1558594804999995E-2</v>
      </c>
      <c r="R2180" s="73"/>
      <c r="X2180">
        <v>3.0590423461004601</v>
      </c>
    </row>
    <row r="2181" spans="2:24" x14ac:dyDescent="0.3">
      <c r="B2181">
        <v>39</v>
      </c>
      <c r="C2181">
        <v>7</v>
      </c>
      <c r="D2181">
        <v>2496</v>
      </c>
      <c r="F2181">
        <v>1.0001717270999995E-2</v>
      </c>
      <c r="R2181" s="73"/>
      <c r="X2181">
        <v>3.0690440633714604</v>
      </c>
    </row>
    <row r="2182" spans="2:24" x14ac:dyDescent="0.3">
      <c r="B2182">
        <v>39</v>
      </c>
      <c r="C2182">
        <v>7</v>
      </c>
      <c r="D2182">
        <v>2536</v>
      </c>
      <c r="F2182">
        <v>5.8381759799999997E-3</v>
      </c>
      <c r="R2182" s="73"/>
      <c r="X2182">
        <v>3.0748822393514601</v>
      </c>
    </row>
    <row r="2183" spans="2:24" x14ac:dyDescent="0.3">
      <c r="B2183">
        <v>39</v>
      </c>
      <c r="C2183">
        <v>7</v>
      </c>
      <c r="D2183">
        <v>2596</v>
      </c>
      <c r="F2183">
        <v>7.2055382490000014E-2</v>
      </c>
      <c r="R2183" s="73"/>
      <c r="X2183">
        <v>3.14693762184146</v>
      </c>
    </row>
    <row r="2184" spans="2:24" x14ac:dyDescent="0.3">
      <c r="B2184">
        <v>111</v>
      </c>
      <c r="C2184">
        <v>7</v>
      </c>
      <c r="D2184">
        <v>0</v>
      </c>
      <c r="F2184">
        <v>0</v>
      </c>
      <c r="R2184" s="73"/>
      <c r="X2184">
        <v>0</v>
      </c>
    </row>
    <row r="2185" spans="2:24" x14ac:dyDescent="0.3">
      <c r="B2185">
        <v>111</v>
      </c>
      <c r="C2185">
        <v>7</v>
      </c>
      <c r="D2185">
        <v>1</v>
      </c>
      <c r="F2185">
        <v>0.52820128997999982</v>
      </c>
      <c r="R2185" s="73"/>
      <c r="X2185">
        <v>0.52820128997999982</v>
      </c>
    </row>
    <row r="2186" spans="2:24" x14ac:dyDescent="0.3">
      <c r="B2186">
        <v>111</v>
      </c>
      <c r="C2186">
        <v>7</v>
      </c>
      <c r="D2186">
        <v>6</v>
      </c>
      <c r="F2186">
        <v>0.92873088944999982</v>
      </c>
      <c r="R2186" s="73"/>
      <c r="X2186">
        <v>1.4569321794299996</v>
      </c>
    </row>
    <row r="2187" spans="2:24" x14ac:dyDescent="0.3">
      <c r="B2187">
        <v>111</v>
      </c>
      <c r="C2187">
        <v>7</v>
      </c>
      <c r="D2187">
        <v>13</v>
      </c>
      <c r="F2187">
        <v>0.79629647643000001</v>
      </c>
      <c r="R2187" s="73"/>
      <c r="X2187">
        <v>2.2532286558600001</v>
      </c>
    </row>
    <row r="2188" spans="2:24" x14ac:dyDescent="0.3">
      <c r="B2188">
        <v>111</v>
      </c>
      <c r="C2188">
        <v>7</v>
      </c>
      <c r="D2188">
        <v>29</v>
      </c>
      <c r="F2188">
        <v>1.0672953872490001</v>
      </c>
      <c r="R2188" s="73"/>
      <c r="X2188">
        <v>3.3205240431089997</v>
      </c>
    </row>
    <row r="2189" spans="2:24" x14ac:dyDescent="0.3">
      <c r="B2189">
        <v>111</v>
      </c>
      <c r="C2189">
        <v>7</v>
      </c>
      <c r="D2189">
        <v>49</v>
      </c>
      <c r="F2189">
        <v>0.79170275375099997</v>
      </c>
      <c r="R2189" s="73"/>
      <c r="X2189">
        <v>4.1122267968599999</v>
      </c>
    </row>
    <row r="2190" spans="2:24" x14ac:dyDescent="0.3">
      <c r="B2190">
        <v>111</v>
      </c>
      <c r="C2190">
        <v>7</v>
      </c>
      <c r="D2190">
        <v>78</v>
      </c>
      <c r="F2190">
        <v>0.84329379306899988</v>
      </c>
      <c r="R2190" s="73"/>
      <c r="X2190">
        <v>4.9555205899289998</v>
      </c>
    </row>
    <row r="2191" spans="2:24" x14ac:dyDescent="0.3">
      <c r="B2191">
        <v>111</v>
      </c>
      <c r="C2191">
        <v>7</v>
      </c>
      <c r="D2191">
        <v>104</v>
      </c>
      <c r="F2191">
        <v>0.59778312948900014</v>
      </c>
      <c r="R2191" s="73"/>
      <c r="X2191">
        <v>5.5533037194179995</v>
      </c>
    </row>
    <row r="2192" spans="2:24" x14ac:dyDescent="0.3">
      <c r="B2192">
        <v>111</v>
      </c>
      <c r="C2192">
        <v>7</v>
      </c>
      <c r="D2192">
        <v>142</v>
      </c>
      <c r="F2192">
        <v>0.58120578242999998</v>
      </c>
      <c r="R2192" s="73"/>
      <c r="X2192">
        <v>6.134509501848</v>
      </c>
    </row>
    <row r="2193" spans="2:24" x14ac:dyDescent="0.3">
      <c r="B2193">
        <v>111</v>
      </c>
      <c r="C2193">
        <v>7</v>
      </c>
      <c r="D2193">
        <v>198</v>
      </c>
      <c r="F2193">
        <v>0.42695502758999992</v>
      </c>
      <c r="R2193" s="73"/>
      <c r="X2193">
        <v>6.5614645294380001</v>
      </c>
    </row>
    <row r="2194" spans="2:24" x14ac:dyDescent="0.3">
      <c r="B2194">
        <v>111</v>
      </c>
      <c r="C2194">
        <v>7</v>
      </c>
      <c r="D2194">
        <v>249</v>
      </c>
      <c r="F2194">
        <v>0.30495251322899997</v>
      </c>
      <c r="R2194" s="73"/>
      <c r="X2194">
        <v>6.8664170426669999</v>
      </c>
    </row>
    <row r="2195" spans="2:24" x14ac:dyDescent="0.3">
      <c r="B2195">
        <v>111</v>
      </c>
      <c r="C2195">
        <v>7</v>
      </c>
      <c r="D2195">
        <v>311</v>
      </c>
      <c r="F2195">
        <v>0.28353562555499995</v>
      </c>
      <c r="R2195" s="73"/>
      <c r="X2195">
        <v>7.1499526682219994</v>
      </c>
    </row>
    <row r="2196" spans="2:24" x14ac:dyDescent="0.3">
      <c r="B2196">
        <v>111</v>
      </c>
      <c r="C2196">
        <v>7</v>
      </c>
      <c r="D2196">
        <v>367</v>
      </c>
      <c r="F2196">
        <v>0.24597157221000007</v>
      </c>
      <c r="R2196" s="73"/>
      <c r="X2196">
        <v>7.3959242404319996</v>
      </c>
    </row>
    <row r="2197" spans="2:24" x14ac:dyDescent="0.3">
      <c r="B2197">
        <v>111</v>
      </c>
      <c r="C2197">
        <v>7</v>
      </c>
      <c r="D2197">
        <v>429</v>
      </c>
      <c r="F2197">
        <v>0.22968613395000001</v>
      </c>
      <c r="R2197" s="73"/>
      <c r="X2197">
        <v>7.6256103743819992</v>
      </c>
    </row>
    <row r="2198" spans="2:24" x14ac:dyDescent="0.3">
      <c r="B2198">
        <v>111</v>
      </c>
      <c r="C2198">
        <v>7</v>
      </c>
      <c r="D2198">
        <v>490</v>
      </c>
      <c r="F2198">
        <v>0.121449424005</v>
      </c>
      <c r="R2198" s="73"/>
      <c r="X2198">
        <v>7.7470597983869993</v>
      </c>
    </row>
    <row r="2199" spans="2:24" x14ac:dyDescent="0.3">
      <c r="B2199">
        <v>111</v>
      </c>
      <c r="C2199">
        <v>7</v>
      </c>
      <c r="D2199">
        <v>558</v>
      </c>
      <c r="F2199">
        <v>0.16395437534733795</v>
      </c>
      <c r="R2199" s="73"/>
      <c r="X2199">
        <v>7.9110141737343378</v>
      </c>
    </row>
    <row r="2200" spans="2:24" x14ac:dyDescent="0.3">
      <c r="B2200">
        <v>111</v>
      </c>
      <c r="C2200">
        <v>7</v>
      </c>
      <c r="D2200">
        <v>667</v>
      </c>
      <c r="F2200">
        <v>0.30558242168999999</v>
      </c>
      <c r="R2200" s="73"/>
      <c r="X2200">
        <v>8.2165965954243365</v>
      </c>
    </row>
    <row r="2201" spans="2:24" x14ac:dyDescent="0.3">
      <c r="B2201">
        <v>111</v>
      </c>
      <c r="C2201">
        <v>7</v>
      </c>
      <c r="D2201">
        <v>795</v>
      </c>
      <c r="F2201">
        <v>0.3171612470752998</v>
      </c>
      <c r="R2201" s="73"/>
      <c r="X2201">
        <v>8.5337578424996359</v>
      </c>
    </row>
    <row r="2202" spans="2:24" x14ac:dyDescent="0.3">
      <c r="B2202">
        <v>111</v>
      </c>
      <c r="C2202">
        <v>7</v>
      </c>
      <c r="D2202">
        <v>920</v>
      </c>
      <c r="F2202">
        <v>0.26901700370999998</v>
      </c>
      <c r="R2202" s="73"/>
      <c r="X2202">
        <v>8.8027748462096351</v>
      </c>
    </row>
    <row r="2203" spans="2:24" x14ac:dyDescent="0.3">
      <c r="B2203">
        <v>111</v>
      </c>
      <c r="C2203">
        <v>7</v>
      </c>
      <c r="D2203">
        <v>921</v>
      </c>
      <c r="F2203">
        <v>0.37272144545999991</v>
      </c>
      <c r="R2203" s="73"/>
      <c r="X2203">
        <v>9.175496291669635</v>
      </c>
    </row>
    <row r="2204" spans="2:24" x14ac:dyDescent="0.3">
      <c r="B2204">
        <v>111</v>
      </c>
      <c r="C2204">
        <v>7</v>
      </c>
      <c r="D2204">
        <v>928</v>
      </c>
      <c r="F2204">
        <v>1.1172425191199997</v>
      </c>
      <c r="R2204" s="73"/>
      <c r="X2204">
        <v>10.292738810789634</v>
      </c>
    </row>
    <row r="2205" spans="2:24" x14ac:dyDescent="0.3">
      <c r="B2205">
        <v>111</v>
      </c>
      <c r="C2205">
        <v>7</v>
      </c>
      <c r="D2205">
        <v>942</v>
      </c>
      <c r="F2205">
        <v>1.9453416910200001</v>
      </c>
      <c r="R2205" s="73"/>
      <c r="X2205">
        <v>12.238080501809634</v>
      </c>
    </row>
    <row r="2206" spans="2:24" x14ac:dyDescent="0.3">
      <c r="B2206">
        <v>111</v>
      </c>
      <c r="C2206">
        <v>7</v>
      </c>
      <c r="D2206">
        <v>972</v>
      </c>
      <c r="F2206">
        <v>1.9367380632599998</v>
      </c>
      <c r="R2206" s="73"/>
      <c r="X2206">
        <v>14.174818565069634</v>
      </c>
    </row>
    <row r="2207" spans="2:24" x14ac:dyDescent="0.3">
      <c r="B2207">
        <v>111</v>
      </c>
      <c r="C2207">
        <v>7</v>
      </c>
      <c r="D2207">
        <v>1004</v>
      </c>
      <c r="F2207">
        <v>1.33571320974</v>
      </c>
      <c r="R2207" s="73"/>
      <c r="X2207">
        <v>15.510531774809635</v>
      </c>
    </row>
    <row r="2208" spans="2:24" x14ac:dyDescent="0.3">
      <c r="B2208">
        <v>111</v>
      </c>
      <c r="C2208">
        <v>7</v>
      </c>
      <c r="D2208">
        <v>1058</v>
      </c>
      <c r="F2208">
        <v>1.14443612829</v>
      </c>
      <c r="R2208" s="73"/>
      <c r="X2208">
        <v>16.654967903099635</v>
      </c>
    </row>
    <row r="2209" spans="2:24" x14ac:dyDescent="0.3">
      <c r="B2209">
        <v>111</v>
      </c>
      <c r="C2209">
        <v>7</v>
      </c>
      <c r="D2209">
        <v>1112</v>
      </c>
      <c r="F2209">
        <v>0.61462165810499991</v>
      </c>
      <c r="R2209" s="73"/>
      <c r="X2209">
        <v>17.269589561204633</v>
      </c>
    </row>
    <row r="2210" spans="2:24" x14ac:dyDescent="0.3">
      <c r="B2210">
        <v>111</v>
      </c>
      <c r="C2210">
        <v>7</v>
      </c>
      <c r="D2210">
        <v>1159</v>
      </c>
      <c r="F2210">
        <v>0.34998328637999998</v>
      </c>
      <c r="R2210" s="73"/>
      <c r="X2210">
        <v>17.619572847584635</v>
      </c>
    </row>
    <row r="2211" spans="2:24" x14ac:dyDescent="0.3">
      <c r="B2211">
        <v>111</v>
      </c>
      <c r="C2211">
        <v>7</v>
      </c>
      <c r="D2211">
        <v>1210</v>
      </c>
      <c r="F2211">
        <v>0.34890783290999999</v>
      </c>
      <c r="R2211" s="73"/>
      <c r="X2211">
        <v>17.968480680494636</v>
      </c>
    </row>
    <row r="2212" spans="2:24" x14ac:dyDescent="0.3">
      <c r="B2212">
        <v>111</v>
      </c>
      <c r="C2212">
        <v>7</v>
      </c>
      <c r="D2212">
        <v>1264</v>
      </c>
      <c r="F2212">
        <v>0.26517609846000001</v>
      </c>
      <c r="R2212" s="73"/>
      <c r="X2212">
        <v>18.233656778954636</v>
      </c>
    </row>
    <row r="2213" spans="2:24" x14ac:dyDescent="0.3">
      <c r="B2213">
        <v>111</v>
      </c>
      <c r="C2213">
        <v>7</v>
      </c>
      <c r="D2213">
        <v>1325</v>
      </c>
      <c r="F2213">
        <v>0.20418252308999998</v>
      </c>
      <c r="R2213" s="73"/>
      <c r="X2213">
        <v>18.437839302044633</v>
      </c>
    </row>
    <row r="2214" spans="2:24" x14ac:dyDescent="0.3">
      <c r="B2214">
        <v>111</v>
      </c>
      <c r="C2214">
        <v>7</v>
      </c>
      <c r="D2214">
        <v>1386</v>
      </c>
      <c r="F2214">
        <v>0.15286802894999996</v>
      </c>
      <c r="R2214" s="73"/>
      <c r="X2214">
        <v>18.590707330994636</v>
      </c>
    </row>
    <row r="2215" spans="2:24" x14ac:dyDescent="0.3">
      <c r="B2215">
        <v>111</v>
      </c>
      <c r="C2215">
        <v>7</v>
      </c>
      <c r="D2215">
        <v>1460</v>
      </c>
      <c r="F2215">
        <v>0.17105855621399998</v>
      </c>
      <c r="R2215" s="73"/>
      <c r="X2215">
        <v>18.761765887208636</v>
      </c>
    </row>
    <row r="2216" spans="2:24" x14ac:dyDescent="0.3">
      <c r="B2216">
        <v>111</v>
      </c>
      <c r="C2216">
        <v>7</v>
      </c>
      <c r="D2216">
        <v>1522</v>
      </c>
      <c r="F2216">
        <v>0.105041076777</v>
      </c>
      <c r="R2216" s="73"/>
      <c r="X2216">
        <v>18.866806963985638</v>
      </c>
    </row>
    <row r="2217" spans="2:24" x14ac:dyDescent="0.3">
      <c r="B2217">
        <v>111</v>
      </c>
      <c r="C2217">
        <v>7</v>
      </c>
      <c r="D2217">
        <v>1523</v>
      </c>
      <c r="F2217">
        <v>0.71402428597500001</v>
      </c>
      <c r="R2217" s="73"/>
      <c r="X2217">
        <v>19.580831249960635</v>
      </c>
    </row>
    <row r="2218" spans="2:24" x14ac:dyDescent="0.3">
      <c r="B2218">
        <v>111</v>
      </c>
      <c r="C2218">
        <v>7</v>
      </c>
      <c r="D2218">
        <v>1530</v>
      </c>
      <c r="F2218">
        <v>1.4308908418349999</v>
      </c>
      <c r="R2218" s="73"/>
      <c r="X2218">
        <v>21.011722091795637</v>
      </c>
    </row>
    <row r="2219" spans="2:24" x14ac:dyDescent="0.3">
      <c r="B2219">
        <v>111</v>
      </c>
      <c r="C2219">
        <v>7</v>
      </c>
      <c r="D2219">
        <v>1544</v>
      </c>
      <c r="F2219">
        <v>1.2107147892839998</v>
      </c>
      <c r="R2219" s="73"/>
      <c r="X2219">
        <v>22.222436881079638</v>
      </c>
    </row>
    <row r="2220" spans="2:24" x14ac:dyDescent="0.3">
      <c r="B2220">
        <v>111</v>
      </c>
      <c r="C2220">
        <v>7</v>
      </c>
      <c r="D2220">
        <v>1580</v>
      </c>
      <c r="F2220">
        <v>1.4086904094900001</v>
      </c>
      <c r="R2220" s="73"/>
      <c r="X2220">
        <v>23.631127290569637</v>
      </c>
    </row>
    <row r="2221" spans="2:24" x14ac:dyDescent="0.3">
      <c r="B2221">
        <v>111</v>
      </c>
      <c r="C2221">
        <v>7</v>
      </c>
      <c r="D2221">
        <v>1616</v>
      </c>
      <c r="F2221">
        <v>0.75171124828799984</v>
      </c>
      <c r="R2221" s="73"/>
      <c r="X2221">
        <v>24.382838538857637</v>
      </c>
    </row>
    <row r="2222" spans="2:24" x14ac:dyDescent="0.3">
      <c r="B2222">
        <v>111</v>
      </c>
      <c r="C2222">
        <v>7</v>
      </c>
      <c r="D2222">
        <v>1678</v>
      </c>
      <c r="F2222">
        <v>0.66793342297499991</v>
      </c>
      <c r="R2222" s="73"/>
      <c r="X2222">
        <v>25.050771961832638</v>
      </c>
    </row>
    <row r="2223" spans="2:24" x14ac:dyDescent="0.3">
      <c r="B2223">
        <v>111</v>
      </c>
      <c r="C2223">
        <v>7</v>
      </c>
      <c r="D2223">
        <v>1756</v>
      </c>
      <c r="F2223">
        <v>0.46133881138799987</v>
      </c>
      <c r="R2223" s="73"/>
      <c r="X2223">
        <v>25.512110773220638</v>
      </c>
    </row>
    <row r="2224" spans="2:24" x14ac:dyDescent="0.3">
      <c r="B2224">
        <v>111</v>
      </c>
      <c r="C2224">
        <v>7</v>
      </c>
      <c r="D2224">
        <v>1817</v>
      </c>
      <c r="F2224">
        <v>0.2003416178399999</v>
      </c>
      <c r="R2224" s="73"/>
      <c r="X2224">
        <v>25.712452391060637</v>
      </c>
    </row>
    <row r="2225" spans="2:24" x14ac:dyDescent="0.3">
      <c r="B2225">
        <v>111</v>
      </c>
      <c r="C2225">
        <v>7</v>
      </c>
      <c r="D2225">
        <v>1858</v>
      </c>
      <c r="F2225">
        <v>0.12154160573099999</v>
      </c>
      <c r="R2225" s="73"/>
      <c r="X2225">
        <v>25.833993996791637</v>
      </c>
    </row>
    <row r="2226" spans="2:24" x14ac:dyDescent="0.3">
      <c r="B2226">
        <v>111</v>
      </c>
      <c r="C2226">
        <v>7</v>
      </c>
      <c r="D2226">
        <v>1911</v>
      </c>
      <c r="F2226">
        <v>0.17045937499499997</v>
      </c>
      <c r="R2226" s="73"/>
      <c r="X2226">
        <v>26.004453371786635</v>
      </c>
    </row>
    <row r="2227" spans="2:24" x14ac:dyDescent="0.3">
      <c r="B2227">
        <v>111</v>
      </c>
      <c r="C2227">
        <v>7</v>
      </c>
      <c r="D2227">
        <v>1974</v>
      </c>
      <c r="F2227">
        <v>0.13350986649000002</v>
      </c>
      <c r="R2227" s="73"/>
      <c r="X2227">
        <v>26.137963238276637</v>
      </c>
    </row>
    <row r="2228" spans="2:24" x14ac:dyDescent="0.3">
      <c r="B2228">
        <v>111</v>
      </c>
      <c r="C2228">
        <v>7</v>
      </c>
      <c r="D2228">
        <v>2009</v>
      </c>
      <c r="F2228">
        <v>7.3361290274999991E-2</v>
      </c>
      <c r="R2228" s="73"/>
      <c r="X2228">
        <v>26.211324528551636</v>
      </c>
    </row>
    <row r="2229" spans="2:24" x14ac:dyDescent="0.3">
      <c r="B2229">
        <v>111</v>
      </c>
      <c r="C2229">
        <v>7</v>
      </c>
      <c r="D2229">
        <v>2010</v>
      </c>
      <c r="F2229">
        <v>0.77454158909399995</v>
      </c>
      <c r="R2229" s="73"/>
      <c r="X2229">
        <v>26.985866117645635</v>
      </c>
    </row>
    <row r="2230" spans="2:24" x14ac:dyDescent="0.3">
      <c r="B2230">
        <v>111</v>
      </c>
      <c r="C2230">
        <v>7</v>
      </c>
      <c r="D2230">
        <v>2030</v>
      </c>
      <c r="F2230">
        <v>1.4212424878469998</v>
      </c>
      <c r="R2230" s="73"/>
      <c r="X2230">
        <v>28.407108605492635</v>
      </c>
    </row>
    <row r="2231" spans="2:24" x14ac:dyDescent="0.3">
      <c r="B2231">
        <v>111</v>
      </c>
      <c r="C2231">
        <v>7</v>
      </c>
      <c r="D2231">
        <v>2071</v>
      </c>
      <c r="F2231">
        <v>1.3688064493739995</v>
      </c>
      <c r="R2231" s="73"/>
      <c r="X2231">
        <v>29.775915054866633</v>
      </c>
    </row>
    <row r="2232" spans="2:24" x14ac:dyDescent="0.3">
      <c r="B2232">
        <v>111</v>
      </c>
      <c r="C2232">
        <v>7</v>
      </c>
      <c r="D2232">
        <v>2240</v>
      </c>
      <c r="F2232">
        <v>1.1590315682399999</v>
      </c>
      <c r="R2232" s="73"/>
      <c r="X2232">
        <v>30.934946623106633</v>
      </c>
    </row>
    <row r="2233" spans="2:24" x14ac:dyDescent="0.3">
      <c r="B2233">
        <v>111</v>
      </c>
      <c r="C2233">
        <v>7</v>
      </c>
      <c r="D2233">
        <v>2257</v>
      </c>
      <c r="F2233">
        <v>0.72265864097699994</v>
      </c>
      <c r="R2233" s="73"/>
      <c r="X2233">
        <v>31.657605264083632</v>
      </c>
    </row>
    <row r="2234" spans="2:24" x14ac:dyDescent="0.3">
      <c r="B2234">
        <v>111</v>
      </c>
      <c r="C2234">
        <v>7</v>
      </c>
      <c r="D2234">
        <v>2264</v>
      </c>
      <c r="F2234">
        <v>1.4268348458909998</v>
      </c>
      <c r="R2234" s="73"/>
      <c r="X2234">
        <v>33.084440109974629</v>
      </c>
    </row>
    <row r="2235" spans="2:24" x14ac:dyDescent="0.3">
      <c r="B2235">
        <v>111</v>
      </c>
      <c r="C2235">
        <v>7</v>
      </c>
      <c r="D2235">
        <v>2278</v>
      </c>
      <c r="F2235">
        <v>1.1579253875279998</v>
      </c>
      <c r="R2235" s="73"/>
      <c r="X2235">
        <v>34.242365497502632</v>
      </c>
    </row>
    <row r="2236" spans="2:24" x14ac:dyDescent="0.3">
      <c r="B2236">
        <v>111</v>
      </c>
      <c r="C2236">
        <v>7</v>
      </c>
      <c r="D2236">
        <v>2312</v>
      </c>
      <c r="F2236">
        <v>1.2313942231499997</v>
      </c>
      <c r="R2236" s="73"/>
      <c r="X2236">
        <v>35.473759720652623</v>
      </c>
    </row>
    <row r="2237" spans="2:24" x14ac:dyDescent="0.3">
      <c r="B2237">
        <v>111</v>
      </c>
      <c r="C2237">
        <v>7</v>
      </c>
      <c r="D2237">
        <v>2373</v>
      </c>
      <c r="F2237">
        <v>0.80998546274100003</v>
      </c>
      <c r="R2237" s="73"/>
      <c r="X2237">
        <v>36.283745183393627</v>
      </c>
    </row>
    <row r="2238" spans="2:24" x14ac:dyDescent="0.3">
      <c r="B2238">
        <v>111</v>
      </c>
      <c r="C2238">
        <v>7</v>
      </c>
      <c r="D2238">
        <v>2432</v>
      </c>
      <c r="F2238">
        <v>0.45235109310299998</v>
      </c>
      <c r="R2238" s="73"/>
      <c r="X2238">
        <v>36.736096276496632</v>
      </c>
    </row>
    <row r="2239" spans="2:24" x14ac:dyDescent="0.3">
      <c r="B2239">
        <v>111</v>
      </c>
      <c r="C2239">
        <v>7</v>
      </c>
      <c r="D2239">
        <v>2496</v>
      </c>
      <c r="F2239">
        <v>0.30822496450199999</v>
      </c>
      <c r="R2239" s="73"/>
      <c r="X2239">
        <v>37.044321240998627</v>
      </c>
    </row>
    <row r="2240" spans="2:24" x14ac:dyDescent="0.3">
      <c r="B2240">
        <v>111</v>
      </c>
      <c r="C2240">
        <v>7</v>
      </c>
      <c r="D2240">
        <v>2536</v>
      </c>
      <c r="F2240">
        <v>0.13581440963999997</v>
      </c>
      <c r="R2240" s="73"/>
      <c r="X2240">
        <v>37.180135650638633</v>
      </c>
    </row>
    <row r="2241" spans="2:24" x14ac:dyDescent="0.3">
      <c r="B2241">
        <v>111</v>
      </c>
      <c r="C2241">
        <v>7</v>
      </c>
      <c r="D2241">
        <v>2596</v>
      </c>
      <c r="F2241">
        <v>0.25150247576999996</v>
      </c>
      <c r="R2241" s="73"/>
      <c r="X2241">
        <v>37.431638126408629</v>
      </c>
    </row>
    <row r="2242" spans="2:24" x14ac:dyDescent="0.3">
      <c r="B2242">
        <v>120</v>
      </c>
      <c r="C2242">
        <v>34</v>
      </c>
      <c r="D2242">
        <v>0</v>
      </c>
      <c r="R2242" s="73">
        <f t="shared" ref="R2242:R2256" si="160">IF(D2242&gt;D2241,(U2242-U2241)/1/(D2242-D2241),0)</f>
        <v>0</v>
      </c>
      <c r="S2242" s="74">
        <f t="shared" ref="S2242:S2281" si="161">IF(D2242&gt;D2241,(U2242-U2241)/W2241/(D2242-D2241),0)</f>
        <v>0</v>
      </c>
      <c r="U2242" s="87">
        <v>0</v>
      </c>
      <c r="W2242" s="88">
        <f>100%-U2242</f>
        <v>1</v>
      </c>
    </row>
    <row r="2243" spans="2:24" x14ac:dyDescent="0.3">
      <c r="B2243">
        <v>120</v>
      </c>
      <c r="C2243">
        <v>34</v>
      </c>
      <c r="D2243">
        <v>7.0213000000000001</v>
      </c>
      <c r="R2243" s="73">
        <f t="shared" si="160"/>
        <v>6.6859413498924694E-5</v>
      </c>
      <c r="S2243" s="74">
        <f>IF(D2243&gt;D2242,(U2243-U2242)/W2242/(D2243-D2242),0)</f>
        <v>6.6859413498924694E-5</v>
      </c>
      <c r="U2243" s="86">
        <v>4.6944E-4</v>
      </c>
      <c r="W2243" s="88">
        <f t="shared" ref="W2243:W2267" si="162">100%-U2243</f>
        <v>0.99953055999999996</v>
      </c>
    </row>
    <row r="2244" spans="2:24" x14ac:dyDescent="0.3">
      <c r="B2244">
        <v>120</v>
      </c>
      <c r="C2244">
        <v>34</v>
      </c>
      <c r="D2244">
        <v>13.9533</v>
      </c>
      <c r="R2244" s="73">
        <f t="shared" si="160"/>
        <v>3.2348528563185227E-5</v>
      </c>
      <c r="S2244" s="74">
        <f t="shared" ref="S2244:S2255" si="163">IF(D2244&gt;D2243,(U2244-U2243)/W2243/(D2244-D2243),0)</f>
        <v>3.2363721388553868E-5</v>
      </c>
      <c r="U2244" s="86">
        <v>6.9368000000000001E-4</v>
      </c>
      <c r="W2244" s="88">
        <f t="shared" si="162"/>
        <v>0.99930631999999997</v>
      </c>
    </row>
    <row r="2245" spans="2:24" x14ac:dyDescent="0.3">
      <c r="B2245">
        <v>120</v>
      </c>
      <c r="C2245">
        <v>34</v>
      </c>
      <c r="D2245">
        <v>20.999500000000001</v>
      </c>
      <c r="R2245" s="73">
        <f t="shared" si="160"/>
        <v>1.4555363174477025E-5</v>
      </c>
      <c r="S2245" s="74">
        <f t="shared" si="163"/>
        <v>1.4565466947589228E-5</v>
      </c>
      <c r="U2245" s="86">
        <v>7.9624000000000003E-4</v>
      </c>
      <c r="W2245" s="88">
        <f t="shared" si="162"/>
        <v>0.99920376</v>
      </c>
    </row>
    <row r="2246" spans="2:24" x14ac:dyDescent="0.3">
      <c r="B2246">
        <v>120</v>
      </c>
      <c r="C2246">
        <v>34</v>
      </c>
      <c r="D2246">
        <v>27.9682</v>
      </c>
      <c r="R2246" s="73">
        <f t="shared" si="160"/>
        <v>2.0188844404264783E-5</v>
      </c>
      <c r="S2246" s="74">
        <f t="shared" si="163"/>
        <v>2.0204932379622736E-5</v>
      </c>
      <c r="U2246" s="86">
        <v>9.3692999999999999E-4</v>
      </c>
      <c r="W2246" s="88">
        <f t="shared" si="162"/>
        <v>0.99906307000000005</v>
      </c>
    </row>
    <row r="2247" spans="2:24" x14ac:dyDescent="0.3">
      <c r="B2247">
        <v>120</v>
      </c>
      <c r="C2247">
        <v>34</v>
      </c>
      <c r="D2247">
        <v>35.970199999999998</v>
      </c>
      <c r="R2247" s="73">
        <f t="shared" si="160"/>
        <v>1.6897025743564121E-5</v>
      </c>
      <c r="S2247" s="74">
        <f t="shared" si="163"/>
        <v>1.6912871920652737E-5</v>
      </c>
      <c r="U2247" s="86">
        <v>1.0721400000000001E-3</v>
      </c>
      <c r="W2247" s="88">
        <f t="shared" si="162"/>
        <v>0.99892786</v>
      </c>
    </row>
    <row r="2248" spans="2:24" x14ac:dyDescent="0.3">
      <c r="B2248">
        <v>120</v>
      </c>
      <c r="C2248">
        <v>34</v>
      </c>
      <c r="D2248">
        <v>41.973399999999998</v>
      </c>
      <c r="R2248" s="73">
        <f t="shared" si="160"/>
        <v>3.5414445628997774E-6</v>
      </c>
      <c r="S2248" s="74">
        <f t="shared" si="163"/>
        <v>3.5452455624771314E-6</v>
      </c>
      <c r="U2248" s="86">
        <v>1.0934E-3</v>
      </c>
      <c r="W2248" s="88">
        <f t="shared" si="162"/>
        <v>0.99890659999999998</v>
      </c>
    </row>
    <row r="2249" spans="2:24" x14ac:dyDescent="0.3">
      <c r="B2249">
        <v>120</v>
      </c>
      <c r="C2249">
        <v>34</v>
      </c>
      <c r="D2249">
        <v>50.994799999999998</v>
      </c>
      <c r="R2249" s="73">
        <f t="shared" si="160"/>
        <v>1.0003990511450557E-5</v>
      </c>
      <c r="S2249" s="74">
        <f t="shared" si="163"/>
        <v>1.0014940847773512E-5</v>
      </c>
      <c r="U2249" s="86">
        <v>1.1836500000000001E-3</v>
      </c>
      <c r="W2249" s="88">
        <f t="shared" si="162"/>
        <v>0.99881635000000002</v>
      </c>
    </row>
    <row r="2250" spans="2:24" x14ac:dyDescent="0.3">
      <c r="B2250">
        <v>120</v>
      </c>
      <c r="C2250">
        <v>34</v>
      </c>
      <c r="D2250">
        <v>58.989199999999997</v>
      </c>
      <c r="R2250" s="73">
        <f>IF(D2250&gt;D2249,(U2250-U2249)/1/(D2250-D2249),0)</f>
        <v>1.5579655759031293E-6</v>
      </c>
      <c r="S2250" s="74">
        <f t="shared" si="163"/>
        <v>1.5598118471960629E-6</v>
      </c>
      <c r="U2250" s="99">
        <f>0*0.117188%+1*(U2249+U2251)/2</f>
        <v>1.196105E-3</v>
      </c>
      <c r="W2250" s="88">
        <f>100%-U2250</f>
        <v>0.998803895</v>
      </c>
    </row>
    <row r="2251" spans="2:24" x14ac:dyDescent="0.3">
      <c r="B2251">
        <v>120</v>
      </c>
      <c r="C2251">
        <v>34</v>
      </c>
      <c r="D2251">
        <v>66.971299999999999</v>
      </c>
      <c r="R2251" s="73">
        <f t="shared" si="160"/>
        <v>1.5603663196401913E-6</v>
      </c>
      <c r="S2251" s="74">
        <f t="shared" si="163"/>
        <v>1.5622349166351532E-6</v>
      </c>
      <c r="U2251" s="86">
        <v>1.20856E-3</v>
      </c>
      <c r="W2251" s="88">
        <f t="shared" si="162"/>
        <v>0.99879143999999997</v>
      </c>
    </row>
    <row r="2252" spans="2:24" x14ac:dyDescent="0.3">
      <c r="B2252">
        <v>120</v>
      </c>
      <c r="C2252">
        <v>34</v>
      </c>
      <c r="D2252">
        <v>77.957899999999995</v>
      </c>
      <c r="R2252" s="73">
        <f t="shared" si="160"/>
        <v>4.505488504177903E-7</v>
      </c>
      <c r="S2252" s="74">
        <f t="shared" si="163"/>
        <v>4.5109402461217558E-7</v>
      </c>
      <c r="U2252" s="86">
        <v>1.2135100000000001E-3</v>
      </c>
      <c r="W2252" s="88">
        <f t="shared" si="162"/>
        <v>0.99878648999999997</v>
      </c>
    </row>
    <row r="2253" spans="2:24" x14ac:dyDescent="0.3">
      <c r="B2253">
        <v>120</v>
      </c>
      <c r="C2253">
        <v>34</v>
      </c>
      <c r="D2253">
        <v>86.947800000000001</v>
      </c>
      <c r="R2253" s="73">
        <f t="shared" si="160"/>
        <v>5.254785926428525E-6</v>
      </c>
      <c r="S2253" s="74">
        <f t="shared" si="163"/>
        <v>5.2611704093319533E-6</v>
      </c>
      <c r="U2253" s="86">
        <v>1.2607499999999999E-3</v>
      </c>
      <c r="W2253" s="88">
        <f t="shared" si="162"/>
        <v>0.99873924999999997</v>
      </c>
    </row>
    <row r="2254" spans="2:24" x14ac:dyDescent="0.3">
      <c r="B2254">
        <v>120</v>
      </c>
      <c r="C2254">
        <v>34</v>
      </c>
      <c r="D2254">
        <v>97.95</v>
      </c>
      <c r="R2254" s="73">
        <f t="shared" si="160"/>
        <v>6.2033047935867316E-6</v>
      </c>
      <c r="S2254" s="74">
        <f t="shared" si="163"/>
        <v>6.2111354826464779E-6</v>
      </c>
      <c r="U2254" s="86">
        <v>1.3289999999999999E-3</v>
      </c>
      <c r="W2254" s="88">
        <f t="shared" si="162"/>
        <v>0.99867099999999998</v>
      </c>
    </row>
    <row r="2255" spans="2:24" x14ac:dyDescent="0.3">
      <c r="B2255">
        <v>121</v>
      </c>
      <c r="C2255">
        <v>34</v>
      </c>
      <c r="D2255">
        <v>0</v>
      </c>
      <c r="R2255" s="73">
        <f t="shared" si="160"/>
        <v>0</v>
      </c>
      <c r="S2255" s="74">
        <f t="shared" si="163"/>
        <v>0</v>
      </c>
      <c r="U2255" s="87">
        <v>0</v>
      </c>
      <c r="W2255" s="88">
        <f t="shared" si="162"/>
        <v>1</v>
      </c>
    </row>
    <row r="2256" spans="2:24" x14ac:dyDescent="0.3">
      <c r="B2256">
        <v>121</v>
      </c>
      <c r="C2256">
        <v>34</v>
      </c>
      <c r="D2256">
        <v>7.0213000000000001</v>
      </c>
      <c r="R2256" s="73">
        <f t="shared" si="160"/>
        <v>4.2720009115121131E-5</v>
      </c>
      <c r="S2256" s="74">
        <f t="shared" si="161"/>
        <v>4.2720009115121131E-5</v>
      </c>
      <c r="U2256" s="86">
        <v>2.9995E-4</v>
      </c>
      <c r="W2256" s="88">
        <f t="shared" si="162"/>
        <v>0.99970004999999995</v>
      </c>
    </row>
    <row r="2257" spans="2:23" x14ac:dyDescent="0.3">
      <c r="B2257">
        <v>121</v>
      </c>
      <c r="C2257">
        <v>34</v>
      </c>
      <c r="D2257">
        <v>13.9533</v>
      </c>
      <c r="R2257" s="73">
        <f t="shared" ref="R2257:R2267" si="164">IF(D2257&gt;D2256,(U2257-U2256)/1/(D2257-D2256),0)</f>
        <v>1.1563762261973459E-5</v>
      </c>
      <c r="S2257" s="74">
        <f t="shared" ref="S2257:S2267" si="165">IF(D2257&gt;D2256,(U2257-U2256)/W2256/(D2257-D2256),0)</f>
        <v>1.1567231853167817E-5</v>
      </c>
      <c r="U2257" s="86">
        <v>3.8011000000000002E-4</v>
      </c>
      <c r="W2257" s="88">
        <f t="shared" si="162"/>
        <v>0.99961988999999996</v>
      </c>
    </row>
    <row r="2258" spans="2:23" x14ac:dyDescent="0.3">
      <c r="B2258">
        <v>121</v>
      </c>
      <c r="C2258">
        <v>34</v>
      </c>
      <c r="D2258">
        <v>20.999500000000001</v>
      </c>
      <c r="R2258" s="73">
        <f t="shared" si="164"/>
        <v>9.4958984984814487E-6</v>
      </c>
      <c r="S2258" s="74">
        <f t="shared" si="165"/>
        <v>9.4995093569831324E-6</v>
      </c>
      <c r="U2258" s="86">
        <v>4.4702000000000001E-4</v>
      </c>
      <c r="W2258" s="88">
        <f t="shared" si="162"/>
        <v>0.99955298000000004</v>
      </c>
    </row>
    <row r="2259" spans="2:23" x14ac:dyDescent="0.3">
      <c r="B2259">
        <v>121</v>
      </c>
      <c r="C2259">
        <v>34</v>
      </c>
      <c r="D2259">
        <v>27.9682</v>
      </c>
      <c r="R2259" s="73">
        <f t="shared" si="164"/>
        <v>1.6772138275431573E-5</v>
      </c>
      <c r="S2259" s="74">
        <f t="shared" si="165"/>
        <v>1.6779639109706394E-5</v>
      </c>
      <c r="U2259" s="86">
        <v>5.6389999999999999E-4</v>
      </c>
      <c r="W2259" s="88">
        <f t="shared" si="162"/>
        <v>0.99943610000000005</v>
      </c>
    </row>
    <row r="2260" spans="2:23" x14ac:dyDescent="0.3">
      <c r="B2260">
        <v>121</v>
      </c>
      <c r="C2260">
        <v>34</v>
      </c>
      <c r="D2260">
        <v>35.970199999999998</v>
      </c>
      <c r="R2260" s="73">
        <f t="shared" si="164"/>
        <v>1.9681329667583098E-5</v>
      </c>
      <c r="S2260" s="74">
        <f t="shared" si="165"/>
        <v>1.9692434231246098E-5</v>
      </c>
      <c r="U2260" s="86">
        <v>7.2138999999999992E-4</v>
      </c>
      <c r="W2260" s="88">
        <f t="shared" si="162"/>
        <v>0.99927860999999996</v>
      </c>
    </row>
    <row r="2261" spans="2:23" x14ac:dyDescent="0.3">
      <c r="B2261">
        <v>121</v>
      </c>
      <c r="C2261">
        <v>34</v>
      </c>
      <c r="D2261">
        <v>41.973399999999998</v>
      </c>
      <c r="R2261" s="73">
        <f t="shared" si="164"/>
        <v>1.4075826226012819E-6</v>
      </c>
      <c r="S2261" s="74">
        <f t="shared" si="165"/>
        <v>1.4085987716691764E-6</v>
      </c>
      <c r="U2261" s="86">
        <v>7.2983999999999994E-4</v>
      </c>
      <c r="W2261" s="88">
        <f t="shared" si="162"/>
        <v>0.99927016000000002</v>
      </c>
    </row>
    <row r="2262" spans="2:23" x14ac:dyDescent="0.3">
      <c r="B2262">
        <v>121</v>
      </c>
      <c r="C2262">
        <v>34</v>
      </c>
      <c r="D2262">
        <v>50.994799999999998</v>
      </c>
      <c r="R2262" s="73">
        <f t="shared" si="164"/>
        <v>9.8997938235750665E-6</v>
      </c>
      <c r="S2262" s="74">
        <f t="shared" si="165"/>
        <v>9.9070243662385226E-6</v>
      </c>
      <c r="U2262" s="86">
        <v>8.1915000000000004E-4</v>
      </c>
      <c r="W2262" s="88">
        <f t="shared" si="162"/>
        <v>0.99918085000000001</v>
      </c>
    </row>
    <row r="2263" spans="2:23" x14ac:dyDescent="0.3">
      <c r="B2263">
        <v>121</v>
      </c>
      <c r="C2263">
        <v>34</v>
      </c>
      <c r="D2263">
        <v>58.989199999999997</v>
      </c>
      <c r="R2263" s="73">
        <f t="shared" si="164"/>
        <v>2.7056439507655255E-6</v>
      </c>
      <c r="S2263" s="74">
        <f t="shared" si="165"/>
        <v>2.707862096001465E-6</v>
      </c>
      <c r="U2263" s="99">
        <f>0*0.11719%+1*(U2262+U2264)/2</f>
        <v>8.4077999999999996E-4</v>
      </c>
      <c r="W2263" s="88">
        <f t="shared" si="162"/>
        <v>0.99915922000000001</v>
      </c>
    </row>
    <row r="2264" spans="2:23" x14ac:dyDescent="0.3">
      <c r="B2264">
        <v>121</v>
      </c>
      <c r="C2264">
        <v>34</v>
      </c>
      <c r="D2264">
        <v>66.975800000000007</v>
      </c>
      <c r="R2264" s="73">
        <f t="shared" si="164"/>
        <v>2.7082863796859732E-6</v>
      </c>
      <c r="S2264" s="74">
        <f t="shared" si="165"/>
        <v>2.7105653688367839E-6</v>
      </c>
      <c r="U2264" s="86">
        <v>8.6240999999999998E-4</v>
      </c>
      <c r="W2264" s="88">
        <f t="shared" si="162"/>
        <v>0.99913759000000002</v>
      </c>
    </row>
    <row r="2265" spans="2:23" x14ac:dyDescent="0.3">
      <c r="B2265">
        <v>121</v>
      </c>
      <c r="C2265">
        <v>34</v>
      </c>
      <c r="D2265">
        <v>78.019199999999998</v>
      </c>
      <c r="R2265" s="73">
        <f t="shared" si="164"/>
        <v>2.6432077077711605E-6</v>
      </c>
      <c r="S2265" s="74">
        <f t="shared" si="165"/>
        <v>2.6454892041156815E-6</v>
      </c>
      <c r="U2265" s="86">
        <v>8.9159999999999999E-4</v>
      </c>
      <c r="W2265" s="88">
        <f t="shared" si="162"/>
        <v>0.99910840000000001</v>
      </c>
    </row>
    <row r="2266" spans="2:23" x14ac:dyDescent="0.3">
      <c r="B2266">
        <v>121</v>
      </c>
      <c r="C2266">
        <v>34</v>
      </c>
      <c r="D2266">
        <v>86.991399999999999</v>
      </c>
      <c r="R2266" s="73">
        <f t="shared" si="164"/>
        <v>2.7328860257239012E-6</v>
      </c>
      <c r="S2266" s="74">
        <f t="shared" si="165"/>
        <v>2.7353248413524509E-6</v>
      </c>
      <c r="U2266" s="86">
        <v>9.1611999999999998E-4</v>
      </c>
      <c r="W2266" s="88">
        <f t="shared" si="162"/>
        <v>0.99908388000000004</v>
      </c>
    </row>
    <row r="2267" spans="2:23" x14ac:dyDescent="0.3">
      <c r="B2267">
        <v>121</v>
      </c>
      <c r="C2267">
        <v>34</v>
      </c>
      <c r="D2267">
        <v>97.961399999999998</v>
      </c>
      <c r="R2267" s="73">
        <f t="shared" si="164"/>
        <v>5.3354603463992709E-6</v>
      </c>
      <c r="S2267" s="74">
        <f t="shared" si="165"/>
        <v>5.3403527503609314E-6</v>
      </c>
      <c r="U2267" s="86">
        <v>9.7464999999999997E-4</v>
      </c>
      <c r="W2267" s="88">
        <f t="shared" si="162"/>
        <v>0.99902535000000003</v>
      </c>
    </row>
    <row r="2268" spans="2:23" x14ac:dyDescent="0.3">
      <c r="B2268">
        <v>168</v>
      </c>
      <c r="C2268">
        <v>32</v>
      </c>
      <c r="D2268">
        <v>0</v>
      </c>
      <c r="R2268" s="73">
        <f t="shared" ref="R2268:R2324" si="166">IF(D2268&gt;D2267,(U2268-U2267)/1/(D2268-D2267),0)</f>
        <v>0</v>
      </c>
      <c r="S2268" s="74">
        <f t="shared" si="161"/>
        <v>0</v>
      </c>
      <c r="U2268" s="86">
        <f>100%-W2268</f>
        <v>0</v>
      </c>
      <c r="W2268" s="88">
        <v>1</v>
      </c>
    </row>
    <row r="2269" spans="2:23" x14ac:dyDescent="0.3">
      <c r="B2269">
        <v>168</v>
      </c>
      <c r="C2269">
        <v>32</v>
      </c>
      <c r="D2269">
        <v>0.23</v>
      </c>
      <c r="R2269" s="73">
        <f t="shared" si="166"/>
        <v>1.3478260869566628E-4</v>
      </c>
      <c r="S2269" s="74">
        <f t="shared" si="161"/>
        <v>1.3478260869566628E-4</v>
      </c>
      <c r="U2269" s="86">
        <f t="shared" ref="U2269:U2332" si="167">100%-W2269</f>
        <v>3.1000000000003247E-5</v>
      </c>
      <c r="W2269" s="85">
        <v>0.999969</v>
      </c>
    </row>
    <row r="2270" spans="2:23" x14ac:dyDescent="0.3">
      <c r="B2270">
        <v>168</v>
      </c>
      <c r="C2270">
        <v>32</v>
      </c>
      <c r="D2270">
        <v>0.246</v>
      </c>
      <c r="R2270" s="73">
        <f t="shared" si="166"/>
        <v>1.000000000001001E-3</v>
      </c>
      <c r="S2270" s="74">
        <f t="shared" si="161"/>
        <v>1.0000310009620308E-3</v>
      </c>
      <c r="U2270" s="86">
        <f t="shared" si="167"/>
        <v>4.7000000000019249E-5</v>
      </c>
      <c r="W2270" s="85">
        <v>0.99995299999999998</v>
      </c>
    </row>
    <row r="2271" spans="2:23" x14ac:dyDescent="0.3">
      <c r="B2271">
        <v>168</v>
      </c>
      <c r="C2271">
        <v>32</v>
      </c>
      <c r="D2271">
        <v>2.008</v>
      </c>
      <c r="R2271" s="73">
        <f t="shared" si="166"/>
        <v>9.2111237230422312E-4</v>
      </c>
      <c r="S2271" s="74">
        <f t="shared" si="161"/>
        <v>9.2115566662055422E-4</v>
      </c>
      <c r="U2271" s="86">
        <f t="shared" si="167"/>
        <v>1.6700000000000603E-3</v>
      </c>
      <c r="W2271" s="85">
        <v>0.99832999999999994</v>
      </c>
    </row>
    <row r="2272" spans="2:23" x14ac:dyDescent="0.3">
      <c r="B2272">
        <v>168</v>
      </c>
      <c r="C2272">
        <v>32</v>
      </c>
      <c r="D2272">
        <v>4.1120000000000001</v>
      </c>
      <c r="R2272" s="73">
        <f t="shared" si="166"/>
        <v>7.3574144486686442E-4</v>
      </c>
      <c r="S2272" s="74">
        <f t="shared" si="161"/>
        <v>7.369721884215284E-4</v>
      </c>
      <c r="U2272" s="86">
        <f t="shared" si="167"/>
        <v>3.2179999999999431E-3</v>
      </c>
      <c r="W2272" s="85">
        <v>0.99678200000000006</v>
      </c>
    </row>
    <row r="2273" spans="2:23" x14ac:dyDescent="0.3">
      <c r="B2273">
        <v>168</v>
      </c>
      <c r="C2273">
        <v>32</v>
      </c>
      <c r="D2273">
        <v>5.5330000000000004</v>
      </c>
      <c r="R2273" s="73">
        <f t="shared" si="166"/>
        <v>9.6622097114712762E-4</v>
      </c>
      <c r="S2273" s="74">
        <f t="shared" si="161"/>
        <v>9.6934030825910537E-4</v>
      </c>
      <c r="U2273" s="86">
        <f t="shared" si="167"/>
        <v>4.5910000000000117E-3</v>
      </c>
      <c r="W2273" s="85">
        <v>0.99540899999999999</v>
      </c>
    </row>
    <row r="2274" spans="2:23" x14ac:dyDescent="0.3">
      <c r="B2274">
        <v>168</v>
      </c>
      <c r="C2274">
        <v>32</v>
      </c>
      <c r="D2274">
        <v>5.6920000000000002</v>
      </c>
      <c r="R2274" s="73">
        <f t="shared" si="166"/>
        <v>9.4968553459057485E-4</v>
      </c>
      <c r="S2274" s="74">
        <f t="shared" si="161"/>
        <v>9.5406564998967746E-4</v>
      </c>
      <c r="U2274" s="86">
        <f t="shared" si="167"/>
        <v>4.741999999999913E-3</v>
      </c>
      <c r="W2274" s="85">
        <v>0.99525800000000009</v>
      </c>
    </row>
    <row r="2275" spans="2:23" x14ac:dyDescent="0.3">
      <c r="B2275">
        <v>168</v>
      </c>
      <c r="C2275">
        <v>32</v>
      </c>
      <c r="D2275">
        <v>7.3529999999999998</v>
      </c>
      <c r="R2275" s="73">
        <f t="shared" si="166"/>
        <v>8.4105960264906261E-4</v>
      </c>
      <c r="S2275" s="74">
        <f t="shared" si="161"/>
        <v>8.4506690993597889E-4</v>
      </c>
      <c r="U2275" s="86">
        <f t="shared" si="167"/>
        <v>6.1390000000000056E-3</v>
      </c>
      <c r="W2275" s="85">
        <v>0.99386099999999999</v>
      </c>
    </row>
    <row r="2276" spans="2:23" x14ac:dyDescent="0.3">
      <c r="B2276">
        <v>168</v>
      </c>
      <c r="C2276">
        <v>32</v>
      </c>
      <c r="D2276">
        <v>9.2859999999999996</v>
      </c>
      <c r="R2276" s="73">
        <f t="shared" si="166"/>
        <v>7.6202793585103867E-4</v>
      </c>
      <c r="S2276" s="74">
        <f t="shared" si="161"/>
        <v>7.6673492153433802E-4</v>
      </c>
      <c r="U2276" s="86">
        <f t="shared" si="167"/>
        <v>7.6120000000000632E-3</v>
      </c>
      <c r="W2276" s="85">
        <v>0.99238799999999994</v>
      </c>
    </row>
    <row r="2277" spans="2:23" x14ac:dyDescent="0.3">
      <c r="B2277">
        <v>168</v>
      </c>
      <c r="C2277">
        <v>32</v>
      </c>
      <c r="D2277">
        <v>10.935</v>
      </c>
      <c r="R2277" s="73">
        <f t="shared" si="166"/>
        <v>9.5391146149177361E-4</v>
      </c>
      <c r="S2277" s="74">
        <f t="shared" si="161"/>
        <v>9.6122833155154398E-4</v>
      </c>
      <c r="U2277" s="86">
        <f t="shared" si="167"/>
        <v>9.1849999999999987E-3</v>
      </c>
      <c r="W2277" s="85">
        <v>0.990815</v>
      </c>
    </row>
    <row r="2278" spans="2:23" x14ac:dyDescent="0.3">
      <c r="B2278">
        <v>168</v>
      </c>
      <c r="C2278">
        <v>32</v>
      </c>
      <c r="D2278">
        <v>11.016999999999999</v>
      </c>
      <c r="R2278" s="73">
        <f t="shared" si="166"/>
        <v>9.1463414634205121E-4</v>
      </c>
      <c r="S2278" s="74">
        <f t="shared" si="161"/>
        <v>9.2311293868386243E-4</v>
      </c>
      <c r="U2278" s="86">
        <f t="shared" si="167"/>
        <v>9.260000000000046E-3</v>
      </c>
      <c r="W2278" s="85">
        <v>0.99073999999999995</v>
      </c>
    </row>
    <row r="2279" spans="2:23" x14ac:dyDescent="0.3">
      <c r="B2279">
        <v>168</v>
      </c>
      <c r="C2279">
        <v>32</v>
      </c>
      <c r="D2279">
        <v>12.925000000000001</v>
      </c>
      <c r="R2279" s="73">
        <f t="shared" si="166"/>
        <v>7.8459119496853747E-4</v>
      </c>
      <c r="S2279" s="74">
        <f t="shared" si="161"/>
        <v>7.9192441505191835E-4</v>
      </c>
      <c r="U2279" s="86">
        <f t="shared" si="167"/>
        <v>1.0757000000000017E-2</v>
      </c>
      <c r="W2279" s="85">
        <v>0.98924299999999998</v>
      </c>
    </row>
    <row r="2280" spans="2:23" x14ac:dyDescent="0.3">
      <c r="B2280">
        <v>168</v>
      </c>
      <c r="C2280">
        <v>32</v>
      </c>
      <c r="D2280">
        <v>15.028</v>
      </c>
      <c r="R2280" s="73">
        <f t="shared" si="166"/>
        <v>6.885401806942487E-4</v>
      </c>
      <c r="S2280" s="74">
        <f t="shared" si="161"/>
        <v>6.9602734686446976E-4</v>
      </c>
      <c r="U2280" s="86">
        <f t="shared" si="167"/>
        <v>1.2205000000000021E-2</v>
      </c>
      <c r="W2280" s="85">
        <v>0.98779499999999998</v>
      </c>
    </row>
    <row r="2281" spans="2:23" x14ac:dyDescent="0.3">
      <c r="B2281">
        <v>168</v>
      </c>
      <c r="C2281">
        <v>32</v>
      </c>
      <c r="D2281">
        <v>16.117999999999999</v>
      </c>
      <c r="R2281" s="73">
        <f t="shared" si="166"/>
        <v>8.7614678899086316E-4</v>
      </c>
      <c r="S2281" s="74">
        <f t="shared" si="161"/>
        <v>8.869722857382991E-4</v>
      </c>
      <c r="U2281" s="86">
        <f t="shared" si="167"/>
        <v>1.3160000000000061E-2</v>
      </c>
      <c r="W2281" s="85">
        <v>0.98683999999999994</v>
      </c>
    </row>
    <row r="2282" spans="2:23" x14ac:dyDescent="0.3">
      <c r="B2282">
        <v>168</v>
      </c>
      <c r="C2282">
        <v>32</v>
      </c>
      <c r="D2282">
        <v>17.018000000000001</v>
      </c>
      <c r="R2282" s="73">
        <f t="shared" si="166"/>
        <v>8.8111111111115756E-4</v>
      </c>
      <c r="S2282" s="74">
        <f t="shared" ref="S2282:S2345" si="168">IF(D2282&gt;D2281,(U2282-U2281)/W2281/(D2282-D2281),0)</f>
        <v>8.9286116402978964E-4</v>
      </c>
      <c r="U2282" s="86">
        <f t="shared" si="167"/>
        <v>1.3953000000000104E-2</v>
      </c>
      <c r="W2282" s="85">
        <v>0.9860469999999999</v>
      </c>
    </row>
    <row r="2283" spans="2:23" x14ac:dyDescent="0.3">
      <c r="B2283">
        <v>168</v>
      </c>
      <c r="C2283">
        <v>32</v>
      </c>
      <c r="D2283">
        <v>19.634</v>
      </c>
      <c r="R2283" s="73">
        <f t="shared" si="166"/>
        <v>7.4426605504584141E-4</v>
      </c>
      <c r="S2283" s="74">
        <f t="shared" si="168"/>
        <v>7.5479774802402074E-4</v>
      </c>
      <c r="U2283" s="86">
        <f t="shared" si="167"/>
        <v>1.5900000000000025E-2</v>
      </c>
      <c r="W2283" s="85">
        <v>0.98409999999999997</v>
      </c>
    </row>
    <row r="2284" spans="2:23" x14ac:dyDescent="0.3">
      <c r="B2284">
        <v>168</v>
      </c>
      <c r="C2284">
        <v>32</v>
      </c>
      <c r="D2284">
        <v>21.76</v>
      </c>
      <c r="R2284" s="73">
        <f t="shared" si="166"/>
        <v>7.1213546566322415E-4</v>
      </c>
      <c r="S2284" s="74">
        <f t="shared" si="168"/>
        <v>7.2364136334033549E-4</v>
      </c>
      <c r="U2284" s="86">
        <f t="shared" si="167"/>
        <v>1.7414000000000041E-2</v>
      </c>
      <c r="W2284" s="85">
        <v>0.98258599999999996</v>
      </c>
    </row>
    <row r="2285" spans="2:23" x14ac:dyDescent="0.3">
      <c r="B2285">
        <v>168</v>
      </c>
      <c r="C2285">
        <v>32</v>
      </c>
      <c r="D2285">
        <v>21.908000000000001</v>
      </c>
      <c r="R2285" s="73">
        <f t="shared" si="166"/>
        <v>7.36486486486662E-4</v>
      </c>
      <c r="S2285" s="74">
        <f t="shared" si="168"/>
        <v>7.4953895789952435E-4</v>
      </c>
      <c r="U2285" s="86">
        <f t="shared" si="167"/>
        <v>1.7523000000000066E-2</v>
      </c>
      <c r="W2285" s="85">
        <v>0.98247699999999993</v>
      </c>
    </row>
    <row r="2286" spans="2:23" x14ac:dyDescent="0.3">
      <c r="B2286">
        <v>168</v>
      </c>
      <c r="C2286">
        <v>32</v>
      </c>
      <c r="D2286">
        <v>24.637</v>
      </c>
      <c r="R2286" s="73">
        <f t="shared" si="166"/>
        <v>6.9549285452541031E-4</v>
      </c>
      <c r="S2286" s="74">
        <f t="shared" si="168"/>
        <v>7.0789733960735003E-4</v>
      </c>
      <c r="U2286" s="86">
        <f t="shared" si="167"/>
        <v>1.9420999999999911E-2</v>
      </c>
      <c r="W2286" s="85">
        <v>0.98057900000000009</v>
      </c>
    </row>
    <row r="2287" spans="2:23" x14ac:dyDescent="0.3">
      <c r="B2287">
        <v>168</v>
      </c>
      <c r="C2287">
        <v>32</v>
      </c>
      <c r="D2287">
        <v>27.265999999999998</v>
      </c>
      <c r="R2287" s="73">
        <f t="shared" si="166"/>
        <v>5.3214149866871068E-4</v>
      </c>
      <c r="S2287" s="74">
        <f t="shared" si="168"/>
        <v>5.4268090451530231E-4</v>
      </c>
      <c r="U2287" s="86">
        <f t="shared" si="167"/>
        <v>2.081999999999995E-2</v>
      </c>
      <c r="W2287" s="85">
        <v>0.97918000000000005</v>
      </c>
    </row>
    <row r="2288" spans="2:23" x14ac:dyDescent="0.3">
      <c r="B2288">
        <v>168</v>
      </c>
      <c r="C2288">
        <v>32</v>
      </c>
      <c r="D2288">
        <v>27.422999999999998</v>
      </c>
      <c r="R2288" s="73">
        <f t="shared" si="166"/>
        <v>6.3057324840738987E-4</v>
      </c>
      <c r="S2288" s="74">
        <f t="shared" si="168"/>
        <v>6.4398093139911956E-4</v>
      </c>
      <c r="U2288" s="86">
        <f t="shared" si="167"/>
        <v>2.091899999999991E-2</v>
      </c>
      <c r="W2288" s="85">
        <v>0.97908100000000009</v>
      </c>
    </row>
    <row r="2289" spans="2:23" x14ac:dyDescent="0.3">
      <c r="B2289">
        <v>168</v>
      </c>
      <c r="C2289">
        <v>32</v>
      </c>
      <c r="D2289">
        <v>30.039000000000001</v>
      </c>
      <c r="R2289" s="73">
        <f t="shared" si="166"/>
        <v>7.5382262996945043E-4</v>
      </c>
      <c r="S2289" s="74">
        <f t="shared" si="168"/>
        <v>7.6992876990713784E-4</v>
      </c>
      <c r="U2289" s="86">
        <f t="shared" si="167"/>
        <v>2.2890999999999995E-2</v>
      </c>
      <c r="W2289" s="85">
        <v>0.97710900000000001</v>
      </c>
    </row>
    <row r="2290" spans="2:23" x14ac:dyDescent="0.3">
      <c r="B2290">
        <v>168</v>
      </c>
      <c r="C2290">
        <v>32</v>
      </c>
      <c r="D2290">
        <v>32.322000000000003</v>
      </c>
      <c r="R2290" s="73">
        <f t="shared" si="166"/>
        <v>6.0446780551902586E-4</v>
      </c>
      <c r="S2290" s="74">
        <f t="shared" si="168"/>
        <v>6.1862883825553332E-4</v>
      </c>
      <c r="U2290" s="86">
        <f t="shared" si="167"/>
        <v>2.4270999999999932E-2</v>
      </c>
      <c r="W2290" s="85">
        <v>0.97572900000000007</v>
      </c>
    </row>
    <row r="2291" spans="2:23" x14ac:dyDescent="0.3">
      <c r="B2291">
        <v>168</v>
      </c>
      <c r="C2291">
        <v>32</v>
      </c>
      <c r="D2291">
        <v>32.654000000000003</v>
      </c>
      <c r="R2291" s="73">
        <f t="shared" si="166"/>
        <v>6.5662650602424995E-4</v>
      </c>
      <c r="S2291" s="74">
        <f t="shared" si="168"/>
        <v>6.7295991614910492E-4</v>
      </c>
      <c r="U2291" s="86">
        <f t="shared" si="167"/>
        <v>2.4488999999999983E-2</v>
      </c>
      <c r="W2291" s="85">
        <v>0.97551100000000002</v>
      </c>
    </row>
    <row r="2292" spans="2:23" x14ac:dyDescent="0.3">
      <c r="B2292">
        <v>168</v>
      </c>
      <c r="C2292">
        <v>32</v>
      </c>
      <c r="D2292">
        <v>35.042000000000002</v>
      </c>
      <c r="R2292" s="73">
        <f t="shared" si="166"/>
        <v>8.6767169179227991E-4</v>
      </c>
      <c r="S2292" s="74">
        <f t="shared" si="168"/>
        <v>8.8945351901954957E-4</v>
      </c>
      <c r="U2292" s="86">
        <f t="shared" si="167"/>
        <v>2.6560999999999946E-2</v>
      </c>
      <c r="W2292" s="85">
        <v>0.97343900000000005</v>
      </c>
    </row>
    <row r="2293" spans="2:23" x14ac:dyDescent="0.3">
      <c r="B2293">
        <v>168</v>
      </c>
      <c r="C2293">
        <v>32</v>
      </c>
      <c r="D2293">
        <v>37.372999999999998</v>
      </c>
      <c r="R2293" s="73">
        <f t="shared" si="166"/>
        <v>9.6396396396396516E-4</v>
      </c>
      <c r="S2293" s="74">
        <f t="shared" si="168"/>
        <v>9.9026643062787218E-4</v>
      </c>
      <c r="U2293" s="86">
        <f t="shared" si="167"/>
        <v>2.8807999999999945E-2</v>
      </c>
      <c r="W2293" s="85">
        <v>0.97119200000000006</v>
      </c>
    </row>
    <row r="2294" spans="2:23" x14ac:dyDescent="0.3">
      <c r="B2294">
        <v>168</v>
      </c>
      <c r="C2294">
        <v>32</v>
      </c>
      <c r="D2294">
        <v>37.872999999999998</v>
      </c>
      <c r="R2294" s="73">
        <f t="shared" si="166"/>
        <v>7.8200000000006042E-4</v>
      </c>
      <c r="S2294" s="74">
        <f t="shared" si="168"/>
        <v>8.0519608892995454E-4</v>
      </c>
      <c r="U2294" s="86">
        <f t="shared" si="167"/>
        <v>2.9198999999999975E-2</v>
      </c>
      <c r="W2294" s="85">
        <v>0.97080100000000003</v>
      </c>
    </row>
    <row r="2295" spans="2:23" x14ac:dyDescent="0.3">
      <c r="B2295">
        <v>168</v>
      </c>
      <c r="C2295">
        <v>32</v>
      </c>
      <c r="D2295">
        <v>39.648000000000003</v>
      </c>
      <c r="R2295" s="73">
        <f t="shared" si="166"/>
        <v>6.3774647887324977E-4</v>
      </c>
      <c r="S2295" s="74">
        <f t="shared" si="168"/>
        <v>6.5692812314083909E-4</v>
      </c>
      <c r="U2295" s="86">
        <f t="shared" si="167"/>
        <v>3.0330999999999997E-2</v>
      </c>
      <c r="W2295" s="85">
        <v>0.969669</v>
      </c>
    </row>
    <row r="2296" spans="2:23" x14ac:dyDescent="0.3">
      <c r="B2296">
        <v>168</v>
      </c>
      <c r="C2296">
        <v>32</v>
      </c>
      <c r="D2296">
        <v>42.377000000000002</v>
      </c>
      <c r="R2296" s="73">
        <f t="shared" si="166"/>
        <v>5.5807988274094995E-4</v>
      </c>
      <c r="S2296" s="74">
        <f t="shared" si="168"/>
        <v>5.7553647970694124E-4</v>
      </c>
      <c r="U2296" s="86">
        <f t="shared" si="167"/>
        <v>3.1854000000000049E-2</v>
      </c>
      <c r="W2296" s="85">
        <v>0.96814599999999995</v>
      </c>
    </row>
    <row r="2297" spans="2:23" x14ac:dyDescent="0.3">
      <c r="B2297">
        <v>168</v>
      </c>
      <c r="C2297">
        <v>32</v>
      </c>
      <c r="D2297">
        <v>43.47</v>
      </c>
      <c r="R2297" s="73">
        <f t="shared" si="166"/>
        <v>4.9039341262578466E-4</v>
      </c>
      <c r="S2297" s="74">
        <f t="shared" si="168"/>
        <v>5.0652836723571104E-4</v>
      </c>
      <c r="U2297" s="86">
        <f t="shared" si="167"/>
        <v>3.239000000000003E-2</v>
      </c>
      <c r="W2297" s="85">
        <v>0.96760999999999997</v>
      </c>
    </row>
    <row r="2298" spans="2:23" x14ac:dyDescent="0.3">
      <c r="B2298">
        <v>168</v>
      </c>
      <c r="C2298">
        <v>32</v>
      </c>
      <c r="D2298">
        <v>45.618000000000002</v>
      </c>
      <c r="R2298" s="73">
        <f t="shared" si="166"/>
        <v>5.4050279329602186E-4</v>
      </c>
      <c r="S2298" s="74">
        <f t="shared" si="168"/>
        <v>5.585957082874524E-4</v>
      </c>
      <c r="U2298" s="86">
        <f t="shared" si="167"/>
        <v>3.3550999999999886E-2</v>
      </c>
      <c r="W2298" s="85">
        <v>0.96644900000000011</v>
      </c>
    </row>
    <row r="2299" spans="2:23" x14ac:dyDescent="0.3">
      <c r="B2299">
        <v>168</v>
      </c>
      <c r="C2299">
        <v>32</v>
      </c>
      <c r="D2299">
        <v>47.607999999999997</v>
      </c>
      <c r="R2299" s="73">
        <f t="shared" si="166"/>
        <v>8.2814070351769299E-4</v>
      </c>
      <c r="S2299" s="74">
        <f t="shared" si="168"/>
        <v>8.5689022754195296E-4</v>
      </c>
      <c r="U2299" s="86">
        <f t="shared" si="167"/>
        <v>3.5199000000000091E-2</v>
      </c>
      <c r="W2299" s="85">
        <v>0.96480099999999991</v>
      </c>
    </row>
    <row r="2300" spans="2:23" x14ac:dyDescent="0.3">
      <c r="B2300">
        <v>168</v>
      </c>
      <c r="C2300">
        <v>32</v>
      </c>
      <c r="D2300">
        <v>48.524000000000001</v>
      </c>
      <c r="R2300" s="73">
        <f t="shared" si="166"/>
        <v>5.8406113537112433E-4</v>
      </c>
      <c r="S2300" s="74">
        <f t="shared" si="168"/>
        <v>6.0536953772967104E-4</v>
      </c>
      <c r="U2300" s="86">
        <f t="shared" si="167"/>
        <v>3.5734000000000044E-2</v>
      </c>
      <c r="W2300" s="85">
        <v>0.96426599999999996</v>
      </c>
    </row>
    <row r="2301" spans="2:23" x14ac:dyDescent="0.3">
      <c r="B2301">
        <v>168</v>
      </c>
      <c r="C2301">
        <v>32</v>
      </c>
      <c r="D2301">
        <v>50.622</v>
      </c>
      <c r="R2301" s="73">
        <f t="shared" si="166"/>
        <v>5.0667302192560805E-4</v>
      </c>
      <c r="S2301" s="74">
        <f t="shared" si="168"/>
        <v>5.2544943192605362E-4</v>
      </c>
      <c r="U2301" s="86">
        <f t="shared" si="167"/>
        <v>3.6796999999999969E-2</v>
      </c>
      <c r="W2301" s="85">
        <v>0.96320300000000003</v>
      </c>
    </row>
    <row r="2302" spans="2:23" x14ac:dyDescent="0.3">
      <c r="B2302">
        <v>168</v>
      </c>
      <c r="C2302">
        <v>32</v>
      </c>
      <c r="D2302">
        <v>53.237000000000002</v>
      </c>
      <c r="R2302" s="73">
        <f t="shared" si="166"/>
        <v>6.2065009560230964E-4</v>
      </c>
      <c r="S2302" s="74">
        <f t="shared" si="168"/>
        <v>6.443606338459387E-4</v>
      </c>
      <c r="U2302" s="86">
        <f t="shared" si="167"/>
        <v>3.842000000000001E-2</v>
      </c>
      <c r="W2302" s="85">
        <v>0.96157999999999999</v>
      </c>
    </row>
    <row r="2303" spans="2:23" x14ac:dyDescent="0.3">
      <c r="B2303">
        <v>168</v>
      </c>
      <c r="C2303">
        <v>32</v>
      </c>
      <c r="D2303">
        <v>54.113</v>
      </c>
      <c r="R2303" s="73">
        <f t="shared" si="166"/>
        <v>6.0502283105013798E-4</v>
      </c>
      <c r="S2303" s="74">
        <f t="shared" si="168"/>
        <v>6.2919656300062187E-4</v>
      </c>
      <c r="U2303" s="86">
        <f t="shared" si="167"/>
        <v>3.8949999999999929E-2</v>
      </c>
      <c r="W2303" s="85">
        <v>0.96105000000000007</v>
      </c>
    </row>
    <row r="2304" spans="2:23" x14ac:dyDescent="0.3">
      <c r="B2304">
        <v>168</v>
      </c>
      <c r="C2304">
        <v>32</v>
      </c>
      <c r="D2304">
        <v>56.279000000000003</v>
      </c>
      <c r="R2304" s="73">
        <f t="shared" si="166"/>
        <v>5.6140350877192642E-4</v>
      </c>
      <c r="S2304" s="74">
        <f t="shared" si="168"/>
        <v>5.8415640057429515E-4</v>
      </c>
      <c r="U2304" s="86">
        <f t="shared" si="167"/>
        <v>4.0165999999999924E-2</v>
      </c>
      <c r="W2304" s="85">
        <v>0.95983400000000008</v>
      </c>
    </row>
    <row r="2305" spans="2:23" x14ac:dyDescent="0.3">
      <c r="B2305">
        <v>168</v>
      </c>
      <c r="C2305">
        <v>32</v>
      </c>
      <c r="D2305">
        <v>59.414999999999999</v>
      </c>
      <c r="R2305" s="73">
        <f t="shared" si="166"/>
        <v>5.4559948979596032E-4</v>
      </c>
      <c r="S2305" s="74">
        <f t="shared" si="168"/>
        <v>5.6843109308063716E-4</v>
      </c>
      <c r="U2305" s="86">
        <f t="shared" si="167"/>
        <v>4.1877000000000053E-2</v>
      </c>
      <c r="W2305" s="85">
        <v>0.95812299999999995</v>
      </c>
    </row>
    <row r="2306" spans="2:23" x14ac:dyDescent="0.3">
      <c r="B2306">
        <v>168</v>
      </c>
      <c r="C2306">
        <v>32</v>
      </c>
      <c r="D2306">
        <v>59.438000000000002</v>
      </c>
      <c r="R2306" s="73">
        <f t="shared" si="166"/>
        <v>5.6521739130121313E-4</v>
      </c>
      <c r="S2306" s="74">
        <f t="shared" si="168"/>
        <v>5.8992153544087055E-4</v>
      </c>
      <c r="U2306" s="86">
        <f t="shared" si="167"/>
        <v>4.1889999999999983E-2</v>
      </c>
      <c r="W2306" s="85">
        <v>0.95811000000000002</v>
      </c>
    </row>
    <row r="2307" spans="2:23" x14ac:dyDescent="0.3">
      <c r="B2307">
        <v>168</v>
      </c>
      <c r="C2307">
        <v>32</v>
      </c>
      <c r="D2307">
        <v>62.055999999999997</v>
      </c>
      <c r="R2307" s="73">
        <f t="shared" si="166"/>
        <v>5.6760886172650508E-4</v>
      </c>
      <c r="S2307" s="74">
        <f t="shared" si="168"/>
        <v>5.924255688036917E-4</v>
      </c>
      <c r="U2307" s="86">
        <f t="shared" si="167"/>
        <v>4.337599999999997E-2</v>
      </c>
      <c r="W2307" s="85">
        <v>0.95662400000000003</v>
      </c>
    </row>
    <row r="2308" spans="2:23" x14ac:dyDescent="0.3">
      <c r="B2308">
        <v>168</v>
      </c>
      <c r="C2308">
        <v>32</v>
      </c>
      <c r="D2308">
        <v>64.718999999999994</v>
      </c>
      <c r="R2308" s="73">
        <f t="shared" si="166"/>
        <v>4.1682313180625491E-4</v>
      </c>
      <c r="S2308" s="74">
        <f t="shared" si="168"/>
        <v>4.3572305504174563E-4</v>
      </c>
      <c r="U2308" s="86">
        <f t="shared" si="167"/>
        <v>4.4486000000000026E-2</v>
      </c>
      <c r="W2308" s="85">
        <v>0.95551399999999997</v>
      </c>
    </row>
    <row r="2309" spans="2:23" x14ac:dyDescent="0.3">
      <c r="B2309">
        <v>168</v>
      </c>
      <c r="C2309">
        <v>32</v>
      </c>
      <c r="D2309">
        <v>64.861000000000004</v>
      </c>
      <c r="R2309" s="73">
        <f t="shared" si="166"/>
        <v>3.7323943661947862E-4</v>
      </c>
      <c r="S2309" s="74">
        <f t="shared" si="168"/>
        <v>3.906163976869817E-4</v>
      </c>
      <c r="U2309" s="86">
        <f t="shared" si="167"/>
        <v>4.4538999999999995E-2</v>
      </c>
      <c r="W2309" s="85">
        <v>0.955461</v>
      </c>
    </row>
    <row r="2310" spans="2:23" x14ac:dyDescent="0.3">
      <c r="B2310">
        <v>168</v>
      </c>
      <c r="C2310">
        <v>32</v>
      </c>
      <c r="D2310">
        <v>68.284999999999997</v>
      </c>
      <c r="R2310" s="73">
        <f t="shared" si="166"/>
        <v>4.0099299065419412E-4</v>
      </c>
      <c r="S2310" s="74">
        <f t="shared" si="168"/>
        <v>4.196853567588778E-4</v>
      </c>
      <c r="U2310" s="86">
        <f t="shared" si="167"/>
        <v>4.5911999999999953E-2</v>
      </c>
      <c r="W2310" s="85">
        <v>0.95408800000000005</v>
      </c>
    </row>
    <row r="2311" spans="2:23" x14ac:dyDescent="0.3">
      <c r="B2311">
        <v>168</v>
      </c>
      <c r="C2311">
        <v>32</v>
      </c>
      <c r="D2311">
        <v>70.307000000000002</v>
      </c>
      <c r="R2311" s="73">
        <f t="shared" si="166"/>
        <v>4.7972304648863688E-4</v>
      </c>
      <c r="S2311" s="74">
        <f t="shared" si="168"/>
        <v>5.0280796581514159E-4</v>
      </c>
      <c r="U2311" s="86">
        <f t="shared" si="167"/>
        <v>4.6881999999999979E-2</v>
      </c>
      <c r="W2311" s="85">
        <v>0.95311800000000002</v>
      </c>
    </row>
    <row r="2312" spans="2:23" x14ac:dyDescent="0.3">
      <c r="B2312">
        <v>168</v>
      </c>
      <c r="C2312">
        <v>32</v>
      </c>
      <c r="D2312">
        <v>70.902000000000001</v>
      </c>
      <c r="R2312" s="73">
        <f t="shared" si="166"/>
        <v>4.3529411764707516E-4</v>
      </c>
      <c r="S2312" s="74">
        <f t="shared" si="168"/>
        <v>4.5670537923643784E-4</v>
      </c>
      <c r="U2312" s="86">
        <f t="shared" si="167"/>
        <v>4.7140999999999988E-2</v>
      </c>
      <c r="W2312" s="85">
        <v>0.95285900000000001</v>
      </c>
    </row>
    <row r="2313" spans="2:23" x14ac:dyDescent="0.3">
      <c r="B2313">
        <v>168</v>
      </c>
      <c r="C2313">
        <v>32</v>
      </c>
      <c r="D2313">
        <v>74.647999999999996</v>
      </c>
      <c r="R2313" s="73">
        <f t="shared" si="166"/>
        <v>3.860117458622395E-4</v>
      </c>
      <c r="S2313" s="74">
        <f t="shared" si="168"/>
        <v>4.0510898869847427E-4</v>
      </c>
      <c r="U2313" s="86">
        <f t="shared" si="167"/>
        <v>4.8586999999999936E-2</v>
      </c>
      <c r="W2313" s="85">
        <v>0.95141300000000006</v>
      </c>
    </row>
    <row r="2314" spans="2:23" x14ac:dyDescent="0.3">
      <c r="B2314">
        <v>168</v>
      </c>
      <c r="C2314">
        <v>32</v>
      </c>
      <c r="D2314">
        <v>76.039000000000001</v>
      </c>
      <c r="R2314" s="73">
        <f t="shared" si="166"/>
        <v>4.5363048166797754E-4</v>
      </c>
      <c r="S2314" s="74">
        <f t="shared" si="168"/>
        <v>4.7679659797372699E-4</v>
      </c>
      <c r="U2314" s="86">
        <f t="shared" si="167"/>
        <v>4.9218000000000095E-2</v>
      </c>
      <c r="W2314" s="85">
        <v>0.9507819999999999</v>
      </c>
    </row>
    <row r="2315" spans="2:23" x14ac:dyDescent="0.3">
      <c r="B2315">
        <v>168</v>
      </c>
      <c r="C2315">
        <v>32</v>
      </c>
      <c r="D2315">
        <v>78.665000000000006</v>
      </c>
      <c r="R2315" s="73">
        <f t="shared" si="166"/>
        <v>4.3869002284841157E-4</v>
      </c>
      <c r="S2315" s="74">
        <f t="shared" si="168"/>
        <v>4.6139916705239647E-4</v>
      </c>
      <c r="U2315" s="86">
        <f t="shared" si="167"/>
        <v>5.0370000000000026E-2</v>
      </c>
      <c r="W2315" s="85">
        <v>0.94962999999999997</v>
      </c>
    </row>
    <row r="2316" spans="2:23" x14ac:dyDescent="0.3">
      <c r="B2316">
        <v>168</v>
      </c>
      <c r="C2316">
        <v>32</v>
      </c>
      <c r="D2316">
        <v>81.27</v>
      </c>
      <c r="R2316" s="73">
        <f t="shared" si="166"/>
        <v>3.1055662188102218E-4</v>
      </c>
      <c r="S2316" s="74">
        <f t="shared" si="168"/>
        <v>3.2702907646243507E-4</v>
      </c>
      <c r="U2316" s="86">
        <f t="shared" si="167"/>
        <v>5.1179000000000086E-2</v>
      </c>
      <c r="W2316" s="85">
        <v>0.94882099999999991</v>
      </c>
    </row>
    <row r="2317" spans="2:23" x14ac:dyDescent="0.3">
      <c r="B2317">
        <v>168</v>
      </c>
      <c r="C2317">
        <v>32</v>
      </c>
      <c r="D2317">
        <v>82.772999999999996</v>
      </c>
      <c r="R2317" s="73">
        <f t="shared" si="166"/>
        <v>2.920825016632443E-4</v>
      </c>
      <c r="S2317" s="74">
        <f t="shared" si="168"/>
        <v>3.0783730720888798E-4</v>
      </c>
      <c r="U2317" s="86">
        <f t="shared" si="167"/>
        <v>5.1617999999999942E-2</v>
      </c>
      <c r="W2317" s="85">
        <v>0.94838200000000006</v>
      </c>
    </row>
    <row r="2318" spans="2:23" x14ac:dyDescent="0.3">
      <c r="B2318">
        <v>168</v>
      </c>
      <c r="C2318">
        <v>32</v>
      </c>
      <c r="D2318">
        <v>86.384</v>
      </c>
      <c r="R2318" s="73">
        <f t="shared" si="166"/>
        <v>3.566878980891901E-4</v>
      </c>
      <c r="S2318" s="74">
        <f t="shared" si="168"/>
        <v>3.7610150560553666E-4</v>
      </c>
      <c r="U2318" s="86">
        <f t="shared" si="167"/>
        <v>5.2906000000000009E-2</v>
      </c>
      <c r="W2318" s="85">
        <v>0.94709399999999999</v>
      </c>
    </row>
    <row r="2319" spans="2:23" x14ac:dyDescent="0.3">
      <c r="B2319">
        <v>168</v>
      </c>
      <c r="C2319">
        <v>32</v>
      </c>
      <c r="D2319">
        <v>86.429000000000002</v>
      </c>
      <c r="R2319" s="73">
        <f t="shared" si="166"/>
        <v>3.3333333333303728E-4</v>
      </c>
      <c r="S2319" s="74">
        <f t="shared" si="168"/>
        <v>3.5195380113593505E-4</v>
      </c>
      <c r="U2319" s="86">
        <f t="shared" si="167"/>
        <v>5.2920999999999996E-2</v>
      </c>
      <c r="W2319" s="85">
        <v>0.947079</v>
      </c>
    </row>
    <row r="2320" spans="2:23" x14ac:dyDescent="0.3">
      <c r="B2320">
        <v>168</v>
      </c>
      <c r="C2320">
        <v>32</v>
      </c>
      <c r="D2320">
        <v>90.355999999999995</v>
      </c>
      <c r="R2320" s="73">
        <f t="shared" si="166"/>
        <v>2.7374586198116889E-4</v>
      </c>
      <c r="S2320" s="74">
        <f t="shared" si="168"/>
        <v>2.8904226783739147E-4</v>
      </c>
      <c r="U2320" s="86">
        <f t="shared" si="167"/>
        <v>5.3996000000000044E-2</v>
      </c>
      <c r="W2320" s="85">
        <v>0.94600399999999996</v>
      </c>
    </row>
    <row r="2321" spans="2:23" x14ac:dyDescent="0.3">
      <c r="B2321">
        <v>168</v>
      </c>
      <c r="C2321">
        <v>32</v>
      </c>
      <c r="D2321">
        <v>92.161000000000001</v>
      </c>
      <c r="R2321" s="73">
        <f t="shared" si="166"/>
        <v>2.9030470914125593E-4</v>
      </c>
      <c r="S2321" s="74">
        <f t="shared" si="168"/>
        <v>3.0687471632388015E-4</v>
      </c>
      <c r="U2321" s="86">
        <f t="shared" si="167"/>
        <v>5.4520000000000013E-2</v>
      </c>
      <c r="W2321" s="85">
        <v>0.94547999999999999</v>
      </c>
    </row>
    <row r="2322" spans="2:23" x14ac:dyDescent="0.3">
      <c r="B2322">
        <v>168</v>
      </c>
      <c r="C2322">
        <v>32</v>
      </c>
      <c r="D2322">
        <v>93.966999999999999</v>
      </c>
      <c r="R2322" s="73">
        <f t="shared" si="166"/>
        <v>2.9125138427459367E-4</v>
      </c>
      <c r="S2322" s="74">
        <f t="shared" si="168"/>
        <v>3.0804605520433397E-4</v>
      </c>
      <c r="U2322" s="86">
        <f t="shared" si="167"/>
        <v>5.5045999999999928E-2</v>
      </c>
      <c r="W2322" s="85">
        <v>0.94495400000000007</v>
      </c>
    </row>
    <row r="2323" spans="2:23" x14ac:dyDescent="0.3">
      <c r="B2323">
        <v>168</v>
      </c>
      <c r="C2323">
        <v>32</v>
      </c>
      <c r="D2323">
        <v>97.105999999999995</v>
      </c>
      <c r="R2323" s="73">
        <f t="shared" si="166"/>
        <v>2.7301688435811051E-4</v>
      </c>
      <c r="S2323" s="74">
        <f t="shared" si="168"/>
        <v>2.8892081980510213E-4</v>
      </c>
      <c r="U2323" s="86">
        <f t="shared" si="167"/>
        <v>5.5903000000000036E-2</v>
      </c>
      <c r="W2323" s="85">
        <v>0.94409699999999996</v>
      </c>
    </row>
    <row r="2324" spans="2:23" x14ac:dyDescent="0.3">
      <c r="B2324">
        <v>168</v>
      </c>
      <c r="C2324">
        <v>32</v>
      </c>
      <c r="D2324">
        <v>99.382999999999996</v>
      </c>
      <c r="R2324" s="73">
        <f t="shared" si="166"/>
        <v>2.8502415458932776E-4</v>
      </c>
      <c r="S2324" s="74">
        <f t="shared" si="168"/>
        <v>3.0190134550721776E-4</v>
      </c>
      <c r="U2324" s="86">
        <f t="shared" si="167"/>
        <v>5.6551999999999936E-2</v>
      </c>
      <c r="W2324" s="85">
        <v>0.94344800000000006</v>
      </c>
    </row>
    <row r="2325" spans="2:23" x14ac:dyDescent="0.3">
      <c r="B2325">
        <v>168</v>
      </c>
      <c r="C2325">
        <v>32</v>
      </c>
      <c r="D2325">
        <v>102.91</v>
      </c>
      <c r="R2325" s="73">
        <f t="shared" ref="R2325:R2388" si="169">IF(D2325&gt;D2324,(U2325-U2324)/1/(D2325-D2324),0)</f>
        <v>3.2917493620642993E-4</v>
      </c>
      <c r="S2325" s="74">
        <f t="shared" si="168"/>
        <v>3.4890628440192769E-4</v>
      </c>
      <c r="U2325" s="86">
        <f t="shared" si="167"/>
        <v>5.7713000000000014E-2</v>
      </c>
      <c r="W2325" s="85">
        <v>0.94228699999999999</v>
      </c>
    </row>
    <row r="2326" spans="2:23" x14ac:dyDescent="0.3">
      <c r="B2326">
        <v>168</v>
      </c>
      <c r="C2326">
        <v>32</v>
      </c>
      <c r="D2326">
        <v>103.82599999999999</v>
      </c>
      <c r="R2326" s="73">
        <f t="shared" si="169"/>
        <v>3.5152838427940456E-4</v>
      </c>
      <c r="S2326" s="74">
        <f t="shared" si="168"/>
        <v>3.7305872232069908E-4</v>
      </c>
      <c r="U2326" s="86">
        <f t="shared" si="167"/>
        <v>5.8034999999999948E-2</v>
      </c>
      <c r="W2326" s="85">
        <v>0.94196500000000005</v>
      </c>
    </row>
    <row r="2327" spans="2:23" x14ac:dyDescent="0.3">
      <c r="B2327">
        <v>168</v>
      </c>
      <c r="C2327">
        <v>32</v>
      </c>
      <c r="D2327">
        <v>107.408</v>
      </c>
      <c r="R2327" s="73">
        <f t="shared" si="169"/>
        <v>3.4226689000559958E-4</v>
      </c>
      <c r="S2327" s="74">
        <f t="shared" si="168"/>
        <v>3.6335414798384185E-4</v>
      </c>
      <c r="U2327" s="86">
        <f t="shared" si="167"/>
        <v>5.9261000000000008E-2</v>
      </c>
      <c r="W2327" s="85">
        <v>0.94073899999999999</v>
      </c>
    </row>
    <row r="2328" spans="2:23" x14ac:dyDescent="0.3">
      <c r="B2328">
        <v>168</v>
      </c>
      <c r="C2328">
        <v>32</v>
      </c>
      <c r="D2328">
        <v>108.14100000000001</v>
      </c>
      <c r="R2328" s="73">
        <f t="shared" si="169"/>
        <v>3.4788540245566686E-4</v>
      </c>
      <c r="S2328" s="74">
        <f t="shared" si="168"/>
        <v>3.6980012783106349E-4</v>
      </c>
      <c r="U2328" s="86">
        <f t="shared" si="167"/>
        <v>5.9516000000000013E-2</v>
      </c>
      <c r="W2328" s="85">
        <v>0.94048399999999999</v>
      </c>
    </row>
    <row r="2329" spans="2:23" x14ac:dyDescent="0.3">
      <c r="B2329">
        <v>168</v>
      </c>
      <c r="C2329">
        <v>32</v>
      </c>
      <c r="D2329">
        <v>112.137</v>
      </c>
      <c r="R2329" s="73">
        <f t="shared" si="169"/>
        <v>3.5335335335334598E-4</v>
      </c>
      <c r="S2329" s="74">
        <f t="shared" si="168"/>
        <v>3.7571436978549983E-4</v>
      </c>
      <c r="U2329" s="86">
        <f t="shared" si="167"/>
        <v>6.0927999999999982E-2</v>
      </c>
      <c r="W2329" s="85">
        <v>0.93907200000000002</v>
      </c>
    </row>
    <row r="2330" spans="2:23" x14ac:dyDescent="0.3">
      <c r="B2330">
        <v>168</v>
      </c>
      <c r="C2330">
        <v>32</v>
      </c>
      <c r="D2330">
        <v>113.73</v>
      </c>
      <c r="R2330" s="73">
        <f t="shared" si="169"/>
        <v>3.5969868173253824E-4</v>
      </c>
      <c r="S2330" s="74">
        <f t="shared" si="168"/>
        <v>3.8303631854909759E-4</v>
      </c>
      <c r="U2330" s="86">
        <f t="shared" si="167"/>
        <v>6.1500999999999917E-2</v>
      </c>
      <c r="W2330" s="85">
        <v>0.93849900000000008</v>
      </c>
    </row>
    <row r="2331" spans="2:23" x14ac:dyDescent="0.3">
      <c r="B2331">
        <v>168</v>
      </c>
      <c r="C2331">
        <v>32</v>
      </c>
      <c r="D2331">
        <v>115.43300000000001</v>
      </c>
      <c r="R2331" s="73">
        <f t="shared" si="169"/>
        <v>3.4703464474457259E-4</v>
      </c>
      <c r="S2331" s="74">
        <f t="shared" si="168"/>
        <v>3.6977625415112066E-4</v>
      </c>
      <c r="U2331" s="86">
        <f t="shared" si="167"/>
        <v>6.2091999999999925E-2</v>
      </c>
      <c r="W2331" s="85">
        <v>0.93790800000000007</v>
      </c>
    </row>
    <row r="2332" spans="2:23" x14ac:dyDescent="0.3">
      <c r="B2332">
        <v>168</v>
      </c>
      <c r="C2332">
        <v>32</v>
      </c>
      <c r="D2332">
        <v>118.878</v>
      </c>
      <c r="R2332" s="73">
        <f t="shared" si="169"/>
        <v>3.2801161103050149E-4</v>
      </c>
      <c r="S2332" s="74">
        <f t="shared" si="168"/>
        <v>3.4972685064046954E-4</v>
      </c>
      <c r="U2332" s="86">
        <f t="shared" si="167"/>
        <v>6.3222E-2</v>
      </c>
      <c r="W2332" s="85">
        <v>0.936778</v>
      </c>
    </row>
    <row r="2333" spans="2:23" x14ac:dyDescent="0.3">
      <c r="B2333">
        <v>168</v>
      </c>
      <c r="C2333">
        <v>32</v>
      </c>
      <c r="D2333">
        <v>119.732</v>
      </c>
      <c r="R2333" s="73">
        <f t="shared" si="169"/>
        <v>3.3372365339576112E-4</v>
      </c>
      <c r="S2333" s="74">
        <f t="shared" si="168"/>
        <v>3.562462540706134E-4</v>
      </c>
      <c r="U2333" s="86">
        <f t="shared" ref="U2333:U2396" si="170">100%-W2333</f>
        <v>6.350699999999998E-2</v>
      </c>
      <c r="W2333" s="85">
        <v>0.93649300000000002</v>
      </c>
    </row>
    <row r="2334" spans="2:23" x14ac:dyDescent="0.3">
      <c r="B2334">
        <v>168</v>
      </c>
      <c r="C2334">
        <v>32</v>
      </c>
      <c r="D2334">
        <v>124.17400000000001</v>
      </c>
      <c r="R2334" s="73">
        <f t="shared" si="169"/>
        <v>3.39936965330934E-4</v>
      </c>
      <c r="S2334" s="74">
        <f t="shared" si="168"/>
        <v>3.6298932862384876E-4</v>
      </c>
      <c r="U2334" s="86">
        <f t="shared" si="170"/>
        <v>6.5016999999999991E-2</v>
      </c>
      <c r="W2334" s="85">
        <v>0.93498300000000001</v>
      </c>
    </row>
    <row r="2335" spans="2:23" x14ac:dyDescent="0.3">
      <c r="B2335">
        <v>168</v>
      </c>
      <c r="C2335">
        <v>32</v>
      </c>
      <c r="D2335">
        <v>124.395</v>
      </c>
      <c r="R2335" s="73">
        <f t="shared" si="169"/>
        <v>3.2126696832550058E-4</v>
      </c>
      <c r="S2335" s="74">
        <f t="shared" si="168"/>
        <v>3.4360728304739293E-4</v>
      </c>
      <c r="U2335" s="86">
        <f t="shared" si="170"/>
        <v>6.5087999999999924E-2</v>
      </c>
      <c r="W2335" s="85">
        <v>0.93491200000000008</v>
      </c>
    </row>
    <row r="2336" spans="2:23" x14ac:dyDescent="0.3">
      <c r="B2336">
        <v>168</v>
      </c>
      <c r="C2336">
        <v>32</v>
      </c>
      <c r="D2336">
        <v>128.90299999999999</v>
      </c>
      <c r="R2336" s="73">
        <f t="shared" si="169"/>
        <v>3.1921029281279517E-4</v>
      </c>
      <c r="S2336" s="74">
        <f t="shared" si="168"/>
        <v>3.4143351760678559E-4</v>
      </c>
      <c r="U2336" s="86">
        <f t="shared" si="170"/>
        <v>6.6527000000000003E-2</v>
      </c>
      <c r="W2336" s="85">
        <v>0.933473</v>
      </c>
    </row>
    <row r="2337" spans="2:23" x14ac:dyDescent="0.3">
      <c r="B2337">
        <v>168</v>
      </c>
      <c r="C2337">
        <v>32</v>
      </c>
      <c r="D2337">
        <v>129.684</v>
      </c>
      <c r="R2337" s="73">
        <f t="shared" si="169"/>
        <v>3.6107554417399654E-4</v>
      </c>
      <c r="S2337" s="74">
        <f t="shared" si="168"/>
        <v>3.8680877130243353E-4</v>
      </c>
      <c r="U2337" s="86">
        <f t="shared" si="170"/>
        <v>6.6808999999999896E-2</v>
      </c>
      <c r="W2337" s="85">
        <v>0.9331910000000001</v>
      </c>
    </row>
    <row r="2338" spans="2:23" x14ac:dyDescent="0.3">
      <c r="B2338">
        <v>168</v>
      </c>
      <c r="C2338">
        <v>32</v>
      </c>
      <c r="D2338">
        <v>132.62899999999999</v>
      </c>
      <c r="R2338" s="73">
        <f t="shared" si="169"/>
        <v>3.419354838709995E-4</v>
      </c>
      <c r="S2338" s="74">
        <f t="shared" si="168"/>
        <v>3.6641532534175688E-4</v>
      </c>
      <c r="U2338" s="86">
        <f t="shared" si="170"/>
        <v>6.7815999999999987E-2</v>
      </c>
      <c r="W2338" s="85">
        <v>0.93218400000000001</v>
      </c>
    </row>
    <row r="2339" spans="2:23" x14ac:dyDescent="0.3">
      <c r="B2339">
        <v>168</v>
      </c>
      <c r="C2339">
        <v>32</v>
      </c>
      <c r="D2339">
        <v>135.20099999999999</v>
      </c>
      <c r="R2339" s="73">
        <f t="shared" si="169"/>
        <v>2.3172628304822719E-4</v>
      </c>
      <c r="S2339" s="74">
        <f t="shared" si="168"/>
        <v>2.4858427418645587E-4</v>
      </c>
      <c r="U2339" s="86">
        <f t="shared" si="170"/>
        <v>6.8412000000000028E-2</v>
      </c>
      <c r="W2339" s="85">
        <v>0.93158799999999997</v>
      </c>
    </row>
    <row r="2340" spans="2:23" x14ac:dyDescent="0.3">
      <c r="B2340">
        <v>168</v>
      </c>
      <c r="C2340">
        <v>32</v>
      </c>
      <c r="D2340">
        <v>137.64400000000001</v>
      </c>
      <c r="R2340" s="73">
        <f t="shared" si="169"/>
        <v>2.1940237413015895E-4</v>
      </c>
      <c r="S2340" s="74">
        <f t="shared" si="168"/>
        <v>2.3551438418073113E-4</v>
      </c>
      <c r="U2340" s="86">
        <f t="shared" si="170"/>
        <v>6.8948000000000009E-2</v>
      </c>
      <c r="W2340" s="85">
        <v>0.93105199999999999</v>
      </c>
    </row>
    <row r="2341" spans="2:23" x14ac:dyDescent="0.3">
      <c r="B2341">
        <v>168</v>
      </c>
      <c r="C2341">
        <v>32</v>
      </c>
      <c r="D2341">
        <v>140.71799999999999</v>
      </c>
      <c r="R2341" s="73">
        <f t="shared" si="169"/>
        <v>2.7163305139884012E-4</v>
      </c>
      <c r="S2341" s="74">
        <f t="shared" si="168"/>
        <v>2.9174852897457946E-4</v>
      </c>
      <c r="U2341" s="86">
        <f t="shared" si="170"/>
        <v>6.9783000000000039E-2</v>
      </c>
      <c r="W2341" s="85">
        <v>0.93021699999999996</v>
      </c>
    </row>
    <row r="2342" spans="2:23" x14ac:dyDescent="0.3">
      <c r="B2342">
        <v>168</v>
      </c>
      <c r="C2342">
        <v>32</v>
      </c>
      <c r="D2342">
        <v>142.08699999999999</v>
      </c>
      <c r="R2342" s="73">
        <f t="shared" si="169"/>
        <v>3.0898466033597611E-4</v>
      </c>
      <c r="S2342" s="74">
        <f t="shared" si="168"/>
        <v>3.3216406530516652E-4</v>
      </c>
      <c r="U2342" s="86">
        <f t="shared" si="170"/>
        <v>7.0205999999999991E-2</v>
      </c>
      <c r="W2342" s="85">
        <v>0.92979400000000001</v>
      </c>
    </row>
    <row r="2343" spans="2:23" x14ac:dyDescent="0.3">
      <c r="B2343">
        <v>168</v>
      </c>
      <c r="C2343">
        <v>32</v>
      </c>
      <c r="D2343">
        <v>145.74100000000001</v>
      </c>
      <c r="R2343" s="73">
        <f t="shared" si="169"/>
        <v>3.0131362889983883E-4</v>
      </c>
      <c r="S2343" s="74">
        <f t="shared" si="168"/>
        <v>3.2406493147927261E-4</v>
      </c>
      <c r="U2343" s="86">
        <f t="shared" si="170"/>
        <v>7.1307000000000009E-2</v>
      </c>
      <c r="W2343" s="85">
        <v>0.92869299999999999</v>
      </c>
    </row>
    <row r="2344" spans="2:23" x14ac:dyDescent="0.3">
      <c r="B2344">
        <v>168</v>
      </c>
      <c r="C2344">
        <v>32</v>
      </c>
      <c r="D2344">
        <v>146.34899999999999</v>
      </c>
      <c r="R2344" s="73">
        <f t="shared" si="169"/>
        <v>2.6809210526320846E-4</v>
      </c>
      <c r="S2344" s="74">
        <f t="shared" si="168"/>
        <v>2.8867678044650763E-4</v>
      </c>
      <c r="U2344" s="86">
        <f t="shared" si="170"/>
        <v>7.1470000000000034E-2</v>
      </c>
      <c r="W2344" s="85">
        <v>0.92852999999999997</v>
      </c>
    </row>
    <row r="2345" spans="2:23" x14ac:dyDescent="0.3">
      <c r="B2345">
        <v>168</v>
      </c>
      <c r="C2345">
        <v>32</v>
      </c>
      <c r="D2345">
        <v>149.89699999999999</v>
      </c>
      <c r="R2345" s="73">
        <f t="shared" si="169"/>
        <v>2.7311161217584163E-4</v>
      </c>
      <c r="S2345" s="74">
        <f t="shared" si="168"/>
        <v>2.9413332059905622E-4</v>
      </c>
      <c r="U2345" s="86">
        <f t="shared" si="170"/>
        <v>7.243899999999992E-2</v>
      </c>
      <c r="W2345" s="85">
        <v>0.92756100000000008</v>
      </c>
    </row>
    <row r="2346" spans="2:23" x14ac:dyDescent="0.3">
      <c r="B2346">
        <v>168</v>
      </c>
      <c r="C2346">
        <v>32</v>
      </c>
      <c r="D2346">
        <v>151.18299999999999</v>
      </c>
      <c r="R2346" s="73">
        <f t="shared" si="169"/>
        <v>3.623639191291423E-4</v>
      </c>
      <c r="S2346" s="74">
        <f t="shared" ref="S2346:S2409" si="171">IF(D2346&gt;D2345,(U2346-U2345)/W2345/(D2346-D2345),0)</f>
        <v>3.9066316838368826E-4</v>
      </c>
      <c r="U2346" s="86">
        <f t="shared" si="170"/>
        <v>7.2904999999999998E-2</v>
      </c>
      <c r="W2346" s="85">
        <v>0.927095</v>
      </c>
    </row>
    <row r="2347" spans="2:23" x14ac:dyDescent="0.3">
      <c r="B2347">
        <v>168</v>
      </c>
      <c r="C2347">
        <v>32</v>
      </c>
      <c r="D2347">
        <v>152.834</v>
      </c>
      <c r="R2347" s="73">
        <f t="shared" si="169"/>
        <v>3.6583888552388496E-4</v>
      </c>
      <c r="S2347" s="74">
        <f t="shared" si="171"/>
        <v>3.9460776460220907E-4</v>
      </c>
      <c r="U2347" s="86">
        <f t="shared" si="170"/>
        <v>7.3508999999999936E-2</v>
      </c>
      <c r="W2347" s="85">
        <v>0.92649100000000006</v>
      </c>
    </row>
    <row r="2348" spans="2:23" x14ac:dyDescent="0.3">
      <c r="B2348">
        <v>168</v>
      </c>
      <c r="C2348">
        <v>32</v>
      </c>
      <c r="D2348">
        <v>156.58600000000001</v>
      </c>
      <c r="R2348" s="73">
        <f t="shared" si="169"/>
        <v>2.8038379530921143E-4</v>
      </c>
      <c r="S2348" s="74">
        <f t="shared" si="171"/>
        <v>3.0262981001349324E-4</v>
      </c>
      <c r="U2348" s="86">
        <f t="shared" si="170"/>
        <v>7.4561000000000099E-2</v>
      </c>
      <c r="W2348" s="85">
        <v>0.9254389999999999</v>
      </c>
    </row>
    <row r="2349" spans="2:23" x14ac:dyDescent="0.3">
      <c r="B2349">
        <v>168</v>
      </c>
      <c r="C2349">
        <v>32</v>
      </c>
      <c r="D2349">
        <v>156.846</v>
      </c>
      <c r="R2349" s="73">
        <f t="shared" si="169"/>
        <v>3.0769230769219917E-4</v>
      </c>
      <c r="S2349" s="74">
        <f t="shared" si="171"/>
        <v>3.3248253822477681E-4</v>
      </c>
      <c r="U2349" s="86">
        <f t="shared" si="170"/>
        <v>7.4641000000000068E-2</v>
      </c>
      <c r="W2349" s="85">
        <v>0.92535899999999993</v>
      </c>
    </row>
    <row r="2350" spans="2:23" x14ac:dyDescent="0.3">
      <c r="B2350">
        <v>168</v>
      </c>
      <c r="C2350">
        <v>32</v>
      </c>
      <c r="D2350">
        <v>159.78399999999999</v>
      </c>
      <c r="R2350" s="73">
        <f t="shared" si="169"/>
        <v>3.5330156569090421E-4</v>
      </c>
      <c r="S2350" s="74">
        <f t="shared" si="171"/>
        <v>3.8179945911900599E-4</v>
      </c>
      <c r="U2350" s="86">
        <f t="shared" si="170"/>
        <v>7.5678999999999941E-2</v>
      </c>
      <c r="W2350" s="85">
        <v>0.92432100000000006</v>
      </c>
    </row>
    <row r="2351" spans="2:23" x14ac:dyDescent="0.3">
      <c r="B2351">
        <v>168</v>
      </c>
      <c r="C2351">
        <v>32</v>
      </c>
      <c r="D2351">
        <v>162.274</v>
      </c>
      <c r="R2351" s="73">
        <f t="shared" si="169"/>
        <v>2.4819277108433944E-4</v>
      </c>
      <c r="S2351" s="74">
        <f t="shared" si="171"/>
        <v>2.6851361278640149E-4</v>
      </c>
      <c r="U2351" s="86">
        <f t="shared" si="170"/>
        <v>7.6296999999999948E-2</v>
      </c>
      <c r="W2351" s="85">
        <v>0.92370300000000005</v>
      </c>
    </row>
    <row r="2352" spans="2:23" x14ac:dyDescent="0.3">
      <c r="B2352">
        <v>168</v>
      </c>
      <c r="C2352">
        <v>32</v>
      </c>
      <c r="D2352">
        <v>164.65600000000001</v>
      </c>
      <c r="R2352" s="73">
        <f t="shared" si="169"/>
        <v>2.1578505457599218E-4</v>
      </c>
      <c r="S2352" s="74">
        <f t="shared" si="171"/>
        <v>2.3360869735834154E-4</v>
      </c>
      <c r="U2352" s="86">
        <f t="shared" si="170"/>
        <v>7.6810999999999963E-2</v>
      </c>
      <c r="W2352" s="85">
        <v>0.92318900000000004</v>
      </c>
    </row>
    <row r="2353" spans="2:23" x14ac:dyDescent="0.3">
      <c r="B2353">
        <v>48</v>
      </c>
      <c r="C2353">
        <v>32</v>
      </c>
      <c r="D2353">
        <v>0</v>
      </c>
      <c r="R2353" s="73">
        <f t="shared" si="169"/>
        <v>0</v>
      </c>
      <c r="S2353" s="74">
        <f t="shared" si="171"/>
        <v>0</v>
      </c>
      <c r="U2353" s="86">
        <f t="shared" si="170"/>
        <v>0</v>
      </c>
      <c r="W2353" s="87">
        <v>1</v>
      </c>
    </row>
    <row r="2354" spans="2:23" x14ac:dyDescent="0.3">
      <c r="B2354">
        <v>48</v>
      </c>
      <c r="C2354">
        <v>32</v>
      </c>
      <c r="D2354">
        <v>0.23</v>
      </c>
      <c r="R2354" s="73">
        <f t="shared" si="169"/>
        <v>2.5652173913008792E-4</v>
      </c>
      <c r="S2354" s="74">
        <f t="shared" si="171"/>
        <v>2.5652173913008792E-4</v>
      </c>
      <c r="U2354" s="86">
        <f t="shared" si="170"/>
        <v>5.8999999999920227E-5</v>
      </c>
      <c r="W2354" s="85">
        <v>0.99994100000000008</v>
      </c>
    </row>
    <row r="2355" spans="2:23" x14ac:dyDescent="0.3">
      <c r="B2355">
        <v>48</v>
      </c>
      <c r="C2355">
        <v>32</v>
      </c>
      <c r="D2355">
        <v>0.246</v>
      </c>
      <c r="R2355" s="73">
        <f t="shared" si="169"/>
        <v>3.1250000000204752E-4</v>
      </c>
      <c r="S2355" s="74">
        <f t="shared" si="171"/>
        <v>3.1251843858992427E-4</v>
      </c>
      <c r="U2355" s="86">
        <f t="shared" si="170"/>
        <v>6.3999999999952983E-5</v>
      </c>
      <c r="W2355" s="85">
        <v>0.99993600000000005</v>
      </c>
    </row>
    <row r="2356" spans="2:23" x14ac:dyDescent="0.3">
      <c r="B2356">
        <v>48</v>
      </c>
      <c r="C2356">
        <v>32</v>
      </c>
      <c r="D2356">
        <v>2.008</v>
      </c>
      <c r="R2356" s="73">
        <f t="shared" si="169"/>
        <v>3.1725312145288093E-4</v>
      </c>
      <c r="S2356" s="74">
        <f t="shared" si="171"/>
        <v>3.1727342695220587E-4</v>
      </c>
      <c r="U2356" s="86">
        <f t="shared" si="170"/>
        <v>6.2299999999992917E-4</v>
      </c>
      <c r="W2356" s="85">
        <v>0.99937700000000007</v>
      </c>
    </row>
    <row r="2357" spans="2:23" x14ac:dyDescent="0.3">
      <c r="B2357">
        <v>48</v>
      </c>
      <c r="C2357">
        <v>32</v>
      </c>
      <c r="D2357">
        <v>4.1120000000000001</v>
      </c>
      <c r="R2357" s="73">
        <f t="shared" si="169"/>
        <v>3.336501901140591E-4</v>
      </c>
      <c r="S2357" s="74">
        <f t="shared" si="171"/>
        <v>3.3385818376254313E-4</v>
      </c>
      <c r="U2357" s="86">
        <f t="shared" si="170"/>
        <v>1.3249999999999096E-3</v>
      </c>
      <c r="W2357" s="85">
        <v>0.99867500000000009</v>
      </c>
    </row>
    <row r="2358" spans="2:23" x14ac:dyDescent="0.3">
      <c r="B2358">
        <v>48</v>
      </c>
      <c r="C2358">
        <v>32</v>
      </c>
      <c r="D2358">
        <v>5.5330000000000004</v>
      </c>
      <c r="R2358" s="73">
        <f t="shared" si="169"/>
        <v>3.6382828993673512E-4</v>
      </c>
      <c r="S2358" s="74">
        <f t="shared" si="171"/>
        <v>3.6431100201440414E-4</v>
      </c>
      <c r="U2358" s="86">
        <f t="shared" si="170"/>
        <v>1.8420000000000103E-3</v>
      </c>
      <c r="W2358" s="85">
        <v>0.99815799999999999</v>
      </c>
    </row>
    <row r="2359" spans="2:23" x14ac:dyDescent="0.3">
      <c r="B2359">
        <v>48</v>
      </c>
      <c r="C2359">
        <v>32</v>
      </c>
      <c r="D2359">
        <v>5.6920000000000002</v>
      </c>
      <c r="R2359" s="73">
        <f t="shared" si="169"/>
        <v>3.7735849056641556E-4</v>
      </c>
      <c r="S2359" s="74">
        <f t="shared" si="171"/>
        <v>3.7805486763259485E-4</v>
      </c>
      <c r="U2359" s="86">
        <f t="shared" si="170"/>
        <v>1.9020000000000703E-3</v>
      </c>
      <c r="W2359" s="85">
        <v>0.99809799999999993</v>
      </c>
    </row>
    <row r="2360" spans="2:23" x14ac:dyDescent="0.3">
      <c r="B2360">
        <v>48</v>
      </c>
      <c r="C2360">
        <v>32</v>
      </c>
      <c r="D2360">
        <v>7.3529999999999998</v>
      </c>
      <c r="R2360" s="73">
        <f t="shared" si="169"/>
        <v>4.0096327513542719E-4</v>
      </c>
      <c r="S2360" s="74">
        <f t="shared" si="171"/>
        <v>4.0172736057524137E-4</v>
      </c>
      <c r="U2360" s="86">
        <f t="shared" si="170"/>
        <v>2.5680000000000147E-3</v>
      </c>
      <c r="W2360" s="85">
        <v>0.99743199999999999</v>
      </c>
    </row>
    <row r="2361" spans="2:23" x14ac:dyDescent="0.3">
      <c r="B2361">
        <v>48</v>
      </c>
      <c r="C2361">
        <v>32</v>
      </c>
      <c r="D2361">
        <v>9.2859999999999996</v>
      </c>
      <c r="R2361" s="73">
        <f t="shared" si="169"/>
        <v>4.2162441800310929E-4</v>
      </c>
      <c r="S2361" s="74">
        <f t="shared" si="171"/>
        <v>4.2270993712163762E-4</v>
      </c>
      <c r="U2361" s="86">
        <f t="shared" si="170"/>
        <v>3.3830000000000249E-3</v>
      </c>
      <c r="W2361" s="85">
        <v>0.99661699999999998</v>
      </c>
    </row>
    <row r="2362" spans="2:23" x14ac:dyDescent="0.3">
      <c r="B2362">
        <v>48</v>
      </c>
      <c r="C2362">
        <v>32</v>
      </c>
      <c r="D2362">
        <v>10.935</v>
      </c>
      <c r="R2362" s="73">
        <f t="shared" si="169"/>
        <v>4.1540327471197469E-4</v>
      </c>
      <c r="S2362" s="74">
        <f t="shared" si="171"/>
        <v>4.1681335428953622E-4</v>
      </c>
      <c r="U2362" s="86">
        <f t="shared" si="170"/>
        <v>4.0680000000000716E-3</v>
      </c>
      <c r="W2362" s="85">
        <v>0.99593199999999993</v>
      </c>
    </row>
    <row r="2363" spans="2:23" x14ac:dyDescent="0.3">
      <c r="B2363">
        <v>48</v>
      </c>
      <c r="C2363">
        <v>32</v>
      </c>
      <c r="D2363">
        <v>11.016999999999999</v>
      </c>
      <c r="R2363" s="73">
        <f t="shared" si="169"/>
        <v>4.0243902438963602E-4</v>
      </c>
      <c r="S2363" s="74">
        <f t="shared" si="171"/>
        <v>4.0408283335572714E-4</v>
      </c>
      <c r="U2363" s="86">
        <f t="shared" si="170"/>
        <v>4.1010000000000213E-3</v>
      </c>
      <c r="W2363" s="85">
        <v>0.99589899999999998</v>
      </c>
    </row>
    <row r="2364" spans="2:23" x14ac:dyDescent="0.3">
      <c r="B2364">
        <v>48</v>
      </c>
      <c r="C2364">
        <v>32</v>
      </c>
      <c r="D2364">
        <v>12.925000000000001</v>
      </c>
      <c r="R2364" s="73">
        <f t="shared" si="169"/>
        <v>3.8207547169810229E-4</v>
      </c>
      <c r="S2364" s="74">
        <f t="shared" si="171"/>
        <v>3.8364881549042855E-4</v>
      </c>
      <c r="U2364" s="86">
        <f t="shared" si="170"/>
        <v>4.830000000000001E-3</v>
      </c>
      <c r="W2364" s="85">
        <v>0.99517</v>
      </c>
    </row>
    <row r="2365" spans="2:23" x14ac:dyDescent="0.3">
      <c r="B2365">
        <v>48</v>
      </c>
      <c r="C2365">
        <v>32</v>
      </c>
      <c r="D2365">
        <v>15.028</v>
      </c>
      <c r="R2365" s="73">
        <f t="shared" si="169"/>
        <v>3.4427009034715075E-4</v>
      </c>
      <c r="S2365" s="74">
        <f t="shared" si="171"/>
        <v>3.4594098530617957E-4</v>
      </c>
      <c r="U2365" s="86">
        <f t="shared" si="170"/>
        <v>5.5540000000000589E-3</v>
      </c>
      <c r="W2365" s="85">
        <v>0.99444599999999994</v>
      </c>
    </row>
    <row r="2366" spans="2:23" x14ac:dyDescent="0.3">
      <c r="B2366">
        <v>48</v>
      </c>
      <c r="C2366">
        <v>32</v>
      </c>
      <c r="D2366">
        <v>16.117999999999999</v>
      </c>
      <c r="R2366" s="73">
        <f t="shared" si="169"/>
        <v>3.2110091743115784E-4</v>
      </c>
      <c r="S2366" s="74">
        <f t="shared" si="171"/>
        <v>3.2289427221906256E-4</v>
      </c>
      <c r="U2366" s="86">
        <f t="shared" si="170"/>
        <v>5.9040000000000203E-3</v>
      </c>
      <c r="W2366" s="85">
        <v>0.99409599999999998</v>
      </c>
    </row>
    <row r="2367" spans="2:23" x14ac:dyDescent="0.3">
      <c r="B2367">
        <v>48</v>
      </c>
      <c r="C2367">
        <v>32</v>
      </c>
      <c r="D2367">
        <v>17.018000000000001</v>
      </c>
      <c r="R2367" s="73">
        <f t="shared" si="169"/>
        <v>3.122222222221945E-4</v>
      </c>
      <c r="S2367" s="74">
        <f t="shared" si="171"/>
        <v>3.1407653005564303E-4</v>
      </c>
      <c r="U2367" s="86">
        <f t="shared" si="170"/>
        <v>6.1849999999999961E-3</v>
      </c>
      <c r="W2367" s="85">
        <v>0.993815</v>
      </c>
    </row>
    <row r="2368" spans="2:23" x14ac:dyDescent="0.3">
      <c r="B2368">
        <v>48</v>
      </c>
      <c r="C2368">
        <v>32</v>
      </c>
      <c r="D2368">
        <v>19.634</v>
      </c>
      <c r="R2368" s="73">
        <f t="shared" si="169"/>
        <v>2.9969418960244917E-4</v>
      </c>
      <c r="S2368" s="74">
        <f t="shared" si="171"/>
        <v>3.015593340837572E-4</v>
      </c>
      <c r="U2368" s="86">
        <f t="shared" si="170"/>
        <v>6.969000000000003E-3</v>
      </c>
      <c r="W2368" s="85">
        <v>0.993031</v>
      </c>
    </row>
    <row r="2369" spans="2:23" x14ac:dyDescent="0.3">
      <c r="B2369">
        <v>48</v>
      </c>
      <c r="C2369">
        <v>32</v>
      </c>
      <c r="D2369">
        <v>21.76</v>
      </c>
      <c r="R2369" s="73">
        <f t="shared" si="169"/>
        <v>2.9115710253994583E-4</v>
      </c>
      <c r="S2369" s="74">
        <f t="shared" si="171"/>
        <v>2.9320041624072746E-4</v>
      </c>
      <c r="U2369" s="86">
        <f t="shared" si="170"/>
        <v>7.5879999999999281E-3</v>
      </c>
      <c r="W2369" s="85">
        <v>0.99241200000000007</v>
      </c>
    </row>
    <row r="2370" spans="2:23" x14ac:dyDescent="0.3">
      <c r="B2370">
        <v>48</v>
      </c>
      <c r="C2370">
        <v>32</v>
      </c>
      <c r="D2370">
        <v>21.908000000000001</v>
      </c>
      <c r="R2370" s="73">
        <f t="shared" si="169"/>
        <v>2.9054054054064419E-4</v>
      </c>
      <c r="S2370" s="74">
        <f t="shared" si="171"/>
        <v>2.9276201873883445E-4</v>
      </c>
      <c r="U2370" s="86">
        <f t="shared" si="170"/>
        <v>7.6309999999999434E-3</v>
      </c>
      <c r="W2370" s="85">
        <v>0.99236900000000006</v>
      </c>
    </row>
    <row r="2371" spans="2:23" x14ac:dyDescent="0.3">
      <c r="B2371">
        <v>48</v>
      </c>
      <c r="C2371">
        <v>32</v>
      </c>
      <c r="D2371">
        <v>24.637</v>
      </c>
      <c r="R2371" s="73">
        <f t="shared" si="169"/>
        <v>2.9021619640894655E-4</v>
      </c>
      <c r="S2371" s="74">
        <f t="shared" si="171"/>
        <v>2.9244786607496455E-4</v>
      </c>
      <c r="U2371" s="86">
        <f t="shared" si="170"/>
        <v>8.4229999999999583E-3</v>
      </c>
      <c r="W2371" s="85">
        <v>0.99157700000000004</v>
      </c>
    </row>
    <row r="2372" spans="2:23" x14ac:dyDescent="0.3">
      <c r="B2372">
        <v>48</v>
      </c>
      <c r="C2372">
        <v>32</v>
      </c>
      <c r="D2372">
        <v>27.265999999999998</v>
      </c>
      <c r="R2372" s="73">
        <f t="shared" si="169"/>
        <v>2.9288702928876383E-4</v>
      </c>
      <c r="S2372" s="74">
        <f t="shared" si="171"/>
        <v>2.9537497268367844E-4</v>
      </c>
      <c r="U2372" s="86">
        <f t="shared" si="170"/>
        <v>9.1930000000001177E-3</v>
      </c>
      <c r="W2372" s="85">
        <v>0.99080699999999988</v>
      </c>
    </row>
    <row r="2373" spans="2:23" x14ac:dyDescent="0.3">
      <c r="B2373">
        <v>48</v>
      </c>
      <c r="C2373">
        <v>32</v>
      </c>
      <c r="D2373">
        <v>27.422999999999998</v>
      </c>
      <c r="R2373" s="73">
        <f t="shared" si="169"/>
        <v>2.9936305732425615E-4</v>
      </c>
      <c r="S2373" s="74">
        <f t="shared" si="171"/>
        <v>3.0214063619277636E-4</v>
      </c>
      <c r="U2373" s="86">
        <f t="shared" si="170"/>
        <v>9.240000000000026E-3</v>
      </c>
      <c r="W2373" s="85">
        <v>0.99075999999999997</v>
      </c>
    </row>
    <row r="2374" spans="2:23" x14ac:dyDescent="0.3">
      <c r="B2374">
        <v>48</v>
      </c>
      <c r="C2374">
        <v>32</v>
      </c>
      <c r="D2374">
        <v>30.039000000000001</v>
      </c>
      <c r="R2374" s="73">
        <f t="shared" si="169"/>
        <v>3.0428134556575607E-4</v>
      </c>
      <c r="S2374" s="74">
        <f t="shared" si="171"/>
        <v>3.0711912629270065E-4</v>
      </c>
      <c r="U2374" s="86">
        <f t="shared" si="170"/>
        <v>1.0036000000000045E-2</v>
      </c>
      <c r="W2374" s="85">
        <v>0.98996399999999996</v>
      </c>
    </row>
    <row r="2375" spans="2:23" x14ac:dyDescent="0.3">
      <c r="B2375">
        <v>48</v>
      </c>
      <c r="C2375">
        <v>32</v>
      </c>
      <c r="D2375">
        <v>32.322000000000003</v>
      </c>
      <c r="R2375" s="73">
        <f t="shared" si="169"/>
        <v>3.337713534822777E-4</v>
      </c>
      <c r="S2375" s="74">
        <f t="shared" si="171"/>
        <v>3.3715504147855654E-4</v>
      </c>
      <c r="U2375" s="86">
        <f t="shared" si="170"/>
        <v>1.0798000000000085E-2</v>
      </c>
      <c r="W2375" s="85">
        <v>0.98920199999999991</v>
      </c>
    </row>
    <row r="2376" spans="2:23" x14ac:dyDescent="0.3">
      <c r="B2376">
        <v>48</v>
      </c>
      <c r="C2376">
        <v>32</v>
      </c>
      <c r="D2376">
        <v>32.654000000000003</v>
      </c>
      <c r="R2376" s="73">
        <f t="shared" si="169"/>
        <v>3.5542168674684101E-4</v>
      </c>
      <c r="S2376" s="74">
        <f t="shared" si="171"/>
        <v>3.5930142351798828E-4</v>
      </c>
      <c r="U2376" s="86">
        <f t="shared" si="170"/>
        <v>1.0916000000000037E-2</v>
      </c>
      <c r="W2376" s="85">
        <v>0.98908399999999996</v>
      </c>
    </row>
    <row r="2377" spans="2:23" x14ac:dyDescent="0.3">
      <c r="B2377">
        <v>48</v>
      </c>
      <c r="C2377">
        <v>32</v>
      </c>
      <c r="D2377">
        <v>35.042000000000002</v>
      </c>
      <c r="R2377" s="73">
        <f t="shared" si="169"/>
        <v>3.6348408710216941E-4</v>
      </c>
      <c r="S2377" s="74">
        <f t="shared" si="171"/>
        <v>3.6749566983407825E-4</v>
      </c>
      <c r="U2377" s="86">
        <f t="shared" si="170"/>
        <v>1.1784000000000017E-2</v>
      </c>
      <c r="W2377" s="85">
        <v>0.98821599999999998</v>
      </c>
    </row>
    <row r="2378" spans="2:23" x14ac:dyDescent="0.3">
      <c r="B2378">
        <v>48</v>
      </c>
      <c r="C2378">
        <v>32</v>
      </c>
      <c r="D2378">
        <v>37.372999999999998</v>
      </c>
      <c r="R2378" s="73">
        <f t="shared" si="169"/>
        <v>3.43200343200306E-4</v>
      </c>
      <c r="S2378" s="74">
        <f t="shared" si="171"/>
        <v>3.4729284205103542E-4</v>
      </c>
      <c r="U2378" s="86">
        <f t="shared" si="170"/>
        <v>1.2583999999999929E-2</v>
      </c>
      <c r="W2378" s="85">
        <v>0.98741600000000007</v>
      </c>
    </row>
    <row r="2379" spans="2:23" x14ac:dyDescent="0.3">
      <c r="B2379">
        <v>48</v>
      </c>
      <c r="C2379">
        <v>32</v>
      </c>
      <c r="D2379">
        <v>37.872999999999998</v>
      </c>
      <c r="R2379" s="73">
        <f t="shared" si="169"/>
        <v>3.1200000000008998E-4</v>
      </c>
      <c r="S2379" s="74">
        <f t="shared" si="171"/>
        <v>3.1597624506802602E-4</v>
      </c>
      <c r="U2379" s="86">
        <f t="shared" si="170"/>
        <v>1.2739999999999974E-2</v>
      </c>
      <c r="W2379" s="85">
        <v>0.98726000000000003</v>
      </c>
    </row>
    <row r="2380" spans="2:23" x14ac:dyDescent="0.3">
      <c r="B2380">
        <v>48</v>
      </c>
      <c r="C2380">
        <v>32</v>
      </c>
      <c r="D2380">
        <v>39.648000000000003</v>
      </c>
      <c r="R2380" s="73">
        <f t="shared" si="169"/>
        <v>2.8112676056339469E-4</v>
      </c>
      <c r="S2380" s="74">
        <f t="shared" si="171"/>
        <v>2.8475453331786428E-4</v>
      </c>
      <c r="U2380" s="86">
        <f t="shared" si="170"/>
        <v>1.3239000000000001E-2</v>
      </c>
      <c r="W2380" s="85">
        <v>0.986761</v>
      </c>
    </row>
    <row r="2381" spans="2:23" x14ac:dyDescent="0.3">
      <c r="B2381">
        <v>48</v>
      </c>
      <c r="C2381">
        <v>32</v>
      </c>
      <c r="D2381">
        <v>42.377000000000002</v>
      </c>
      <c r="R2381" s="73">
        <f t="shared" si="169"/>
        <v>2.4441187248079311E-4</v>
      </c>
      <c r="S2381" s="74">
        <f t="shared" si="171"/>
        <v>2.4769105434932384E-4</v>
      </c>
      <c r="U2381" s="86">
        <f t="shared" si="170"/>
        <v>1.3906000000000085E-2</v>
      </c>
      <c r="W2381" s="85">
        <v>0.98609399999999992</v>
      </c>
    </row>
    <row r="2382" spans="2:23" x14ac:dyDescent="0.3">
      <c r="B2382">
        <v>48</v>
      </c>
      <c r="C2382">
        <v>32</v>
      </c>
      <c r="D2382">
        <v>43.47</v>
      </c>
      <c r="R2382" s="73">
        <f t="shared" si="169"/>
        <v>2.378774016467775E-4</v>
      </c>
      <c r="S2382" s="74">
        <f t="shared" si="171"/>
        <v>2.4123197346984923E-4</v>
      </c>
      <c r="U2382" s="86">
        <f t="shared" si="170"/>
        <v>1.4166000000000012E-2</v>
      </c>
      <c r="W2382" s="85">
        <v>0.98583399999999999</v>
      </c>
    </row>
    <row r="2383" spans="2:23" x14ac:dyDescent="0.3">
      <c r="B2383">
        <v>48</v>
      </c>
      <c r="C2383">
        <v>32</v>
      </c>
      <c r="D2383">
        <v>45.618000000000002</v>
      </c>
      <c r="R2383" s="73">
        <f t="shared" si="169"/>
        <v>2.4999999999995246E-4</v>
      </c>
      <c r="S2383" s="74">
        <f t="shared" si="171"/>
        <v>2.5359238979377101E-4</v>
      </c>
      <c r="U2383" s="86">
        <f t="shared" si="170"/>
        <v>1.4702999999999911E-2</v>
      </c>
      <c r="W2383" s="85">
        <v>0.98529700000000009</v>
      </c>
    </row>
    <row r="2384" spans="2:23" x14ac:dyDescent="0.3">
      <c r="B2384">
        <v>48</v>
      </c>
      <c r="C2384">
        <v>32</v>
      </c>
      <c r="D2384">
        <v>47.607999999999997</v>
      </c>
      <c r="R2384" s="73">
        <f t="shared" si="169"/>
        <v>2.5628140703518179E-4</v>
      </c>
      <c r="S2384" s="74">
        <f t="shared" si="171"/>
        <v>2.601057417562235E-4</v>
      </c>
      <c r="U2384" s="86">
        <f t="shared" si="170"/>
        <v>1.5212999999999921E-2</v>
      </c>
      <c r="W2384" s="85">
        <v>0.98478700000000008</v>
      </c>
    </row>
    <row r="2385" spans="2:23" x14ac:dyDescent="0.3">
      <c r="B2385">
        <v>48</v>
      </c>
      <c r="C2385">
        <v>32</v>
      </c>
      <c r="D2385">
        <v>48.524000000000001</v>
      </c>
      <c r="R2385" s="73">
        <f t="shared" si="169"/>
        <v>2.5218340611363676E-4</v>
      </c>
      <c r="S2385" s="74">
        <f t="shared" si="171"/>
        <v>2.5607913804064916E-4</v>
      </c>
      <c r="U2385" s="86">
        <f t="shared" si="170"/>
        <v>1.5444000000000013E-2</v>
      </c>
      <c r="W2385" s="85">
        <v>0.98455599999999999</v>
      </c>
    </row>
    <row r="2386" spans="2:23" x14ac:dyDescent="0.3">
      <c r="B2386">
        <v>48</v>
      </c>
      <c r="C2386">
        <v>32</v>
      </c>
      <c r="D2386">
        <v>50.622</v>
      </c>
      <c r="R2386" s="73">
        <f t="shared" si="169"/>
        <v>2.4404194470927941E-4</v>
      </c>
      <c r="S2386" s="74">
        <f t="shared" si="171"/>
        <v>2.4787004975773794E-4</v>
      </c>
      <c r="U2386" s="86">
        <f t="shared" si="170"/>
        <v>1.5956000000000081E-2</v>
      </c>
      <c r="W2386" s="85">
        <v>0.98404399999999992</v>
      </c>
    </row>
    <row r="2387" spans="2:23" x14ac:dyDescent="0.3">
      <c r="B2387">
        <v>48</v>
      </c>
      <c r="C2387">
        <v>32</v>
      </c>
      <c r="D2387">
        <v>53.237000000000002</v>
      </c>
      <c r="R2387" s="73">
        <f t="shared" si="169"/>
        <v>2.4015296367111335E-4</v>
      </c>
      <c r="S2387" s="74">
        <f t="shared" si="171"/>
        <v>2.4404697723995409E-4</v>
      </c>
      <c r="U2387" s="86">
        <f t="shared" si="170"/>
        <v>1.6584000000000043E-2</v>
      </c>
      <c r="W2387" s="85">
        <v>0.98341599999999996</v>
      </c>
    </row>
    <row r="2388" spans="2:23" x14ac:dyDescent="0.3">
      <c r="B2388">
        <v>48</v>
      </c>
      <c r="C2388">
        <v>32</v>
      </c>
      <c r="D2388">
        <v>54.113</v>
      </c>
      <c r="R2388" s="73">
        <f t="shared" si="169"/>
        <v>2.4315068493140215E-4</v>
      </c>
      <c r="S2388" s="74">
        <f t="shared" si="171"/>
        <v>2.4725109712614213E-4</v>
      </c>
      <c r="U2388" s="86">
        <f t="shared" si="170"/>
        <v>1.6796999999999951E-2</v>
      </c>
      <c r="W2388" s="85">
        <v>0.98320300000000005</v>
      </c>
    </row>
    <row r="2389" spans="2:23" x14ac:dyDescent="0.3">
      <c r="B2389">
        <v>48</v>
      </c>
      <c r="C2389">
        <v>32</v>
      </c>
      <c r="D2389">
        <v>56.279000000000003</v>
      </c>
      <c r="R2389" s="73">
        <f t="shared" ref="R2389:R2452" si="172">IF(D2389&gt;D2388,(U2389-U2388)/1/(D2389-D2388),0)</f>
        <v>2.4653739612189913E-4</v>
      </c>
      <c r="S2389" s="74">
        <f t="shared" si="171"/>
        <v>2.5074923095423738E-4</v>
      </c>
      <c r="U2389" s="86">
        <f t="shared" si="170"/>
        <v>1.7330999999999985E-2</v>
      </c>
      <c r="W2389" s="85">
        <v>0.98266900000000001</v>
      </c>
    </row>
    <row r="2390" spans="2:23" x14ac:dyDescent="0.3">
      <c r="B2390">
        <v>48</v>
      </c>
      <c r="C2390">
        <v>32</v>
      </c>
      <c r="D2390">
        <v>59.414999999999999</v>
      </c>
      <c r="R2390" s="73">
        <f t="shared" si="172"/>
        <v>2.3054846938776473E-4</v>
      </c>
      <c r="S2390" s="74">
        <f t="shared" si="171"/>
        <v>2.3461457457980736E-4</v>
      </c>
      <c r="U2390" s="86">
        <f t="shared" si="170"/>
        <v>1.8054000000000014E-2</v>
      </c>
      <c r="W2390" s="85">
        <v>0.98194599999999999</v>
      </c>
    </row>
    <row r="2391" spans="2:23" x14ac:dyDescent="0.3">
      <c r="B2391">
        <v>48</v>
      </c>
      <c r="C2391">
        <v>32</v>
      </c>
      <c r="D2391">
        <v>59.438000000000002</v>
      </c>
      <c r="R2391" s="73">
        <f t="shared" si="172"/>
        <v>2.1739130434439259E-4</v>
      </c>
      <c r="S2391" s="74">
        <f t="shared" si="171"/>
        <v>2.2138824776962542E-4</v>
      </c>
      <c r="U2391" s="86">
        <f t="shared" si="170"/>
        <v>1.8058999999999936E-2</v>
      </c>
      <c r="W2391" s="85">
        <v>0.98194100000000006</v>
      </c>
    </row>
    <row r="2392" spans="2:23" x14ac:dyDescent="0.3">
      <c r="B2392">
        <v>48</v>
      </c>
      <c r="C2392">
        <v>32</v>
      </c>
      <c r="D2392">
        <v>62.055999999999997</v>
      </c>
      <c r="R2392" s="73">
        <f t="shared" si="172"/>
        <v>1.8831168831171796E-4</v>
      </c>
      <c r="S2392" s="74">
        <f t="shared" si="171"/>
        <v>1.9177495217301036E-4</v>
      </c>
      <c r="U2392" s="86">
        <f t="shared" si="170"/>
        <v>1.8552000000000013E-2</v>
      </c>
      <c r="W2392" s="85">
        <v>0.98144799999999999</v>
      </c>
    </row>
    <row r="2393" spans="2:23" x14ac:dyDescent="0.3">
      <c r="B2393">
        <v>48</v>
      </c>
      <c r="C2393">
        <v>32</v>
      </c>
      <c r="D2393">
        <v>64.718999999999994</v>
      </c>
      <c r="R2393" s="73">
        <f t="shared" si="172"/>
        <v>1.5959444235824605E-4</v>
      </c>
      <c r="S2393" s="74">
        <f t="shared" si="171"/>
        <v>1.6261120544159858E-4</v>
      </c>
      <c r="U2393" s="86">
        <f t="shared" si="170"/>
        <v>1.8977000000000022E-2</v>
      </c>
      <c r="W2393" s="85">
        <v>0.98102299999999998</v>
      </c>
    </row>
    <row r="2394" spans="2:23" x14ac:dyDescent="0.3">
      <c r="B2394">
        <v>48</v>
      </c>
      <c r="C2394">
        <v>32</v>
      </c>
      <c r="D2394">
        <v>64.861000000000004</v>
      </c>
      <c r="R2394" s="73">
        <f t="shared" si="172"/>
        <v>1.4788732394321294E-4</v>
      </c>
      <c r="S2394" s="74">
        <f t="shared" si="171"/>
        <v>1.5074807006891066E-4</v>
      </c>
      <c r="U2394" s="86">
        <f t="shared" si="170"/>
        <v>1.8997999999999959E-2</v>
      </c>
      <c r="W2394" s="85">
        <v>0.98100200000000004</v>
      </c>
    </row>
    <row r="2395" spans="2:23" x14ac:dyDescent="0.3">
      <c r="B2395">
        <v>48</v>
      </c>
      <c r="C2395">
        <v>32</v>
      </c>
      <c r="D2395">
        <v>68.284999999999997</v>
      </c>
      <c r="R2395" s="73">
        <f t="shared" si="172"/>
        <v>1.4106308411215312E-4</v>
      </c>
      <c r="S2395" s="74">
        <f t="shared" si="171"/>
        <v>1.4379489961503962E-4</v>
      </c>
      <c r="U2395" s="86">
        <f t="shared" si="170"/>
        <v>1.9480999999999971E-2</v>
      </c>
      <c r="W2395" s="85">
        <v>0.98051900000000003</v>
      </c>
    </row>
    <row r="2396" spans="2:23" x14ac:dyDescent="0.3">
      <c r="B2396">
        <v>48</v>
      </c>
      <c r="C2396">
        <v>32</v>
      </c>
      <c r="D2396">
        <v>70.307000000000002</v>
      </c>
      <c r="R2396" s="73">
        <f t="shared" si="172"/>
        <v>1.3402571711178065E-4</v>
      </c>
      <c r="S2396" s="74">
        <f t="shared" si="171"/>
        <v>1.3668854668984554E-4</v>
      </c>
      <c r="U2396" s="86">
        <f t="shared" si="170"/>
        <v>1.9751999999999992E-2</v>
      </c>
      <c r="W2396" s="85">
        <v>0.98024800000000001</v>
      </c>
    </row>
    <row r="2397" spans="2:23" x14ac:dyDescent="0.3">
      <c r="B2397">
        <v>48</v>
      </c>
      <c r="C2397">
        <v>32</v>
      </c>
      <c r="D2397">
        <v>70.902000000000001</v>
      </c>
      <c r="R2397" s="73">
        <f t="shared" si="172"/>
        <v>1.3445378151255317E-4</v>
      </c>
      <c r="S2397" s="74">
        <f t="shared" si="171"/>
        <v>1.371630255940876E-4</v>
      </c>
      <c r="U2397" s="86">
        <f t="shared" ref="U2397:U2437" si="173">100%-W2397</f>
        <v>1.9831999999999961E-2</v>
      </c>
      <c r="W2397" s="85">
        <v>0.98016800000000004</v>
      </c>
    </row>
    <row r="2398" spans="2:23" x14ac:dyDescent="0.3">
      <c r="B2398">
        <v>48</v>
      </c>
      <c r="C2398">
        <v>32</v>
      </c>
      <c r="D2398">
        <v>74.647999999999996</v>
      </c>
      <c r="R2398" s="73">
        <f t="shared" si="172"/>
        <v>1.3908168713296993E-4</v>
      </c>
      <c r="S2398" s="74">
        <f t="shared" si="171"/>
        <v>1.4189576392309271E-4</v>
      </c>
      <c r="U2398" s="86">
        <f t="shared" si="173"/>
        <v>2.0353000000000065E-2</v>
      </c>
      <c r="W2398" s="85">
        <v>0.97964699999999993</v>
      </c>
    </row>
    <row r="2399" spans="2:23" x14ac:dyDescent="0.3">
      <c r="B2399">
        <v>48</v>
      </c>
      <c r="C2399">
        <v>32</v>
      </c>
      <c r="D2399">
        <v>76.039000000000001</v>
      </c>
      <c r="R2399" s="73">
        <f t="shared" si="172"/>
        <v>1.5600287562897978E-4</v>
      </c>
      <c r="S2399" s="74">
        <f t="shared" si="171"/>
        <v>1.5924396811196255E-4</v>
      </c>
      <c r="U2399" s="86">
        <f t="shared" si="173"/>
        <v>2.0569999999999977E-2</v>
      </c>
      <c r="W2399" s="85">
        <v>0.97943000000000002</v>
      </c>
    </row>
    <row r="2400" spans="2:23" x14ac:dyDescent="0.3">
      <c r="B2400">
        <v>48</v>
      </c>
      <c r="C2400">
        <v>32</v>
      </c>
      <c r="D2400">
        <v>78.665000000000006</v>
      </c>
      <c r="R2400" s="73">
        <f t="shared" si="172"/>
        <v>1.7136329017519445E-4</v>
      </c>
      <c r="S2400" s="74">
        <f t="shared" si="171"/>
        <v>1.7496226394453349E-4</v>
      </c>
      <c r="U2400" s="86">
        <f t="shared" si="173"/>
        <v>2.1020000000000039E-2</v>
      </c>
      <c r="W2400" s="85">
        <v>0.97897999999999996</v>
      </c>
    </row>
    <row r="2401" spans="2:23" x14ac:dyDescent="0.3">
      <c r="B2401">
        <v>48</v>
      </c>
      <c r="C2401">
        <v>32</v>
      </c>
      <c r="D2401">
        <v>81.27</v>
      </c>
      <c r="R2401" s="73">
        <f t="shared" si="172"/>
        <v>1.5316698656431469E-4</v>
      </c>
      <c r="S2401" s="74">
        <f t="shared" si="171"/>
        <v>1.5645568506436771E-4</v>
      </c>
      <c r="U2401" s="86">
        <f t="shared" si="173"/>
        <v>2.1419000000000077E-2</v>
      </c>
      <c r="W2401" s="85">
        <v>0.97858099999999992</v>
      </c>
    </row>
    <row r="2402" spans="2:23" x14ac:dyDescent="0.3">
      <c r="B2402">
        <v>48</v>
      </c>
      <c r="C2402">
        <v>32</v>
      </c>
      <c r="D2402">
        <v>82.772999999999996</v>
      </c>
      <c r="R2402" s="73">
        <f t="shared" si="172"/>
        <v>1.0578842315363221E-4</v>
      </c>
      <c r="S2402" s="74">
        <f t="shared" si="171"/>
        <v>1.081039006005964E-4</v>
      </c>
      <c r="U2402" s="86">
        <f t="shared" si="173"/>
        <v>2.1577999999999986E-2</v>
      </c>
      <c r="W2402" s="85">
        <v>0.97842200000000001</v>
      </c>
    </row>
    <row r="2403" spans="2:23" x14ac:dyDescent="0.3">
      <c r="B2403">
        <v>48</v>
      </c>
      <c r="C2403">
        <v>32</v>
      </c>
      <c r="D2403">
        <v>86.384</v>
      </c>
      <c r="R2403" s="73">
        <f t="shared" si="172"/>
        <v>9.3602880088604007E-5</v>
      </c>
      <c r="S2403" s="74">
        <f t="shared" si="171"/>
        <v>9.5667186641964298E-5</v>
      </c>
      <c r="U2403" s="86">
        <f t="shared" si="173"/>
        <v>2.1915999999999936E-2</v>
      </c>
      <c r="W2403" s="85">
        <v>0.97808400000000006</v>
      </c>
    </row>
    <row r="2404" spans="2:23" x14ac:dyDescent="0.3">
      <c r="B2404">
        <v>48</v>
      </c>
      <c r="C2404">
        <v>32</v>
      </c>
      <c r="D2404">
        <v>86.429000000000002</v>
      </c>
      <c r="R2404" s="73">
        <f t="shared" si="172"/>
        <v>1.3333333333469521E-4</v>
      </c>
      <c r="S2404" s="74">
        <f t="shared" si="171"/>
        <v>1.3632094312420527E-4</v>
      </c>
      <c r="U2404" s="86">
        <f t="shared" si="173"/>
        <v>2.1921999999999997E-2</v>
      </c>
      <c r="W2404" s="85">
        <v>0.978078</v>
      </c>
    </row>
    <row r="2405" spans="2:23" x14ac:dyDescent="0.3">
      <c r="B2405">
        <v>48</v>
      </c>
      <c r="C2405">
        <v>32</v>
      </c>
      <c r="D2405">
        <v>90.355999999999995</v>
      </c>
      <c r="R2405" s="73">
        <f t="shared" si="172"/>
        <v>1.4260249554367353E-4</v>
      </c>
      <c r="S2405" s="74">
        <f t="shared" si="171"/>
        <v>1.4579869452505174E-4</v>
      </c>
      <c r="U2405" s="86">
        <f t="shared" si="173"/>
        <v>2.2482000000000002E-2</v>
      </c>
      <c r="W2405" s="85">
        <v>0.977518</v>
      </c>
    </row>
    <row r="2406" spans="2:23" x14ac:dyDescent="0.3">
      <c r="B2406">
        <v>48</v>
      </c>
      <c r="C2406">
        <v>32</v>
      </c>
      <c r="D2406">
        <v>92.161000000000001</v>
      </c>
      <c r="R2406" s="73">
        <f t="shared" si="172"/>
        <v>1.4238227146811676E-4</v>
      </c>
      <c r="S2406" s="74">
        <f t="shared" si="171"/>
        <v>1.4565693058144887E-4</v>
      </c>
      <c r="U2406" s="86">
        <f t="shared" si="173"/>
        <v>2.2738999999999954E-2</v>
      </c>
      <c r="W2406" s="85">
        <v>0.97726100000000005</v>
      </c>
    </row>
    <row r="2407" spans="2:23" x14ac:dyDescent="0.3">
      <c r="B2407">
        <v>48</v>
      </c>
      <c r="C2407">
        <v>32</v>
      </c>
      <c r="D2407">
        <v>93.966999999999999</v>
      </c>
      <c r="R2407" s="73">
        <f t="shared" si="172"/>
        <v>1.1184939091917816E-4</v>
      </c>
      <c r="S2407" s="74">
        <f t="shared" si="171"/>
        <v>1.1445191296816119E-4</v>
      </c>
      <c r="U2407" s="86">
        <f t="shared" si="173"/>
        <v>2.2940999999999989E-2</v>
      </c>
      <c r="W2407" s="85">
        <v>0.97705900000000001</v>
      </c>
    </row>
    <row r="2408" spans="2:23" x14ac:dyDescent="0.3">
      <c r="B2408">
        <v>48</v>
      </c>
      <c r="C2408">
        <v>32</v>
      </c>
      <c r="D2408">
        <v>97.105999999999995</v>
      </c>
      <c r="R2408" s="73">
        <f t="shared" si="172"/>
        <v>7.5820324944237265E-5</v>
      </c>
      <c r="S2408" s="74">
        <f t="shared" si="171"/>
        <v>7.7600559376902792E-5</v>
      </c>
      <c r="U2408" s="86">
        <f t="shared" si="173"/>
        <v>2.317899999999995E-2</v>
      </c>
      <c r="W2408" s="85">
        <v>0.97682100000000005</v>
      </c>
    </row>
    <row r="2409" spans="2:23" x14ac:dyDescent="0.3">
      <c r="B2409">
        <v>48</v>
      </c>
      <c r="C2409">
        <v>32</v>
      </c>
      <c r="D2409">
        <v>99.382999999999996</v>
      </c>
      <c r="R2409" s="73">
        <f t="shared" si="172"/>
        <v>6.9828722002643906E-5</v>
      </c>
      <c r="S2409" s="74">
        <f t="shared" si="171"/>
        <v>7.1485688782943751E-5</v>
      </c>
      <c r="U2409" s="86">
        <f t="shared" si="173"/>
        <v>2.333799999999997E-2</v>
      </c>
      <c r="W2409" s="85">
        <v>0.97666200000000003</v>
      </c>
    </row>
    <row r="2410" spans="2:23" x14ac:dyDescent="0.3">
      <c r="B2410">
        <v>48</v>
      </c>
      <c r="C2410">
        <v>32</v>
      </c>
      <c r="D2410">
        <v>102.91</v>
      </c>
      <c r="R2410" s="73">
        <f t="shared" si="172"/>
        <v>7.9671108590895001E-5</v>
      </c>
      <c r="S2410" s="74">
        <f t="shared" ref="S2410:S2473" si="174">IF(D2410&gt;D2409,(U2410-U2409)/W2409/(D2410-D2409),0)</f>
        <v>8.1574903693288972E-5</v>
      </c>
      <c r="U2410" s="86">
        <f t="shared" si="173"/>
        <v>2.3619000000000057E-2</v>
      </c>
      <c r="W2410" s="85">
        <v>0.97638099999999994</v>
      </c>
    </row>
    <row r="2411" spans="2:23" x14ac:dyDescent="0.3">
      <c r="B2411">
        <v>48</v>
      </c>
      <c r="C2411">
        <v>32</v>
      </c>
      <c r="D2411">
        <v>103.82599999999999</v>
      </c>
      <c r="R2411" s="73">
        <f t="shared" si="172"/>
        <v>9.3886462882129696E-5</v>
      </c>
      <c r="S2411" s="74">
        <f t="shared" si="174"/>
        <v>9.61576094599646E-5</v>
      </c>
      <c r="U2411" s="86">
        <f t="shared" si="173"/>
        <v>2.3705000000000087E-2</v>
      </c>
      <c r="W2411" s="85">
        <v>0.97629499999999991</v>
      </c>
    </row>
    <row r="2412" spans="2:23" x14ac:dyDescent="0.3">
      <c r="B2412">
        <v>48</v>
      </c>
      <c r="C2412">
        <v>32</v>
      </c>
      <c r="D2412">
        <v>107.408</v>
      </c>
      <c r="R2412" s="73">
        <f t="shared" si="172"/>
        <v>9.854829704074147E-5</v>
      </c>
      <c r="S2412" s="74">
        <f t="shared" si="174"/>
        <v>1.0094110595746313E-4</v>
      </c>
      <c r="U2412" s="86">
        <f t="shared" si="173"/>
        <v>2.4058000000000024E-2</v>
      </c>
      <c r="W2412" s="85">
        <v>0.97594199999999998</v>
      </c>
    </row>
    <row r="2413" spans="2:23" x14ac:dyDescent="0.3">
      <c r="B2413">
        <v>48</v>
      </c>
      <c r="C2413">
        <v>32</v>
      </c>
      <c r="D2413">
        <v>108.14100000000001</v>
      </c>
      <c r="R2413" s="73">
        <f t="shared" si="172"/>
        <v>8.7312414733905361E-5</v>
      </c>
      <c r="S2413" s="74">
        <f t="shared" si="174"/>
        <v>8.9464757878957314E-5</v>
      </c>
      <c r="U2413" s="86">
        <f t="shared" si="173"/>
        <v>2.4121999999999977E-2</v>
      </c>
      <c r="W2413" s="85">
        <v>0.97587800000000002</v>
      </c>
    </row>
    <row r="2414" spans="2:23" x14ac:dyDescent="0.3">
      <c r="B2414">
        <v>48</v>
      </c>
      <c r="C2414">
        <v>32</v>
      </c>
      <c r="D2414">
        <v>112.137</v>
      </c>
      <c r="R2414" s="73">
        <f t="shared" si="172"/>
        <v>7.2072072072088678E-5</v>
      </c>
      <c r="S2414" s="74">
        <f t="shared" si="174"/>
        <v>7.3853567835414539E-5</v>
      </c>
      <c r="U2414" s="86">
        <f t="shared" si="173"/>
        <v>2.4410000000000043E-2</v>
      </c>
      <c r="W2414" s="85">
        <v>0.97558999999999996</v>
      </c>
    </row>
    <row r="2415" spans="2:23" x14ac:dyDescent="0.3">
      <c r="B2415">
        <v>48</v>
      </c>
      <c r="C2415">
        <v>32</v>
      </c>
      <c r="D2415">
        <v>113.73</v>
      </c>
      <c r="R2415" s="73">
        <f t="shared" si="172"/>
        <v>7.5957313245472358E-5</v>
      </c>
      <c r="S2415" s="74">
        <f t="shared" si="174"/>
        <v>7.785782269751879E-5</v>
      </c>
      <c r="U2415" s="86">
        <f t="shared" si="173"/>
        <v>2.4531000000000081E-2</v>
      </c>
      <c r="W2415" s="85">
        <v>0.97546899999999992</v>
      </c>
    </row>
    <row r="2416" spans="2:23" x14ac:dyDescent="0.3">
      <c r="B2416">
        <v>48</v>
      </c>
      <c r="C2416">
        <v>32</v>
      </c>
      <c r="D2416">
        <v>115.43300000000001</v>
      </c>
      <c r="R2416" s="73">
        <f t="shared" si="172"/>
        <v>9.0428655314143995E-5</v>
      </c>
      <c r="S2416" s="74">
        <f t="shared" si="174"/>
        <v>9.2702746385732389E-5</v>
      </c>
      <c r="U2416" s="86">
        <f t="shared" si="173"/>
        <v>2.4685000000000068E-2</v>
      </c>
      <c r="W2416" s="85">
        <v>0.97531499999999993</v>
      </c>
    </row>
    <row r="2417" spans="2:23" x14ac:dyDescent="0.3">
      <c r="B2417">
        <v>48</v>
      </c>
      <c r="C2417">
        <v>32</v>
      </c>
      <c r="D2417">
        <v>118.878</v>
      </c>
      <c r="R2417" s="73">
        <f t="shared" si="172"/>
        <v>1.0043541364294867E-4</v>
      </c>
      <c r="S2417" s="74">
        <f t="shared" si="174"/>
        <v>1.0297741103433114E-4</v>
      </c>
      <c r="U2417" s="86">
        <f t="shared" si="173"/>
        <v>2.5031000000000025E-2</v>
      </c>
      <c r="W2417" s="85">
        <v>0.97496899999999997</v>
      </c>
    </row>
    <row r="2418" spans="2:23" x14ac:dyDescent="0.3">
      <c r="B2418">
        <v>48</v>
      </c>
      <c r="C2418">
        <v>32</v>
      </c>
      <c r="D2418">
        <v>119.732</v>
      </c>
      <c r="R2418" s="73">
        <f t="shared" si="172"/>
        <v>9.3676814988254172E-5</v>
      </c>
      <c r="S2418" s="74">
        <f t="shared" si="174"/>
        <v>9.6081839513106741E-5</v>
      </c>
      <c r="U2418" s="86">
        <f t="shared" si="173"/>
        <v>2.5110999999999994E-2</v>
      </c>
      <c r="W2418" s="85">
        <v>0.97488900000000001</v>
      </c>
    </row>
    <row r="2419" spans="2:23" x14ac:dyDescent="0.3">
      <c r="B2419">
        <v>48</v>
      </c>
      <c r="C2419">
        <v>32</v>
      </c>
      <c r="D2419">
        <v>124.17400000000001</v>
      </c>
      <c r="R2419" s="73">
        <f t="shared" si="172"/>
        <v>8.9599279603784062E-5</v>
      </c>
      <c r="S2419" s="74">
        <f t="shared" si="174"/>
        <v>9.1907160306233904E-5</v>
      </c>
      <c r="U2419" s="86">
        <f t="shared" si="173"/>
        <v>2.5509000000000004E-2</v>
      </c>
      <c r="W2419" s="85">
        <v>0.974491</v>
      </c>
    </row>
    <row r="2420" spans="2:23" x14ac:dyDescent="0.3">
      <c r="B2420">
        <v>48</v>
      </c>
      <c r="C2420">
        <v>32</v>
      </c>
      <c r="D2420">
        <v>124.395</v>
      </c>
      <c r="R2420" s="73">
        <f t="shared" si="172"/>
        <v>9.5022624434111947E-5</v>
      </c>
      <c r="S2420" s="74">
        <f t="shared" si="174"/>
        <v>9.7510007207980313E-5</v>
      </c>
      <c r="U2420" s="86">
        <f t="shared" si="173"/>
        <v>2.5529999999999942E-2</v>
      </c>
      <c r="W2420" s="85">
        <v>0.97447000000000006</v>
      </c>
    </row>
    <row r="2421" spans="2:23" x14ac:dyDescent="0.3">
      <c r="B2421">
        <v>48</v>
      </c>
      <c r="C2421">
        <v>32</v>
      </c>
      <c r="D2421">
        <v>128.90299999999999</v>
      </c>
      <c r="R2421" s="73">
        <f t="shared" si="172"/>
        <v>9.4055013309691965E-5</v>
      </c>
      <c r="S2421" s="74">
        <f t="shared" si="174"/>
        <v>9.6519147136075989E-5</v>
      </c>
      <c r="U2421" s="86">
        <f t="shared" si="173"/>
        <v>2.5954000000000033E-2</v>
      </c>
      <c r="W2421" s="85">
        <v>0.97404599999999997</v>
      </c>
    </row>
    <row r="2422" spans="2:23" x14ac:dyDescent="0.3">
      <c r="B2422">
        <v>48</v>
      </c>
      <c r="C2422">
        <v>32</v>
      </c>
      <c r="D2422">
        <v>129.684</v>
      </c>
      <c r="R2422" s="73">
        <f t="shared" si="172"/>
        <v>6.402048655554813E-5</v>
      </c>
      <c r="S2422" s="74">
        <f t="shared" si="174"/>
        <v>6.5726348196643827E-5</v>
      </c>
      <c r="U2422" s="86">
        <f t="shared" si="173"/>
        <v>2.6003999999999916E-2</v>
      </c>
      <c r="W2422" s="85">
        <v>0.97399600000000008</v>
      </c>
    </row>
    <row r="2423" spans="2:23" x14ac:dyDescent="0.3">
      <c r="B2423">
        <v>48</v>
      </c>
      <c r="C2423">
        <v>32</v>
      </c>
      <c r="D2423">
        <v>132.62899999999999</v>
      </c>
      <c r="R2423" s="73">
        <f t="shared" si="172"/>
        <v>3.7691001697858924E-5</v>
      </c>
      <c r="S2423" s="74">
        <f t="shared" si="174"/>
        <v>3.8697285920947236E-5</v>
      </c>
      <c r="U2423" s="86">
        <f t="shared" si="173"/>
        <v>2.611500000000011E-2</v>
      </c>
      <c r="W2423" s="85">
        <v>0.97388499999999989</v>
      </c>
    </row>
    <row r="2424" spans="2:23" x14ac:dyDescent="0.3">
      <c r="B2424">
        <v>48</v>
      </c>
      <c r="C2424">
        <v>32</v>
      </c>
      <c r="D2424">
        <v>135.20099999999999</v>
      </c>
      <c r="R2424" s="73">
        <f t="shared" si="172"/>
        <v>4.3934681181927918E-5</v>
      </c>
      <c r="S2424" s="74">
        <f t="shared" si="174"/>
        <v>4.5112802006323045E-5</v>
      </c>
      <c r="U2424" s="86">
        <f t="shared" si="173"/>
        <v>2.6228000000000029E-2</v>
      </c>
      <c r="W2424" s="85">
        <v>0.97377199999999997</v>
      </c>
    </row>
    <row r="2425" spans="2:23" x14ac:dyDescent="0.3">
      <c r="B2425">
        <v>48</v>
      </c>
      <c r="C2425">
        <v>32</v>
      </c>
      <c r="D2425">
        <v>137.64400000000001</v>
      </c>
      <c r="R2425" s="73">
        <f t="shared" si="172"/>
        <v>8.4731887024132706E-5</v>
      </c>
      <c r="S2425" s="74">
        <f t="shared" si="174"/>
        <v>8.701409264605339E-5</v>
      </c>
      <c r="U2425" s="86">
        <f t="shared" si="173"/>
        <v>2.6434999999999986E-2</v>
      </c>
      <c r="W2425" s="85">
        <v>0.97356500000000001</v>
      </c>
    </row>
    <row r="2426" spans="2:23" x14ac:dyDescent="0.3">
      <c r="B2426">
        <v>48</v>
      </c>
      <c r="C2426">
        <v>32</v>
      </c>
      <c r="D2426">
        <v>140.71799999999999</v>
      </c>
      <c r="R2426" s="73">
        <f t="shared" si="172"/>
        <v>7.8724788549110517E-5</v>
      </c>
      <c r="S2426" s="74">
        <f t="shared" si="174"/>
        <v>8.0862385715499755E-5</v>
      </c>
      <c r="U2426" s="86">
        <f t="shared" si="173"/>
        <v>2.6676999999999951E-2</v>
      </c>
      <c r="W2426" s="85">
        <v>0.97332300000000005</v>
      </c>
    </row>
    <row r="2427" spans="2:23" x14ac:dyDescent="0.3">
      <c r="B2427">
        <v>48</v>
      </c>
      <c r="C2427">
        <v>32</v>
      </c>
      <c r="D2427">
        <v>142.08699999999999</v>
      </c>
      <c r="R2427" s="73">
        <f t="shared" si="172"/>
        <v>3.4331628926237587E-5</v>
      </c>
      <c r="S2427" s="74">
        <f t="shared" si="174"/>
        <v>3.5272595968899926E-5</v>
      </c>
      <c r="U2427" s="86">
        <f t="shared" si="173"/>
        <v>2.672399999999997E-2</v>
      </c>
      <c r="W2427" s="85">
        <v>0.97327600000000003</v>
      </c>
    </row>
    <row r="2428" spans="2:23" x14ac:dyDescent="0.3">
      <c r="B2428">
        <v>48</v>
      </c>
      <c r="C2428">
        <v>32</v>
      </c>
      <c r="D2428">
        <v>145.74100000000001</v>
      </c>
      <c r="R2428" s="73">
        <f t="shared" si="172"/>
        <v>1.9704433497526134E-5</v>
      </c>
      <c r="S2428" s="74">
        <f t="shared" si="174"/>
        <v>2.0245473532200664E-5</v>
      </c>
      <c r="U2428" s="86">
        <f t="shared" si="173"/>
        <v>2.6795999999999931E-2</v>
      </c>
      <c r="W2428" s="85">
        <v>0.97320400000000007</v>
      </c>
    </row>
    <row r="2429" spans="2:23" x14ac:dyDescent="0.3">
      <c r="B2429">
        <v>48</v>
      </c>
      <c r="C2429">
        <v>32</v>
      </c>
      <c r="D2429">
        <v>146.34899999999999</v>
      </c>
      <c r="R2429" s="73">
        <f t="shared" si="172"/>
        <v>5.0986842105270542E-5</v>
      </c>
      <c r="S2429" s="74">
        <f t="shared" si="174"/>
        <v>5.2390703393400083E-5</v>
      </c>
      <c r="U2429" s="86">
        <f t="shared" si="173"/>
        <v>2.6826999999999934E-2</v>
      </c>
      <c r="W2429" s="85">
        <v>0.97317300000000007</v>
      </c>
    </row>
    <row r="2430" spans="2:23" x14ac:dyDescent="0.3">
      <c r="B2430">
        <v>48</v>
      </c>
      <c r="C2430">
        <v>32</v>
      </c>
      <c r="D2430">
        <v>149.89699999999999</v>
      </c>
      <c r="R2430" s="73">
        <f t="shared" si="172"/>
        <v>1.0710259301015974E-4</v>
      </c>
      <c r="S2430" s="74">
        <f t="shared" si="174"/>
        <v>1.1005503955633761E-4</v>
      </c>
      <c r="U2430" s="86">
        <f t="shared" si="173"/>
        <v>2.7206999999999981E-2</v>
      </c>
      <c r="W2430" s="85">
        <v>0.97279300000000002</v>
      </c>
    </row>
    <row r="2431" spans="2:23" x14ac:dyDescent="0.3">
      <c r="B2431">
        <v>48</v>
      </c>
      <c r="C2431">
        <v>32</v>
      </c>
      <c r="D2431">
        <v>151.18299999999999</v>
      </c>
      <c r="R2431" s="73">
        <f t="shared" si="172"/>
        <v>1.1197511664077203E-4</v>
      </c>
      <c r="S2431" s="74">
        <f t="shared" si="174"/>
        <v>1.151068281132492E-4</v>
      </c>
      <c r="U2431" s="86">
        <f t="shared" si="173"/>
        <v>2.7351000000000014E-2</v>
      </c>
      <c r="W2431" s="85">
        <v>0.97264899999999999</v>
      </c>
    </row>
    <row r="2432" spans="2:23" x14ac:dyDescent="0.3">
      <c r="B2432">
        <v>48</v>
      </c>
      <c r="C2432">
        <v>32</v>
      </c>
      <c r="D2432">
        <v>152.834</v>
      </c>
      <c r="R2432" s="73">
        <f t="shared" si="172"/>
        <v>7.6923076923069309E-5</v>
      </c>
      <c r="S2432" s="74">
        <f t="shared" si="174"/>
        <v>7.9086162555114234E-5</v>
      </c>
      <c r="U2432" s="86">
        <f t="shared" si="173"/>
        <v>2.7478000000000002E-2</v>
      </c>
      <c r="W2432" s="85">
        <v>0.972522</v>
      </c>
    </row>
    <row r="2433" spans="2:23" x14ac:dyDescent="0.3">
      <c r="B2433">
        <v>48</v>
      </c>
      <c r="C2433">
        <v>32</v>
      </c>
      <c r="D2433">
        <v>156.58600000000001</v>
      </c>
      <c r="R2433" s="73">
        <f t="shared" si="172"/>
        <v>5.2505330490405712E-5</v>
      </c>
      <c r="S2433" s="74">
        <f t="shared" si="174"/>
        <v>5.3988835718272402E-5</v>
      </c>
      <c r="U2433" s="86">
        <f t="shared" si="173"/>
        <v>2.7675000000000005E-2</v>
      </c>
      <c r="W2433" s="85">
        <v>0.97232499999999999</v>
      </c>
    </row>
    <row r="2434" spans="2:23" x14ac:dyDescent="0.3">
      <c r="B2434">
        <v>48</v>
      </c>
      <c r="C2434">
        <v>32</v>
      </c>
      <c r="D2434">
        <v>156.846</v>
      </c>
      <c r="R2434" s="73">
        <f t="shared" si="172"/>
        <v>5.7692307692687663E-5</v>
      </c>
      <c r="S2434" s="74">
        <f t="shared" si="174"/>
        <v>5.9334386848726167E-5</v>
      </c>
      <c r="U2434" s="86">
        <f t="shared" si="173"/>
        <v>2.7690000000000103E-2</v>
      </c>
      <c r="W2434" s="85">
        <v>0.9723099999999999</v>
      </c>
    </row>
    <row r="2435" spans="2:23" x14ac:dyDescent="0.3">
      <c r="B2435">
        <v>48</v>
      </c>
      <c r="C2435">
        <v>32</v>
      </c>
      <c r="D2435">
        <v>159.78399999999999</v>
      </c>
      <c r="R2435" s="73">
        <f t="shared" si="172"/>
        <v>6.6031313818858478E-5</v>
      </c>
      <c r="S2435" s="74">
        <f t="shared" si="174"/>
        <v>6.7911791320523791E-5</v>
      </c>
      <c r="U2435" s="86">
        <f t="shared" si="173"/>
        <v>2.7883999999999909E-2</v>
      </c>
      <c r="W2435" s="85">
        <v>0.97211600000000009</v>
      </c>
    </row>
    <row r="2436" spans="2:23" x14ac:dyDescent="0.3">
      <c r="B2436">
        <v>48</v>
      </c>
      <c r="C2436">
        <v>32</v>
      </c>
      <c r="D2436">
        <v>162.274</v>
      </c>
      <c r="R2436" s="73">
        <f t="shared" si="172"/>
        <v>7.6305220883587878E-5</v>
      </c>
      <c r="S2436" s="74">
        <f t="shared" si="174"/>
        <v>7.8493946075970219E-5</v>
      </c>
      <c r="U2436" s="86">
        <f t="shared" si="173"/>
        <v>2.8074000000000043E-2</v>
      </c>
      <c r="W2436" s="85">
        <v>0.97192599999999996</v>
      </c>
    </row>
    <row r="2437" spans="2:23" x14ac:dyDescent="0.3">
      <c r="B2437">
        <v>48</v>
      </c>
      <c r="C2437">
        <v>32</v>
      </c>
      <c r="D2437">
        <v>164.65600000000001</v>
      </c>
      <c r="R2437" s="73">
        <f t="shared" si="172"/>
        <v>7.6406381192235126E-5</v>
      </c>
      <c r="S2437" s="74">
        <f t="shared" si="174"/>
        <v>7.8613373026583432E-5</v>
      </c>
      <c r="U2437" s="86">
        <f t="shared" si="173"/>
        <v>2.8255999999999948E-2</v>
      </c>
      <c r="W2437" s="85">
        <v>0.97174400000000005</v>
      </c>
    </row>
    <row r="2438" spans="2:23" x14ac:dyDescent="0.3">
      <c r="B2438">
        <v>112</v>
      </c>
      <c r="C2438">
        <v>30</v>
      </c>
      <c r="D2438">
        <v>0</v>
      </c>
      <c r="I2438">
        <f>IF(D2438&gt;D2437,(P2438+P2437)/2*(D2438-D2437),0)</f>
        <v>0</v>
      </c>
      <c r="P2438" s="72">
        <v>0</v>
      </c>
      <c r="R2438" s="73">
        <f t="shared" si="172"/>
        <v>0</v>
      </c>
      <c r="S2438" s="74">
        <f t="shared" si="174"/>
        <v>0</v>
      </c>
      <c r="T2438">
        <f>IF(D2438&gt;D2437,T2437+(P2438+P2437)/2*(D2438-D2437),0)</f>
        <v>0</v>
      </c>
      <c r="U2438" s="86">
        <f>T2438/(0.19/0.03)</f>
        <v>0</v>
      </c>
      <c r="W2438" s="89">
        <f>100%-U2438</f>
        <v>1</v>
      </c>
    </row>
    <row r="2439" spans="2:23" x14ac:dyDescent="0.3">
      <c r="B2439">
        <v>112</v>
      </c>
      <c r="C2439">
        <v>30</v>
      </c>
      <c r="D2439" s="84">
        <v>1.21</v>
      </c>
      <c r="I2439">
        <f>IF(D2439&gt;D2438,(P2439+P2438)/1*(D2439-D2438),)</f>
        <v>2.0245186771320034E-2</v>
      </c>
      <c r="P2439" s="72">
        <v>1.6731559315140525E-2</v>
      </c>
      <c r="R2439" s="73">
        <f t="shared" si="172"/>
        <v>2.6418251550221878E-3</v>
      </c>
      <c r="S2439" s="74">
        <f t="shared" si="174"/>
        <v>2.6418251550221878E-3</v>
      </c>
      <c r="T2439">
        <f>IF(D2439&gt;D2438,T2438+(P2439+P2438)/1*(D2439-D2438),0)</f>
        <v>2.0245186771320034E-2</v>
      </c>
      <c r="U2439" s="86">
        <f t="shared" ref="U2439:U2482" si="175">T2439/(0.19/0.03)</f>
        <v>3.1966084375768472E-3</v>
      </c>
      <c r="W2439" s="89">
        <f t="shared" ref="W2439:W2502" si="176">100%-U2439</f>
        <v>0.99680339156242315</v>
      </c>
    </row>
    <row r="2440" spans="2:23" x14ac:dyDescent="0.3">
      <c r="B2440">
        <v>112</v>
      </c>
      <c r="C2440">
        <v>30</v>
      </c>
      <c r="D2440">
        <v>4.01</v>
      </c>
      <c r="I2440">
        <f t="shared" ref="I2440:I2447" si="177">IF(D2440&gt;D2439,(P2440+P2439)/2*(D2440-D2439),)</f>
        <v>3.2912990793342464E-2</v>
      </c>
      <c r="P2440" s="72">
        <v>6.7777198229612362E-3</v>
      </c>
      <c r="R2440" s="73">
        <f t="shared" si="172"/>
        <v>1.8559957214290864E-3</v>
      </c>
      <c r="S2440" s="74">
        <f t="shared" si="174"/>
        <v>1.8619476389621192E-3</v>
      </c>
      <c r="T2440">
        <f t="shared" ref="T2440:T2482" si="178">IF(D2440&gt;D2439,T2439+(P2440+P2439)/2*(D2440-D2439),0)</f>
        <v>5.3158177564662498E-2</v>
      </c>
      <c r="U2440" s="86">
        <f t="shared" si="175"/>
        <v>8.3933964575782886E-3</v>
      </c>
      <c r="W2440" s="89">
        <f t="shared" si="176"/>
        <v>0.99160660354242169</v>
      </c>
    </row>
    <row r="2441" spans="2:23" x14ac:dyDescent="0.3">
      <c r="B2441">
        <v>112</v>
      </c>
      <c r="C2441">
        <v>30</v>
      </c>
      <c r="D2441">
        <v>9.56</v>
      </c>
      <c r="I2441">
        <f t="shared" si="177"/>
        <v>2.5709566378576302E-2</v>
      </c>
      <c r="P2441" s="72">
        <v>2.4869887819311243E-3</v>
      </c>
      <c r="R2441" s="73">
        <f t="shared" si="172"/>
        <v>7.3142436354413354E-4</v>
      </c>
      <c r="S2441" s="74">
        <f t="shared" si="174"/>
        <v>7.3761546255459419E-4</v>
      </c>
      <c r="T2441">
        <f t="shared" si="178"/>
        <v>7.8867743943238797E-2</v>
      </c>
      <c r="U2441" s="86">
        <f t="shared" si="175"/>
        <v>1.245280167524823E-2</v>
      </c>
      <c r="W2441" s="89">
        <f t="shared" si="176"/>
        <v>0.9875471983247518</v>
      </c>
    </row>
    <row r="2442" spans="2:23" x14ac:dyDescent="0.3">
      <c r="B2442">
        <v>112</v>
      </c>
      <c r="C2442">
        <v>30</v>
      </c>
      <c r="D2442">
        <v>19.239999999999998</v>
      </c>
      <c r="I2442">
        <f t="shared" si="177"/>
        <v>1.9553765417193798E-2</v>
      </c>
      <c r="P2442" s="72">
        <v>1.5530453951750336E-3</v>
      </c>
      <c r="R2442" s="73">
        <f t="shared" si="172"/>
        <v>3.1895006661364399E-4</v>
      </c>
      <c r="S2442" s="74">
        <f t="shared" si="174"/>
        <v>3.2297197253427704E-4</v>
      </c>
      <c r="T2442">
        <f t="shared" si="178"/>
        <v>9.8421509360432591E-2</v>
      </c>
      <c r="U2442" s="86">
        <f t="shared" si="175"/>
        <v>1.5540238320068303E-2</v>
      </c>
      <c r="W2442" s="89">
        <f t="shared" si="176"/>
        <v>0.98445976167993166</v>
      </c>
    </row>
    <row r="2443" spans="2:23" x14ac:dyDescent="0.3">
      <c r="B2443">
        <v>112</v>
      </c>
      <c r="C2443">
        <v>30</v>
      </c>
      <c r="D2443">
        <v>83.99</v>
      </c>
      <c r="I2443">
        <f t="shared" si="177"/>
        <v>7.9936999372258705E-2</v>
      </c>
      <c r="P2443" s="72">
        <v>9.1605111053179864E-4</v>
      </c>
      <c r="R2443" s="73">
        <f t="shared" si="172"/>
        <v>1.9492867150317094E-4</v>
      </c>
      <c r="S2443" s="74">
        <f t="shared" si="174"/>
        <v>1.9800572770037331E-4</v>
      </c>
      <c r="T2443">
        <f t="shared" si="178"/>
        <v>0.1783585087326913</v>
      </c>
      <c r="U2443" s="86">
        <f t="shared" si="175"/>
        <v>2.8161869799898622E-2</v>
      </c>
      <c r="W2443" s="89">
        <f t="shared" si="176"/>
        <v>0.97183813020010135</v>
      </c>
    </row>
    <row r="2444" spans="2:23" x14ac:dyDescent="0.3">
      <c r="B2444">
        <v>112</v>
      </c>
      <c r="C2444">
        <v>30</v>
      </c>
      <c r="D2444">
        <v>133.01</v>
      </c>
      <c r="I2444">
        <f t="shared" si="177"/>
        <v>4.2568789551079698E-2</v>
      </c>
      <c r="P2444" s="72">
        <v>8.2074160881049837E-4</v>
      </c>
      <c r="R2444" s="73">
        <f t="shared" si="172"/>
        <v>1.3711521468491824E-4</v>
      </c>
      <c r="S2444" s="74">
        <f t="shared" si="174"/>
        <v>1.4108853154041841E-4</v>
      </c>
      <c r="T2444">
        <f t="shared" si="178"/>
        <v>0.220927298283771</v>
      </c>
      <c r="U2444" s="86">
        <f t="shared" si="175"/>
        <v>3.4883257623753314E-2</v>
      </c>
      <c r="W2444" s="89">
        <f t="shared" si="176"/>
        <v>0.96511674237624667</v>
      </c>
    </row>
    <row r="2445" spans="2:23" x14ac:dyDescent="0.3">
      <c r="B2445">
        <v>112</v>
      </c>
      <c r="C2445">
        <v>30</v>
      </c>
      <c r="D2445">
        <v>197.24</v>
      </c>
      <c r="I2445">
        <f t="shared" si="177"/>
        <v>5.2679718741228024E-2</v>
      </c>
      <c r="P2445" s="72">
        <v>8.1960460763751705E-4</v>
      </c>
      <c r="R2445" s="73">
        <f t="shared" si="172"/>
        <v>1.2950101708800109E-4</v>
      </c>
      <c r="S2445" s="74">
        <f t="shared" si="174"/>
        <v>1.3418171232751827E-4</v>
      </c>
      <c r="T2445">
        <f t="shared" si="178"/>
        <v>0.27360701702499901</v>
      </c>
      <c r="U2445" s="86">
        <f t="shared" si="175"/>
        <v>4.3201107951315626E-2</v>
      </c>
      <c r="W2445" s="89">
        <f t="shared" si="176"/>
        <v>0.9567988920486844</v>
      </c>
    </row>
    <row r="2446" spans="2:23" x14ac:dyDescent="0.3">
      <c r="B2446">
        <v>112</v>
      </c>
      <c r="C2446">
        <v>30</v>
      </c>
      <c r="D2446">
        <v>368.45</v>
      </c>
      <c r="I2446">
        <f t="shared" si="177"/>
        <v>0.14740476341249167</v>
      </c>
      <c r="P2446" s="72">
        <v>9.0231307722308325E-4</v>
      </c>
      <c r="R2446" s="73">
        <f t="shared" si="172"/>
        <v>1.3594086985741581E-4</v>
      </c>
      <c r="S2446" s="74">
        <f t="shared" si="174"/>
        <v>1.4207883285309949E-4</v>
      </c>
      <c r="T2446">
        <f t="shared" si="178"/>
        <v>0.42101178043749066</v>
      </c>
      <c r="U2446" s="86">
        <f>T2446/(0.19/0.03)</f>
        <v>6.6475544279603782E-2</v>
      </c>
      <c r="W2446" s="89">
        <f t="shared" si="176"/>
        <v>0.93352445572039622</v>
      </c>
    </row>
    <row r="2447" spans="2:23" x14ac:dyDescent="0.3">
      <c r="B2447">
        <v>113</v>
      </c>
      <c r="C2447">
        <v>30</v>
      </c>
      <c r="D2447">
        <v>0</v>
      </c>
      <c r="I2447">
        <f t="shared" si="177"/>
        <v>0</v>
      </c>
      <c r="P2447" s="72">
        <v>0</v>
      </c>
      <c r="R2447" s="73">
        <f t="shared" si="172"/>
        <v>0</v>
      </c>
      <c r="S2447" s="74">
        <f t="shared" si="174"/>
        <v>0</v>
      </c>
      <c r="T2447">
        <f t="shared" si="178"/>
        <v>0</v>
      </c>
      <c r="U2447" s="86">
        <f t="shared" si="175"/>
        <v>0</v>
      </c>
      <c r="W2447" s="89">
        <f t="shared" si="176"/>
        <v>1</v>
      </c>
    </row>
    <row r="2448" spans="2:23" x14ac:dyDescent="0.3">
      <c r="B2448">
        <v>113</v>
      </c>
      <c r="C2448">
        <v>30</v>
      </c>
      <c r="D2448" s="84">
        <v>1.1299999999999999</v>
      </c>
      <c r="I2448">
        <f>IF(D2448&gt;D2447,(P2448+P2447)/1*(D2448-D2447),)</f>
        <v>4.2672977345591294E-3</v>
      </c>
      <c r="P2448" s="72">
        <v>3.776369676601E-3</v>
      </c>
      <c r="R2448" s="73">
        <f t="shared" si="172"/>
        <v>5.96268896305421E-4</v>
      </c>
      <c r="S2448" s="74">
        <f t="shared" si="174"/>
        <v>5.96268896305421E-4</v>
      </c>
      <c r="T2448">
        <f>IF(D2448&gt;D2447,T2447+(P2448+P2447)/1*(D2448-D2447),0)</f>
        <v>4.2672977345591294E-3</v>
      </c>
      <c r="U2448" s="86">
        <f t="shared" si="175"/>
        <v>6.7378385282512569E-4</v>
      </c>
      <c r="W2448" s="89">
        <f t="shared" si="176"/>
        <v>0.99932621614717487</v>
      </c>
    </row>
    <row r="2449" spans="2:23" x14ac:dyDescent="0.3">
      <c r="B2449">
        <v>113</v>
      </c>
      <c r="C2449">
        <v>30</v>
      </c>
      <c r="D2449">
        <v>4.29</v>
      </c>
      <c r="I2449">
        <f t="shared" ref="I2449:I2456" si="179">IF(D2449&gt;D2448,(P2449+P2448)/2*(D2449-D2448),)</f>
        <v>7.5081530504906889E-3</v>
      </c>
      <c r="P2449" s="72">
        <v>9.7562592497538517E-4</v>
      </c>
      <c r="R2449" s="73">
        <f t="shared" si="172"/>
        <v>3.7515754749287248E-4</v>
      </c>
      <c r="S2449" s="74">
        <f t="shared" si="174"/>
        <v>3.7541049302125133E-4</v>
      </c>
      <c r="T2449">
        <f t="shared" si="178"/>
        <v>1.1775450785049818E-2</v>
      </c>
      <c r="U2449" s="86">
        <f t="shared" si="175"/>
        <v>1.8592817029026028E-3</v>
      </c>
      <c r="W2449" s="89">
        <f t="shared" si="176"/>
        <v>0.99814071829709738</v>
      </c>
    </row>
    <row r="2450" spans="2:23" x14ac:dyDescent="0.3">
      <c r="B2450">
        <v>113</v>
      </c>
      <c r="C2450">
        <v>30</v>
      </c>
      <c r="D2450">
        <v>9.82</v>
      </c>
      <c r="I2450">
        <f t="shared" si="179"/>
        <v>3.7299179773613352E-3</v>
      </c>
      <c r="P2450" s="72">
        <v>3.733498353722947E-4</v>
      </c>
      <c r="R2450" s="73">
        <f t="shared" si="172"/>
        <v>1.0649808634323783E-4</v>
      </c>
      <c r="S2450" s="74">
        <f t="shared" si="174"/>
        <v>1.0669646512861585E-4</v>
      </c>
      <c r="T2450">
        <f t="shared" si="178"/>
        <v>1.5505368762411154E-2</v>
      </c>
      <c r="U2450" s="86">
        <f t="shared" si="175"/>
        <v>2.448216120380708E-3</v>
      </c>
      <c r="W2450" s="89">
        <f t="shared" si="176"/>
        <v>0.99755178387961929</v>
      </c>
    </row>
    <row r="2451" spans="2:23" x14ac:dyDescent="0.3">
      <c r="B2451">
        <v>113</v>
      </c>
      <c r="C2451">
        <v>30</v>
      </c>
      <c r="D2451">
        <v>18.16</v>
      </c>
      <c r="I2451">
        <f t="shared" si="179"/>
        <v>2.1633552909359022E-3</v>
      </c>
      <c r="P2451" s="72">
        <v>1.454404022622142E-4</v>
      </c>
      <c r="R2451" s="73">
        <f t="shared" si="172"/>
        <v>4.0957124023777062E-5</v>
      </c>
      <c r="S2451" s="74">
        <f t="shared" si="174"/>
        <v>4.1057642004798028E-5</v>
      </c>
      <c r="T2451">
        <f t="shared" si="178"/>
        <v>1.7668724053347056E-2</v>
      </c>
      <c r="U2451" s="86">
        <f t="shared" si="175"/>
        <v>2.7897985347390087E-3</v>
      </c>
      <c r="W2451" s="89">
        <f t="shared" si="176"/>
        <v>0.99721020146526096</v>
      </c>
    </row>
    <row r="2452" spans="2:23" x14ac:dyDescent="0.3">
      <c r="B2452">
        <v>113</v>
      </c>
      <c r="C2452">
        <v>30</v>
      </c>
      <c r="D2452">
        <v>85.22</v>
      </c>
      <c r="I2452">
        <f t="shared" si="179"/>
        <v>1.2127117140727258E-2</v>
      </c>
      <c r="P2452" s="72">
        <v>2.1623920229272935E-4</v>
      </c>
      <c r="R2452" s="73">
        <f t="shared" si="172"/>
        <v>2.8553652991179757E-5</v>
      </c>
      <c r="S2452" s="74">
        <f t="shared" si="174"/>
        <v>2.863353478456614E-5</v>
      </c>
      <c r="T2452">
        <f t="shared" si="178"/>
        <v>2.9795841194074316E-2</v>
      </c>
      <c r="U2452" s="86">
        <f t="shared" si="175"/>
        <v>4.7046065043275234E-3</v>
      </c>
      <c r="W2452" s="89">
        <f t="shared" si="176"/>
        <v>0.99529539349567253</v>
      </c>
    </row>
    <row r="2453" spans="2:23" x14ac:dyDescent="0.3">
      <c r="B2453">
        <v>113</v>
      </c>
      <c r="C2453">
        <v>30</v>
      </c>
      <c r="D2453">
        <v>133.88999999999999</v>
      </c>
      <c r="I2453">
        <f t="shared" si="179"/>
        <v>1.1459141904605641E-2</v>
      </c>
      <c r="P2453" s="72">
        <v>2.5465218478783956E-4</v>
      </c>
      <c r="R2453" s="73">
        <f t="shared" ref="R2453:R2516" si="180">IF(D2453&gt;D2452,(U2453-U2452)/1/(D2453-D2452),0)</f>
        <v>3.7175635822150154E-5</v>
      </c>
      <c r="S2453" s="74">
        <f t="shared" si="174"/>
        <v>3.7351359269916878E-5</v>
      </c>
      <c r="T2453">
        <f t="shared" si="178"/>
        <v>4.1254983098679955E-2</v>
      </c>
      <c r="U2453" s="86">
        <f t="shared" si="175"/>
        <v>6.5139446997915709E-3</v>
      </c>
      <c r="W2453" s="89">
        <f t="shared" si="176"/>
        <v>0.99348605530020839</v>
      </c>
    </row>
    <row r="2454" spans="2:23" x14ac:dyDescent="0.3">
      <c r="B2454">
        <v>113</v>
      </c>
      <c r="C2454">
        <v>30</v>
      </c>
      <c r="D2454">
        <v>197.4</v>
      </c>
      <c r="I2454">
        <f t="shared" si="179"/>
        <v>1.4021742740348328E-2</v>
      </c>
      <c r="P2454" s="72">
        <v>1.8690797078918208E-4</v>
      </c>
      <c r="R2454" s="73">
        <f t="shared" si="180"/>
        <v>3.4860012282396449E-5</v>
      </c>
      <c r="S2454" s="74">
        <f t="shared" si="174"/>
        <v>3.5088577334749371E-5</v>
      </c>
      <c r="T2454">
        <f t="shared" si="178"/>
        <v>5.5276725839028283E-2</v>
      </c>
      <c r="U2454" s="86">
        <f t="shared" si="175"/>
        <v>8.7279040798465702E-3</v>
      </c>
      <c r="W2454" s="89">
        <f t="shared" si="176"/>
        <v>0.99127209592015342</v>
      </c>
    </row>
    <row r="2455" spans="2:23" x14ac:dyDescent="0.3">
      <c r="B2455">
        <v>113</v>
      </c>
      <c r="C2455">
        <v>30</v>
      </c>
      <c r="D2455">
        <v>366.86</v>
      </c>
      <c r="I2455">
        <f t="shared" si="179"/>
        <v>3.168220890321978E-2</v>
      </c>
      <c r="P2455" s="72">
        <v>1.8701164331703506E-4</v>
      </c>
      <c r="R2455" s="73">
        <f t="shared" si="180"/>
        <v>2.9519969534701349E-5</v>
      </c>
      <c r="S2455" s="74">
        <f t="shared" si="174"/>
        <v>2.9779885519020165E-5</v>
      </c>
      <c r="T2455">
        <f t="shared" si="178"/>
        <v>8.6958934742248056E-2</v>
      </c>
      <c r="U2455" s="86">
        <f t="shared" si="175"/>
        <v>1.3730358117197061E-2</v>
      </c>
      <c r="W2455" s="89">
        <f t="shared" si="176"/>
        <v>0.98626964188280297</v>
      </c>
    </row>
    <row r="2456" spans="2:23" x14ac:dyDescent="0.3">
      <c r="B2456">
        <v>114</v>
      </c>
      <c r="C2456">
        <v>30</v>
      </c>
      <c r="D2456">
        <v>0</v>
      </c>
      <c r="I2456">
        <f t="shared" si="179"/>
        <v>0</v>
      </c>
      <c r="P2456" s="72">
        <v>0</v>
      </c>
      <c r="R2456" s="73">
        <f t="shared" si="180"/>
        <v>0</v>
      </c>
      <c r="S2456" s="74">
        <f t="shared" si="174"/>
        <v>0</v>
      </c>
      <c r="T2456">
        <f t="shared" si="178"/>
        <v>0</v>
      </c>
      <c r="U2456" s="86">
        <f t="shared" si="175"/>
        <v>0</v>
      </c>
      <c r="W2456" s="89">
        <f t="shared" si="176"/>
        <v>1</v>
      </c>
    </row>
    <row r="2457" spans="2:23" x14ac:dyDescent="0.3">
      <c r="B2457">
        <v>114</v>
      </c>
      <c r="C2457">
        <v>30</v>
      </c>
      <c r="D2457" s="84">
        <v>1.56</v>
      </c>
      <c r="I2457">
        <f>IF(D2457&gt;D2456,(P2457+P2456)/1*(D2457-D2456),)</f>
        <v>5.4874885679263843E-3</v>
      </c>
      <c r="P2457" s="72">
        <v>3.5176208768758874E-3</v>
      </c>
      <c r="R2457" s="73">
        <f t="shared" si="180"/>
        <v>5.5541382266461378E-4</v>
      </c>
      <c r="S2457" s="74">
        <f t="shared" si="174"/>
        <v>5.5541382266461378E-4</v>
      </c>
      <c r="T2457">
        <f>IF(D2457&gt;D2456,T2456+(P2457+P2456)/1*(D2457-D2456),0)</f>
        <v>5.4874885679263843E-3</v>
      </c>
      <c r="U2457" s="86">
        <f t="shared" si="175"/>
        <v>8.6644556335679749E-4</v>
      </c>
      <c r="W2457" s="89">
        <f t="shared" si="176"/>
        <v>0.9991335544366432</v>
      </c>
    </row>
    <row r="2458" spans="2:23" x14ac:dyDescent="0.3">
      <c r="B2458">
        <v>114</v>
      </c>
      <c r="C2458">
        <v>30</v>
      </c>
      <c r="D2458">
        <v>3.49</v>
      </c>
      <c r="I2458">
        <f t="shared" ref="I2458:I2465" si="181">IF(D2458&gt;D2457,(P2458+P2457)/2*(D2458-D2457),)</f>
        <v>4.7986578310364736E-3</v>
      </c>
      <c r="P2458" s="72">
        <v>1.4550815387059503E-3</v>
      </c>
      <c r="R2458" s="73">
        <f t="shared" si="180"/>
        <v>3.9258176965119773E-4</v>
      </c>
      <c r="S2458" s="74">
        <f t="shared" si="174"/>
        <v>3.9292221536144198E-4</v>
      </c>
      <c r="T2458">
        <f t="shared" si="178"/>
        <v>1.0286146398962859E-2</v>
      </c>
      <c r="U2458" s="86">
        <f t="shared" si="175"/>
        <v>1.6241283787836092E-3</v>
      </c>
      <c r="W2458" s="89">
        <f t="shared" si="176"/>
        <v>0.99837587162121644</v>
      </c>
    </row>
    <row r="2459" spans="2:23" x14ac:dyDescent="0.3">
      <c r="B2459">
        <v>114</v>
      </c>
      <c r="C2459">
        <v>30</v>
      </c>
      <c r="D2459">
        <v>9.74</v>
      </c>
      <c r="I2459">
        <f t="shared" si="181"/>
        <v>6.1636104045793907E-3</v>
      </c>
      <c r="P2459" s="72">
        <v>5.1727379075945472E-4</v>
      </c>
      <c r="R2459" s="73">
        <f t="shared" si="180"/>
        <v>1.5571226285253194E-4</v>
      </c>
      <c r="S2459" s="74">
        <f t="shared" si="174"/>
        <v>1.5596557096244523E-4</v>
      </c>
      <c r="T2459">
        <f t="shared" si="178"/>
        <v>1.644975680354225E-2</v>
      </c>
      <c r="U2459" s="86">
        <f t="shared" si="175"/>
        <v>2.5973300216119337E-3</v>
      </c>
      <c r="W2459" s="89">
        <f t="shared" si="176"/>
        <v>0.99740266997838811</v>
      </c>
    </row>
    <row r="2460" spans="2:23" x14ac:dyDescent="0.3">
      <c r="B2460">
        <v>114</v>
      </c>
      <c r="C2460">
        <v>30</v>
      </c>
      <c r="D2460">
        <v>17.54</v>
      </c>
      <c r="I2460">
        <f t="shared" si="181"/>
        <v>2.7427805924062957E-3</v>
      </c>
      <c r="P2460" s="72">
        <v>1.8600328421651861E-4</v>
      </c>
      <c r="R2460" s="73">
        <f t="shared" si="180"/>
        <v>5.5521874340208429E-5</v>
      </c>
      <c r="S2460" s="74">
        <f t="shared" si="174"/>
        <v>5.5666458504077891E-5</v>
      </c>
      <c r="T2460">
        <f t="shared" si="178"/>
        <v>1.9192537395948544E-2</v>
      </c>
      <c r="U2460" s="86">
        <f t="shared" si="175"/>
        <v>3.0304006414655594E-3</v>
      </c>
      <c r="W2460" s="89">
        <f t="shared" si="176"/>
        <v>0.99696959935853446</v>
      </c>
    </row>
    <row r="2461" spans="2:23" x14ac:dyDescent="0.3">
      <c r="B2461">
        <v>114</v>
      </c>
      <c r="C2461">
        <v>30</v>
      </c>
      <c r="D2461">
        <v>83.68</v>
      </c>
      <c r="I2461">
        <f t="shared" si="181"/>
        <v>1.2360947273944991E-2</v>
      </c>
      <c r="P2461" s="72">
        <v>1.8777800619609061E-4</v>
      </c>
      <c r="R2461" s="73">
        <f t="shared" si="180"/>
        <v>2.9509049243100728E-5</v>
      </c>
      <c r="S2461" s="74">
        <f t="shared" si="174"/>
        <v>2.9598745299843949E-5</v>
      </c>
      <c r="T2461">
        <f t="shared" si="178"/>
        <v>3.1553484669893536E-2</v>
      </c>
      <c r="U2461" s="86">
        <f t="shared" si="175"/>
        <v>4.9821291584042421E-3</v>
      </c>
      <c r="W2461" s="89">
        <f t="shared" si="176"/>
        <v>0.99501787084159576</v>
      </c>
    </row>
    <row r="2462" spans="2:23" x14ac:dyDescent="0.3">
      <c r="B2462">
        <v>114</v>
      </c>
      <c r="C2462">
        <v>30</v>
      </c>
      <c r="D2462">
        <v>132.41999999999999</v>
      </c>
      <c r="I2462">
        <f t="shared" si="181"/>
        <v>9.8840248277211901E-3</v>
      </c>
      <c r="P2462" s="72">
        <v>2.1780364451056487E-4</v>
      </c>
      <c r="R2462" s="73">
        <f t="shared" si="180"/>
        <v>3.2019604003157012E-5</v>
      </c>
      <c r="S2462" s="74">
        <f t="shared" si="174"/>
        <v>3.2179928563568936E-5</v>
      </c>
      <c r="T2462">
        <f t="shared" si="178"/>
        <v>4.1437509497614725E-2</v>
      </c>
      <c r="U2462" s="86">
        <f t="shared" si="175"/>
        <v>6.5427646575181141E-3</v>
      </c>
      <c r="W2462" s="89">
        <f t="shared" si="176"/>
        <v>0.99345723534248187</v>
      </c>
    </row>
    <row r="2463" spans="2:23" x14ac:dyDescent="0.3">
      <c r="B2463">
        <v>114</v>
      </c>
      <c r="C2463">
        <v>30</v>
      </c>
      <c r="D2463">
        <v>196.55</v>
      </c>
      <c r="I2463">
        <f t="shared" si="181"/>
        <v>1.2413028218836166E-2</v>
      </c>
      <c r="P2463" s="72">
        <v>1.6931714821783559E-4</v>
      </c>
      <c r="R2463" s="73">
        <f t="shared" si="180"/>
        <v>3.0562167846978961E-5</v>
      </c>
      <c r="S2463" s="74">
        <f t="shared" si="174"/>
        <v>3.0763445833119368E-5</v>
      </c>
      <c r="T2463">
        <f t="shared" si="178"/>
        <v>5.3850537716450889E-2</v>
      </c>
      <c r="U2463" s="86">
        <f t="shared" si="175"/>
        <v>8.5027164815448756E-3</v>
      </c>
      <c r="W2463" s="89">
        <f t="shared" si="176"/>
        <v>0.99149728351845512</v>
      </c>
    </row>
    <row r="2464" spans="2:23" x14ac:dyDescent="0.3">
      <c r="B2464">
        <v>114</v>
      </c>
      <c r="C2464">
        <v>30</v>
      </c>
      <c r="D2464">
        <v>367.87</v>
      </c>
      <c r="I2464">
        <f t="shared" si="181"/>
        <v>2.9419303443021013E-2</v>
      </c>
      <c r="P2464" s="72">
        <v>1.7412557234042984E-4</v>
      </c>
      <c r="R2464" s="73">
        <f t="shared" si="180"/>
        <v>2.7113898991442005E-5</v>
      </c>
      <c r="S2464" s="74">
        <f t="shared" si="174"/>
        <v>2.7346417829028096E-5</v>
      </c>
      <c r="T2464">
        <f t="shared" si="178"/>
        <v>8.3269841159471905E-2</v>
      </c>
      <c r="U2464" s="86">
        <f t="shared" si="175"/>
        <v>1.314786965675872E-2</v>
      </c>
      <c r="W2464" s="89">
        <f t="shared" si="176"/>
        <v>0.98685213034324126</v>
      </c>
    </row>
    <row r="2465" spans="2:23" x14ac:dyDescent="0.3">
      <c r="B2465">
        <v>115</v>
      </c>
      <c r="C2465">
        <v>30</v>
      </c>
      <c r="D2465">
        <v>0</v>
      </c>
      <c r="I2465">
        <f t="shared" si="181"/>
        <v>0</v>
      </c>
      <c r="P2465" s="72">
        <v>0</v>
      </c>
      <c r="R2465" s="73">
        <f t="shared" si="180"/>
        <v>0</v>
      </c>
      <c r="S2465" s="74">
        <f t="shared" si="174"/>
        <v>0</v>
      </c>
      <c r="T2465">
        <f t="shared" si="178"/>
        <v>0</v>
      </c>
      <c r="U2465" s="86">
        <f t="shared" si="175"/>
        <v>0</v>
      </c>
      <c r="W2465" s="89">
        <f t="shared" si="176"/>
        <v>1</v>
      </c>
    </row>
    <row r="2466" spans="2:23" x14ac:dyDescent="0.3">
      <c r="B2466">
        <v>115</v>
      </c>
      <c r="C2466">
        <v>30</v>
      </c>
      <c r="D2466" s="84">
        <v>1.35</v>
      </c>
      <c r="I2466">
        <f>IF(D2466&gt;D2465,(P2466+P2465)/1*(D2466-D2465),)</f>
        <v>1.995236008637651E-3</v>
      </c>
      <c r="P2466" s="72">
        <v>1.4779525989908524E-3</v>
      </c>
      <c r="R2466" s="73">
        <f t="shared" si="180"/>
        <v>1.1668046834138308E-4</v>
      </c>
      <c r="S2466" s="74">
        <f t="shared" si="174"/>
        <v>1.1668046834138308E-4</v>
      </c>
      <c r="T2466">
        <f t="shared" si="178"/>
        <v>9.9761800431882549E-4</v>
      </c>
      <c r="U2466" s="86">
        <f t="shared" si="175"/>
        <v>1.5751863226086716E-4</v>
      </c>
      <c r="W2466" s="89">
        <f t="shared" si="176"/>
        <v>0.99984248136773912</v>
      </c>
    </row>
    <row r="2467" spans="2:23" x14ac:dyDescent="0.3">
      <c r="B2467">
        <v>115</v>
      </c>
      <c r="C2467">
        <v>30</v>
      </c>
      <c r="D2467">
        <v>3.55</v>
      </c>
      <c r="I2467">
        <f t="shared" ref="I2467:I2474" si="182">IF(D2467&gt;D2466,(P2467+P2466)/2*(D2467-D2466),)</f>
        <v>1.8464088513741959E-3</v>
      </c>
      <c r="P2467" s="72">
        <v>2.0060090225841677E-4</v>
      </c>
      <c r="R2467" s="73">
        <f t="shared" si="180"/>
        <v>1.3251738167757384E-4</v>
      </c>
      <c r="S2467" s="74">
        <f t="shared" si="174"/>
        <v>1.3253825892284163E-4</v>
      </c>
      <c r="T2467">
        <f t="shared" si="178"/>
        <v>2.8440268556930211E-3</v>
      </c>
      <c r="U2467" s="86">
        <f t="shared" si="175"/>
        <v>4.4905687195152962E-4</v>
      </c>
      <c r="W2467" s="89">
        <f t="shared" si="176"/>
        <v>0.99955094312804849</v>
      </c>
    </row>
    <row r="2468" spans="2:23" x14ac:dyDescent="0.3">
      <c r="B2468">
        <v>115</v>
      </c>
      <c r="C2468">
        <v>30</v>
      </c>
      <c r="D2468">
        <v>9.36</v>
      </c>
      <c r="I2468">
        <f t="shared" si="182"/>
        <v>9.0590956855675483E-4</v>
      </c>
      <c r="P2468" s="72">
        <v>1.1124404388848685E-4</v>
      </c>
      <c r="R2468" s="73">
        <f t="shared" si="180"/>
        <v>2.461933785370292E-5</v>
      </c>
      <c r="S2468" s="74">
        <f t="shared" si="174"/>
        <v>2.4630398303319929E-5</v>
      </c>
      <c r="T2468">
        <f t="shared" si="178"/>
        <v>3.7499364242497761E-3</v>
      </c>
      <c r="U2468" s="86">
        <f t="shared" si="175"/>
        <v>5.9209522488154356E-4</v>
      </c>
      <c r="W2468" s="89">
        <f t="shared" si="176"/>
        <v>0.99940790477511843</v>
      </c>
    </row>
    <row r="2469" spans="2:23" x14ac:dyDescent="0.3">
      <c r="B2469">
        <v>115</v>
      </c>
      <c r="C2469">
        <v>30</v>
      </c>
      <c r="D2469">
        <v>17.079999999999998</v>
      </c>
      <c r="I2469">
        <f t="shared" si="182"/>
        <v>8.9240738461587442E-4</v>
      </c>
      <c r="P2469" s="72">
        <v>1.199495790689936E-4</v>
      </c>
      <c r="R2469" s="73">
        <f t="shared" si="180"/>
        <v>1.8252128128222144E-5</v>
      </c>
      <c r="S2469" s="74">
        <f t="shared" si="174"/>
        <v>1.8262941528693574E-5</v>
      </c>
      <c r="T2469">
        <f t="shared" si="178"/>
        <v>4.6423438088656508E-3</v>
      </c>
      <c r="U2469" s="86">
        <f t="shared" si="175"/>
        <v>7.3300165403141848E-4</v>
      </c>
      <c r="W2469" s="89">
        <f t="shared" si="176"/>
        <v>0.99926699834596855</v>
      </c>
    </row>
    <row r="2470" spans="2:23" x14ac:dyDescent="0.3">
      <c r="B2470">
        <v>115</v>
      </c>
      <c r="C2470">
        <v>30</v>
      </c>
      <c r="D2470">
        <v>83.6</v>
      </c>
      <c r="I2470">
        <f t="shared" si="182"/>
        <v>8.6298171571586018E-3</v>
      </c>
      <c r="P2470" s="72">
        <v>1.3951575939037509E-4</v>
      </c>
      <c r="R2470" s="73">
        <f t="shared" si="180"/>
        <v>2.0484105667844895E-5</v>
      </c>
      <c r="S2470" s="74">
        <f t="shared" si="174"/>
        <v>2.0499131565188389E-5</v>
      </c>
      <c r="T2470">
        <f t="shared" si="178"/>
        <v>1.3272160966024252E-2</v>
      </c>
      <c r="U2470" s="86">
        <f t="shared" si="175"/>
        <v>2.0956043630564608E-3</v>
      </c>
      <c r="W2470" s="89">
        <f t="shared" si="176"/>
        <v>0.99790439563694355</v>
      </c>
    </row>
    <row r="2471" spans="2:23" x14ac:dyDescent="0.3">
      <c r="B2471">
        <v>115</v>
      </c>
      <c r="C2471">
        <v>30</v>
      </c>
      <c r="D2471">
        <v>132.83000000000001</v>
      </c>
      <c r="I2471">
        <f t="shared" si="182"/>
        <v>7.0671916705254091E-3</v>
      </c>
      <c r="P2471" s="72">
        <v>1.4759338830515225E-4</v>
      </c>
      <c r="R2471" s="73">
        <f t="shared" si="180"/>
        <v>2.2666511660173211E-5</v>
      </c>
      <c r="S2471" s="74">
        <f t="shared" si="174"/>
        <v>2.2714111451233367E-5</v>
      </c>
      <c r="T2471">
        <f t="shared" si="178"/>
        <v>2.0339352636549662E-2</v>
      </c>
      <c r="U2471" s="86">
        <f t="shared" si="175"/>
        <v>3.2114767320867883E-3</v>
      </c>
      <c r="W2471" s="89">
        <f t="shared" si="176"/>
        <v>0.99678852326791323</v>
      </c>
    </row>
    <row r="2472" spans="2:23" x14ac:dyDescent="0.3">
      <c r="B2472">
        <v>115</v>
      </c>
      <c r="C2472">
        <v>30</v>
      </c>
      <c r="D2472">
        <v>197.01</v>
      </c>
      <c r="I2472">
        <f t="shared" si="182"/>
        <v>7.6941279668440868E-3</v>
      </c>
      <c r="P2472" s="72">
        <v>9.2173765538540166E-5</v>
      </c>
      <c r="R2472" s="73">
        <f t="shared" si="180"/>
        <v>1.8928985829765188E-5</v>
      </c>
      <c r="S2472" s="74">
        <f t="shared" si="174"/>
        <v>1.8989971681964803E-5</v>
      </c>
      <c r="T2472">
        <f t="shared" si="178"/>
        <v>2.8033480603393748E-2</v>
      </c>
      <c r="U2472" s="86">
        <f t="shared" si="175"/>
        <v>4.4263390426411177E-3</v>
      </c>
      <c r="W2472" s="89">
        <f t="shared" si="176"/>
        <v>0.99557366095735889</v>
      </c>
    </row>
    <row r="2473" spans="2:23" x14ac:dyDescent="0.3">
      <c r="B2473">
        <v>115</v>
      </c>
      <c r="C2473">
        <v>30</v>
      </c>
      <c r="D2473">
        <v>367.78</v>
      </c>
      <c r="I2473">
        <f t="shared" si="182"/>
        <v>1.2464129233336882E-2</v>
      </c>
      <c r="P2473" s="72">
        <v>5.3801865231933384E-5</v>
      </c>
      <c r="R2473" s="73">
        <f t="shared" si="180"/>
        <v>1.1524391902932122E-5</v>
      </c>
      <c r="S2473" s="74">
        <f t="shared" si="174"/>
        <v>1.157562956401447E-5</v>
      </c>
      <c r="T2473">
        <f t="shared" si="178"/>
        <v>4.0497609836730633E-2</v>
      </c>
      <c r="U2473" s="86">
        <f t="shared" si="175"/>
        <v>6.3943594479048361E-3</v>
      </c>
      <c r="W2473" s="89">
        <f t="shared" si="176"/>
        <v>0.99360564055209522</v>
      </c>
    </row>
    <row r="2474" spans="2:23" x14ac:dyDescent="0.3">
      <c r="B2474">
        <v>116</v>
      </c>
      <c r="C2474">
        <v>30</v>
      </c>
      <c r="D2474">
        <v>0</v>
      </c>
      <c r="I2474">
        <f t="shared" si="182"/>
        <v>0</v>
      </c>
      <c r="P2474" s="72">
        <v>0</v>
      </c>
      <c r="R2474" s="73">
        <f t="shared" si="180"/>
        <v>0</v>
      </c>
      <c r="S2474" s="74">
        <f t="shared" ref="S2474:S2537" si="183">IF(D2474&gt;D2473,(U2474-U2473)/W2473/(D2474-D2473),0)</f>
        <v>0</v>
      </c>
      <c r="T2474">
        <f t="shared" si="178"/>
        <v>0</v>
      </c>
      <c r="U2474" s="86">
        <f t="shared" si="175"/>
        <v>0</v>
      </c>
      <c r="W2474" s="89">
        <f t="shared" si="176"/>
        <v>1</v>
      </c>
    </row>
    <row r="2475" spans="2:23" x14ac:dyDescent="0.3">
      <c r="B2475">
        <v>116</v>
      </c>
      <c r="C2475">
        <v>30</v>
      </c>
      <c r="D2475" s="84">
        <v>0.82</v>
      </c>
      <c r="I2475">
        <f>IF(D2475&gt;D2474,(P2475+P2474)/1*(D2475-D2474),)</f>
        <v>1.0346162920248498E-3</v>
      </c>
      <c r="P2475" s="72">
        <v>1.2617271853961583E-3</v>
      </c>
      <c r="R2475" s="73">
        <f t="shared" si="180"/>
        <v>1.9922008190465657E-4</v>
      </c>
      <c r="S2475" s="74">
        <f t="shared" si="183"/>
        <v>1.9922008190465657E-4</v>
      </c>
      <c r="T2475">
        <f>IF(D2475&gt;D2474,T2474+(P2475+P2474)/1*(D2475-D2474),0)</f>
        <v>1.0346162920248498E-3</v>
      </c>
      <c r="U2475" s="86">
        <f t="shared" si="175"/>
        <v>1.6336046716181838E-4</v>
      </c>
      <c r="W2475" s="89">
        <f t="shared" si="176"/>
        <v>0.99983663953283819</v>
      </c>
    </row>
    <row r="2476" spans="2:23" x14ac:dyDescent="0.3">
      <c r="B2476">
        <v>116</v>
      </c>
      <c r="C2476">
        <v>30</v>
      </c>
      <c r="D2476">
        <v>3.61</v>
      </c>
      <c r="I2476">
        <f t="shared" ref="I2476:I2482" si="184">IF(D2476&gt;D2475,(P2476+P2475)/2*(D2476-D2475),)</f>
        <v>2.7177559307175981E-3</v>
      </c>
      <c r="P2476" s="72">
        <v>6.8648495131896578E-4</v>
      </c>
      <c r="R2476" s="73">
        <f t="shared" si="180"/>
        <v>1.5380622131961504E-4</v>
      </c>
      <c r="S2476" s="74">
        <f t="shared" si="183"/>
        <v>1.5383135128102445E-4</v>
      </c>
      <c r="T2476">
        <f t="shared" si="178"/>
        <v>3.7523722227424481E-3</v>
      </c>
      <c r="U2476" s="86">
        <f t="shared" si="175"/>
        <v>5.9247982464354434E-4</v>
      </c>
      <c r="W2476" s="89">
        <f t="shared" si="176"/>
        <v>0.9994075201753565</v>
      </c>
    </row>
    <row r="2477" spans="2:23" x14ac:dyDescent="0.3">
      <c r="B2477">
        <v>116</v>
      </c>
      <c r="C2477">
        <v>30</v>
      </c>
      <c r="D2477">
        <v>9.52</v>
      </c>
      <c r="I2477">
        <f t="shared" si="184"/>
        <v>2.7169339858814793E-3</v>
      </c>
      <c r="P2477" s="72">
        <v>2.3295125371706777E-4</v>
      </c>
      <c r="R2477" s="73">
        <f t="shared" si="180"/>
        <v>7.2587068818634251E-5</v>
      </c>
      <c r="S2477" s="74">
        <f t="shared" si="183"/>
        <v>7.263010068795369E-5</v>
      </c>
      <c r="T2477">
        <f t="shared" si="178"/>
        <v>6.4693062086239273E-3</v>
      </c>
      <c r="U2477" s="86">
        <f t="shared" si="175"/>
        <v>1.0214694013616727E-3</v>
      </c>
      <c r="W2477" s="89">
        <f t="shared" si="176"/>
        <v>0.99897853059863828</v>
      </c>
    </row>
    <row r="2478" spans="2:23" x14ac:dyDescent="0.3">
      <c r="B2478">
        <v>116</v>
      </c>
      <c r="C2478">
        <v>30</v>
      </c>
      <c r="D2478">
        <v>17.14</v>
      </c>
      <c r="I2478">
        <f t="shared" si="184"/>
        <v>1.3394491429531746E-3</v>
      </c>
      <c r="P2478" s="72">
        <v>1.1861020112628513E-4</v>
      </c>
      <c r="R2478" s="73">
        <f t="shared" si="180"/>
        <v>2.7754851698159412E-5</v>
      </c>
      <c r="S2478" s="74">
        <f t="shared" si="183"/>
        <v>2.77832314189248E-5</v>
      </c>
      <c r="T2478">
        <f t="shared" si="178"/>
        <v>7.8087553515771022E-3</v>
      </c>
      <c r="U2478" s="86">
        <f t="shared" si="175"/>
        <v>1.2329613713016475E-3</v>
      </c>
      <c r="W2478" s="89">
        <f t="shared" si="176"/>
        <v>0.99876703862869831</v>
      </c>
    </row>
    <row r="2479" spans="2:23" x14ac:dyDescent="0.3">
      <c r="B2479">
        <v>116</v>
      </c>
      <c r="C2479">
        <v>30</v>
      </c>
      <c r="D2479">
        <v>83.49</v>
      </c>
      <c r="I2479">
        <f t="shared" si="184"/>
        <v>7.9978348331337552E-3</v>
      </c>
      <c r="P2479" s="72">
        <v>1.2246997470291622E-4</v>
      </c>
      <c r="R2479" s="73">
        <f t="shared" si="180"/>
        <v>1.9032645460200106E-5</v>
      </c>
      <c r="S2479" s="74">
        <f t="shared" si="183"/>
        <v>1.9056140945872451E-5</v>
      </c>
      <c r="T2479">
        <f t="shared" si="178"/>
        <v>1.5806590184710857E-2</v>
      </c>
      <c r="U2479" s="86">
        <f t="shared" si="175"/>
        <v>2.4957773975859245E-3</v>
      </c>
      <c r="W2479" s="89">
        <f t="shared" si="176"/>
        <v>0.99750422260241411</v>
      </c>
    </row>
    <row r="2480" spans="2:23" x14ac:dyDescent="0.3">
      <c r="B2480">
        <v>116</v>
      </c>
      <c r="C2480">
        <v>30</v>
      </c>
      <c r="D2480">
        <v>133.07</v>
      </c>
      <c r="I2480">
        <f t="shared" si="184"/>
        <v>6.5441221458007433E-3</v>
      </c>
      <c r="P2480" s="72">
        <v>1.4151236276383421E-4</v>
      </c>
      <c r="R2480" s="73">
        <f t="shared" si="180"/>
        <v>2.0840710852638194E-5</v>
      </c>
      <c r="S2480" s="74">
        <f t="shared" si="183"/>
        <v>2.0892854767337557E-5</v>
      </c>
      <c r="T2480">
        <f t="shared" si="178"/>
        <v>2.2350712330511599E-2</v>
      </c>
      <c r="U2480" s="86">
        <f t="shared" si="175"/>
        <v>3.529059841659726E-3</v>
      </c>
      <c r="W2480" s="89">
        <f t="shared" si="176"/>
        <v>0.99647094015834026</v>
      </c>
    </row>
    <row r="2481" spans="2:23" x14ac:dyDescent="0.3">
      <c r="B2481">
        <v>116</v>
      </c>
      <c r="C2481">
        <v>30</v>
      </c>
      <c r="D2481">
        <v>197.18</v>
      </c>
      <c r="I2481">
        <f t="shared" si="184"/>
        <v>7.0948193714854236E-3</v>
      </c>
      <c r="P2481" s="72">
        <v>7.9820327034494339E-5</v>
      </c>
      <c r="R2481" s="73">
        <f t="shared" si="180"/>
        <v>1.7473633405131202E-5</v>
      </c>
      <c r="S2481" s="74">
        <f t="shared" si="183"/>
        <v>1.7535517295019788E-5</v>
      </c>
      <c r="T2481">
        <f t="shared" si="178"/>
        <v>2.9445531701997023E-2</v>
      </c>
      <c r="U2481" s="86">
        <f t="shared" si="175"/>
        <v>4.6492944792626877E-3</v>
      </c>
      <c r="W2481" s="89">
        <f t="shared" si="176"/>
        <v>0.99535070552073734</v>
      </c>
    </row>
    <row r="2482" spans="2:23" x14ac:dyDescent="0.3">
      <c r="B2482">
        <v>116</v>
      </c>
      <c r="C2482">
        <v>30</v>
      </c>
      <c r="D2482">
        <v>368.42</v>
      </c>
      <c r="I2482">
        <f t="shared" si="184"/>
        <v>1.0358612147376794E-2</v>
      </c>
      <c r="P2482" s="72">
        <v>4.1163229930896865E-5</v>
      </c>
      <c r="R2482" s="73">
        <f t="shared" si="180"/>
        <v>9.551333444636149E-6</v>
      </c>
      <c r="S2482" s="74">
        <f t="shared" si="183"/>
        <v>9.5959478319143605E-6</v>
      </c>
      <c r="T2482">
        <f t="shared" si="178"/>
        <v>3.9804143849373821E-2</v>
      </c>
      <c r="U2482" s="86">
        <f t="shared" si="175"/>
        <v>6.284864818322182E-3</v>
      </c>
      <c r="W2482" s="89">
        <f t="shared" si="176"/>
        <v>0.99371513518167787</v>
      </c>
    </row>
    <row r="2483" spans="2:23" x14ac:dyDescent="0.3">
      <c r="B2483">
        <v>117</v>
      </c>
      <c r="C2483">
        <v>46</v>
      </c>
      <c r="D2483">
        <v>0</v>
      </c>
      <c r="E2483" s="64">
        <v>41288</v>
      </c>
      <c r="R2483" s="73">
        <f t="shared" si="180"/>
        <v>0</v>
      </c>
      <c r="S2483" s="74">
        <f t="shared" si="183"/>
        <v>0</v>
      </c>
      <c r="T2483">
        <v>0</v>
      </c>
      <c r="U2483" s="86">
        <f>T2483/$V$2483</f>
        <v>0</v>
      </c>
      <c r="V2483">
        <f>1/(PI()*(0.66/2)^2)*0.6679*1000</f>
        <v>1952.2421761446626</v>
      </c>
      <c r="W2483" s="89">
        <f t="shared" si="176"/>
        <v>1</v>
      </c>
    </row>
    <row r="2484" spans="2:23" x14ac:dyDescent="0.3">
      <c r="B2484">
        <v>117</v>
      </c>
      <c r="C2484">
        <v>46</v>
      </c>
      <c r="D2484">
        <v>1</v>
      </c>
      <c r="E2484" s="64">
        <v>41289</v>
      </c>
      <c r="R2484" s="73">
        <f t="shared" si="180"/>
        <v>2.146651778685745E-4</v>
      </c>
      <c r="S2484" s="74">
        <f>IF(D2484&gt;D2483,(U2484-U2483)/W2483/(D2484-D2483),0)</f>
        <v>2.146651778685745E-4</v>
      </c>
      <c r="T2484">
        <v>0.41907841398462697</v>
      </c>
      <c r="U2484" s="86">
        <f t="shared" ref="U2484:U2546" si="185">T2484/$V$2483</f>
        <v>2.146651778685745E-4</v>
      </c>
      <c r="V2484">
        <f>$V$2483-T2484</f>
        <v>1951.823097730678</v>
      </c>
      <c r="W2484" s="89">
        <f t="shared" si="176"/>
        <v>0.99978533482213139</v>
      </c>
    </row>
    <row r="2485" spans="2:23" x14ac:dyDescent="0.3">
      <c r="B2485">
        <v>117</v>
      </c>
      <c r="C2485">
        <v>46</v>
      </c>
      <c r="D2485">
        <v>2</v>
      </c>
      <c r="E2485" s="64">
        <v>41290</v>
      </c>
      <c r="R2485" s="73">
        <f t="shared" si="180"/>
        <v>2.4598744606735355E-4</v>
      </c>
      <c r="S2485" s="74">
        <f t="shared" si="183"/>
        <v>2.4604026234403245E-4</v>
      </c>
      <c r="T2485">
        <v>0.89930548099942498</v>
      </c>
      <c r="U2485" s="86">
        <f t="shared" si="185"/>
        <v>4.6065262393592802E-4</v>
      </c>
      <c r="V2485">
        <f t="shared" ref="V2485:V2548" si="186">$V$2483-T2485</f>
        <v>1951.3428706636632</v>
      </c>
      <c r="W2485" s="89">
        <f t="shared" si="176"/>
        <v>0.99953934737606409</v>
      </c>
    </row>
    <row r="2486" spans="2:23" x14ac:dyDescent="0.3">
      <c r="B2486">
        <v>117</v>
      </c>
      <c r="C2486">
        <v>46</v>
      </c>
      <c r="D2486">
        <v>7</v>
      </c>
      <c r="E2486" s="64">
        <v>41295</v>
      </c>
      <c r="R2486" s="73">
        <f t="shared" si="180"/>
        <v>2.1189057429400315E-4</v>
      </c>
      <c r="S2486" s="74">
        <f t="shared" si="183"/>
        <v>2.1198822722711883E-4</v>
      </c>
      <c r="T2486">
        <v>2.9676140603207601</v>
      </c>
      <c r="U2486" s="86">
        <f t="shared" si="185"/>
        <v>1.5201054954059438E-3</v>
      </c>
      <c r="V2486">
        <f t="shared" si="186"/>
        <v>1949.2745620843418</v>
      </c>
      <c r="W2486" s="89">
        <f t="shared" si="176"/>
        <v>0.99847989450459407</v>
      </c>
    </row>
    <row r="2487" spans="2:23" x14ac:dyDescent="0.3">
      <c r="B2487">
        <v>117</v>
      </c>
      <c r="C2487">
        <v>46</v>
      </c>
      <c r="D2487">
        <v>15</v>
      </c>
      <c r="E2487" s="64">
        <v>41303</v>
      </c>
      <c r="R2487" s="73">
        <f t="shared" si="180"/>
        <v>2.6138110958014691E-4</v>
      </c>
      <c r="S2487" s="74">
        <f t="shared" si="183"/>
        <v>2.6177904133946914E-4</v>
      </c>
      <c r="T2487">
        <v>7.0498478696795797</v>
      </c>
      <c r="U2487" s="86">
        <f t="shared" si="185"/>
        <v>3.6111543720471189E-3</v>
      </c>
      <c r="V2487">
        <f t="shared" si="186"/>
        <v>1945.1923282749831</v>
      </c>
      <c r="W2487" s="89">
        <f t="shared" si="176"/>
        <v>0.99638884562795293</v>
      </c>
    </row>
    <row r="2488" spans="2:23" x14ac:dyDescent="0.3">
      <c r="B2488">
        <v>117</v>
      </c>
      <c r="C2488">
        <v>46</v>
      </c>
      <c r="D2488">
        <v>17</v>
      </c>
      <c r="E2488" s="64">
        <v>41305</v>
      </c>
      <c r="R2488" s="73">
        <f t="shared" si="180"/>
        <v>2.6261179644340412E-4</v>
      </c>
      <c r="S2488" s="74">
        <f t="shared" si="183"/>
        <v>2.6356356516405864E-4</v>
      </c>
      <c r="T2488">
        <v>8.0752115196194403</v>
      </c>
      <c r="U2488" s="86">
        <f t="shared" si="185"/>
        <v>4.1363779649339271E-3</v>
      </c>
      <c r="V2488">
        <f t="shared" si="186"/>
        <v>1944.1669646250432</v>
      </c>
      <c r="W2488" s="89">
        <f t="shared" si="176"/>
        <v>0.99586362203506607</v>
      </c>
    </row>
    <row r="2489" spans="2:23" x14ac:dyDescent="0.3">
      <c r="B2489">
        <v>117</v>
      </c>
      <c r="C2489">
        <v>46</v>
      </c>
      <c r="D2489">
        <v>21</v>
      </c>
      <c r="E2489" s="64">
        <v>41309</v>
      </c>
      <c r="R2489" s="73">
        <f t="shared" si="180"/>
        <v>9.1073238154228651E-5</v>
      </c>
      <c r="S2489" s="74">
        <f t="shared" si="183"/>
        <v>9.1451516190659501E-5</v>
      </c>
      <c r="T2489">
        <v>8.7863995861904503</v>
      </c>
      <c r="U2489" s="86">
        <f t="shared" si="185"/>
        <v>4.5006709175508417E-3</v>
      </c>
      <c r="V2489">
        <f t="shared" si="186"/>
        <v>1943.4557765584721</v>
      </c>
      <c r="W2489" s="89">
        <f t="shared" si="176"/>
        <v>0.9954993290824492</v>
      </c>
    </row>
    <row r="2490" spans="2:23" x14ac:dyDescent="0.3">
      <c r="B2490">
        <v>117</v>
      </c>
      <c r="C2490">
        <v>46</v>
      </c>
      <c r="D2490">
        <v>24</v>
      </c>
      <c r="E2490" s="64">
        <v>41312</v>
      </c>
      <c r="R2490" s="73">
        <f t="shared" si="180"/>
        <v>7.6137433761383426E-5</v>
      </c>
      <c r="S2490" s="74">
        <f t="shared" si="183"/>
        <v>7.6481652510563948E-5</v>
      </c>
      <c r="T2490">
        <v>9.2323157143076298</v>
      </c>
      <c r="U2490" s="86">
        <f t="shared" si="185"/>
        <v>4.729083218834992E-3</v>
      </c>
      <c r="V2490">
        <f t="shared" si="186"/>
        <v>1943.009860430355</v>
      </c>
      <c r="W2490" s="89">
        <f t="shared" si="176"/>
        <v>0.99527091678116497</v>
      </c>
    </row>
    <row r="2491" spans="2:23" x14ac:dyDescent="0.3">
      <c r="B2491">
        <v>117</v>
      </c>
      <c r="C2491">
        <v>46</v>
      </c>
      <c r="D2491">
        <v>31</v>
      </c>
      <c r="E2491" s="64">
        <v>41319</v>
      </c>
      <c r="R2491" s="73">
        <f t="shared" si="180"/>
        <v>9.2978026603704743E-5</v>
      </c>
      <c r="S2491" s="74">
        <f t="shared" si="183"/>
        <v>9.341981669112538E-5</v>
      </c>
      <c r="T2491">
        <v>10.502925089240801</v>
      </c>
      <c r="U2491" s="86">
        <f t="shared" si="185"/>
        <v>5.3799294050609252E-3</v>
      </c>
      <c r="V2491">
        <f t="shared" si="186"/>
        <v>1941.7392510554218</v>
      </c>
      <c r="W2491" s="89">
        <f t="shared" si="176"/>
        <v>0.99462007059493907</v>
      </c>
    </row>
    <row r="2492" spans="2:23" x14ac:dyDescent="0.3">
      <c r="B2492">
        <v>117</v>
      </c>
      <c r="C2492">
        <v>46</v>
      </c>
      <c r="D2492">
        <v>38</v>
      </c>
      <c r="E2492" s="64">
        <v>41326</v>
      </c>
      <c r="R2492" s="73">
        <f t="shared" si="180"/>
        <v>7.0621150412875365E-5</v>
      </c>
      <c r="S2492" s="74">
        <f t="shared" si="183"/>
        <v>7.1003142306019234E-5</v>
      </c>
      <c r="T2492">
        <v>11.468012207787901</v>
      </c>
      <c r="U2492" s="86">
        <f t="shared" si="185"/>
        <v>5.8742774579510527E-3</v>
      </c>
      <c r="V2492">
        <f t="shared" si="186"/>
        <v>1940.7741639368746</v>
      </c>
      <c r="W2492" s="89">
        <f t="shared" si="176"/>
        <v>0.9941257225420489</v>
      </c>
    </row>
    <row r="2493" spans="2:23" x14ac:dyDescent="0.3">
      <c r="B2493">
        <v>117</v>
      </c>
      <c r="C2493">
        <v>46</v>
      </c>
      <c r="D2493">
        <v>44</v>
      </c>
      <c r="E2493" s="64">
        <v>41332</v>
      </c>
      <c r="R2493" s="73">
        <f t="shared" si="180"/>
        <v>6.1647188788203564E-5</v>
      </c>
      <c r="S2493" s="74">
        <f t="shared" si="183"/>
        <v>6.2011461317555892E-5</v>
      </c>
      <c r="T2493">
        <v>12.1901136597464</v>
      </c>
      <c r="U2493" s="86">
        <f t="shared" si="185"/>
        <v>6.2441605906802741E-3</v>
      </c>
      <c r="V2493">
        <f t="shared" si="186"/>
        <v>1940.0520624849162</v>
      </c>
      <c r="W2493" s="89">
        <f t="shared" si="176"/>
        <v>0.99375583940931977</v>
      </c>
    </row>
    <row r="2494" spans="2:23" x14ac:dyDescent="0.3">
      <c r="B2494">
        <v>117</v>
      </c>
      <c r="C2494">
        <v>46</v>
      </c>
      <c r="D2494">
        <v>58</v>
      </c>
      <c r="E2494" s="64">
        <v>41346</v>
      </c>
      <c r="R2494" s="73">
        <f t="shared" si="180"/>
        <v>5.3569881862915924E-5</v>
      </c>
      <c r="S2494" s="74">
        <f t="shared" si="183"/>
        <v>5.3906482597131123E-5</v>
      </c>
      <c r="T2494">
        <v>13.654253018160601</v>
      </c>
      <c r="U2494" s="86">
        <f t="shared" si="185"/>
        <v>6.9941389367610971E-3</v>
      </c>
      <c r="V2494">
        <f t="shared" si="186"/>
        <v>1938.5879231265021</v>
      </c>
      <c r="W2494" s="89">
        <f t="shared" si="176"/>
        <v>0.99300586106323885</v>
      </c>
    </row>
    <row r="2495" spans="2:23" x14ac:dyDescent="0.3">
      <c r="B2495">
        <v>117</v>
      </c>
      <c r="C2495">
        <v>46</v>
      </c>
      <c r="D2495">
        <v>66</v>
      </c>
      <c r="E2495" s="64">
        <v>41354</v>
      </c>
      <c r="R2495" s="73">
        <f t="shared" si="180"/>
        <v>9.0909559979591905E-5</v>
      </c>
      <c r="S2495" s="74">
        <f t="shared" si="183"/>
        <v>9.1549872507552495E-5</v>
      </c>
      <c r="T2495">
        <v>15.074072835815899</v>
      </c>
      <c r="U2495" s="86">
        <f t="shared" si="185"/>
        <v>7.7214154165978323E-3</v>
      </c>
      <c r="V2495">
        <f t="shared" si="186"/>
        <v>1937.1681033088466</v>
      </c>
      <c r="W2495" s="89">
        <f t="shared" si="176"/>
        <v>0.99227858458340212</v>
      </c>
    </row>
    <row r="2496" spans="2:23" x14ac:dyDescent="0.3">
      <c r="B2496">
        <v>117</v>
      </c>
      <c r="C2496">
        <v>46</v>
      </c>
      <c r="D2496">
        <v>72</v>
      </c>
      <c r="E2496" s="64">
        <v>41360</v>
      </c>
      <c r="R2496" s="73">
        <f t="shared" si="180"/>
        <v>9.0205755696623802E-5</v>
      </c>
      <c r="S2496" s="74">
        <f t="shared" si="183"/>
        <v>9.0907691749183273E-5</v>
      </c>
      <c r="T2496">
        <v>16.130693720627601</v>
      </c>
      <c r="U2496" s="86">
        <f t="shared" si="185"/>
        <v>8.2626499507775751E-3</v>
      </c>
      <c r="V2496">
        <f t="shared" si="186"/>
        <v>1936.1114824240351</v>
      </c>
      <c r="W2496" s="89">
        <f t="shared" si="176"/>
        <v>0.99173735004922248</v>
      </c>
    </row>
    <row r="2497" spans="2:23" x14ac:dyDescent="0.3">
      <c r="B2497">
        <v>117</v>
      </c>
      <c r="C2497">
        <v>46</v>
      </c>
      <c r="D2497">
        <v>84</v>
      </c>
      <c r="E2497" s="64">
        <v>41372</v>
      </c>
      <c r="R2497" s="73">
        <f t="shared" si="180"/>
        <v>5.0139060310238258E-5</v>
      </c>
      <c r="S2497" s="74">
        <f t="shared" si="183"/>
        <v>5.0556793396709037E-5</v>
      </c>
      <c r="T2497">
        <v>17.305296779146499</v>
      </c>
      <c r="U2497" s="86">
        <f t="shared" si="185"/>
        <v>8.8643186745004342E-3</v>
      </c>
      <c r="V2497">
        <f t="shared" si="186"/>
        <v>1934.936879365516</v>
      </c>
      <c r="W2497" s="89">
        <f t="shared" si="176"/>
        <v>0.99113568132549956</v>
      </c>
    </row>
    <row r="2498" spans="2:23" x14ac:dyDescent="0.3">
      <c r="B2498">
        <v>117</v>
      </c>
      <c r="C2498">
        <v>46</v>
      </c>
      <c r="D2498">
        <v>107</v>
      </c>
      <c r="E2498" s="64">
        <v>41395</v>
      </c>
      <c r="R2498" s="73">
        <f t="shared" si="180"/>
        <v>4.850732552858071E-5</v>
      </c>
      <c r="S2498" s="74">
        <f t="shared" si="183"/>
        <v>4.894115552747453E-5</v>
      </c>
      <c r="T2498">
        <v>19.4833518543706</v>
      </c>
      <c r="U2498" s="86">
        <f t="shared" si="185"/>
        <v>9.9799871616577905E-3</v>
      </c>
      <c r="V2498">
        <f t="shared" si="186"/>
        <v>1932.7588242902921</v>
      </c>
      <c r="W2498" s="89">
        <f t="shared" si="176"/>
        <v>0.99002001283834218</v>
      </c>
    </row>
    <row r="2499" spans="2:23" x14ac:dyDescent="0.3">
      <c r="B2499">
        <v>117</v>
      </c>
      <c r="C2499">
        <v>46</v>
      </c>
      <c r="D2499">
        <v>113</v>
      </c>
      <c r="E2499" s="64">
        <v>41401</v>
      </c>
      <c r="R2499" s="73">
        <f t="shared" si="180"/>
        <v>6.0980038204677102E-5</v>
      </c>
      <c r="S2499" s="74">
        <f t="shared" si="183"/>
        <v>6.1594753049334946E-5</v>
      </c>
      <c r="T2499">
        <v>20.197638669287102</v>
      </c>
      <c r="U2499" s="86">
        <f t="shared" si="185"/>
        <v>1.0345867390885853E-2</v>
      </c>
      <c r="V2499">
        <f t="shared" si="186"/>
        <v>1932.0445374753756</v>
      </c>
      <c r="W2499" s="89">
        <f t="shared" si="176"/>
        <v>0.98965413260911417</v>
      </c>
    </row>
    <row r="2500" spans="2:23" x14ac:dyDescent="0.3">
      <c r="B2500">
        <v>117</v>
      </c>
      <c r="C2500">
        <v>46</v>
      </c>
      <c r="D2500">
        <v>128</v>
      </c>
      <c r="E2500" s="64">
        <v>41416</v>
      </c>
      <c r="R2500" s="73">
        <f t="shared" si="180"/>
        <v>5.4850497932447626E-5</v>
      </c>
      <c r="S2500" s="74">
        <f t="shared" si="183"/>
        <v>5.5423906317493291E-5</v>
      </c>
      <c r="T2500">
        <v>21.803860500980999</v>
      </c>
      <c r="U2500" s="86">
        <f t="shared" si="185"/>
        <v>1.1168624859872568E-2</v>
      </c>
      <c r="V2500">
        <f t="shared" si="186"/>
        <v>1930.4383156436816</v>
      </c>
      <c r="W2500" s="89">
        <f t="shared" si="176"/>
        <v>0.98883137514012742</v>
      </c>
    </row>
    <row r="2501" spans="2:23" x14ac:dyDescent="0.3">
      <c r="B2501">
        <v>117</v>
      </c>
      <c r="C2501">
        <v>46</v>
      </c>
      <c r="D2501">
        <v>142</v>
      </c>
      <c r="E2501" s="64">
        <v>41430</v>
      </c>
      <c r="R2501" s="73">
        <f t="shared" si="180"/>
        <v>3.5042290819223251E-5</v>
      </c>
      <c r="S2501" s="74">
        <f t="shared" si="183"/>
        <v>3.5438085501946576E-5</v>
      </c>
      <c r="T2501">
        <v>22.761615034185201</v>
      </c>
      <c r="U2501" s="86">
        <f t="shared" si="185"/>
        <v>1.1659216931341693E-2</v>
      </c>
      <c r="V2501">
        <f t="shared" si="186"/>
        <v>1929.4805611104773</v>
      </c>
      <c r="W2501" s="89">
        <f t="shared" si="176"/>
        <v>0.98834078306865836</v>
      </c>
    </row>
    <row r="2502" spans="2:23" x14ac:dyDescent="0.3">
      <c r="B2502">
        <v>117</v>
      </c>
      <c r="C2502">
        <v>46</v>
      </c>
      <c r="D2502">
        <v>161</v>
      </c>
      <c r="E2502" s="64">
        <v>41449</v>
      </c>
      <c r="R2502" s="73">
        <f t="shared" si="180"/>
        <v>3.6603579913168106E-5</v>
      </c>
      <c r="S2502" s="74">
        <f t="shared" si="183"/>
        <v>3.7035383483335751E-5</v>
      </c>
      <c r="T2502">
        <v>24.1193370317682</v>
      </c>
      <c r="U2502" s="86">
        <f t="shared" si="185"/>
        <v>1.2354684949691887E-2</v>
      </c>
      <c r="V2502">
        <f t="shared" si="186"/>
        <v>1928.1228391128943</v>
      </c>
      <c r="W2502" s="89">
        <f t="shared" si="176"/>
        <v>0.98764531505030806</v>
      </c>
    </row>
    <row r="2503" spans="2:23" x14ac:dyDescent="0.3">
      <c r="B2503">
        <v>117</v>
      </c>
      <c r="C2503">
        <v>46</v>
      </c>
      <c r="D2503">
        <v>175</v>
      </c>
      <c r="E2503" s="64">
        <v>41463</v>
      </c>
      <c r="R2503" s="73">
        <f t="shared" si="180"/>
        <v>3.6147419196816783E-5</v>
      </c>
      <c r="S2503" s="74">
        <f t="shared" si="183"/>
        <v>3.6599595670613319E-5</v>
      </c>
      <c r="T2503">
        <v>25.107296260175499</v>
      </c>
      <c r="U2503" s="86">
        <f t="shared" si="185"/>
        <v>1.2860748818447322E-2</v>
      </c>
      <c r="V2503">
        <f t="shared" si="186"/>
        <v>1927.1348798844872</v>
      </c>
      <c r="W2503" s="89">
        <f t="shared" ref="W2503:W2566" si="187">100%-U2503</f>
        <v>0.98713925118155266</v>
      </c>
    </row>
    <row r="2504" spans="2:23" x14ac:dyDescent="0.3">
      <c r="B2504">
        <v>117</v>
      </c>
      <c r="C2504">
        <v>46</v>
      </c>
      <c r="D2504">
        <v>192</v>
      </c>
      <c r="E2504" s="64">
        <v>41480</v>
      </c>
      <c r="R2504" s="73">
        <f t="shared" si="180"/>
        <v>2.0592389938302271E-5</v>
      </c>
      <c r="S2504" s="74">
        <f t="shared" si="183"/>
        <v>2.0860673824543282E-5</v>
      </c>
      <c r="T2504">
        <v>25.790718906643399</v>
      </c>
      <c r="U2504" s="86">
        <f t="shared" si="185"/>
        <v>1.3210819447398461E-2</v>
      </c>
      <c r="V2504">
        <f t="shared" si="186"/>
        <v>1926.4514572380192</v>
      </c>
      <c r="W2504" s="89">
        <f t="shared" si="187"/>
        <v>0.98678918055260156</v>
      </c>
    </row>
    <row r="2505" spans="2:23" x14ac:dyDescent="0.3">
      <c r="B2505">
        <v>117</v>
      </c>
      <c r="C2505">
        <v>46</v>
      </c>
      <c r="D2505">
        <v>213</v>
      </c>
      <c r="E2505" s="64">
        <v>41501</v>
      </c>
      <c r="R2505" s="73">
        <f t="shared" si="180"/>
        <v>1.3749229143224884E-5</v>
      </c>
      <c r="S2505" s="74">
        <f t="shared" si="183"/>
        <v>1.3933299446519388E-5</v>
      </c>
      <c r="T2505">
        <v>26.354397232123901</v>
      </c>
      <c r="U2505" s="86">
        <f t="shared" si="185"/>
        <v>1.3499553259406183E-2</v>
      </c>
      <c r="V2505">
        <f t="shared" si="186"/>
        <v>1925.8877789125388</v>
      </c>
      <c r="W2505" s="89">
        <f t="shared" si="187"/>
        <v>0.98650044674059378</v>
      </c>
    </row>
    <row r="2506" spans="2:23" x14ac:dyDescent="0.3">
      <c r="B2506">
        <v>117</v>
      </c>
      <c r="C2506">
        <v>46</v>
      </c>
      <c r="D2506">
        <v>233</v>
      </c>
      <c r="E2506" s="64">
        <v>41521</v>
      </c>
      <c r="R2506" s="73">
        <f t="shared" si="180"/>
        <v>2.48450703562819E-5</v>
      </c>
      <c r="S2506" s="74">
        <f t="shared" si="183"/>
        <v>2.5185057379720638E-5</v>
      </c>
      <c r="T2506">
        <v>27.3244691165002</v>
      </c>
      <c r="U2506" s="86">
        <f t="shared" si="185"/>
        <v>1.3996454666531821E-2</v>
      </c>
      <c r="V2506">
        <f t="shared" si="186"/>
        <v>1924.9177070281623</v>
      </c>
      <c r="W2506" s="89">
        <f t="shared" si="187"/>
        <v>0.98600354533346812</v>
      </c>
    </row>
    <row r="2507" spans="2:23" x14ac:dyDescent="0.3">
      <c r="B2507">
        <v>117</v>
      </c>
      <c r="C2507">
        <v>46</v>
      </c>
      <c r="D2507">
        <v>255</v>
      </c>
      <c r="E2507" s="64">
        <v>41543</v>
      </c>
      <c r="R2507" s="73">
        <f t="shared" si="180"/>
        <v>4.9237792754122638E-5</v>
      </c>
      <c r="S2507" s="74">
        <f t="shared" si="183"/>
        <v>4.9936729930793838E-5</v>
      </c>
      <c r="T2507">
        <v>29.439199221347302</v>
      </c>
      <c r="U2507" s="86">
        <f t="shared" si="185"/>
        <v>1.5079686107122519E-2</v>
      </c>
      <c r="V2507">
        <f t="shared" si="186"/>
        <v>1922.8029769233153</v>
      </c>
      <c r="W2507" s="89">
        <f t="shared" si="187"/>
        <v>0.98492031389287749</v>
      </c>
    </row>
    <row r="2508" spans="2:23" x14ac:dyDescent="0.3">
      <c r="B2508">
        <v>117</v>
      </c>
      <c r="C2508">
        <v>46</v>
      </c>
      <c r="D2508">
        <v>269</v>
      </c>
      <c r="E2508" s="64">
        <v>41557</v>
      </c>
      <c r="R2508" s="73">
        <f t="shared" si="180"/>
        <v>4.6823766940061835E-5</v>
      </c>
      <c r="S2508" s="74">
        <f t="shared" si="183"/>
        <v>4.7540665249345752E-5</v>
      </c>
      <c r="T2508">
        <v>30.718957878676299</v>
      </c>
      <c r="U2508" s="86">
        <f t="shared" si="185"/>
        <v>1.5735218844283385E-2</v>
      </c>
      <c r="V2508">
        <f t="shared" si="186"/>
        <v>1921.5232182659863</v>
      </c>
      <c r="W2508" s="89">
        <f t="shared" si="187"/>
        <v>0.98426478115571658</v>
      </c>
    </row>
    <row r="2509" spans="2:23" x14ac:dyDescent="0.3">
      <c r="B2509">
        <v>117</v>
      </c>
      <c r="C2509">
        <v>46</v>
      </c>
      <c r="D2509">
        <v>287</v>
      </c>
      <c r="E2509" s="64">
        <v>41575</v>
      </c>
      <c r="R2509" s="73">
        <f t="shared" si="180"/>
        <v>4.5620509631280733E-5</v>
      </c>
      <c r="S2509" s="74">
        <f t="shared" si="183"/>
        <v>4.6349834419264152E-5</v>
      </c>
      <c r="T2509">
        <v>32.322078972665501</v>
      </c>
      <c r="U2509" s="86">
        <f t="shared" si="185"/>
        <v>1.6556388017646438E-2</v>
      </c>
      <c r="V2509">
        <f t="shared" si="186"/>
        <v>1919.9200971719972</v>
      </c>
      <c r="W2509" s="89">
        <f t="shared" si="187"/>
        <v>0.98344361198235353</v>
      </c>
    </row>
    <row r="2510" spans="2:23" x14ac:dyDescent="0.3">
      <c r="B2510">
        <v>117</v>
      </c>
      <c r="C2510">
        <v>46</v>
      </c>
      <c r="D2510">
        <v>301</v>
      </c>
      <c r="E2510" s="64">
        <v>41589</v>
      </c>
      <c r="R2510" s="73">
        <f t="shared" si="180"/>
        <v>6.1915622225575066E-5</v>
      </c>
      <c r="S2510" s="74">
        <f t="shared" si="183"/>
        <v>6.2957978953943368E-5</v>
      </c>
      <c r="T2510">
        <v>34.014319019659602</v>
      </c>
      <c r="U2510" s="86">
        <f t="shared" si="185"/>
        <v>1.7423206728804489E-2</v>
      </c>
      <c r="V2510">
        <f t="shared" si="186"/>
        <v>1918.2278571250031</v>
      </c>
      <c r="W2510" s="89">
        <f t="shared" si="187"/>
        <v>0.98257679327119551</v>
      </c>
    </row>
    <row r="2511" spans="2:23" x14ac:dyDescent="0.3">
      <c r="B2511">
        <v>117</v>
      </c>
      <c r="C2511">
        <v>46</v>
      </c>
      <c r="D2511">
        <v>315</v>
      </c>
      <c r="E2511" s="64">
        <v>41603</v>
      </c>
      <c r="R2511" s="73">
        <f t="shared" si="180"/>
        <v>4.9489859817552999E-5</v>
      </c>
      <c r="S2511" s="74">
        <f t="shared" si="183"/>
        <v>5.0367421820325428E-5</v>
      </c>
      <c r="T2511">
        <v>35.366945702442003</v>
      </c>
      <c r="U2511" s="86">
        <f t="shared" si="185"/>
        <v>1.8116064766250231E-2</v>
      </c>
      <c r="V2511">
        <f t="shared" si="186"/>
        <v>1916.8752304422205</v>
      </c>
      <c r="W2511" s="89">
        <f t="shared" si="187"/>
        <v>0.98188393523374973</v>
      </c>
    </row>
    <row r="2512" spans="2:23" x14ac:dyDescent="0.3">
      <c r="B2512">
        <v>117</v>
      </c>
      <c r="C2512">
        <v>46</v>
      </c>
      <c r="D2512">
        <v>330</v>
      </c>
      <c r="E2512" s="64">
        <v>41618</v>
      </c>
      <c r="R2512" s="73">
        <f t="shared" si="180"/>
        <v>3.3636979844697589E-5</v>
      </c>
      <c r="S2512" s="74">
        <f t="shared" si="183"/>
        <v>3.4257592611177497E-5</v>
      </c>
      <c r="T2512">
        <v>36.351958663406201</v>
      </c>
      <c r="U2512" s="86">
        <f t="shared" si="185"/>
        <v>1.8620619463920695E-2</v>
      </c>
      <c r="V2512">
        <f t="shared" si="186"/>
        <v>1915.8902174812565</v>
      </c>
      <c r="W2512" s="89">
        <f t="shared" si="187"/>
        <v>0.98137938053607932</v>
      </c>
    </row>
    <row r="2513" spans="2:23" x14ac:dyDescent="0.3">
      <c r="B2513">
        <v>117</v>
      </c>
      <c r="C2513">
        <v>46</v>
      </c>
      <c r="D2513">
        <v>343</v>
      </c>
      <c r="E2513" s="64">
        <v>41631</v>
      </c>
      <c r="R2513" s="73">
        <f t="shared" si="180"/>
        <v>2.9078107924191175E-5</v>
      </c>
      <c r="S2513" s="74">
        <f t="shared" si="183"/>
        <v>2.9629833783859647E-5</v>
      </c>
      <c r="T2513">
        <v>37.0899362764034</v>
      </c>
      <c r="U2513" s="86">
        <f t="shared" si="185"/>
        <v>1.899863486693518E-2</v>
      </c>
      <c r="V2513">
        <f t="shared" si="186"/>
        <v>1915.1522398682591</v>
      </c>
      <c r="W2513" s="89">
        <f t="shared" si="187"/>
        <v>0.9810013651330648</v>
      </c>
    </row>
    <row r="2514" spans="2:23" x14ac:dyDescent="0.3">
      <c r="B2514">
        <v>117</v>
      </c>
      <c r="C2514">
        <v>46</v>
      </c>
      <c r="D2514">
        <v>360</v>
      </c>
      <c r="E2514" s="64">
        <v>41648</v>
      </c>
      <c r="R2514" s="73">
        <f t="shared" si="180"/>
        <v>3.3010707273217915E-5</v>
      </c>
      <c r="S2514" s="74">
        <f t="shared" si="183"/>
        <v>3.3650011556039252E-5</v>
      </c>
      <c r="T2514">
        <v>38.185499491456802</v>
      </c>
      <c r="U2514" s="86">
        <f t="shared" si="185"/>
        <v>1.9559816890579885E-2</v>
      </c>
      <c r="V2514">
        <f t="shared" si="186"/>
        <v>1914.0566766532058</v>
      </c>
      <c r="W2514" s="89">
        <f t="shared" si="187"/>
        <v>0.98044018310942016</v>
      </c>
    </row>
    <row r="2515" spans="2:23" x14ac:dyDescent="0.3">
      <c r="B2515">
        <v>118</v>
      </c>
      <c r="C2515">
        <v>46</v>
      </c>
      <c r="D2515">
        <v>0</v>
      </c>
      <c r="E2515" s="64">
        <v>41288</v>
      </c>
      <c r="R2515" s="73">
        <f t="shared" si="180"/>
        <v>0</v>
      </c>
      <c r="S2515" s="74">
        <f t="shared" si="183"/>
        <v>0</v>
      </c>
      <c r="T2515">
        <v>0</v>
      </c>
      <c r="U2515" s="86">
        <f t="shared" si="185"/>
        <v>0</v>
      </c>
      <c r="V2515">
        <f t="shared" si="186"/>
        <v>1952.2421761446626</v>
      </c>
      <c r="W2515" s="89">
        <f t="shared" si="187"/>
        <v>1</v>
      </c>
    </row>
    <row r="2516" spans="2:23" x14ac:dyDescent="0.3">
      <c r="B2516">
        <v>118</v>
      </c>
      <c r="C2516">
        <v>46</v>
      </c>
      <c r="D2516">
        <v>1</v>
      </c>
      <c r="E2516" s="64">
        <v>41289</v>
      </c>
      <c r="R2516" s="73">
        <f t="shared" si="180"/>
        <v>4.5772445710284631E-4</v>
      </c>
      <c r="S2516" s="74">
        <f t="shared" si="183"/>
        <v>4.5772445710284631E-4</v>
      </c>
      <c r="T2516">
        <v>0.89358899020909499</v>
      </c>
      <c r="U2516" s="86">
        <f t="shared" si="185"/>
        <v>4.5772445710284631E-4</v>
      </c>
      <c r="V2516">
        <f t="shared" si="186"/>
        <v>1951.3485871544535</v>
      </c>
      <c r="W2516" s="89">
        <f t="shared" si="187"/>
        <v>0.99954227554289721</v>
      </c>
    </row>
    <row r="2517" spans="2:23" x14ac:dyDescent="0.3">
      <c r="B2517">
        <v>118</v>
      </c>
      <c r="C2517">
        <v>46</v>
      </c>
      <c r="D2517">
        <v>2</v>
      </c>
      <c r="E2517" s="64">
        <v>41290</v>
      </c>
      <c r="R2517" s="73">
        <f t="shared" ref="R2517:R2580" si="188">IF(D2517&gt;D2516,(U2517-U2516)/1/(D2517-D2516),0)</f>
        <v>5.0464955709404323E-4</v>
      </c>
      <c r="S2517" s="74">
        <f t="shared" si="183"/>
        <v>5.0488065331698447E-4</v>
      </c>
      <c r="T2517">
        <v>1.87878713974081</v>
      </c>
      <c r="U2517" s="86">
        <f t="shared" si="185"/>
        <v>9.6237401419688954E-4</v>
      </c>
      <c r="V2517">
        <f t="shared" si="186"/>
        <v>1950.3633890049218</v>
      </c>
      <c r="W2517" s="89">
        <f t="shared" si="187"/>
        <v>0.99903762598580315</v>
      </c>
    </row>
    <row r="2518" spans="2:23" x14ac:dyDescent="0.3">
      <c r="B2518">
        <v>118</v>
      </c>
      <c r="C2518">
        <v>46</v>
      </c>
      <c r="D2518">
        <v>7</v>
      </c>
      <c r="E2518" s="64">
        <v>41295</v>
      </c>
      <c r="R2518" s="73">
        <f t="shared" si="188"/>
        <v>5.3849149898857148E-4</v>
      </c>
      <c r="S2518" s="74">
        <f t="shared" si="183"/>
        <v>5.390102284257947E-4</v>
      </c>
      <c r="T2518">
        <v>7.1351162188450603</v>
      </c>
      <c r="U2518" s="86">
        <f t="shared" si="185"/>
        <v>3.6548315091397467E-3</v>
      </c>
      <c r="V2518">
        <f t="shared" si="186"/>
        <v>1945.1070599258176</v>
      </c>
      <c r="W2518" s="89">
        <f t="shared" si="187"/>
        <v>0.9963451684908603</v>
      </c>
    </row>
    <row r="2519" spans="2:23" x14ac:dyDescent="0.3">
      <c r="B2519">
        <v>118</v>
      </c>
      <c r="C2519">
        <v>46</v>
      </c>
      <c r="D2519">
        <v>15</v>
      </c>
      <c r="E2519" s="64">
        <v>41303</v>
      </c>
      <c r="R2519" s="73">
        <f t="shared" si="188"/>
        <v>4.2050381903270789E-4</v>
      </c>
      <c r="S2519" s="74">
        <f t="shared" si="183"/>
        <v>4.2204632724785E-4</v>
      </c>
      <c r="T2519">
        <v>13.7025185448095</v>
      </c>
      <c r="U2519" s="86">
        <f t="shared" si="185"/>
        <v>7.0188620614014098E-3</v>
      </c>
      <c r="V2519">
        <f t="shared" si="186"/>
        <v>1938.5396575998532</v>
      </c>
      <c r="W2519" s="89">
        <f t="shared" si="187"/>
        <v>0.99298113793859855</v>
      </c>
    </row>
    <row r="2520" spans="2:23" x14ac:dyDescent="0.3">
      <c r="B2520">
        <v>118</v>
      </c>
      <c r="C2520">
        <v>46</v>
      </c>
      <c r="D2520">
        <v>17</v>
      </c>
      <c r="E2520" s="64">
        <v>41305</v>
      </c>
      <c r="R2520" s="73">
        <f t="shared" si="188"/>
        <v>4.9447496437197589E-4</v>
      </c>
      <c r="S2520" s="74">
        <f t="shared" si="183"/>
        <v>4.9797014815255428E-4</v>
      </c>
      <c r="T2520">
        <v>15.633188305798701</v>
      </c>
      <c r="U2520" s="86">
        <f t="shared" si="185"/>
        <v>8.0078119901453616E-3</v>
      </c>
      <c r="V2520">
        <f t="shared" si="186"/>
        <v>1936.6089878388639</v>
      </c>
      <c r="W2520" s="89">
        <f t="shared" si="187"/>
        <v>0.99199218800985467</v>
      </c>
    </row>
    <row r="2521" spans="2:23" x14ac:dyDescent="0.3">
      <c r="B2521">
        <v>118</v>
      </c>
      <c r="C2521">
        <v>46</v>
      </c>
      <c r="D2521">
        <v>21</v>
      </c>
      <c r="E2521" s="64">
        <v>41309</v>
      </c>
      <c r="R2521" s="73">
        <f t="shared" si="188"/>
        <v>4.2391219787321632E-4</v>
      </c>
      <c r="S2521" s="74">
        <f t="shared" si="183"/>
        <v>4.2733420988291603E-4</v>
      </c>
      <c r="T2521">
        <v>18.9435053924798</v>
      </c>
      <c r="U2521" s="86">
        <f t="shared" si="185"/>
        <v>9.7034607816382269E-3</v>
      </c>
      <c r="V2521">
        <f t="shared" si="186"/>
        <v>1933.2986707521827</v>
      </c>
      <c r="W2521" s="89">
        <f t="shared" si="187"/>
        <v>0.9902965392183618</v>
      </c>
    </row>
    <row r="2522" spans="2:23" x14ac:dyDescent="0.3">
      <c r="B2522">
        <v>118</v>
      </c>
      <c r="C2522">
        <v>46</v>
      </c>
      <c r="D2522">
        <v>24</v>
      </c>
      <c r="E2522" s="64">
        <v>41312</v>
      </c>
      <c r="R2522" s="73">
        <f t="shared" si="188"/>
        <v>1.4920724255707411E-4</v>
      </c>
      <c r="S2522" s="74">
        <f t="shared" si="183"/>
        <v>1.5066925577145101E-4</v>
      </c>
      <c r="T2522">
        <v>19.817371408198301</v>
      </c>
      <c r="U2522" s="86">
        <f t="shared" si="185"/>
        <v>1.0151082509309449E-2</v>
      </c>
      <c r="V2522">
        <f t="shared" si="186"/>
        <v>1932.4248047364642</v>
      </c>
      <c r="W2522" s="89">
        <f t="shared" si="187"/>
        <v>0.98984891749069059</v>
      </c>
    </row>
    <row r="2523" spans="2:23" x14ac:dyDescent="0.3">
      <c r="B2523">
        <v>118</v>
      </c>
      <c r="C2523">
        <v>46</v>
      </c>
      <c r="D2523">
        <v>31</v>
      </c>
      <c r="E2523" s="64">
        <v>41319</v>
      </c>
      <c r="R2523" s="73">
        <f t="shared" si="188"/>
        <v>9.5860957170958508E-5</v>
      </c>
      <c r="S2523" s="74">
        <f t="shared" si="183"/>
        <v>9.6844028898844617E-5</v>
      </c>
      <c r="T2523">
        <v>21.127378033641499</v>
      </c>
      <c r="U2523" s="86">
        <f t="shared" si="185"/>
        <v>1.0822109209506159E-2</v>
      </c>
      <c r="V2523">
        <f t="shared" si="186"/>
        <v>1931.1147981110212</v>
      </c>
      <c r="W2523" s="89">
        <f t="shared" si="187"/>
        <v>0.98917789079049379</v>
      </c>
    </row>
    <row r="2524" spans="2:23" x14ac:dyDescent="0.3">
      <c r="B2524">
        <v>118</v>
      </c>
      <c r="C2524">
        <v>46</v>
      </c>
      <c r="D2524">
        <v>38</v>
      </c>
      <c r="E2524" s="64">
        <v>41326</v>
      </c>
      <c r="R2524" s="73">
        <f t="shared" si="188"/>
        <v>7.1170631718602394E-5</v>
      </c>
      <c r="S2524" s="74">
        <f t="shared" si="183"/>
        <v>7.1949274626151354E-5</v>
      </c>
      <c r="T2524">
        <v>22.099974196248901</v>
      </c>
      <c r="U2524" s="86">
        <f t="shared" si="185"/>
        <v>1.1320303631536376E-2</v>
      </c>
      <c r="V2524">
        <f t="shared" si="186"/>
        <v>1930.1422019484137</v>
      </c>
      <c r="W2524" s="89">
        <f t="shared" si="187"/>
        <v>0.98867969636846365</v>
      </c>
    </row>
    <row r="2525" spans="2:23" x14ac:dyDescent="0.3">
      <c r="B2525">
        <v>118</v>
      </c>
      <c r="C2525">
        <v>46</v>
      </c>
      <c r="D2525">
        <v>44</v>
      </c>
      <c r="E2525" s="64">
        <v>41332</v>
      </c>
      <c r="R2525" s="73">
        <f t="shared" si="188"/>
        <v>2.4820129474856754E-4</v>
      </c>
      <c r="S2525" s="74">
        <f t="shared" si="183"/>
        <v>2.5104317976816959E-4</v>
      </c>
      <c r="T2525">
        <v>25.0072684109401</v>
      </c>
      <c r="U2525" s="86">
        <f t="shared" si="185"/>
        <v>1.2809511400027781E-2</v>
      </c>
      <c r="V2525">
        <f t="shared" si="186"/>
        <v>1927.2349077337226</v>
      </c>
      <c r="W2525" s="89">
        <f t="shared" si="187"/>
        <v>0.98719048859997227</v>
      </c>
    </row>
    <row r="2526" spans="2:23" x14ac:dyDescent="0.3">
      <c r="B2526">
        <v>118</v>
      </c>
      <c r="C2526">
        <v>46</v>
      </c>
      <c r="D2526">
        <v>58</v>
      </c>
      <c r="E2526" s="64">
        <v>41346</v>
      </c>
      <c r="R2526" s="73">
        <f t="shared" si="188"/>
        <v>2.8178951084719295E-4</v>
      </c>
      <c r="S2526" s="74">
        <f t="shared" si="183"/>
        <v>2.854459337901697E-4</v>
      </c>
      <c r="T2526">
        <v>32.708967561134997</v>
      </c>
      <c r="U2526" s="86">
        <f t="shared" si="185"/>
        <v>1.6754564551888482E-2</v>
      </c>
      <c r="V2526">
        <f t="shared" si="186"/>
        <v>1919.5332085835275</v>
      </c>
      <c r="W2526" s="89">
        <f t="shared" si="187"/>
        <v>0.98324543544811149</v>
      </c>
    </row>
    <row r="2527" spans="2:23" x14ac:dyDescent="0.3">
      <c r="B2527">
        <v>118</v>
      </c>
      <c r="C2527">
        <v>46</v>
      </c>
      <c r="D2527">
        <v>66</v>
      </c>
      <c r="E2527" s="64">
        <v>41354</v>
      </c>
      <c r="R2527" s="73">
        <f t="shared" si="188"/>
        <v>1.888047889897714E-4</v>
      </c>
      <c r="S2527" s="74">
        <f t="shared" si="183"/>
        <v>1.9202203456324628E-4</v>
      </c>
      <c r="T2527">
        <v>35.657708938126397</v>
      </c>
      <c r="U2527" s="86">
        <f t="shared" si="185"/>
        <v>1.8265002863806654E-2</v>
      </c>
      <c r="V2527">
        <f t="shared" si="186"/>
        <v>1916.5844672065361</v>
      </c>
      <c r="W2527" s="89">
        <f t="shared" si="187"/>
        <v>0.98173499713619339</v>
      </c>
    </row>
    <row r="2528" spans="2:23" x14ac:dyDescent="0.3">
      <c r="B2528">
        <v>118</v>
      </c>
      <c r="C2528">
        <v>46</v>
      </c>
      <c r="D2528">
        <v>72</v>
      </c>
      <c r="E2528" s="64">
        <v>41360</v>
      </c>
      <c r="R2528" s="73">
        <f t="shared" si="188"/>
        <v>2.5502738853451788E-4</v>
      </c>
      <c r="S2528" s="74">
        <f t="shared" si="183"/>
        <v>2.5977212718142372E-4</v>
      </c>
      <c r="T2528">
        <v>38.644960281941103</v>
      </c>
      <c r="U2528" s="86">
        <f t="shared" si="185"/>
        <v>1.9795167195013761E-2</v>
      </c>
      <c r="V2528">
        <f t="shared" si="186"/>
        <v>1913.5972158627214</v>
      </c>
      <c r="W2528" s="89">
        <f t="shared" si="187"/>
        <v>0.98020483280498627</v>
      </c>
    </row>
    <row r="2529" spans="2:23" x14ac:dyDescent="0.3">
      <c r="B2529">
        <v>118</v>
      </c>
      <c r="C2529">
        <v>46</v>
      </c>
      <c r="D2529">
        <v>84</v>
      </c>
      <c r="E2529" s="64">
        <v>41372</v>
      </c>
      <c r="R2529" s="73">
        <f t="shared" si="188"/>
        <v>2.0256485841753033E-4</v>
      </c>
      <c r="S2529" s="74">
        <f t="shared" si="183"/>
        <v>2.0665564139065105E-4</v>
      </c>
      <c r="T2529">
        <v>43.390428202030797</v>
      </c>
      <c r="U2529" s="86">
        <f t="shared" si="185"/>
        <v>2.2225945496024125E-2</v>
      </c>
      <c r="V2529">
        <f t="shared" si="186"/>
        <v>1908.8517479426318</v>
      </c>
      <c r="W2529" s="89">
        <f t="shared" si="187"/>
        <v>0.97777405450397592</v>
      </c>
    </row>
    <row r="2530" spans="2:23" x14ac:dyDescent="0.3">
      <c r="B2530">
        <v>118</v>
      </c>
      <c r="C2530">
        <v>46</v>
      </c>
      <c r="D2530">
        <v>107</v>
      </c>
      <c r="E2530" s="64">
        <v>41395</v>
      </c>
      <c r="R2530" s="73">
        <f t="shared" si="188"/>
        <v>1.5284057804353207E-4</v>
      </c>
      <c r="S2530" s="74">
        <f t="shared" si="183"/>
        <v>1.563148227747442E-4</v>
      </c>
      <c r="T2530">
        <v>50.253210123737801</v>
      </c>
      <c r="U2530" s="86">
        <f t="shared" si="185"/>
        <v>2.5741278791025363E-2</v>
      </c>
      <c r="V2530">
        <f t="shared" si="186"/>
        <v>1901.9889660209249</v>
      </c>
      <c r="W2530" s="89">
        <f t="shared" si="187"/>
        <v>0.97425872120897461</v>
      </c>
    </row>
    <row r="2531" spans="2:23" x14ac:dyDescent="0.3">
      <c r="B2531">
        <v>118</v>
      </c>
      <c r="C2531">
        <v>46</v>
      </c>
      <c r="D2531">
        <v>113</v>
      </c>
      <c r="E2531" s="64">
        <v>41401</v>
      </c>
      <c r="R2531" s="73">
        <f t="shared" si="188"/>
        <v>1.3008293627499458E-4</v>
      </c>
      <c r="S2531" s="74">
        <f t="shared" si="183"/>
        <v>1.3351990948931141E-4</v>
      </c>
      <c r="T2531">
        <v>51.7769304912945</v>
      </c>
      <c r="U2531" s="86">
        <f t="shared" si="185"/>
        <v>2.652177640867533E-2</v>
      </c>
      <c r="V2531">
        <f t="shared" si="186"/>
        <v>1900.4652456533681</v>
      </c>
      <c r="W2531" s="89">
        <f t="shared" si="187"/>
        <v>0.97347822359132463</v>
      </c>
    </row>
    <row r="2532" spans="2:23" x14ac:dyDescent="0.3">
      <c r="B2532">
        <v>118</v>
      </c>
      <c r="C2532">
        <v>46</v>
      </c>
      <c r="D2532">
        <v>128</v>
      </c>
      <c r="E2532" s="64">
        <v>41416</v>
      </c>
      <c r="R2532" s="73">
        <f t="shared" si="188"/>
        <v>1.0547084809659514E-4</v>
      </c>
      <c r="S2532" s="74">
        <f t="shared" si="183"/>
        <v>1.0834433225172255E-4</v>
      </c>
      <c r="T2532">
        <v>54.8655000614133</v>
      </c>
      <c r="U2532" s="86">
        <f t="shared" si="185"/>
        <v>2.8103839130124257E-2</v>
      </c>
      <c r="V2532">
        <f t="shared" si="186"/>
        <v>1897.3766760832493</v>
      </c>
      <c r="W2532" s="89">
        <f t="shared" si="187"/>
        <v>0.97189616086987574</v>
      </c>
    </row>
    <row r="2533" spans="2:23" x14ac:dyDescent="0.3">
      <c r="B2533">
        <v>118</v>
      </c>
      <c r="C2533">
        <v>46</v>
      </c>
      <c r="D2533">
        <v>142</v>
      </c>
      <c r="E2533" s="64">
        <v>41430</v>
      </c>
      <c r="R2533" s="73">
        <f t="shared" si="188"/>
        <v>1.1084843282013559E-4</v>
      </c>
      <c r="S2533" s="74">
        <f t="shared" si="183"/>
        <v>1.1405378196053678E-4</v>
      </c>
      <c r="T2533">
        <v>57.895141861367399</v>
      </c>
      <c r="U2533" s="86">
        <f t="shared" si="185"/>
        <v>2.9655717189606155E-2</v>
      </c>
      <c r="V2533">
        <f t="shared" si="186"/>
        <v>1894.3470342832952</v>
      </c>
      <c r="W2533" s="89">
        <f t="shared" si="187"/>
        <v>0.97034428281039387</v>
      </c>
    </row>
    <row r="2534" spans="2:23" x14ac:dyDescent="0.3">
      <c r="B2534">
        <v>118</v>
      </c>
      <c r="C2534">
        <v>46</v>
      </c>
      <c r="D2534">
        <v>161</v>
      </c>
      <c r="E2534" s="64">
        <v>41449</v>
      </c>
      <c r="R2534" s="73">
        <f t="shared" si="188"/>
        <v>9.6236849971542983E-5</v>
      </c>
      <c r="S2534" s="74">
        <f t="shared" si="183"/>
        <v>9.9178046056821827E-5</v>
      </c>
      <c r="T2534">
        <v>61.464816972228697</v>
      </c>
      <c r="U2534" s="86">
        <f t="shared" si="185"/>
        <v>3.1484217339065472E-2</v>
      </c>
      <c r="V2534">
        <f t="shared" si="186"/>
        <v>1890.777359172434</v>
      </c>
      <c r="W2534" s="89">
        <f t="shared" si="187"/>
        <v>0.96851578266093452</v>
      </c>
    </row>
    <row r="2535" spans="2:23" x14ac:dyDescent="0.3">
      <c r="B2535">
        <v>118</v>
      </c>
      <c r="C2535">
        <v>46</v>
      </c>
      <c r="D2535">
        <v>175</v>
      </c>
      <c r="E2535" s="64">
        <v>41463</v>
      </c>
      <c r="R2535" s="73">
        <f t="shared" si="188"/>
        <v>8.8115385636779175E-5</v>
      </c>
      <c r="S2535" s="74">
        <f t="shared" si="183"/>
        <v>9.0979813870134207E-5</v>
      </c>
      <c r="T2535">
        <v>63.873132983131903</v>
      </c>
      <c r="U2535" s="86">
        <f t="shared" si="185"/>
        <v>3.271783273798038E-2</v>
      </c>
      <c r="V2535">
        <f t="shared" si="186"/>
        <v>1888.3690431615307</v>
      </c>
      <c r="W2535" s="89">
        <f t="shared" si="187"/>
        <v>0.96728216726201965</v>
      </c>
    </row>
    <row r="2536" spans="2:23" x14ac:dyDescent="0.3">
      <c r="B2536">
        <v>118</v>
      </c>
      <c r="C2536">
        <v>46</v>
      </c>
      <c r="D2536">
        <v>192</v>
      </c>
      <c r="E2536" s="64">
        <v>41480</v>
      </c>
      <c r="R2536" s="73">
        <f t="shared" si="188"/>
        <v>8.6776414092372327E-5</v>
      </c>
      <c r="S2536" s="74">
        <f t="shared" si="183"/>
        <v>8.9711582648112776E-5</v>
      </c>
      <c r="T2536">
        <v>66.753078766389194</v>
      </c>
      <c r="U2536" s="86">
        <f t="shared" si="185"/>
        <v>3.419303177755071E-2</v>
      </c>
      <c r="V2536">
        <f t="shared" si="186"/>
        <v>1885.4890973782735</v>
      </c>
      <c r="W2536" s="89">
        <f t="shared" si="187"/>
        <v>0.96580696822244927</v>
      </c>
    </row>
    <row r="2537" spans="2:23" x14ac:dyDescent="0.3">
      <c r="B2537">
        <v>118</v>
      </c>
      <c r="C2537">
        <v>46</v>
      </c>
      <c r="D2537">
        <v>213</v>
      </c>
      <c r="E2537" s="64">
        <v>41501</v>
      </c>
      <c r="R2537" s="73">
        <f t="shared" si="188"/>
        <v>6.5616414120970809E-5</v>
      </c>
      <c r="S2537" s="74">
        <f t="shared" si="183"/>
        <v>6.7939470598080959E-5</v>
      </c>
      <c r="T2537">
        <v>69.443160519370196</v>
      </c>
      <c r="U2537" s="86">
        <f t="shared" si="185"/>
        <v>3.5570976474091097E-2</v>
      </c>
      <c r="V2537">
        <f t="shared" si="186"/>
        <v>1882.7990156252924</v>
      </c>
      <c r="W2537" s="89">
        <f t="shared" si="187"/>
        <v>0.96442902352590887</v>
      </c>
    </row>
    <row r="2538" spans="2:23" x14ac:dyDescent="0.3">
      <c r="B2538">
        <v>118</v>
      </c>
      <c r="C2538">
        <v>46</v>
      </c>
      <c r="D2538">
        <v>233</v>
      </c>
      <c r="E2538" s="64">
        <v>41521</v>
      </c>
      <c r="R2538" s="73">
        <f t="shared" si="188"/>
        <v>4.9316336016244634E-5</v>
      </c>
      <c r="S2538" s="74">
        <f t="shared" ref="S2538:S2601" si="189">IF(D2538&gt;D2537,(U2538-U2537)/W2537/(D2538-D2537),0)</f>
        <v>5.1135267410292502E-5</v>
      </c>
      <c r="T2538">
        <v>71.3687091422469</v>
      </c>
      <c r="U2538" s="86">
        <f t="shared" si="185"/>
        <v>3.655730319441599E-2</v>
      </c>
      <c r="V2538">
        <f t="shared" si="186"/>
        <v>1880.8734670024157</v>
      </c>
      <c r="W2538" s="89">
        <f t="shared" si="187"/>
        <v>0.96344269680558403</v>
      </c>
    </row>
    <row r="2539" spans="2:23" x14ac:dyDescent="0.3">
      <c r="B2539">
        <v>118</v>
      </c>
      <c r="C2539">
        <v>46</v>
      </c>
      <c r="D2539">
        <v>255</v>
      </c>
      <c r="E2539" s="64">
        <v>41543</v>
      </c>
      <c r="R2539" s="73">
        <f t="shared" si="188"/>
        <v>4.8963017068619594E-5</v>
      </c>
      <c r="S2539" s="74">
        <f t="shared" si="189"/>
        <v>5.0820891819474746E-5</v>
      </c>
      <c r="T2539">
        <v>73.471637816085206</v>
      </c>
      <c r="U2539" s="86">
        <f t="shared" si="185"/>
        <v>3.7634489569925621E-2</v>
      </c>
      <c r="V2539">
        <f t="shared" si="186"/>
        <v>1878.7705383285775</v>
      </c>
      <c r="W2539" s="89">
        <f t="shared" si="187"/>
        <v>0.96236551043007434</v>
      </c>
    </row>
    <row r="2540" spans="2:23" x14ac:dyDescent="0.3">
      <c r="B2540">
        <v>118</v>
      </c>
      <c r="C2540">
        <v>46</v>
      </c>
      <c r="D2540">
        <v>269</v>
      </c>
      <c r="E2540" s="64">
        <v>41557</v>
      </c>
      <c r="R2540" s="73">
        <f t="shared" si="188"/>
        <v>6.3342553215821329E-5</v>
      </c>
      <c r="S2540" s="74">
        <f t="shared" si="189"/>
        <v>6.5819641840150718E-5</v>
      </c>
      <c r="T2540">
        <v>75.202877871141794</v>
      </c>
      <c r="U2540" s="86">
        <f t="shared" si="185"/>
        <v>3.8521285314947119E-2</v>
      </c>
      <c r="V2540">
        <f t="shared" si="186"/>
        <v>1877.0392982735209</v>
      </c>
      <c r="W2540" s="89">
        <f t="shared" si="187"/>
        <v>0.96147871468505286</v>
      </c>
    </row>
    <row r="2541" spans="2:23" x14ac:dyDescent="0.3">
      <c r="B2541">
        <v>118</v>
      </c>
      <c r="C2541">
        <v>46</v>
      </c>
      <c r="D2541">
        <v>287</v>
      </c>
      <c r="E2541" s="64">
        <v>41575</v>
      </c>
      <c r="R2541" s="73">
        <f t="shared" si="188"/>
        <v>9.1401894462981521E-5</v>
      </c>
      <c r="S2541" s="74">
        <f t="shared" si="189"/>
        <v>9.5063877199737715E-5</v>
      </c>
      <c r="T2541">
        <v>78.414773271444602</v>
      </c>
      <c r="U2541" s="86">
        <f t="shared" si="185"/>
        <v>4.0166519415280787E-2</v>
      </c>
      <c r="V2541">
        <f t="shared" si="186"/>
        <v>1873.827402873218</v>
      </c>
      <c r="W2541" s="89">
        <f t="shared" si="187"/>
        <v>0.95983348058471918</v>
      </c>
    </row>
    <row r="2542" spans="2:23" x14ac:dyDescent="0.3">
      <c r="B2542">
        <v>118</v>
      </c>
      <c r="C2542">
        <v>46</v>
      </c>
      <c r="D2542">
        <v>301</v>
      </c>
      <c r="E2542" s="64">
        <v>41589</v>
      </c>
      <c r="R2542" s="73">
        <f t="shared" si="188"/>
        <v>1.0593548213523299E-4</v>
      </c>
      <c r="S2542" s="74">
        <f t="shared" si="189"/>
        <v>1.1036860484455943E-4</v>
      </c>
      <c r="T2542">
        <v>81.310137297889298</v>
      </c>
      <c r="U2542" s="86">
        <f t="shared" si="185"/>
        <v>4.1649616165174048E-2</v>
      </c>
      <c r="V2542">
        <f t="shared" si="186"/>
        <v>1870.9320388467734</v>
      </c>
      <c r="W2542" s="89">
        <f t="shared" si="187"/>
        <v>0.95835038383482596</v>
      </c>
    </row>
    <row r="2543" spans="2:23" x14ac:dyDescent="0.3">
      <c r="B2543">
        <v>118</v>
      </c>
      <c r="C2543">
        <v>46</v>
      </c>
      <c r="D2543">
        <v>315</v>
      </c>
      <c r="E2543" s="64">
        <v>41603</v>
      </c>
      <c r="R2543" s="73">
        <f t="shared" si="188"/>
        <v>1.0386850224863258E-4</v>
      </c>
      <c r="S2543" s="74">
        <f t="shared" si="189"/>
        <v>1.0838259576106621E-4</v>
      </c>
      <c r="T2543">
        <v>84.149007889967905</v>
      </c>
      <c r="U2543" s="86">
        <f t="shared" si="185"/>
        <v>4.3103775196654905E-2</v>
      </c>
      <c r="V2543">
        <f t="shared" si="186"/>
        <v>1868.0931682546948</v>
      </c>
      <c r="W2543" s="89">
        <f t="shared" si="187"/>
        <v>0.95689622480334513</v>
      </c>
    </row>
    <row r="2544" spans="2:23" x14ac:dyDescent="0.3">
      <c r="B2544">
        <v>118</v>
      </c>
      <c r="C2544">
        <v>46</v>
      </c>
      <c r="D2544">
        <v>330</v>
      </c>
      <c r="E2544" s="64">
        <v>41618</v>
      </c>
      <c r="R2544" s="73">
        <f t="shared" si="188"/>
        <v>7.8209492679726561E-5</v>
      </c>
      <c r="S2544" s="74">
        <f t="shared" si="189"/>
        <v>8.173247072408468E-5</v>
      </c>
      <c r="T2544">
        <v>86.439265942731495</v>
      </c>
      <c r="U2544" s="86">
        <f t="shared" si="185"/>
        <v>4.4276917586850803E-2</v>
      </c>
      <c r="V2544">
        <f t="shared" si="186"/>
        <v>1865.8029102019311</v>
      </c>
      <c r="W2544" s="89">
        <f t="shared" si="187"/>
        <v>0.95572308241314918</v>
      </c>
    </row>
    <row r="2545" spans="2:23" x14ac:dyDescent="0.3">
      <c r="B2545">
        <v>118</v>
      </c>
      <c r="C2545">
        <v>46</v>
      </c>
      <c r="D2545">
        <v>343</v>
      </c>
      <c r="E2545" s="64">
        <v>41631</v>
      </c>
      <c r="R2545" s="73">
        <f t="shared" si="188"/>
        <v>4.6886976876409616E-5</v>
      </c>
      <c r="S2545" s="74">
        <f t="shared" si="189"/>
        <v>4.9059165504324254E-5</v>
      </c>
      <c r="T2545">
        <v>87.629217481742103</v>
      </c>
      <c r="U2545" s="86">
        <f t="shared" si="185"/>
        <v>4.4886448286244128E-2</v>
      </c>
      <c r="V2545">
        <f t="shared" si="186"/>
        <v>1864.6129586629204</v>
      </c>
      <c r="W2545" s="89">
        <f t="shared" si="187"/>
        <v>0.95511355171375589</v>
      </c>
    </row>
    <row r="2546" spans="2:23" x14ac:dyDescent="0.3">
      <c r="B2546">
        <v>118</v>
      </c>
      <c r="C2546">
        <v>46</v>
      </c>
      <c r="D2546">
        <v>360</v>
      </c>
      <c r="E2546" s="64">
        <v>41648</v>
      </c>
      <c r="R2546" s="73">
        <f t="shared" si="188"/>
        <v>4.3380725741320929E-5</v>
      </c>
      <c r="S2546" s="74">
        <f t="shared" si="189"/>
        <v>4.5419443231103878E-5</v>
      </c>
      <c r="T2546">
        <v>89.068942082949604</v>
      </c>
      <c r="U2546" s="86">
        <f t="shared" si="185"/>
        <v>4.5623920623846584E-2</v>
      </c>
      <c r="V2546">
        <f t="shared" si="186"/>
        <v>1863.1732340617129</v>
      </c>
      <c r="W2546" s="89">
        <f t="shared" si="187"/>
        <v>0.95437607937615343</v>
      </c>
    </row>
    <row r="2547" spans="2:23" x14ac:dyDescent="0.3">
      <c r="B2547">
        <v>119</v>
      </c>
      <c r="C2547">
        <v>46</v>
      </c>
      <c r="D2547">
        <v>0</v>
      </c>
      <c r="E2547" s="64">
        <v>41254</v>
      </c>
      <c r="R2547" s="73">
        <f t="shared" si="188"/>
        <v>0</v>
      </c>
      <c r="S2547" s="74">
        <f t="shared" si="189"/>
        <v>0</v>
      </c>
      <c r="T2547">
        <v>0</v>
      </c>
      <c r="U2547" s="86">
        <f>T2547/$V$2483</f>
        <v>0</v>
      </c>
      <c r="V2547">
        <f t="shared" si="186"/>
        <v>1952.2421761446626</v>
      </c>
      <c r="W2547" s="89">
        <f t="shared" si="187"/>
        <v>1</v>
      </c>
    </row>
    <row r="2548" spans="2:23" x14ac:dyDescent="0.3">
      <c r="B2548">
        <v>119</v>
      </c>
      <c r="C2548">
        <v>46</v>
      </c>
      <c r="D2548">
        <v>1</v>
      </c>
      <c r="E2548" s="64">
        <v>41255</v>
      </c>
      <c r="R2548" s="73">
        <f t="shared" si="188"/>
        <v>2.6044529602073932E-4</v>
      </c>
      <c r="S2548" s="74">
        <f t="shared" si="189"/>
        <v>2.6044529602073932E-4</v>
      </c>
      <c r="T2548">
        <v>0.50845229147016902</v>
      </c>
      <c r="U2548" s="86">
        <f t="shared" ref="U2548:U2581" si="190">T2548/$V$2483</f>
        <v>2.6044529602073932E-4</v>
      </c>
      <c r="V2548">
        <f t="shared" si="186"/>
        <v>1951.7337238531925</v>
      </c>
      <c r="W2548" s="89">
        <f t="shared" si="187"/>
        <v>0.99973955470397924</v>
      </c>
    </row>
    <row r="2549" spans="2:23" x14ac:dyDescent="0.3">
      <c r="B2549">
        <v>119</v>
      </c>
      <c r="C2549">
        <v>46</v>
      </c>
      <c r="D2549">
        <v>2</v>
      </c>
      <c r="E2549" s="64">
        <v>41256</v>
      </c>
      <c r="R2549" s="73">
        <f t="shared" si="188"/>
        <v>4.8284625881966973E-4</v>
      </c>
      <c r="S2549" s="74">
        <f t="shared" si="189"/>
        <v>4.8297204661732076E-4</v>
      </c>
      <c r="T2549">
        <v>1.4510851225315899</v>
      </c>
      <c r="U2549" s="86">
        <f t="shared" si="190"/>
        <v>7.4329155484040906E-4</v>
      </c>
      <c r="V2549">
        <f t="shared" ref="V2549:V2581" si="191">$V$2483-T2549</f>
        <v>1950.791091022131</v>
      </c>
      <c r="W2549" s="89">
        <f t="shared" si="187"/>
        <v>0.99925670844515957</v>
      </c>
    </row>
    <row r="2550" spans="2:23" x14ac:dyDescent="0.3">
      <c r="B2550">
        <v>119</v>
      </c>
      <c r="C2550">
        <v>46</v>
      </c>
      <c r="D2550">
        <v>6</v>
      </c>
      <c r="E2550" s="64">
        <v>41260</v>
      </c>
      <c r="R2550" s="73">
        <f t="shared" si="188"/>
        <v>4.2245193879169099E-4</v>
      </c>
      <c r="S2550" s="74">
        <f t="shared" si="189"/>
        <v>4.2276617732096584E-4</v>
      </c>
      <c r="T2550">
        <v>4.7499990917444803</v>
      </c>
      <c r="U2550" s="86">
        <f t="shared" si="190"/>
        <v>2.4330993100071729E-3</v>
      </c>
      <c r="V2550">
        <f t="shared" si="191"/>
        <v>1947.4921770529181</v>
      </c>
      <c r="W2550" s="89">
        <f t="shared" si="187"/>
        <v>0.99756690068999287</v>
      </c>
    </row>
    <row r="2551" spans="2:23" x14ac:dyDescent="0.3">
      <c r="B2551">
        <v>119</v>
      </c>
      <c r="C2551">
        <v>46</v>
      </c>
      <c r="D2551">
        <v>9</v>
      </c>
      <c r="E2551" s="64">
        <v>41263</v>
      </c>
      <c r="R2551" s="73">
        <f t="shared" si="188"/>
        <v>5.0220019162936413E-4</v>
      </c>
      <c r="S2551" s="74">
        <f t="shared" si="189"/>
        <v>5.0342507483157708E-4</v>
      </c>
      <c r="T2551">
        <v>7.69124827664481</v>
      </c>
      <c r="U2551" s="86">
        <f t="shared" si="190"/>
        <v>3.9396998848952652E-3</v>
      </c>
      <c r="V2551">
        <f t="shared" si="191"/>
        <v>1944.5509278680179</v>
      </c>
      <c r="W2551" s="89">
        <f t="shared" si="187"/>
        <v>0.99606030011510471</v>
      </c>
    </row>
    <row r="2552" spans="2:23" x14ac:dyDescent="0.3">
      <c r="B2552">
        <v>119</v>
      </c>
      <c r="C2552">
        <v>46</v>
      </c>
      <c r="D2552">
        <v>15</v>
      </c>
      <c r="E2552" s="64">
        <v>41269</v>
      </c>
      <c r="R2552" s="73">
        <f t="shared" si="188"/>
        <v>2.8309684783918519E-4</v>
      </c>
      <c r="S2552" s="74">
        <f t="shared" si="189"/>
        <v>2.8421657585034815E-4</v>
      </c>
      <c r="T2552">
        <v>11.0072899143564</v>
      </c>
      <c r="U2552" s="86">
        <f t="shared" si="190"/>
        <v>5.6382809719303763E-3</v>
      </c>
      <c r="V2552">
        <f t="shared" si="191"/>
        <v>1941.2348862303063</v>
      </c>
      <c r="W2552" s="89">
        <f t="shared" si="187"/>
        <v>0.99436171902806958</v>
      </c>
    </row>
    <row r="2553" spans="2:23" x14ac:dyDescent="0.3">
      <c r="B2553">
        <v>119</v>
      </c>
      <c r="C2553">
        <v>46</v>
      </c>
      <c r="D2553">
        <v>19</v>
      </c>
      <c r="E2553" s="64">
        <v>41273</v>
      </c>
      <c r="R2553" s="73">
        <f t="shared" si="188"/>
        <v>1.8049830158985798E-4</v>
      </c>
      <c r="S2553" s="74">
        <f t="shared" si="189"/>
        <v>1.8152177234486111E-4</v>
      </c>
      <c r="T2553">
        <v>12.4167955027012</v>
      </c>
      <c r="U2553" s="86">
        <f t="shared" si="190"/>
        <v>6.3602741782898082E-3</v>
      </c>
      <c r="V2553">
        <f t="shared" si="191"/>
        <v>1939.8253806419614</v>
      </c>
      <c r="W2553" s="89">
        <f t="shared" si="187"/>
        <v>0.99363972582171023</v>
      </c>
    </row>
    <row r="2554" spans="2:23" x14ac:dyDescent="0.3">
      <c r="B2554">
        <v>119</v>
      </c>
      <c r="C2554">
        <v>46</v>
      </c>
      <c r="D2554">
        <v>27</v>
      </c>
      <c r="E2554" s="64">
        <v>41281</v>
      </c>
      <c r="R2554" s="73">
        <f t="shared" si="188"/>
        <v>1.4851273077527661E-4</v>
      </c>
      <c r="S2554" s="74">
        <f t="shared" si="189"/>
        <v>1.494633587163205E-4</v>
      </c>
      <c r="T2554">
        <v>14.736258036412501</v>
      </c>
      <c r="U2554" s="86">
        <f t="shared" si="190"/>
        <v>7.5483760244920211E-3</v>
      </c>
      <c r="V2554">
        <f t="shared" si="191"/>
        <v>1937.5059181082502</v>
      </c>
      <c r="W2554" s="89">
        <f t="shared" si="187"/>
        <v>0.99245162397550801</v>
      </c>
    </row>
    <row r="2555" spans="2:23" x14ac:dyDescent="0.3">
      <c r="B2555">
        <v>119</v>
      </c>
      <c r="C2555">
        <v>46</v>
      </c>
      <c r="D2555">
        <v>34</v>
      </c>
      <c r="E2555" s="64">
        <v>41288</v>
      </c>
      <c r="R2555" s="73">
        <f t="shared" si="188"/>
        <v>2.1958480002995571E-4</v>
      </c>
      <c r="S2555" s="74">
        <f t="shared" si="189"/>
        <v>2.2125491532811947E-4</v>
      </c>
      <c r="T2555">
        <v>17.737036991423899</v>
      </c>
      <c r="U2555" s="86">
        <f t="shared" si="190"/>
        <v>9.085469624701711E-3</v>
      </c>
      <c r="V2555">
        <f t="shared" si="191"/>
        <v>1934.5051391532388</v>
      </c>
      <c r="W2555" s="89">
        <f t="shared" si="187"/>
        <v>0.99091453037529831</v>
      </c>
    </row>
    <row r="2556" spans="2:23" x14ac:dyDescent="0.3">
      <c r="B2556">
        <v>119</v>
      </c>
      <c r="C2556">
        <v>46</v>
      </c>
      <c r="D2556">
        <v>42</v>
      </c>
      <c r="E2556" s="64">
        <v>41296</v>
      </c>
      <c r="R2556" s="73">
        <f t="shared" si="188"/>
        <v>2.6715017540758783E-4</v>
      </c>
      <c r="S2556" s="74">
        <f t="shared" si="189"/>
        <v>2.6959961451610519E-4</v>
      </c>
      <c r="T2556">
        <v>21.909371709784999</v>
      </c>
      <c r="U2556" s="86">
        <f t="shared" si="190"/>
        <v>1.1222671027962414E-2</v>
      </c>
      <c r="V2556">
        <f t="shared" si="191"/>
        <v>1930.3328044348775</v>
      </c>
      <c r="W2556" s="89">
        <f t="shared" si="187"/>
        <v>0.98877732897203763</v>
      </c>
    </row>
    <row r="2557" spans="2:23" x14ac:dyDescent="0.3">
      <c r="B2557">
        <v>119</v>
      </c>
      <c r="C2557">
        <v>46</v>
      </c>
      <c r="D2557">
        <v>49</v>
      </c>
      <c r="E2557" s="64">
        <v>41303</v>
      </c>
      <c r="R2557" s="73">
        <f t="shared" si="188"/>
        <v>2.5545764745121553E-4</v>
      </c>
      <c r="S2557" s="74">
        <f t="shared" si="189"/>
        <v>2.5835710423983618E-4</v>
      </c>
      <c r="T2557">
        <v>25.400378064795699</v>
      </c>
      <c r="U2557" s="86">
        <f t="shared" si="190"/>
        <v>1.3010874560120922E-2</v>
      </c>
      <c r="V2557">
        <f t="shared" si="191"/>
        <v>1926.841798079867</v>
      </c>
      <c r="W2557" s="89">
        <f t="shared" si="187"/>
        <v>0.98698912543987904</v>
      </c>
    </row>
    <row r="2558" spans="2:23" x14ac:dyDescent="0.3">
      <c r="B2558">
        <v>119</v>
      </c>
      <c r="C2558">
        <v>46</v>
      </c>
      <c r="D2558">
        <v>56</v>
      </c>
      <c r="E2558" s="64">
        <v>41310</v>
      </c>
      <c r="R2558" s="73">
        <f t="shared" si="188"/>
        <v>2.354334404293551E-4</v>
      </c>
      <c r="S2558" s="74">
        <f t="shared" si="189"/>
        <v>2.3853701561750001E-4</v>
      </c>
      <c r="T2558">
        <v>28.617739709362901</v>
      </c>
      <c r="U2558" s="86">
        <f t="shared" si="190"/>
        <v>1.4658908643126408E-2</v>
      </c>
      <c r="V2558">
        <f t="shared" si="191"/>
        <v>1923.6244364352997</v>
      </c>
      <c r="W2558" s="89">
        <f t="shared" si="187"/>
        <v>0.98534109135687364</v>
      </c>
    </row>
    <row r="2559" spans="2:23" x14ac:dyDescent="0.3">
      <c r="B2559">
        <v>119</v>
      </c>
      <c r="C2559">
        <v>46</v>
      </c>
      <c r="D2559">
        <v>63</v>
      </c>
      <c r="E2559" s="64">
        <v>41317</v>
      </c>
      <c r="R2559" s="73">
        <f t="shared" si="188"/>
        <v>3.0986580535145462E-4</v>
      </c>
      <c r="S2559" s="74">
        <f t="shared" si="189"/>
        <v>3.1447567554982494E-4</v>
      </c>
      <c r="T2559">
        <v>32.8522713684279</v>
      </c>
      <c r="U2559" s="86">
        <f t="shared" si="190"/>
        <v>1.682796928058659E-2</v>
      </c>
      <c r="V2559">
        <f t="shared" si="191"/>
        <v>1919.3899047762347</v>
      </c>
      <c r="W2559" s="89">
        <f t="shared" si="187"/>
        <v>0.98317203071941339</v>
      </c>
    </row>
    <row r="2560" spans="2:23" x14ac:dyDescent="0.3">
      <c r="B2560">
        <v>119</v>
      </c>
      <c r="C2560">
        <v>46</v>
      </c>
      <c r="D2560">
        <v>70</v>
      </c>
      <c r="E2560" s="64">
        <v>41324</v>
      </c>
      <c r="R2560" s="73">
        <f t="shared" si="188"/>
        <v>3.5158388794474902E-4</v>
      </c>
      <c r="S2560" s="74">
        <f t="shared" si="189"/>
        <v>3.5760159662748508E-4</v>
      </c>
      <c r="T2560">
        <v>37.656909629918502</v>
      </c>
      <c r="U2560" s="86">
        <f t="shared" si="190"/>
        <v>1.9289056496199834E-2</v>
      </c>
      <c r="V2560">
        <f t="shared" si="191"/>
        <v>1914.585266514744</v>
      </c>
      <c r="W2560" s="89">
        <f t="shared" si="187"/>
        <v>0.98071094350380017</v>
      </c>
    </row>
    <row r="2561" spans="2:23" x14ac:dyDescent="0.3">
      <c r="B2561">
        <v>119</v>
      </c>
      <c r="C2561">
        <v>46</v>
      </c>
      <c r="D2561">
        <v>77</v>
      </c>
      <c r="E2561" s="64">
        <v>41331</v>
      </c>
      <c r="R2561" s="73">
        <f t="shared" si="188"/>
        <v>4.2127336586627901E-4</v>
      </c>
      <c r="S2561" s="74">
        <f t="shared" si="189"/>
        <v>4.29559156708489E-4</v>
      </c>
      <c r="T2561">
        <v>43.413903057632503</v>
      </c>
      <c r="U2561" s="86">
        <f t="shared" si="190"/>
        <v>2.2237970057263787E-2</v>
      </c>
      <c r="V2561">
        <f t="shared" si="191"/>
        <v>1908.8282730870301</v>
      </c>
      <c r="W2561" s="89">
        <f t="shared" si="187"/>
        <v>0.9777620299427362</v>
      </c>
    </row>
    <row r="2562" spans="2:23" x14ac:dyDescent="0.3">
      <c r="B2562">
        <v>119</v>
      </c>
      <c r="C2562">
        <v>46</v>
      </c>
      <c r="D2562">
        <v>84</v>
      </c>
      <c r="E2562" s="64">
        <v>41338</v>
      </c>
      <c r="R2562" s="73">
        <f t="shared" si="188"/>
        <v>3.8892021748603852E-4</v>
      </c>
      <c r="S2562" s="74">
        <f t="shared" si="189"/>
        <v>3.9776571964940811E-4</v>
      </c>
      <c r="T2562">
        <v>48.728768219753697</v>
      </c>
      <c r="U2562" s="86">
        <f t="shared" si="190"/>
        <v>2.4960411579666057E-2</v>
      </c>
      <c r="V2562">
        <f t="shared" si="191"/>
        <v>1903.513407924909</v>
      </c>
      <c r="W2562" s="89">
        <f t="shared" si="187"/>
        <v>0.97503958842033389</v>
      </c>
    </row>
    <row r="2563" spans="2:23" x14ac:dyDescent="0.3">
      <c r="B2563">
        <v>119</v>
      </c>
      <c r="C2563">
        <v>46</v>
      </c>
      <c r="D2563">
        <v>91</v>
      </c>
      <c r="E2563" s="64">
        <v>41345</v>
      </c>
      <c r="R2563" s="73">
        <f t="shared" si="188"/>
        <v>3.135280485326069E-4</v>
      </c>
      <c r="S2563" s="74">
        <f t="shared" si="189"/>
        <v>3.2155417303676373E-4</v>
      </c>
      <c r="T2563">
        <v>53.013346978001501</v>
      </c>
      <c r="U2563" s="86">
        <f t="shared" si="190"/>
        <v>2.7155107919394305E-2</v>
      </c>
      <c r="V2563">
        <f t="shared" si="191"/>
        <v>1899.2288291666612</v>
      </c>
      <c r="W2563" s="89">
        <f t="shared" si="187"/>
        <v>0.97284489208060565</v>
      </c>
    </row>
    <row r="2564" spans="2:23" x14ac:dyDescent="0.3">
      <c r="B2564">
        <v>119</v>
      </c>
      <c r="C2564">
        <v>46</v>
      </c>
      <c r="D2564">
        <v>98</v>
      </c>
      <c r="E2564" s="64">
        <v>41352</v>
      </c>
      <c r="R2564" s="73">
        <f t="shared" si="188"/>
        <v>4.4913393521582481E-4</v>
      </c>
      <c r="S2564" s="74">
        <f t="shared" si="189"/>
        <v>4.6167065158277207E-4</v>
      </c>
      <c r="T2564">
        <v>59.151074455464602</v>
      </c>
      <c r="U2564" s="86">
        <f t="shared" si="190"/>
        <v>3.0299045465905079E-2</v>
      </c>
      <c r="V2564">
        <f t="shared" si="191"/>
        <v>1893.091101689198</v>
      </c>
      <c r="W2564" s="89">
        <f t="shared" si="187"/>
        <v>0.96970095453409488</v>
      </c>
    </row>
    <row r="2565" spans="2:23" x14ac:dyDescent="0.3">
      <c r="B2565">
        <v>119</v>
      </c>
      <c r="C2565">
        <v>46</v>
      </c>
      <c r="D2565">
        <v>105</v>
      </c>
      <c r="E2565" s="64">
        <v>41359</v>
      </c>
      <c r="R2565" s="73">
        <f t="shared" si="188"/>
        <v>4.1814296810720631E-4</v>
      </c>
      <c r="S2565" s="74">
        <f t="shared" si="189"/>
        <v>4.3120816386955956E-4</v>
      </c>
      <c r="T2565">
        <v>64.865288821445006</v>
      </c>
      <c r="U2565" s="86">
        <f t="shared" si="190"/>
        <v>3.3226046242655523E-2</v>
      </c>
      <c r="V2565">
        <f t="shared" si="191"/>
        <v>1887.3768873232175</v>
      </c>
      <c r="W2565" s="89">
        <f t="shared" si="187"/>
        <v>0.96677395375734443</v>
      </c>
    </row>
    <row r="2566" spans="2:23" x14ac:dyDescent="0.3">
      <c r="B2566">
        <v>119</v>
      </c>
      <c r="C2566">
        <v>46</v>
      </c>
      <c r="D2566">
        <v>120</v>
      </c>
      <c r="E2566" s="64">
        <v>41374</v>
      </c>
      <c r="R2566" s="73">
        <f t="shared" si="188"/>
        <v>3.5408748524598521E-4</v>
      </c>
      <c r="S2566" s="74">
        <f t="shared" si="189"/>
        <v>3.6625674892236442E-4</v>
      </c>
      <c r="T2566">
        <v>75.234256662578204</v>
      </c>
      <c r="U2566" s="86">
        <f t="shared" si="190"/>
        <v>3.8537358521345301E-2</v>
      </c>
      <c r="V2566">
        <f t="shared" si="191"/>
        <v>1877.0079194820844</v>
      </c>
      <c r="W2566" s="89">
        <f t="shared" si="187"/>
        <v>0.96146264147865468</v>
      </c>
    </row>
    <row r="2567" spans="2:23" x14ac:dyDescent="0.3">
      <c r="B2567">
        <v>119</v>
      </c>
      <c r="C2567">
        <v>46</v>
      </c>
      <c r="D2567">
        <v>133</v>
      </c>
      <c r="E2567" s="64">
        <v>41387</v>
      </c>
      <c r="R2567" s="73">
        <f t="shared" si="188"/>
        <v>3.1376197340477239E-4</v>
      </c>
      <c r="S2567" s="74">
        <f t="shared" si="189"/>
        <v>3.2633818504089858E-4</v>
      </c>
      <c r="T2567">
        <v>83.1972683133435</v>
      </c>
      <c r="U2567" s="86">
        <f t="shared" si="190"/>
        <v>4.2616264175607342E-2</v>
      </c>
      <c r="V2567">
        <f t="shared" si="191"/>
        <v>1869.0449078313191</v>
      </c>
      <c r="W2567" s="89">
        <f t="shared" ref="W2567:W2581" si="192">100%-U2567</f>
        <v>0.95738373582439262</v>
      </c>
    </row>
    <row r="2568" spans="2:23" x14ac:dyDescent="0.3">
      <c r="B2568">
        <v>119</v>
      </c>
      <c r="C2568">
        <v>46</v>
      </c>
      <c r="D2568">
        <v>147</v>
      </c>
      <c r="E2568" s="64">
        <v>41401</v>
      </c>
      <c r="R2568" s="73">
        <f t="shared" si="188"/>
        <v>1.9486592330411511E-4</v>
      </c>
      <c r="S2568" s="74">
        <f t="shared" si="189"/>
        <v>2.0354003939320969E-4</v>
      </c>
      <c r="T2568">
        <v>88.523224951690807</v>
      </c>
      <c r="U2568" s="86">
        <f t="shared" si="190"/>
        <v>4.5344387101864954E-2</v>
      </c>
      <c r="V2568">
        <f t="shared" si="191"/>
        <v>1863.7189511929719</v>
      </c>
      <c r="W2568" s="89">
        <f t="shared" si="192"/>
        <v>0.95465561289813505</v>
      </c>
    </row>
    <row r="2569" spans="2:23" x14ac:dyDescent="0.3">
      <c r="B2569">
        <v>119</v>
      </c>
      <c r="C2569">
        <v>46</v>
      </c>
      <c r="D2569">
        <v>161</v>
      </c>
      <c r="E2569" s="64">
        <v>41415</v>
      </c>
      <c r="R2569" s="73">
        <f t="shared" si="188"/>
        <v>1.439075382203375E-4</v>
      </c>
      <c r="S2569" s="74">
        <f t="shared" si="189"/>
        <v>1.5074288180578994E-4</v>
      </c>
      <c r="T2569">
        <v>92.456418069795305</v>
      </c>
      <c r="U2569" s="86">
        <f t="shared" si="190"/>
        <v>4.7359092636949679E-2</v>
      </c>
      <c r="V2569">
        <f t="shared" si="191"/>
        <v>1859.7857580748673</v>
      </c>
      <c r="W2569" s="89">
        <f t="shared" si="192"/>
        <v>0.95264090736305029</v>
      </c>
    </row>
    <row r="2570" spans="2:23" x14ac:dyDescent="0.3">
      <c r="B2570">
        <v>119</v>
      </c>
      <c r="C2570">
        <v>46</v>
      </c>
      <c r="D2570">
        <v>175</v>
      </c>
      <c r="E2570" s="64">
        <v>41429</v>
      </c>
      <c r="R2570" s="73">
        <f t="shared" si="188"/>
        <v>9.6792793644666659E-5</v>
      </c>
      <c r="S2570" s="74">
        <f t="shared" si="189"/>
        <v>1.0160470004651926E-4</v>
      </c>
      <c r="T2570">
        <v>95.101899707195102</v>
      </c>
      <c r="U2570" s="86">
        <f t="shared" si="190"/>
        <v>4.8714191747975012E-2</v>
      </c>
      <c r="V2570">
        <f t="shared" si="191"/>
        <v>1857.1402764374675</v>
      </c>
      <c r="W2570" s="89">
        <f t="shared" si="192"/>
        <v>0.95128580825202502</v>
      </c>
    </row>
    <row r="2571" spans="2:23" x14ac:dyDescent="0.3">
      <c r="B2571">
        <v>119</v>
      </c>
      <c r="C2571">
        <v>46</v>
      </c>
      <c r="D2571">
        <v>189</v>
      </c>
      <c r="E2571" s="64">
        <v>41443</v>
      </c>
      <c r="R2571" s="73">
        <f t="shared" si="188"/>
        <v>9.0703550661497563E-5</v>
      </c>
      <c r="S2571" s="74">
        <f t="shared" si="189"/>
        <v>9.534836941188488E-5</v>
      </c>
      <c r="T2571">
        <v>97.580953866979399</v>
      </c>
      <c r="U2571" s="86">
        <f t="shared" si="190"/>
        <v>4.9984041457235978E-2</v>
      </c>
      <c r="V2571">
        <f t="shared" si="191"/>
        <v>1854.6612222776832</v>
      </c>
      <c r="W2571" s="89">
        <f t="shared" si="192"/>
        <v>0.95001595854276399</v>
      </c>
    </row>
    <row r="2572" spans="2:23" x14ac:dyDescent="0.3">
      <c r="B2572">
        <v>119</v>
      </c>
      <c r="C2572">
        <v>46</v>
      </c>
      <c r="D2572">
        <v>203</v>
      </c>
      <c r="E2572" s="64">
        <v>41457</v>
      </c>
      <c r="R2572" s="73">
        <f t="shared" si="188"/>
        <v>1.2689565249418406E-4</v>
      </c>
      <c r="S2572" s="74">
        <f t="shared" si="189"/>
        <v>1.3357212723966256E-4</v>
      </c>
      <c r="T2572">
        <v>101.049188493739</v>
      </c>
      <c r="U2572" s="86">
        <f t="shared" si="190"/>
        <v>5.1760580592154555E-2</v>
      </c>
      <c r="V2572">
        <f t="shared" si="191"/>
        <v>1851.1929876509237</v>
      </c>
      <c r="W2572" s="89">
        <f t="shared" si="192"/>
        <v>0.9482394194078454</v>
      </c>
    </row>
    <row r="2573" spans="2:23" x14ac:dyDescent="0.3">
      <c r="B2573">
        <v>119</v>
      </c>
      <c r="C2573">
        <v>46</v>
      </c>
      <c r="D2573">
        <v>217</v>
      </c>
      <c r="E2573" s="64">
        <v>41471</v>
      </c>
      <c r="R2573" s="73">
        <f t="shared" si="188"/>
        <v>1.6780917232828946E-4</v>
      </c>
      <c r="S2573" s="74">
        <f t="shared" si="189"/>
        <v>1.7696920091455655E-4</v>
      </c>
      <c r="T2573">
        <v>105.635646506424</v>
      </c>
      <c r="U2573" s="86">
        <f t="shared" si="190"/>
        <v>5.4109909004750607E-2</v>
      </c>
      <c r="V2573">
        <f t="shared" si="191"/>
        <v>1846.6065296382385</v>
      </c>
      <c r="W2573" s="89">
        <f t="shared" si="192"/>
        <v>0.94589009099524934</v>
      </c>
    </row>
    <row r="2574" spans="2:23" x14ac:dyDescent="0.3">
      <c r="B2574">
        <v>119</v>
      </c>
      <c r="C2574">
        <v>46</v>
      </c>
      <c r="D2574">
        <v>231</v>
      </c>
      <c r="E2574" s="64">
        <v>41485</v>
      </c>
      <c r="R2574" s="73">
        <f t="shared" si="188"/>
        <v>1.476793202160117E-4</v>
      </c>
      <c r="S2574" s="74">
        <f t="shared" si="189"/>
        <v>1.5612735731339151E-4</v>
      </c>
      <c r="T2574">
        <v>109.67192767100499</v>
      </c>
      <c r="U2574" s="86">
        <f t="shared" si="190"/>
        <v>5.6177419487774771E-2</v>
      </c>
      <c r="V2574">
        <f t="shared" si="191"/>
        <v>1842.5702484736576</v>
      </c>
      <c r="W2574" s="89">
        <f t="shared" si="192"/>
        <v>0.94382258051222523</v>
      </c>
    </row>
    <row r="2575" spans="2:23" x14ac:dyDescent="0.3">
      <c r="B2575">
        <v>119</v>
      </c>
      <c r="C2575">
        <v>46</v>
      </c>
      <c r="D2575">
        <v>247</v>
      </c>
      <c r="E2575" s="64">
        <v>41501</v>
      </c>
      <c r="R2575" s="73">
        <f t="shared" si="188"/>
        <v>1.153805609549587E-4</v>
      </c>
      <c r="S2575" s="74">
        <f t="shared" si="189"/>
        <v>1.2224814635430751E-4</v>
      </c>
      <c r="T2575">
        <v>113.275940429461</v>
      </c>
      <c r="U2575" s="86">
        <f t="shared" si="190"/>
        <v>5.802350846305411E-2</v>
      </c>
      <c r="V2575">
        <f t="shared" si="191"/>
        <v>1838.9662357152015</v>
      </c>
      <c r="W2575" s="89">
        <f t="shared" si="192"/>
        <v>0.94197649153694585</v>
      </c>
    </row>
    <row r="2576" spans="2:23" x14ac:dyDescent="0.3">
      <c r="B2576">
        <v>119</v>
      </c>
      <c r="C2576">
        <v>46</v>
      </c>
      <c r="D2576">
        <v>259</v>
      </c>
      <c r="E2576" s="64">
        <v>41513</v>
      </c>
      <c r="R2576" s="73">
        <f t="shared" si="188"/>
        <v>8.8916188188488163E-5</v>
      </c>
      <c r="S2576" s="74">
        <f t="shared" si="189"/>
        <v>9.4393213617689024E-5</v>
      </c>
      <c r="T2576">
        <v>115.358971622144</v>
      </c>
      <c r="U2576" s="86">
        <f t="shared" si="190"/>
        <v>5.9090502721315968E-2</v>
      </c>
      <c r="V2576">
        <f t="shared" si="191"/>
        <v>1836.8832045225186</v>
      </c>
      <c r="W2576" s="89">
        <f t="shared" si="192"/>
        <v>0.940909497278684</v>
      </c>
    </row>
    <row r="2577" spans="2:25" x14ac:dyDescent="0.3">
      <c r="B2577">
        <v>119</v>
      </c>
      <c r="C2577">
        <v>46</v>
      </c>
      <c r="D2577">
        <v>280</v>
      </c>
      <c r="E2577" s="64">
        <v>41534</v>
      </c>
      <c r="R2577" s="73">
        <f t="shared" si="188"/>
        <v>8.0921776124366171E-5</v>
      </c>
      <c r="S2577" s="74">
        <f t="shared" si="189"/>
        <v>8.6003782891351014E-5</v>
      </c>
      <c r="T2577">
        <v>118.676528612833</v>
      </c>
      <c r="U2577" s="86">
        <f t="shared" si="190"/>
        <v>6.0789860019927658E-2</v>
      </c>
      <c r="V2577">
        <f t="shared" si="191"/>
        <v>1833.5656475318297</v>
      </c>
      <c r="W2577" s="89">
        <f t="shared" si="192"/>
        <v>0.9392101399800723</v>
      </c>
    </row>
    <row r="2578" spans="2:25" x14ac:dyDescent="0.3">
      <c r="B2578">
        <v>119</v>
      </c>
      <c r="C2578">
        <v>46</v>
      </c>
      <c r="D2578">
        <v>309</v>
      </c>
      <c r="E2578" s="64">
        <v>41563</v>
      </c>
      <c r="R2578" s="73">
        <f t="shared" si="188"/>
        <v>1.2201070547349282E-4</v>
      </c>
      <c r="S2578" s="74">
        <f t="shared" si="189"/>
        <v>1.2990778131513953E-4</v>
      </c>
      <c r="T2578">
        <v>125.584167522662</v>
      </c>
      <c r="U2578" s="86">
        <f t="shared" si="190"/>
        <v>6.432817047865895E-2</v>
      </c>
      <c r="V2578">
        <f t="shared" si="191"/>
        <v>1826.6580086220006</v>
      </c>
      <c r="W2578" s="89">
        <f t="shared" si="192"/>
        <v>0.93567182952134109</v>
      </c>
    </row>
    <row r="2579" spans="2:25" x14ac:dyDescent="0.3">
      <c r="B2579">
        <v>119</v>
      </c>
      <c r="C2579">
        <v>46</v>
      </c>
      <c r="D2579">
        <v>324</v>
      </c>
      <c r="E2579" s="64">
        <v>41578</v>
      </c>
      <c r="R2579" s="73">
        <f t="shared" si="188"/>
        <v>1.5869380910225235E-4</v>
      </c>
      <c r="S2579" s="74">
        <f t="shared" si="189"/>
        <v>1.6960413266201984E-4</v>
      </c>
      <c r="T2579">
        <v>130.23129873099899</v>
      </c>
      <c r="U2579" s="86">
        <f t="shared" si="190"/>
        <v>6.6708577615192735E-2</v>
      </c>
      <c r="V2579">
        <f t="shared" si="191"/>
        <v>1822.0108774136636</v>
      </c>
      <c r="W2579" s="89">
        <f t="shared" si="192"/>
        <v>0.93329142238480722</v>
      </c>
    </row>
    <row r="2580" spans="2:25" x14ac:dyDescent="0.3">
      <c r="B2580">
        <v>119</v>
      </c>
      <c r="C2580">
        <v>46</v>
      </c>
      <c r="D2580">
        <v>336</v>
      </c>
      <c r="E2580" s="64">
        <v>41590</v>
      </c>
      <c r="R2580" s="73">
        <f t="shared" si="188"/>
        <v>1.4867640148110797E-4</v>
      </c>
      <c r="S2580" s="74">
        <f t="shared" si="189"/>
        <v>1.5930329789295644E-4</v>
      </c>
      <c r="T2580">
        <v>133.71432682982501</v>
      </c>
      <c r="U2580" s="86">
        <f t="shared" si="190"/>
        <v>6.8492694432966031E-2</v>
      </c>
      <c r="V2580">
        <f t="shared" si="191"/>
        <v>1818.5278493148376</v>
      </c>
      <c r="W2580" s="89">
        <f t="shared" si="192"/>
        <v>0.93150730556703398</v>
      </c>
    </row>
    <row r="2581" spans="2:25" x14ac:dyDescent="0.3">
      <c r="B2581">
        <v>119</v>
      </c>
      <c r="C2581">
        <v>46</v>
      </c>
      <c r="D2581">
        <v>349</v>
      </c>
      <c r="E2581" s="64">
        <v>41603</v>
      </c>
      <c r="R2581" s="73">
        <f t="shared" ref="R2581:R2644" si="193">IF(D2581&gt;D2580,(U2581-U2580)/1/(D2581-D2580),0)</f>
        <v>1.3788766270167986E-4</v>
      </c>
      <c r="S2581" s="74">
        <f t="shared" si="189"/>
        <v>1.4802638892643345E-4</v>
      </c>
      <c r="T2581">
        <v>137.21379826887599</v>
      </c>
      <c r="U2581" s="86">
        <f t="shared" si="190"/>
        <v>7.0285234048087869E-2</v>
      </c>
      <c r="V2581">
        <f t="shared" si="191"/>
        <v>1815.0283778757866</v>
      </c>
      <c r="W2581" s="89">
        <f t="shared" si="192"/>
        <v>0.92971476595191216</v>
      </c>
    </row>
    <row r="2582" spans="2:25" s="18" customFormat="1" x14ac:dyDescent="0.3">
      <c r="B2582" s="18">
        <v>122</v>
      </c>
      <c r="C2582" s="18">
        <v>40</v>
      </c>
      <c r="D2582" s="18">
        <v>0</v>
      </c>
      <c r="E2582" s="93"/>
      <c r="F2582" s="73">
        <f>O2582*IF(D2582&gt;D2581,(D2582-D2581),(D2582-0))</f>
        <v>0</v>
      </c>
      <c r="G2582" s="15">
        <v>0</v>
      </c>
      <c r="H2582" s="15">
        <v>0</v>
      </c>
      <c r="I2582" s="72">
        <f t="shared" ref="I2582:I2605" si="194">P2582*IF(D2582&gt;D2581,(D2582-D2581),(D2582-0))</f>
        <v>0</v>
      </c>
      <c r="J2582" s="72">
        <f>F2582-I2582</f>
        <v>0</v>
      </c>
      <c r="K2582" s="8">
        <f>I2582/(T2582+V2582)</f>
        <v>0</v>
      </c>
      <c r="L2582"/>
      <c r="M2582"/>
      <c r="N2582"/>
      <c r="O2582" s="72">
        <v>0</v>
      </c>
      <c r="P2582" s="72">
        <v>0</v>
      </c>
      <c r="Q2582"/>
      <c r="R2582" s="73">
        <f t="shared" si="193"/>
        <v>0</v>
      </c>
      <c r="S2582" s="74">
        <f t="shared" si="189"/>
        <v>0</v>
      </c>
      <c r="T2582">
        <f>IF(D2582&gt;D2581,T2581+I2582,I2582)</f>
        <v>0</v>
      </c>
      <c r="U2582" s="86">
        <f>T2582/$V$2582</f>
        <v>0</v>
      </c>
      <c r="V2582">
        <f>2%*1000*0.674</f>
        <v>13.48</v>
      </c>
      <c r="W2582" s="89">
        <f>100%-U2582</f>
        <v>1</v>
      </c>
      <c r="X2582"/>
      <c r="Y2582" s="72">
        <v>0</v>
      </c>
    </row>
    <row r="2583" spans="2:25" x14ac:dyDescent="0.3">
      <c r="B2583">
        <v>122</v>
      </c>
      <c r="C2583">
        <v>40</v>
      </c>
      <c r="D2583">
        <v>1</v>
      </c>
      <c r="F2583" s="73">
        <f t="shared" ref="F2583:F2646" si="195">O2583*IF(D2583&gt;D2582,(D2583-D2582),(D2583-0))</f>
        <v>2.7280145382101467E-2</v>
      </c>
      <c r="G2583" s="15">
        <v>0.27914413737312033</v>
      </c>
      <c r="H2583" s="15">
        <v>0.72085586262687973</v>
      </c>
      <c r="I2583" s="72">
        <f t="shared" si="194"/>
        <v>7.5873719743313004E-3</v>
      </c>
      <c r="J2583" s="72">
        <f t="shared" ref="J2583:J2646" si="196">F2583-I2583</f>
        <v>1.9692773407770169E-2</v>
      </c>
      <c r="K2583" s="8">
        <f t="shared" ref="K2583:K2646" si="197">I2583/(T2583+V2583)</f>
        <v>5.6286142242813805E-4</v>
      </c>
      <c r="O2583" s="72">
        <v>2.7280145382101467E-2</v>
      </c>
      <c r="P2583" s="72">
        <v>7.5873719743313004E-3</v>
      </c>
      <c r="R2583" s="73">
        <f t="shared" si="193"/>
        <v>5.6286142242813805E-4</v>
      </c>
      <c r="S2583" s="74">
        <f t="shared" si="189"/>
        <v>5.6286142242813805E-4</v>
      </c>
      <c r="T2583">
        <f t="shared" ref="T2583:T2646" si="198">IF(D2583&gt;D2582,T2582+I2583,I2583)</f>
        <v>7.5873719743313004E-3</v>
      </c>
      <c r="U2583" s="86">
        <f t="shared" ref="U2583:U2600" si="199">T2583/$V$2582</f>
        <v>5.6286142242813805E-4</v>
      </c>
      <c r="V2583" s="7">
        <f>V2582-T2583</f>
        <v>13.472412628025669</v>
      </c>
      <c r="W2583" s="89">
        <f t="shared" ref="W2583:W2646" si="200">100%-U2583</f>
        <v>0.99943713857757188</v>
      </c>
      <c r="Y2583" s="72">
        <v>1.5097000000000001E-3</v>
      </c>
    </row>
    <row r="2584" spans="2:25" x14ac:dyDescent="0.3">
      <c r="B2584">
        <v>122</v>
      </c>
      <c r="C2584">
        <v>40</v>
      </c>
      <c r="D2584">
        <v>2</v>
      </c>
      <c r="F2584" s="73">
        <f t="shared" si="195"/>
        <v>8.294634570825743E-3</v>
      </c>
      <c r="G2584" s="15">
        <v>0.27805364979949604</v>
      </c>
      <c r="H2584" s="15">
        <v>0.72194635020050402</v>
      </c>
      <c r="I2584" s="72">
        <f t="shared" si="194"/>
        <v>2.2903637980524532E-3</v>
      </c>
      <c r="J2584" s="72">
        <f t="shared" si="196"/>
        <v>6.0042707727732897E-3</v>
      </c>
      <c r="K2584" s="8">
        <f t="shared" si="197"/>
        <v>1.7000398230736921E-4</v>
      </c>
      <c r="O2584" s="72">
        <v>8.294634570825743E-3</v>
      </c>
      <c r="P2584" s="72">
        <v>2.2903637980524532E-3</v>
      </c>
      <c r="R2584" s="73">
        <f t="shared" si="193"/>
        <v>1.6990829362406915E-4</v>
      </c>
      <c r="S2584" s="74">
        <f t="shared" si="189"/>
        <v>1.7000398230736913E-4</v>
      </c>
      <c r="T2584">
        <f t="shared" si="198"/>
        <v>9.8777357723837528E-3</v>
      </c>
      <c r="U2584" s="86">
        <f t="shared" si="199"/>
        <v>7.327697160522072E-4</v>
      </c>
      <c r="V2584" s="7">
        <f t="shared" ref="V2584:V2600" si="201">V2583-T2584</f>
        <v>13.462534892253286</v>
      </c>
      <c r="W2584" s="89">
        <f t="shared" si="200"/>
        <v>0.99926723028394782</v>
      </c>
      <c r="Y2584" s="72">
        <v>1.9688000000000002E-3</v>
      </c>
    </row>
    <row r="2585" spans="2:25" x14ac:dyDescent="0.3">
      <c r="B2585">
        <v>122</v>
      </c>
      <c r="C2585">
        <v>40</v>
      </c>
      <c r="D2585">
        <v>3</v>
      </c>
      <c r="F2585" s="73">
        <f t="shared" si="195"/>
        <v>5.8176638484788374E-3</v>
      </c>
      <c r="G2585" s="15">
        <v>0.15470011945947834</v>
      </c>
      <c r="H2585" s="15">
        <v>0.84529988054052163</v>
      </c>
      <c r="I2585" s="72">
        <f t="shared" si="194"/>
        <v>9.0576874468333414E-4</v>
      </c>
      <c r="J2585" s="72">
        <f t="shared" si="196"/>
        <v>4.9118951037955029E-3</v>
      </c>
      <c r="K2585" s="8">
        <f t="shared" si="197"/>
        <v>6.7280698021034548E-5</v>
      </c>
      <c r="O2585" s="72">
        <v>5.8176638484788374E-3</v>
      </c>
      <c r="P2585" s="72">
        <v>9.0576874468333414E-4</v>
      </c>
      <c r="R2585" s="73">
        <f t="shared" si="193"/>
        <v>6.7193527053659727E-5</v>
      </c>
      <c r="S2585" s="74">
        <f t="shared" si="189"/>
        <v>6.7242800541519093E-5</v>
      </c>
      <c r="T2585">
        <f t="shared" si="198"/>
        <v>1.0783504517067086E-2</v>
      </c>
      <c r="U2585" s="86">
        <f t="shared" si="199"/>
        <v>7.9996324310586692E-4</v>
      </c>
      <c r="V2585" s="7">
        <f t="shared" si="201"/>
        <v>13.45175138773622</v>
      </c>
      <c r="W2585" s="89">
        <f t="shared" si="200"/>
        <v>0.99920003675689417</v>
      </c>
      <c r="Y2585" s="72">
        <v>2.2908E-3</v>
      </c>
    </row>
    <row r="2586" spans="2:25" x14ac:dyDescent="0.3">
      <c r="B2586">
        <v>122</v>
      </c>
      <c r="C2586">
        <v>40</v>
      </c>
      <c r="D2586">
        <v>5</v>
      </c>
      <c r="F2586" s="73">
        <f t="shared" si="195"/>
        <v>8.6955181961216321E-3</v>
      </c>
      <c r="G2586" s="15">
        <v>0.20705872629426067</v>
      </c>
      <c r="H2586" s="15">
        <v>0.7929412737057393</v>
      </c>
      <c r="I2586" s="72">
        <f t="shared" si="194"/>
        <v>1.797189849948752E-3</v>
      </c>
      <c r="J2586" s="72">
        <f t="shared" si="196"/>
        <v>6.8983283461728799E-3</v>
      </c>
      <c r="K2586" s="8">
        <f t="shared" si="197"/>
        <v>1.3360266616191152E-4</v>
      </c>
      <c r="O2586" s="72">
        <v>4.3477590980608161E-3</v>
      </c>
      <c r="P2586" s="72">
        <v>8.9859492497437602E-4</v>
      </c>
      <c r="R2586" s="73">
        <f t="shared" si="193"/>
        <v>6.6661344582668799E-5</v>
      </c>
      <c r="S2586" s="74">
        <f t="shared" si="189"/>
        <v>6.6714713901564368E-5</v>
      </c>
      <c r="T2586">
        <f t="shared" si="198"/>
        <v>1.2580694367015838E-2</v>
      </c>
      <c r="U2586" s="86">
        <f t="shared" si="199"/>
        <v>9.3328593227120452E-4</v>
      </c>
      <c r="V2586" s="7">
        <f t="shared" si="201"/>
        <v>13.439170693369205</v>
      </c>
      <c r="W2586" s="89">
        <f t="shared" si="200"/>
        <v>0.99906671406772884</v>
      </c>
      <c r="Y2586" s="72">
        <v>2.7720333333333298E-3</v>
      </c>
    </row>
    <row r="2587" spans="2:25" x14ac:dyDescent="0.3">
      <c r="B2587">
        <v>122</v>
      </c>
      <c r="C2587">
        <v>40</v>
      </c>
      <c r="D2587">
        <v>8</v>
      </c>
      <c r="F2587" s="73">
        <f t="shared" si="195"/>
        <v>1.9812178220259262E-2</v>
      </c>
      <c r="G2587" s="15">
        <v>0.32542281725741995</v>
      </c>
      <c r="H2587" s="15">
        <v>0.67457718274258016</v>
      </c>
      <c r="I2587" s="72">
        <f t="shared" si="194"/>
        <v>6.2710656576018004E-3</v>
      </c>
      <c r="J2587" s="72">
        <f t="shared" si="196"/>
        <v>1.3541112562657462E-2</v>
      </c>
      <c r="K2587" s="8">
        <f t="shared" si="197"/>
        <v>4.6662593999910289E-4</v>
      </c>
      <c r="O2587" s="72">
        <v>6.6040594067530876E-3</v>
      </c>
      <c r="P2587" s="72">
        <v>2.0903552192006003E-3</v>
      </c>
      <c r="R2587" s="73">
        <f t="shared" si="193"/>
        <v>1.5507086195850145E-4</v>
      </c>
      <c r="S2587" s="74">
        <f t="shared" si="189"/>
        <v>1.5521572260887963E-4</v>
      </c>
      <c r="T2587">
        <f t="shared" si="198"/>
        <v>1.8851760024617636E-2</v>
      </c>
      <c r="U2587" s="86">
        <f t="shared" si="199"/>
        <v>1.3984985181467089E-3</v>
      </c>
      <c r="V2587" s="7">
        <f t="shared" si="201"/>
        <v>13.420318933344587</v>
      </c>
      <c r="W2587" s="89">
        <f t="shared" si="200"/>
        <v>0.99860150148185334</v>
      </c>
      <c r="Y2587" s="72">
        <v>3.8685666666666697E-3</v>
      </c>
    </row>
    <row r="2588" spans="2:25" x14ac:dyDescent="0.3">
      <c r="B2588">
        <v>122</v>
      </c>
      <c r="C2588">
        <v>40</v>
      </c>
      <c r="D2588">
        <v>13</v>
      </c>
      <c r="F2588" s="73">
        <f t="shared" si="195"/>
        <v>1.4090184077660418E-2</v>
      </c>
      <c r="G2588" s="15">
        <v>0.31394658487979937</v>
      </c>
      <c r="H2588" s="15">
        <v>0.68605341512020057</v>
      </c>
      <c r="I2588" s="72">
        <f t="shared" si="194"/>
        <v>4.347854878437629E-3</v>
      </c>
      <c r="J2588" s="72">
        <f t="shared" si="196"/>
        <v>9.7423291992227885E-3</v>
      </c>
      <c r="K2588" s="8">
        <f t="shared" si="197"/>
        <v>3.2397552547240875E-4</v>
      </c>
      <c r="O2588" s="72">
        <v>2.8180368155320836E-3</v>
      </c>
      <c r="P2588" s="72">
        <v>8.6957097568752574E-4</v>
      </c>
      <c r="R2588" s="73">
        <f t="shared" si="193"/>
        <v>6.4508232617768987E-5</v>
      </c>
      <c r="S2588" s="74">
        <f t="shared" si="189"/>
        <v>6.4598573627261096E-5</v>
      </c>
      <c r="T2588">
        <f t="shared" si="198"/>
        <v>2.3199614903055266E-2</v>
      </c>
      <c r="U2588" s="86">
        <f t="shared" si="199"/>
        <v>1.7210396812355538E-3</v>
      </c>
      <c r="V2588" s="7">
        <f t="shared" si="201"/>
        <v>13.397119318441533</v>
      </c>
      <c r="W2588" s="89">
        <f t="shared" si="200"/>
        <v>0.9982789603187644</v>
      </c>
      <c r="Y2588" s="72">
        <v>4.64839999999999E-3</v>
      </c>
    </row>
    <row r="2589" spans="2:25" x14ac:dyDescent="0.3">
      <c r="B2589">
        <v>122</v>
      </c>
      <c r="C2589">
        <v>40</v>
      </c>
      <c r="D2589">
        <v>20</v>
      </c>
      <c r="F2589" s="73">
        <f t="shared" si="195"/>
        <v>2.4512367314810553E-2</v>
      </c>
      <c r="G2589" s="15">
        <v>0.34269620178546928</v>
      </c>
      <c r="H2589" s="15">
        <v>0.65730379821453067</v>
      </c>
      <c r="I2589" s="72">
        <f t="shared" si="194"/>
        <v>8.3726344701900834E-3</v>
      </c>
      <c r="J2589" s="72">
        <f t="shared" si="196"/>
        <v>1.6139732844620468E-2</v>
      </c>
      <c r="K2589" s="8">
        <f t="shared" si="197"/>
        <v>6.2495781900403797E-4</v>
      </c>
      <c r="O2589" s="72">
        <v>3.5017667592586502E-3</v>
      </c>
      <c r="P2589" s="72">
        <v>1.1960906385985834E-3</v>
      </c>
      <c r="R2589" s="73">
        <f t="shared" si="193"/>
        <v>8.8730759539954219E-5</v>
      </c>
      <c r="S2589" s="74">
        <f t="shared" si="189"/>
        <v>8.8883731969690368E-5</v>
      </c>
      <c r="T2589">
        <f t="shared" si="198"/>
        <v>3.1572249373245348E-2</v>
      </c>
      <c r="U2589" s="86">
        <f t="shared" si="199"/>
        <v>2.3421549980152333E-3</v>
      </c>
      <c r="V2589" s="7">
        <f t="shared" si="201"/>
        <v>13.365547069068286</v>
      </c>
      <c r="W2589" s="89">
        <f t="shared" si="200"/>
        <v>0.99765784500198473</v>
      </c>
      <c r="Y2589" s="72">
        <v>6.0050666666666697E-3</v>
      </c>
    </row>
    <row r="2590" spans="2:25" x14ac:dyDescent="0.3">
      <c r="B2590">
        <v>122</v>
      </c>
      <c r="C2590">
        <v>40</v>
      </c>
      <c r="D2590">
        <v>30</v>
      </c>
      <c r="F2590" s="73">
        <f t="shared" si="195"/>
        <v>3.0531023135163402E-2</v>
      </c>
      <c r="G2590" s="15">
        <v>0.39412625924206229</v>
      </c>
      <c r="H2590" s="15">
        <v>0.60587374075793765</v>
      </c>
      <c r="I2590" s="72">
        <f t="shared" si="194"/>
        <v>1.1990299117420359E-2</v>
      </c>
      <c r="J2590" s="72">
        <f t="shared" si="196"/>
        <v>1.8540724017743045E-2</v>
      </c>
      <c r="K2590" s="8">
        <f t="shared" si="197"/>
        <v>8.9710500104925404E-4</v>
      </c>
      <c r="O2590" s="72">
        <v>3.0531023135163403E-3</v>
      </c>
      <c r="P2590" s="72">
        <v>1.1990299117420359E-3</v>
      </c>
      <c r="R2590" s="73">
        <f t="shared" si="193"/>
        <v>8.8948806509053135E-5</v>
      </c>
      <c r="S2590" s="74">
        <f t="shared" si="189"/>
        <v>8.9157627491894464E-5</v>
      </c>
      <c r="T2590">
        <f t="shared" si="198"/>
        <v>4.3562548490665709E-2</v>
      </c>
      <c r="U2590" s="86">
        <f t="shared" si="199"/>
        <v>3.2316430631057647E-3</v>
      </c>
      <c r="V2590" s="7">
        <f t="shared" si="201"/>
        <v>13.321984520577621</v>
      </c>
      <c r="W2590" s="89">
        <f t="shared" si="200"/>
        <v>0.99676835693689425</v>
      </c>
      <c r="Y2590" s="72">
        <v>7.6949666666666699E-3</v>
      </c>
    </row>
    <row r="2591" spans="2:25" x14ac:dyDescent="0.3">
      <c r="B2591">
        <v>122</v>
      </c>
      <c r="C2591">
        <v>40</v>
      </c>
      <c r="D2591">
        <v>44</v>
      </c>
      <c r="F2591" s="73">
        <f t="shared" si="195"/>
        <v>3.2154092431378817E-2</v>
      </c>
      <c r="G2591" s="15">
        <v>0.41015409692556398</v>
      </c>
      <c r="H2591" s="15">
        <v>0.58984590307443607</v>
      </c>
      <c r="I2591" s="72">
        <f t="shared" si="194"/>
        <v>1.3099540369881611E-2</v>
      </c>
      <c r="J2591" s="72">
        <f t="shared" si="196"/>
        <v>1.9054552061497206E-2</v>
      </c>
      <c r="K2591" s="8">
        <f t="shared" si="197"/>
        <v>9.8330247641765286E-4</v>
      </c>
      <c r="O2591" s="72">
        <v>2.29672088795563E-3</v>
      </c>
      <c r="P2591" s="72">
        <v>9.3568145499154363E-4</v>
      </c>
      <c r="R2591" s="73">
        <f t="shared" si="193"/>
        <v>6.9412570845069963E-5</v>
      </c>
      <c r="S2591" s="74">
        <f t="shared" si="189"/>
        <v>6.9637614759739504E-5</v>
      </c>
      <c r="T2591">
        <f t="shared" si="198"/>
        <v>5.666208886054732E-2</v>
      </c>
      <c r="U2591" s="86">
        <f t="shared" si="199"/>
        <v>4.2034190549367443E-3</v>
      </c>
      <c r="V2591" s="7">
        <f t="shared" si="201"/>
        <v>13.265322431717074</v>
      </c>
      <c r="W2591" s="89">
        <f t="shared" si="200"/>
        <v>0.99579658094506329</v>
      </c>
      <c r="Y2591" s="72">
        <v>9.4744666666666706E-3</v>
      </c>
    </row>
    <row r="2592" spans="2:25" x14ac:dyDescent="0.3">
      <c r="B2592">
        <v>122</v>
      </c>
      <c r="C2592">
        <v>40</v>
      </c>
      <c r="D2592">
        <v>65</v>
      </c>
      <c r="F2592" s="73">
        <f t="shared" si="195"/>
        <v>4.1067149416729377E-2</v>
      </c>
      <c r="G2592" s="15">
        <v>0.41423010090668666</v>
      </c>
      <c r="H2592" s="15">
        <v>0.58576989909331334</v>
      </c>
      <c r="I2592" s="72">
        <f t="shared" si="194"/>
        <v>1.7124395551026329E-2</v>
      </c>
      <c r="J2592" s="72">
        <f t="shared" si="196"/>
        <v>2.3942753865703048E-2</v>
      </c>
      <c r="K2592" s="8">
        <f t="shared" si="197"/>
        <v>1.2909143851703372E-3</v>
      </c>
      <c r="O2592" s="72">
        <v>1.9555785436537799E-3</v>
      </c>
      <c r="P2592" s="72">
        <v>8.1544740719172995E-4</v>
      </c>
      <c r="R2592" s="73">
        <f t="shared" si="193"/>
        <v>6.0493131097309351E-5</v>
      </c>
      <c r="S2592" s="74">
        <f t="shared" si="189"/>
        <v>6.074848242589686E-5</v>
      </c>
      <c r="T2592">
        <f t="shared" si="198"/>
        <v>7.378648441157365E-2</v>
      </c>
      <c r="U2592" s="86">
        <f t="shared" si="199"/>
        <v>5.4737748079802407E-3</v>
      </c>
      <c r="V2592" s="7">
        <f t="shared" si="201"/>
        <v>13.1915359473055</v>
      </c>
      <c r="W2592" s="89">
        <f t="shared" si="200"/>
        <v>0.99452622519201972</v>
      </c>
      <c r="Y2592" s="72">
        <v>1.17471E-2</v>
      </c>
    </row>
    <row r="2593" spans="2:25" x14ac:dyDescent="0.3">
      <c r="B2593">
        <v>122</v>
      </c>
      <c r="C2593">
        <v>40</v>
      </c>
      <c r="D2593">
        <v>90</v>
      </c>
      <c r="F2593" s="73">
        <f t="shared" si="195"/>
        <v>3.5274153804185082E-2</v>
      </c>
      <c r="G2593" s="15">
        <v>0.33911934811354599</v>
      </c>
      <c r="H2593" s="15">
        <v>0.66088065188645406</v>
      </c>
      <c r="I2593" s="72">
        <f t="shared" si="194"/>
        <v>1.1977177240399367E-2</v>
      </c>
      <c r="J2593" s="72">
        <f t="shared" si="196"/>
        <v>2.3296976563785717E-2</v>
      </c>
      <c r="K2593" s="8">
        <f t="shared" si="197"/>
        <v>9.0794410053863541E-4</v>
      </c>
      <c r="O2593" s="72">
        <v>1.4109661521674033E-3</v>
      </c>
      <c r="P2593" s="72">
        <v>4.7908708961597469E-4</v>
      </c>
      <c r="R2593" s="73">
        <f t="shared" si="193"/>
        <v>3.55405852830842E-5</v>
      </c>
      <c r="S2593" s="74">
        <f t="shared" si="189"/>
        <v>3.5736197178935273E-5</v>
      </c>
      <c r="T2593">
        <f t="shared" si="198"/>
        <v>8.5763661651973022E-2</v>
      </c>
      <c r="U2593" s="86">
        <f t="shared" si="199"/>
        <v>6.3622894400573457E-3</v>
      </c>
      <c r="V2593" s="7">
        <f t="shared" si="201"/>
        <v>13.105772285653527</v>
      </c>
      <c r="W2593" s="89">
        <f t="shared" si="200"/>
        <v>0.99363771055994266</v>
      </c>
      <c r="Y2593" s="72">
        <v>1.36993666666667E-2</v>
      </c>
    </row>
    <row r="2594" spans="2:25" x14ac:dyDescent="0.3">
      <c r="B2594">
        <v>122</v>
      </c>
      <c r="C2594">
        <v>40</v>
      </c>
      <c r="D2594">
        <v>120</v>
      </c>
      <c r="F2594" s="73">
        <f t="shared" si="195"/>
        <v>5.9512309551726789E-2</v>
      </c>
      <c r="G2594" s="15">
        <v>0.29873139132501231</v>
      </c>
      <c r="H2594" s="15">
        <v>0.70126860867498764</v>
      </c>
      <c r="I2594" s="72">
        <f t="shared" si="194"/>
        <v>1.7277275920051603E-2</v>
      </c>
      <c r="J2594" s="72">
        <f t="shared" si="196"/>
        <v>4.223503363167519E-2</v>
      </c>
      <c r="K2594" s="8">
        <f t="shared" si="197"/>
        <v>1.3182951407575186E-3</v>
      </c>
      <c r="O2594" s="72">
        <v>1.9837436517242263E-3</v>
      </c>
      <c r="P2594" s="72">
        <v>5.7590919733505345E-4</v>
      </c>
      <c r="R2594" s="73">
        <f t="shared" si="193"/>
        <v>4.2723234223668649E-5</v>
      </c>
      <c r="S2594" s="74">
        <f t="shared" si="189"/>
        <v>4.2996792261027324E-5</v>
      </c>
      <c r="T2594">
        <f t="shared" si="198"/>
        <v>0.10304093757202462</v>
      </c>
      <c r="U2594" s="86">
        <f t="shared" si="199"/>
        <v>7.6439864667674053E-3</v>
      </c>
      <c r="V2594" s="7">
        <f t="shared" si="201"/>
        <v>13.002731348081502</v>
      </c>
      <c r="W2594" s="89">
        <f t="shared" si="200"/>
        <v>0.99235601353323255</v>
      </c>
      <c r="Y2594" s="72">
        <v>1.6993333333333301E-2</v>
      </c>
    </row>
    <row r="2595" spans="2:25" x14ac:dyDescent="0.3">
      <c r="B2595">
        <v>122</v>
      </c>
      <c r="C2595">
        <v>40</v>
      </c>
      <c r="D2595">
        <v>240</v>
      </c>
      <c r="F2595" s="73">
        <f t="shared" si="195"/>
        <v>0.13284199461459212</v>
      </c>
      <c r="G2595" s="15">
        <v>0.27513637237459732</v>
      </c>
      <c r="H2595" s="15">
        <v>0.72486362762540268</v>
      </c>
      <c r="I2595" s="72">
        <f t="shared" si="194"/>
        <v>6.4872680864306281E-2</v>
      </c>
      <c r="J2595" s="72">
        <f t="shared" si="196"/>
        <v>6.7969313750285837E-2</v>
      </c>
      <c r="K2595" s="8">
        <f t="shared" si="197"/>
        <v>4.9891579797869141E-3</v>
      </c>
      <c r="O2595" s="72">
        <v>1.1070166217882677E-3</v>
      </c>
      <c r="P2595" s="72">
        <v>5.4060567386921899E-4</v>
      </c>
      <c r="R2595" s="73">
        <f t="shared" si="193"/>
        <v>4.0104278476945023E-5</v>
      </c>
      <c r="S2595" s="74">
        <f t="shared" si="189"/>
        <v>4.0413196403330896E-5</v>
      </c>
      <c r="T2595">
        <f t="shared" si="198"/>
        <v>0.1679136184363309</v>
      </c>
      <c r="U2595" s="86">
        <f t="shared" si="199"/>
        <v>1.2456499884000808E-2</v>
      </c>
      <c r="V2595" s="7">
        <f t="shared" si="201"/>
        <v>12.834817729645172</v>
      </c>
      <c r="W2595" s="89">
        <f t="shared" si="200"/>
        <v>0.98754350011599923</v>
      </c>
      <c r="Y2595" s="72">
        <v>2.4306000000000001E-2</v>
      </c>
    </row>
    <row r="2596" spans="2:25" x14ac:dyDescent="0.3">
      <c r="B2596">
        <v>122</v>
      </c>
      <c r="C2596">
        <v>40</v>
      </c>
      <c r="D2596">
        <v>310</v>
      </c>
      <c r="F2596" s="73">
        <f t="shared" si="195"/>
        <v>2.7634751022276912E-2</v>
      </c>
      <c r="G2596" s="15">
        <v>0.25154135342418171</v>
      </c>
      <c r="H2596" s="15">
        <v>0.74845864657581829</v>
      </c>
      <c r="I2596" s="72">
        <f t="shared" si="194"/>
        <v>6.9948956820845088E-3</v>
      </c>
      <c r="J2596" s="72">
        <f t="shared" si="196"/>
        <v>2.0639855340192404E-2</v>
      </c>
      <c r="K2596" s="8">
        <f t="shared" si="197"/>
        <v>5.4499376846841186E-4</v>
      </c>
      <c r="O2596" s="72">
        <v>3.9478215746109873E-4</v>
      </c>
      <c r="P2596" s="72">
        <v>9.992708117263584E-5</v>
      </c>
      <c r="R2596" s="73">
        <f t="shared" si="193"/>
        <v>7.412988217554582E-6</v>
      </c>
      <c r="S2596" s="74">
        <f t="shared" si="189"/>
        <v>7.5064928448051496E-6</v>
      </c>
      <c r="T2596">
        <f t="shared" si="198"/>
        <v>0.1749085141184154</v>
      </c>
      <c r="U2596" s="86">
        <f t="shared" si="199"/>
        <v>1.2975409059229628E-2</v>
      </c>
      <c r="V2596" s="7">
        <f t="shared" si="201"/>
        <v>12.659909215526756</v>
      </c>
      <c r="W2596" s="89">
        <f t="shared" si="200"/>
        <v>0.98702459094077033</v>
      </c>
      <c r="Y2596" s="72">
        <v>2.5835533333333299E-2</v>
      </c>
    </row>
    <row r="2597" spans="2:25" x14ac:dyDescent="0.3">
      <c r="B2597">
        <v>122</v>
      </c>
      <c r="C2597">
        <v>40</v>
      </c>
      <c r="D2597">
        <v>430</v>
      </c>
      <c r="F2597" s="73">
        <f t="shared" si="195"/>
        <v>9.9932112965006523E-3</v>
      </c>
      <c r="G2597" s="15">
        <v>0.238189969027331</v>
      </c>
      <c r="H2597" s="15">
        <v>0.76181003097266897</v>
      </c>
      <c r="I2597" s="72">
        <f t="shared" si="194"/>
        <v>2.4625314219954599E-3</v>
      </c>
      <c r="J2597" s="72">
        <f t="shared" si="196"/>
        <v>7.5306798745051924E-3</v>
      </c>
      <c r="K2597" s="8">
        <f t="shared" si="197"/>
        <v>1.9451414540755838E-4</v>
      </c>
      <c r="O2597" s="72">
        <v>8.3276760804172097E-5</v>
      </c>
      <c r="P2597" s="72">
        <v>2.0521095183295499E-5</v>
      </c>
      <c r="R2597" s="73">
        <f t="shared" si="193"/>
        <v>1.522336437929942E-6</v>
      </c>
      <c r="S2597" s="74">
        <f t="shared" si="189"/>
        <v>1.5423490477364356E-6</v>
      </c>
      <c r="T2597">
        <f t="shared" si="198"/>
        <v>0.17737104554041086</v>
      </c>
      <c r="U2597" s="86">
        <f t="shared" si="199"/>
        <v>1.3158089431781221E-2</v>
      </c>
      <c r="V2597" s="7">
        <f t="shared" si="201"/>
        <v>12.482538169986345</v>
      </c>
      <c r="W2597" s="89">
        <f t="shared" si="200"/>
        <v>0.98684191056821879</v>
      </c>
      <c r="Y2597" s="72">
        <v>2.6388666666666703E-2</v>
      </c>
    </row>
    <row r="2598" spans="2:25" x14ac:dyDescent="0.3">
      <c r="B2598">
        <v>122</v>
      </c>
      <c r="C2598">
        <v>40</v>
      </c>
      <c r="D2598">
        <v>506</v>
      </c>
      <c r="F2598" s="73">
        <f t="shared" si="195"/>
        <v>2.7127469738192328E-2</v>
      </c>
      <c r="G2598" s="15">
        <v>0.28136023299498697</v>
      </c>
      <c r="H2598" s="15">
        <v>0.71863976700501297</v>
      </c>
      <c r="I2598" s="72">
        <f t="shared" si="194"/>
        <v>7.5807788386629098E-3</v>
      </c>
      <c r="J2598" s="72">
        <f t="shared" si="196"/>
        <v>1.9546690899529418E-2</v>
      </c>
      <c r="K2598" s="8">
        <f t="shared" si="197"/>
        <v>6.0731068757238196E-4</v>
      </c>
      <c r="O2598" s="72">
        <v>3.5694039129200431E-4</v>
      </c>
      <c r="P2598" s="72">
        <v>9.9747089982406704E-5</v>
      </c>
      <c r="R2598" s="73">
        <f t="shared" si="193"/>
        <v>7.3996357553714033E-6</v>
      </c>
      <c r="S2598" s="74">
        <f t="shared" si="189"/>
        <v>7.4982990447889767E-6</v>
      </c>
      <c r="T2598">
        <f t="shared" si="198"/>
        <v>0.18495182437907376</v>
      </c>
      <c r="U2598" s="86">
        <f t="shared" si="199"/>
        <v>1.3720461749189448E-2</v>
      </c>
      <c r="V2598" s="7">
        <f t="shared" si="201"/>
        <v>12.297586345607272</v>
      </c>
      <c r="W2598" s="89">
        <f t="shared" si="200"/>
        <v>0.98627953825081061</v>
      </c>
      <c r="Y2598" s="72">
        <v>2.7890000000000002E-2</v>
      </c>
    </row>
    <row r="2599" spans="2:25" x14ac:dyDescent="0.3">
      <c r="B2599">
        <v>122</v>
      </c>
      <c r="C2599">
        <v>40</v>
      </c>
      <c r="D2599">
        <v>630</v>
      </c>
      <c r="F2599" s="73">
        <f t="shared" si="195"/>
        <v>2.0314838340322949E-2</v>
      </c>
      <c r="G2599" s="15">
        <v>0.32994251085846665</v>
      </c>
      <c r="H2599" s="15">
        <v>0.6700574891415334</v>
      </c>
      <c r="I2599" s="72">
        <f t="shared" si="194"/>
        <v>6.6698095791602472E-3</v>
      </c>
      <c r="J2599" s="72">
        <f t="shared" si="196"/>
        <v>1.3645028761162702E-2</v>
      </c>
      <c r="K2599" s="8">
        <f t="shared" si="197"/>
        <v>5.4236737126409518E-4</v>
      </c>
      <c r="O2599" s="72">
        <v>1.6382934145421732E-4</v>
      </c>
      <c r="P2599" s="72">
        <v>5.3788786928711668E-5</v>
      </c>
      <c r="R2599" s="73">
        <f t="shared" si="193"/>
        <v>3.9902660926343904E-6</v>
      </c>
      <c r="S2599" s="74">
        <f t="shared" si="189"/>
        <v>4.0457760075923498E-6</v>
      </c>
      <c r="T2599">
        <f t="shared" si="198"/>
        <v>0.19162163395823401</v>
      </c>
      <c r="U2599" s="86">
        <f t="shared" si="199"/>
        <v>1.4215254744676113E-2</v>
      </c>
      <c r="V2599" s="7">
        <f t="shared" si="201"/>
        <v>12.105964711649037</v>
      </c>
      <c r="W2599" s="89">
        <f t="shared" si="200"/>
        <v>0.98578474525532389</v>
      </c>
      <c r="Y2599" s="72">
        <v>2.9014433333333301E-2</v>
      </c>
    </row>
    <row r="2600" spans="2:25" x14ac:dyDescent="0.3">
      <c r="B2600">
        <v>122</v>
      </c>
      <c r="C2600">
        <v>40</v>
      </c>
      <c r="D2600">
        <v>758</v>
      </c>
      <c r="F2600" s="73">
        <f t="shared" si="195"/>
        <v>2.4998547392783191E-2</v>
      </c>
      <c r="G2600" s="15">
        <v>0.27537765041059531</v>
      </c>
      <c r="H2600" s="15">
        <v>0.72462234958940475</v>
      </c>
      <c r="I2600" s="72">
        <f t="shared" si="194"/>
        <v>6.864904360655625E-3</v>
      </c>
      <c r="J2600" s="72">
        <f t="shared" si="196"/>
        <v>1.8133643032127566E-2</v>
      </c>
      <c r="K2600" s="8">
        <f t="shared" si="197"/>
        <v>5.6706793090597978E-4</v>
      </c>
      <c r="O2600" s="72">
        <v>1.9530115150611868E-4</v>
      </c>
      <c r="P2600" s="72">
        <v>5.363206531762207E-5</v>
      </c>
      <c r="R2600" s="73">
        <f t="shared" si="193"/>
        <v>3.9786398603577135E-6</v>
      </c>
      <c r="S2600" s="74">
        <f t="shared" si="189"/>
        <v>4.0360128106133582E-6</v>
      </c>
      <c r="T2600">
        <f t="shared" si="198"/>
        <v>0.19848653831888963</v>
      </c>
      <c r="U2600" s="86">
        <f t="shared" si="199"/>
        <v>1.47245206468019E-2</v>
      </c>
      <c r="V2600" s="7">
        <f t="shared" si="201"/>
        <v>11.907478173330148</v>
      </c>
      <c r="W2600" s="89">
        <f t="shared" si="200"/>
        <v>0.98527547935319815</v>
      </c>
      <c r="Y2600" s="72">
        <v>3.0397966666666699E-2</v>
      </c>
    </row>
    <row r="2601" spans="2:25" s="18" customFormat="1" x14ac:dyDescent="0.3">
      <c r="B2601" s="18">
        <v>123</v>
      </c>
      <c r="C2601" s="18">
        <v>40</v>
      </c>
      <c r="D2601" s="18">
        <v>0</v>
      </c>
      <c r="E2601" s="93"/>
      <c r="F2601" s="73">
        <f t="shared" si="195"/>
        <v>0</v>
      </c>
      <c r="G2601" s="15">
        <v>0</v>
      </c>
      <c r="H2601" s="15">
        <v>0</v>
      </c>
      <c r="I2601" s="72">
        <f t="shared" si="194"/>
        <v>0</v>
      </c>
      <c r="J2601" s="72">
        <f t="shared" si="196"/>
        <v>0</v>
      </c>
      <c r="K2601" s="8">
        <f t="shared" si="197"/>
        <v>0</v>
      </c>
      <c r="L2601"/>
      <c r="M2601"/>
      <c r="N2601"/>
      <c r="O2601" s="72">
        <v>0</v>
      </c>
      <c r="P2601" s="72">
        <v>0</v>
      </c>
      <c r="Q2601"/>
      <c r="R2601" s="73">
        <f t="shared" si="193"/>
        <v>0</v>
      </c>
      <c r="S2601" s="74">
        <f t="shared" si="189"/>
        <v>0</v>
      </c>
      <c r="T2601">
        <f t="shared" si="198"/>
        <v>0</v>
      </c>
      <c r="U2601" s="86">
        <f>T2601/$V$2601</f>
        <v>0</v>
      </c>
      <c r="V2601">
        <f>2%*1000*0.674</f>
        <v>13.48</v>
      </c>
      <c r="W2601" s="89">
        <f t="shared" si="200"/>
        <v>1</v>
      </c>
      <c r="X2601"/>
      <c r="Y2601" s="72">
        <v>0</v>
      </c>
    </row>
    <row r="2602" spans="2:25" x14ac:dyDescent="0.3">
      <c r="B2602">
        <v>123</v>
      </c>
      <c r="C2602">
        <v>40</v>
      </c>
      <c r="D2602">
        <v>1</v>
      </c>
      <c r="F2602" s="73">
        <f t="shared" si="195"/>
        <v>5.0346378130796926E-2</v>
      </c>
      <c r="G2602" s="15">
        <v>9.4949035456595873E-2</v>
      </c>
      <c r="H2602" s="15">
        <v>0.90505096454340417</v>
      </c>
      <c r="I2602" s="72">
        <f t="shared" si="194"/>
        <v>4.8342116095218208E-3</v>
      </c>
      <c r="J2602" s="72">
        <f t="shared" si="196"/>
        <v>4.5512166521275106E-2</v>
      </c>
      <c r="K2602" s="8">
        <f t="shared" si="197"/>
        <v>3.5862103928203416E-4</v>
      </c>
      <c r="O2602" s="72">
        <v>5.0346378130796926E-2</v>
      </c>
      <c r="P2602" s="72">
        <v>4.8342116095218208E-3</v>
      </c>
      <c r="R2602" s="73">
        <f t="shared" si="193"/>
        <v>3.5862103928203416E-4</v>
      </c>
      <c r="S2602" s="74">
        <f t="shared" ref="S2602:S2665" si="202">IF(D2602&gt;D2601,(U2602-U2601)/W2601/(D2602-D2601),0)</f>
        <v>3.5862103928203416E-4</v>
      </c>
      <c r="T2602">
        <f t="shared" si="198"/>
        <v>4.8342116095218208E-3</v>
      </c>
      <c r="U2602" s="86">
        <f t="shared" ref="U2602:U2619" si="203">T2602/$V$2601</f>
        <v>3.5862103928203416E-4</v>
      </c>
      <c r="V2602" s="7">
        <f>V2601-T2602</f>
        <v>13.475165788390479</v>
      </c>
      <c r="W2602" s="89">
        <f t="shared" si="200"/>
        <v>0.99964137896071792</v>
      </c>
      <c r="Y2602" s="72">
        <v>2.2854999999999998E-3</v>
      </c>
    </row>
    <row r="2603" spans="2:25" x14ac:dyDescent="0.3">
      <c r="B2603">
        <v>123</v>
      </c>
      <c r="C2603">
        <v>40</v>
      </c>
      <c r="D2603">
        <v>2</v>
      </c>
      <c r="F2603" s="73">
        <f t="shared" si="195"/>
        <v>0.14520870698846067</v>
      </c>
      <c r="G2603" s="15">
        <v>3.3636099465840473E-2</v>
      </c>
      <c r="H2603" s="15">
        <v>0.96636390053415955</v>
      </c>
      <c r="I2603" s="72">
        <f t="shared" si="194"/>
        <v>4.8910796226808301E-3</v>
      </c>
      <c r="J2603" s="72">
        <f t="shared" si="196"/>
        <v>0.14031762736577985</v>
      </c>
      <c r="K2603" s="8">
        <f t="shared" si="197"/>
        <v>3.6296990326417628E-4</v>
      </c>
      <c r="O2603" s="72">
        <v>0.14520870698846067</v>
      </c>
      <c r="P2603" s="72">
        <v>4.8910796226808301E-3</v>
      </c>
      <c r="R2603" s="73">
        <f t="shared" si="193"/>
        <v>3.6283973462023953E-4</v>
      </c>
      <c r="S2603" s="74">
        <f>IF(D2603&gt;D2602,(U2603-U2602)/W2602/(D2603-D2602),0)</f>
        <v>3.6296990326417622E-4</v>
      </c>
      <c r="T2603">
        <f t="shared" si="198"/>
        <v>9.72529123220265E-3</v>
      </c>
      <c r="U2603" s="86">
        <f t="shared" si="203"/>
        <v>7.2146077390227369E-4</v>
      </c>
      <c r="V2603" s="7">
        <f t="shared" ref="V2603:V2619" si="204">V2602-T2603</f>
        <v>13.465440497158276</v>
      </c>
      <c r="W2603" s="89">
        <f t="shared" si="200"/>
        <v>0.99927853922609777</v>
      </c>
      <c r="Y2603" s="72">
        <v>8.8768666666666704E-3</v>
      </c>
    </row>
    <row r="2604" spans="2:25" x14ac:dyDescent="0.3">
      <c r="B2604">
        <v>123</v>
      </c>
      <c r="C2604">
        <v>40</v>
      </c>
      <c r="D2604">
        <v>3</v>
      </c>
      <c r="F2604" s="73">
        <f t="shared" si="195"/>
        <v>5.444114671401843E-2</v>
      </c>
      <c r="G2604" s="15">
        <v>4.7069543676222375E-2</v>
      </c>
      <c r="H2604" s="15">
        <v>0.95293045632377771</v>
      </c>
      <c r="I2604" s="72">
        <f t="shared" si="194"/>
        <v>2.5616746598150133E-3</v>
      </c>
      <c r="J2604" s="72">
        <f t="shared" si="196"/>
        <v>5.1879472054203415E-2</v>
      </c>
      <c r="K2604" s="8">
        <f t="shared" si="197"/>
        <v>1.9024068765931756E-4</v>
      </c>
      <c r="O2604" s="72">
        <v>5.444114671401843E-2</v>
      </c>
      <c r="P2604" s="72">
        <v>2.5616746598150133E-3</v>
      </c>
      <c r="R2604" s="73">
        <f t="shared" si="193"/>
        <v>1.9003521215244911E-4</v>
      </c>
      <c r="S2604" s="74">
        <f t="shared" si="202"/>
        <v>1.9017241408949298E-4</v>
      </c>
      <c r="T2604">
        <f t="shared" si="198"/>
        <v>1.2286965892017663E-2</v>
      </c>
      <c r="U2604" s="86">
        <f t="shared" si="203"/>
        <v>9.114959860547228E-4</v>
      </c>
      <c r="V2604" s="7">
        <f t="shared" si="204"/>
        <v>13.453153531266258</v>
      </c>
      <c r="W2604" s="89">
        <f t="shared" si="200"/>
        <v>0.99908850401394522</v>
      </c>
      <c r="Y2604" s="72">
        <v>1.1347733333333301E-2</v>
      </c>
    </row>
    <row r="2605" spans="2:25" x14ac:dyDescent="0.3">
      <c r="B2605">
        <v>123</v>
      </c>
      <c r="C2605">
        <v>40</v>
      </c>
      <c r="D2605">
        <v>5</v>
      </c>
      <c r="F2605" s="73">
        <f t="shared" si="195"/>
        <v>8.5172965988664723E-2</v>
      </c>
      <c r="G2605" s="15">
        <v>5.2800382152750798E-2</v>
      </c>
      <c r="H2605" s="15">
        <v>0.94719961784724915</v>
      </c>
      <c r="I2605" s="72">
        <f t="shared" si="194"/>
        <v>4.5243454860121593E-3</v>
      </c>
      <c r="J2605" s="72">
        <f t="shared" si="196"/>
        <v>8.0648620502652563E-2</v>
      </c>
      <c r="K2605" s="8">
        <f t="shared" si="197"/>
        <v>3.3630371314035778E-4</v>
      </c>
      <c r="O2605" s="72">
        <v>4.2586482994332361E-2</v>
      </c>
      <c r="P2605" s="72">
        <v>2.2621727430060796E-3</v>
      </c>
      <c r="R2605" s="73">
        <f t="shared" si="193"/>
        <v>1.6781696906573287E-4</v>
      </c>
      <c r="S2605" s="74">
        <f t="shared" si="202"/>
        <v>1.6797007311315283E-4</v>
      </c>
      <c r="T2605">
        <f t="shared" si="198"/>
        <v>1.6811311378029822E-2</v>
      </c>
      <c r="U2605" s="86">
        <f t="shared" si="203"/>
        <v>1.2471299241861885E-3</v>
      </c>
      <c r="V2605" s="7">
        <f t="shared" si="204"/>
        <v>13.436342219888228</v>
      </c>
      <c r="W2605" s="89">
        <f t="shared" si="200"/>
        <v>0.99875287007581381</v>
      </c>
      <c r="Y2605" s="72">
        <v>1.5213800000000001E-2</v>
      </c>
    </row>
    <row r="2606" spans="2:25" x14ac:dyDescent="0.3">
      <c r="B2606">
        <v>123</v>
      </c>
      <c r="C2606">
        <v>40</v>
      </c>
      <c r="D2606">
        <v>8</v>
      </c>
      <c r="F2606" s="73">
        <f t="shared" si="195"/>
        <v>0.16384941844799719</v>
      </c>
      <c r="G2606" s="15">
        <v>5.4175981430125801E-2</v>
      </c>
      <c r="H2606" s="15">
        <v>0.94582401856987419</v>
      </c>
      <c r="I2606" s="72">
        <f>P2606*IF(D2606&gt;D2605,(D2606-D2605),(D2606-0))</f>
        <v>8.8233989305592023E-3</v>
      </c>
      <c r="J2606" s="72">
        <f t="shared" si="196"/>
        <v>0.155026019517438</v>
      </c>
      <c r="K2606" s="8">
        <f t="shared" si="197"/>
        <v>6.5668161663067555E-4</v>
      </c>
      <c r="O2606" s="72">
        <v>5.4616472815999066E-2</v>
      </c>
      <c r="P2606" s="72">
        <v>2.9411329768530671E-3</v>
      </c>
      <c r="R2606" s="73">
        <f t="shared" si="193"/>
        <v>2.1818493893568748E-4</v>
      </c>
      <c r="S2606" s="74">
        <f t="shared" si="202"/>
        <v>2.1845738367602926E-4</v>
      </c>
      <c r="T2606">
        <f t="shared" si="198"/>
        <v>2.5634710308589024E-2</v>
      </c>
      <c r="U2606" s="86">
        <f t="shared" si="203"/>
        <v>1.901684740993251E-3</v>
      </c>
      <c r="V2606" s="7">
        <f t="shared" si="204"/>
        <v>13.410707509579639</v>
      </c>
      <c r="W2606" s="89">
        <f t="shared" si="200"/>
        <v>0.99809831525900672</v>
      </c>
      <c r="Y2606" s="72">
        <v>2.2651599999999997E-2</v>
      </c>
    </row>
    <row r="2607" spans="2:25" x14ac:dyDescent="0.3">
      <c r="B2607">
        <v>123</v>
      </c>
      <c r="C2607">
        <v>40</v>
      </c>
      <c r="D2607">
        <v>13</v>
      </c>
      <c r="F2607" s="73">
        <f t="shared" si="195"/>
        <v>0.26711556366449485</v>
      </c>
      <c r="G2607" s="15">
        <v>3.4408664881498532E-2</v>
      </c>
      <c r="H2607" s="15">
        <v>0.96559133511850148</v>
      </c>
      <c r="I2607" s="72">
        <f t="shared" ref="I2607:I2670" si="205">P2607*IF(D2607&gt;D2606,(D2607-D2606),(D2607-0))</f>
        <v>9.1797590563900983E-3</v>
      </c>
      <c r="J2607" s="72">
        <f t="shared" si="196"/>
        <v>0.25793580460810472</v>
      </c>
      <c r="K2607" s="8">
        <f t="shared" si="197"/>
        <v>6.8450967630400881E-4</v>
      </c>
      <c r="O2607" s="72">
        <v>5.3423112732898966E-2</v>
      </c>
      <c r="P2607" s="72">
        <v>1.8359518112780198E-3</v>
      </c>
      <c r="R2607" s="73">
        <f t="shared" si="193"/>
        <v>1.3619820558442288E-4</v>
      </c>
      <c r="S2607" s="74">
        <f t="shared" si="202"/>
        <v>1.3645770512004063E-4</v>
      </c>
      <c r="T2607">
        <f t="shared" si="198"/>
        <v>3.4814469364979124E-2</v>
      </c>
      <c r="U2607" s="86">
        <f t="shared" si="203"/>
        <v>2.5826757689153654E-3</v>
      </c>
      <c r="V2607" s="7">
        <f t="shared" si="204"/>
        <v>13.37589304021466</v>
      </c>
      <c r="W2607" s="89">
        <f t="shared" si="200"/>
        <v>0.99741732423108465</v>
      </c>
      <c r="Y2607" s="72">
        <v>3.4775533333333303E-2</v>
      </c>
    </row>
    <row r="2608" spans="2:25" x14ac:dyDescent="0.3">
      <c r="B2608">
        <v>123</v>
      </c>
      <c r="C2608">
        <v>40</v>
      </c>
      <c r="D2608">
        <v>20</v>
      </c>
      <c r="F2608" s="73">
        <f t="shared" si="195"/>
        <v>0.26297408427770458</v>
      </c>
      <c r="G2608" s="15">
        <v>3.2734084923090496E-2</v>
      </c>
      <c r="H2608" s="15">
        <v>0.96726591507690951</v>
      </c>
      <c r="I2608" s="72">
        <f t="shared" si="205"/>
        <v>8.646050819849916E-3</v>
      </c>
      <c r="J2608" s="72">
        <f t="shared" si="196"/>
        <v>0.25432803345785465</v>
      </c>
      <c r="K2608" s="8">
        <f t="shared" si="197"/>
        <v>6.4639054707267324E-4</v>
      </c>
      <c r="O2608" s="72">
        <v>3.7567726325386366E-2</v>
      </c>
      <c r="P2608" s="72">
        <v>1.2351501171214165E-3</v>
      </c>
      <c r="R2608" s="73">
        <f t="shared" si="193"/>
        <v>9.1628346967464157E-5</v>
      </c>
      <c r="S2608" s="74">
        <f t="shared" si="202"/>
        <v>9.1865606042186042E-5</v>
      </c>
      <c r="T2608">
        <f t="shared" si="198"/>
        <v>4.3460520184829043E-2</v>
      </c>
      <c r="U2608" s="86">
        <f t="shared" si="203"/>
        <v>3.2240741976876145E-3</v>
      </c>
      <c r="V2608" s="7">
        <f t="shared" si="204"/>
        <v>13.33243252002983</v>
      </c>
      <c r="W2608" s="89">
        <f t="shared" si="200"/>
        <v>0.99677592580231233</v>
      </c>
      <c r="Y2608" s="72">
        <v>4.6712566666666705E-2</v>
      </c>
    </row>
    <row r="2609" spans="2:25" x14ac:dyDescent="0.3">
      <c r="B2609">
        <v>123</v>
      </c>
      <c r="C2609">
        <v>40</v>
      </c>
      <c r="D2609">
        <v>30</v>
      </c>
      <c r="F2609" s="73">
        <f t="shared" si="195"/>
        <v>0.20560376720569634</v>
      </c>
      <c r="G2609" s="15">
        <v>4.7219984026226999E-2</v>
      </c>
      <c r="H2609" s="15">
        <v>0.95278001597377293</v>
      </c>
      <c r="I2609" s="72">
        <f t="shared" si="205"/>
        <v>9.6827302326394481E-3</v>
      </c>
      <c r="J2609" s="72">
        <f t="shared" si="196"/>
        <v>0.19592103697305691</v>
      </c>
      <c r="K2609" s="8">
        <f t="shared" si="197"/>
        <v>7.2625383388160466E-4</v>
      </c>
      <c r="O2609" s="72">
        <v>2.0560376720569633E-2</v>
      </c>
      <c r="P2609" s="72">
        <v>9.6827302326394477E-4</v>
      </c>
      <c r="R2609" s="73">
        <f t="shared" si="193"/>
        <v>7.1830342972102739E-5</v>
      </c>
      <c r="S2609" s="74">
        <f t="shared" si="202"/>
        <v>7.2062678394129516E-5</v>
      </c>
      <c r="T2609">
        <f t="shared" si="198"/>
        <v>5.3143250417468493E-2</v>
      </c>
      <c r="U2609" s="86">
        <f t="shared" si="203"/>
        <v>3.9423776274086419E-3</v>
      </c>
      <c r="V2609" s="7">
        <f t="shared" si="204"/>
        <v>13.279289269612361</v>
      </c>
      <c r="W2609" s="89">
        <f t="shared" si="200"/>
        <v>0.99605762237259132</v>
      </c>
      <c r="Y2609" s="72">
        <v>5.6044933333333297E-2</v>
      </c>
    </row>
    <row r="2610" spans="2:25" x14ac:dyDescent="0.3">
      <c r="B2610">
        <v>123</v>
      </c>
      <c r="C2610">
        <v>40</v>
      </c>
      <c r="D2610">
        <v>44</v>
      </c>
      <c r="F2610" s="73">
        <f t="shared" si="195"/>
        <v>0.23958080855867106</v>
      </c>
      <c r="G2610" s="15">
        <v>4.7497133363493461E-2</v>
      </c>
      <c r="H2610" s="15">
        <v>0.95250286663650652</v>
      </c>
      <c r="I2610" s="72">
        <f t="shared" si="205"/>
        <v>1.1468328652077527E-2</v>
      </c>
      <c r="J2610" s="72">
        <f t="shared" si="196"/>
        <v>0.22811247990659353</v>
      </c>
      <c r="K2610" s="8">
        <f t="shared" si="197"/>
        <v>8.6362518499548445E-4</v>
      </c>
      <c r="O2610" s="72">
        <v>1.7112914897047932E-2</v>
      </c>
      <c r="P2610" s="72">
        <v>8.1916633229125199E-4</v>
      </c>
      <c r="R2610" s="73">
        <f t="shared" si="193"/>
        <v>6.0769015748609211E-5</v>
      </c>
      <c r="S2610" s="74">
        <f t="shared" si="202"/>
        <v>6.1009538387807838E-5</v>
      </c>
      <c r="T2610">
        <f t="shared" si="198"/>
        <v>6.4611579069546024E-2</v>
      </c>
      <c r="U2610" s="86">
        <f t="shared" si="203"/>
        <v>4.7931438478891709E-3</v>
      </c>
      <c r="V2610" s="7">
        <f t="shared" si="204"/>
        <v>13.214677690542816</v>
      </c>
      <c r="W2610" s="89">
        <f t="shared" si="200"/>
        <v>0.9952068561521108</v>
      </c>
      <c r="Y2610" s="72">
        <v>6.6919533333333309E-2</v>
      </c>
    </row>
    <row r="2611" spans="2:25" x14ac:dyDescent="0.3">
      <c r="B2611">
        <v>123</v>
      </c>
      <c r="C2611">
        <v>40</v>
      </c>
      <c r="D2611">
        <v>65</v>
      </c>
      <c r="F2611" s="73">
        <f t="shared" si="195"/>
        <v>0.12985714823693431</v>
      </c>
      <c r="G2611" s="15">
        <v>7.1590029474598887E-2</v>
      </c>
      <c r="H2611" s="15">
        <v>0.92840997052540108</v>
      </c>
      <c r="I2611" s="72">
        <f t="shared" si="205"/>
        <v>9.2062849860713829E-3</v>
      </c>
      <c r="J2611" s="72">
        <f t="shared" si="196"/>
        <v>0.12065086325086292</v>
      </c>
      <c r="K2611" s="8">
        <f t="shared" si="197"/>
        <v>6.9667117137937689E-4</v>
      </c>
      <c r="O2611" s="72">
        <v>6.1836737255683005E-3</v>
      </c>
      <c r="P2611" s="72">
        <v>4.3839452314625634E-4</v>
      </c>
      <c r="R2611" s="73">
        <f t="shared" si="193"/>
        <v>3.2521848898090225E-5</v>
      </c>
      <c r="S2611" s="74">
        <f t="shared" si="202"/>
        <v>3.2678481560942416E-5</v>
      </c>
      <c r="T2611">
        <f t="shared" si="198"/>
        <v>7.381786405561741E-2</v>
      </c>
      <c r="U2611" s="86">
        <f t="shared" si="203"/>
        <v>5.4761026747490657E-3</v>
      </c>
      <c r="V2611" s="7">
        <f t="shared" si="204"/>
        <v>13.140859826487198</v>
      </c>
      <c r="W2611" s="89">
        <f t="shared" si="200"/>
        <v>0.99452389732525093</v>
      </c>
      <c r="Y2611" s="72">
        <v>7.2813766666666599E-2</v>
      </c>
    </row>
    <row r="2612" spans="2:25" x14ac:dyDescent="0.3">
      <c r="B2612">
        <v>123</v>
      </c>
      <c r="C2612">
        <v>40</v>
      </c>
      <c r="D2612">
        <v>90</v>
      </c>
      <c r="F2612" s="73">
        <f t="shared" si="195"/>
        <v>6.6020278006395081E-2</v>
      </c>
      <c r="G2612" s="15">
        <v>0.10910780128861025</v>
      </c>
      <c r="H2612" s="15">
        <v>0.8908921987113898</v>
      </c>
      <c r="I2612" s="72">
        <f t="shared" si="205"/>
        <v>7.2426363099790999E-3</v>
      </c>
      <c r="J2612" s="72">
        <f t="shared" si="196"/>
        <v>5.8777641696415979E-2</v>
      </c>
      <c r="K2612" s="8">
        <f t="shared" si="197"/>
        <v>5.5115391272803755E-4</v>
      </c>
      <c r="O2612" s="72">
        <v>2.6408111202558034E-3</v>
      </c>
      <c r="P2612" s="72">
        <v>2.8970545239916399E-4</v>
      </c>
      <c r="R2612" s="73">
        <f t="shared" si="193"/>
        <v>2.1491502403498813E-5</v>
      </c>
      <c r="S2612" s="74">
        <f t="shared" si="202"/>
        <v>2.1609840106708056E-5</v>
      </c>
      <c r="T2612">
        <f t="shared" si="198"/>
        <v>8.1060500365596505E-2</v>
      </c>
      <c r="U2612" s="86">
        <f t="shared" si="203"/>
        <v>6.013390234836536E-3</v>
      </c>
      <c r="V2612" s="7">
        <f t="shared" si="204"/>
        <v>13.059799326121601</v>
      </c>
      <c r="W2612" s="89">
        <f t="shared" si="200"/>
        <v>0.99398660976516351</v>
      </c>
      <c r="Y2612" s="72">
        <v>7.5810533333333291E-2</v>
      </c>
    </row>
    <row r="2613" spans="2:25" x14ac:dyDescent="0.3">
      <c r="B2613">
        <v>123</v>
      </c>
      <c r="C2613">
        <v>40</v>
      </c>
      <c r="D2613">
        <v>120</v>
      </c>
      <c r="F2613" s="73">
        <f t="shared" si="195"/>
        <v>7.2431975989463396E-2</v>
      </c>
      <c r="G2613" s="15">
        <v>0.12803735385245266</v>
      </c>
      <c r="H2613" s="15">
        <v>0.87196264614754737</v>
      </c>
      <c r="I2613" s="72">
        <f t="shared" si="205"/>
        <v>9.38760651893592E-3</v>
      </c>
      <c r="J2613" s="72">
        <f t="shared" si="196"/>
        <v>6.3044369470527481E-2</v>
      </c>
      <c r="K2613" s="8">
        <f t="shared" si="197"/>
        <v>7.1881705717784402E-4</v>
      </c>
      <c r="O2613" s="72">
        <v>2.4143991996487799E-3</v>
      </c>
      <c r="P2613" s="72">
        <v>3.1292021729786401E-4</v>
      </c>
      <c r="R2613" s="73">
        <f t="shared" si="193"/>
        <v>2.3213665971651604E-5</v>
      </c>
      <c r="S2613" s="74">
        <f t="shared" si="202"/>
        <v>2.3354103308429882E-5</v>
      </c>
      <c r="T2613">
        <f t="shared" si="198"/>
        <v>9.044810688453242E-2</v>
      </c>
      <c r="U2613" s="86">
        <f t="shared" si="203"/>
        <v>6.7098002139860842E-3</v>
      </c>
      <c r="V2613" s="7">
        <f t="shared" si="204"/>
        <v>12.969351219237069</v>
      </c>
      <c r="W2613" s="89">
        <f t="shared" si="200"/>
        <v>0.99329019978601396</v>
      </c>
      <c r="Y2613" s="72">
        <v>7.9098833333333299E-2</v>
      </c>
    </row>
    <row r="2614" spans="2:25" x14ac:dyDescent="0.3">
      <c r="B2614">
        <v>123</v>
      </c>
      <c r="C2614">
        <v>40</v>
      </c>
      <c r="D2614">
        <v>240</v>
      </c>
      <c r="F2614" s="73">
        <f t="shared" si="195"/>
        <v>0.18684642421538039</v>
      </c>
      <c r="G2614" s="15">
        <v>0.15549179485797132</v>
      </c>
      <c r="H2614" s="15">
        <v>0.84450820514202862</v>
      </c>
      <c r="I2614" s="72">
        <f t="shared" si="205"/>
        <v>4.5063501121473289E-2</v>
      </c>
      <c r="J2614" s="72">
        <f t="shared" si="196"/>
        <v>0.14178292309390711</v>
      </c>
      <c r="K2614" s="8">
        <f t="shared" si="197"/>
        <v>3.4746149101608013E-3</v>
      </c>
      <c r="O2614" s="72">
        <v>1.5570535351281699E-3</v>
      </c>
      <c r="P2614" s="72">
        <v>3.7552917601227739E-4</v>
      </c>
      <c r="R2614" s="73">
        <f t="shared" si="193"/>
        <v>2.7858247478655587E-5</v>
      </c>
      <c r="S2614" s="74">
        <f t="shared" si="202"/>
        <v>2.8046433443778196E-5</v>
      </c>
      <c r="T2614">
        <f t="shared" si="198"/>
        <v>0.1355116080060057</v>
      </c>
      <c r="U2614" s="86">
        <f t="shared" si="203"/>
        <v>1.0052789911424755E-2</v>
      </c>
      <c r="V2614" s="7">
        <f t="shared" si="204"/>
        <v>12.833839611231063</v>
      </c>
      <c r="W2614" s="89">
        <f t="shared" si="200"/>
        <v>0.98994721008857522</v>
      </c>
      <c r="Y2614" s="72">
        <v>8.7542500000000009E-2</v>
      </c>
    </row>
    <row r="2615" spans="2:25" x14ac:dyDescent="0.3">
      <c r="B2615">
        <v>123</v>
      </c>
      <c r="C2615">
        <v>40</v>
      </c>
      <c r="D2615">
        <v>310</v>
      </c>
      <c r="F2615" s="73">
        <f t="shared" si="195"/>
        <v>8.3964944472907019E-2</v>
      </c>
      <c r="G2615" s="15">
        <v>0.18294623586349032</v>
      </c>
      <c r="H2615" s="15">
        <v>0.81705376413650965</v>
      </c>
      <c r="I2615" s="72">
        <f t="shared" si="205"/>
        <v>1.5279599647940623E-2</v>
      </c>
      <c r="J2615" s="72">
        <f t="shared" si="196"/>
        <v>6.8685344824966396E-2</v>
      </c>
      <c r="K2615" s="8">
        <f t="shared" si="197"/>
        <v>1.1905711860828651E-3</v>
      </c>
      <c r="O2615" s="72">
        <v>1.1994992067558146E-3</v>
      </c>
      <c r="P2615" s="72">
        <v>2.1827999497058033E-4</v>
      </c>
      <c r="R2615" s="73">
        <f t="shared" si="193"/>
        <v>1.6192877965176594E-5</v>
      </c>
      <c r="S2615" s="74">
        <f t="shared" si="202"/>
        <v>1.6357314612491044E-5</v>
      </c>
      <c r="T2615">
        <f t="shared" si="198"/>
        <v>0.15079120765394632</v>
      </c>
      <c r="U2615" s="86">
        <f t="shared" si="203"/>
        <v>1.1186291368987116E-2</v>
      </c>
      <c r="V2615" s="7">
        <f t="shared" si="204"/>
        <v>12.683048403577118</v>
      </c>
      <c r="W2615" s="89">
        <f t="shared" si="200"/>
        <v>0.98881370863101292</v>
      </c>
      <c r="Y2615" s="72">
        <v>9.1357333333333304E-2</v>
      </c>
    </row>
    <row r="2616" spans="2:25" x14ac:dyDescent="0.3">
      <c r="B2616">
        <v>123</v>
      </c>
      <c r="C2616">
        <v>40</v>
      </c>
      <c r="D2616">
        <v>430</v>
      </c>
      <c r="F2616" s="73">
        <f t="shared" si="195"/>
        <v>3.411825662236688E-2</v>
      </c>
      <c r="G2616" s="15">
        <v>0.19984496407386601</v>
      </c>
      <c r="H2616" s="15">
        <v>0.80015503592613402</v>
      </c>
      <c r="I2616" s="72">
        <f t="shared" si="205"/>
        <v>6.7416367847143253E-3</v>
      </c>
      <c r="J2616" s="72">
        <f t="shared" si="196"/>
        <v>2.7376619837652556E-2</v>
      </c>
      <c r="K2616" s="8">
        <f t="shared" si="197"/>
        <v>5.3154703586977704E-4</v>
      </c>
      <c r="O2616" s="72">
        <v>2.8431880518639069E-4</v>
      </c>
      <c r="P2616" s="72">
        <v>5.6180306539286041E-5</v>
      </c>
      <c r="R2616" s="73">
        <f t="shared" si="193"/>
        <v>4.167678526653254E-6</v>
      </c>
      <c r="S2616" s="74">
        <f t="shared" si="202"/>
        <v>4.2148268073905426E-6</v>
      </c>
      <c r="T2616">
        <f t="shared" si="198"/>
        <v>0.15753284443866064</v>
      </c>
      <c r="U2616" s="86">
        <f t="shared" si="203"/>
        <v>1.1686412792185507E-2</v>
      </c>
      <c r="V2616" s="7">
        <f t="shared" si="204"/>
        <v>12.525515559138457</v>
      </c>
      <c r="W2616" s="89">
        <f t="shared" si="200"/>
        <v>0.98831358720781448</v>
      </c>
      <c r="Y2616" s="72">
        <v>9.2907300000000012E-2</v>
      </c>
    </row>
    <row r="2617" spans="2:25" x14ac:dyDescent="0.3">
      <c r="B2617">
        <v>123</v>
      </c>
      <c r="C2617">
        <v>40</v>
      </c>
      <c r="D2617">
        <v>506</v>
      </c>
      <c r="F2617" s="73">
        <f t="shared" si="195"/>
        <v>6.2388545800903902E-2</v>
      </c>
      <c r="G2617" s="15">
        <v>0.162852691769935</v>
      </c>
      <c r="H2617" s="15">
        <v>0.837147308230065</v>
      </c>
      <c r="I2617" s="72">
        <f t="shared" si="205"/>
        <v>9.9683434132449098E-3</v>
      </c>
      <c r="J2617" s="72">
        <f t="shared" si="196"/>
        <v>5.2420202387658994E-2</v>
      </c>
      <c r="K2617" s="8">
        <f t="shared" si="197"/>
        <v>7.9584296280500277E-4</v>
      </c>
      <c r="O2617" s="72">
        <v>8.2090191843294609E-4</v>
      </c>
      <c r="P2617" s="72">
        <v>1.3116241333216986E-4</v>
      </c>
      <c r="R2617" s="73">
        <f t="shared" si="193"/>
        <v>9.7301493569858973E-6</v>
      </c>
      <c r="S2617" s="74">
        <f t="shared" si="202"/>
        <v>9.8452044805693056E-6</v>
      </c>
      <c r="T2617">
        <f t="shared" si="198"/>
        <v>0.16750118785190554</v>
      </c>
      <c r="U2617" s="86">
        <f t="shared" si="203"/>
        <v>1.2425904143316435E-2</v>
      </c>
      <c r="V2617" s="7">
        <f t="shared" si="204"/>
        <v>12.358014371286551</v>
      </c>
      <c r="W2617" s="89">
        <f t="shared" si="200"/>
        <v>0.98757409585668354</v>
      </c>
      <c r="Y2617" s="72">
        <v>9.5741633333333298E-2</v>
      </c>
    </row>
    <row r="2618" spans="2:25" x14ac:dyDescent="0.3">
      <c r="B2618">
        <v>123</v>
      </c>
      <c r="C2618">
        <v>40</v>
      </c>
      <c r="D2618">
        <v>630</v>
      </c>
      <c r="F2618" s="73">
        <f t="shared" si="195"/>
        <v>4.7070388990966938E-2</v>
      </c>
      <c r="G2618" s="15">
        <v>0.18583856679522168</v>
      </c>
      <c r="H2618" s="15">
        <v>0.8141614332047783</v>
      </c>
      <c r="I2618" s="72">
        <f t="shared" si="205"/>
        <v>8.677864239957294E-3</v>
      </c>
      <c r="J2618" s="72">
        <f t="shared" si="196"/>
        <v>3.8392524751009641E-2</v>
      </c>
      <c r="K2618" s="8">
        <f t="shared" si="197"/>
        <v>7.0220538504308858E-4</v>
      </c>
      <c r="O2618" s="72">
        <v>3.7959991121747533E-4</v>
      </c>
      <c r="P2618" s="72">
        <v>6.9982776128687857E-5</v>
      </c>
      <c r="R2618" s="73">
        <f t="shared" si="193"/>
        <v>5.191600603018374E-6</v>
      </c>
      <c r="S2618" s="74">
        <f t="shared" si="202"/>
        <v>5.2569226195780835E-6</v>
      </c>
      <c r="T2618">
        <f t="shared" si="198"/>
        <v>0.17617905209186283</v>
      </c>
      <c r="U2618" s="86">
        <f t="shared" si="203"/>
        <v>1.3069662618090713E-2</v>
      </c>
      <c r="V2618" s="7">
        <f t="shared" si="204"/>
        <v>12.181835319194688</v>
      </c>
      <c r="W2618" s="89">
        <f t="shared" si="200"/>
        <v>0.98693033738190927</v>
      </c>
      <c r="Y2618" s="72">
        <v>9.7880200000000001E-2</v>
      </c>
    </row>
    <row r="2619" spans="2:25" x14ac:dyDescent="0.3">
      <c r="B2619">
        <v>123</v>
      </c>
      <c r="C2619">
        <v>40</v>
      </c>
      <c r="D2619">
        <v>758</v>
      </c>
      <c r="F2619" s="73">
        <f t="shared" si="195"/>
        <v>4.6222053514885765E-2</v>
      </c>
      <c r="G2619" s="15">
        <v>0.17906335642753465</v>
      </c>
      <c r="H2619" s="15">
        <v>0.82093664357246543</v>
      </c>
      <c r="I2619" s="72">
        <f t="shared" si="205"/>
        <v>8.681364813973717E-3</v>
      </c>
      <c r="J2619" s="72">
        <f t="shared" si="196"/>
        <v>3.7540688700912046E-2</v>
      </c>
      <c r="K2619" s="8">
        <f t="shared" si="197"/>
        <v>7.1264834784744255E-4</v>
      </c>
      <c r="O2619" s="72">
        <v>3.6110979308504504E-4</v>
      </c>
      <c r="P2619" s="72">
        <v>6.7823162609169664E-5</v>
      </c>
      <c r="R2619" s="73">
        <f t="shared" si="193"/>
        <v>5.0313918849532395E-6</v>
      </c>
      <c r="S2619" s="74">
        <f t="shared" si="202"/>
        <v>5.098021303408629E-6</v>
      </c>
      <c r="T2619">
        <f t="shared" si="198"/>
        <v>0.18486041690583654</v>
      </c>
      <c r="U2619" s="86">
        <f t="shared" si="203"/>
        <v>1.3713680779364728E-2</v>
      </c>
      <c r="V2619" s="7">
        <f t="shared" si="204"/>
        <v>11.996974902288851</v>
      </c>
      <c r="W2619" s="89">
        <f t="shared" si="200"/>
        <v>0.98628631922063525</v>
      </c>
      <c r="Y2619" s="72">
        <v>9.998033333333331E-2</v>
      </c>
    </row>
    <row r="2620" spans="2:25" s="18" customFormat="1" x14ac:dyDescent="0.3">
      <c r="B2620" s="18">
        <v>124</v>
      </c>
      <c r="C2620" s="18">
        <v>40</v>
      </c>
      <c r="D2620" s="18">
        <v>0</v>
      </c>
      <c r="E2620" s="93"/>
      <c r="F2620" s="73">
        <f t="shared" si="195"/>
        <v>0</v>
      </c>
      <c r="G2620" s="15">
        <v>0</v>
      </c>
      <c r="H2620" s="15">
        <v>0</v>
      </c>
      <c r="I2620" s="72">
        <f t="shared" si="205"/>
        <v>0</v>
      </c>
      <c r="J2620" s="72">
        <f t="shared" si="196"/>
        <v>0</v>
      </c>
      <c r="K2620" s="8">
        <f t="shared" si="197"/>
        <v>0</v>
      </c>
      <c r="L2620"/>
      <c r="M2620"/>
      <c r="N2620"/>
      <c r="O2620" s="72">
        <v>0</v>
      </c>
      <c r="P2620" s="72">
        <v>0</v>
      </c>
      <c r="Q2620"/>
      <c r="R2620" s="73">
        <f t="shared" si="193"/>
        <v>0</v>
      </c>
      <c r="S2620" s="74">
        <f t="shared" si="202"/>
        <v>0</v>
      </c>
      <c r="T2620">
        <f t="shared" si="198"/>
        <v>0</v>
      </c>
      <c r="U2620" s="86">
        <f>T2620/$V$2620</f>
        <v>0</v>
      </c>
      <c r="V2620">
        <f>2%*1000*0.674</f>
        <v>13.48</v>
      </c>
      <c r="W2620" s="89">
        <f t="shared" si="200"/>
        <v>1</v>
      </c>
      <c r="X2620"/>
      <c r="Y2620" s="72">
        <v>0</v>
      </c>
    </row>
    <row r="2621" spans="2:25" x14ac:dyDescent="0.3">
      <c r="B2621">
        <v>124</v>
      </c>
      <c r="C2621">
        <v>40</v>
      </c>
      <c r="D2621">
        <v>1</v>
      </c>
      <c r="F2621" s="73">
        <f t="shared" si="195"/>
        <v>6.0950642028327999E-2</v>
      </c>
      <c r="G2621" s="15">
        <v>9.3403237202358227E-2</v>
      </c>
      <c r="H2621" s="15">
        <v>0.90659676279764168</v>
      </c>
      <c r="I2621" s="72">
        <f t="shared" si="205"/>
        <v>5.8168954574401542E-3</v>
      </c>
      <c r="J2621" s="72">
        <f t="shared" si="196"/>
        <v>5.5133746570887848E-2</v>
      </c>
      <c r="K2621" s="8">
        <f t="shared" si="197"/>
        <v>4.3152043452820136E-4</v>
      </c>
      <c r="O2621" s="72">
        <v>6.0950642028327999E-2</v>
      </c>
      <c r="P2621" s="72">
        <v>5.8168954574401542E-3</v>
      </c>
      <c r="R2621" s="73">
        <f t="shared" si="193"/>
        <v>4.3152043452820136E-4</v>
      </c>
      <c r="S2621" s="74">
        <f t="shared" si="202"/>
        <v>4.3152043452820136E-4</v>
      </c>
      <c r="T2621">
        <f t="shared" si="198"/>
        <v>5.8168954574401542E-3</v>
      </c>
      <c r="U2621" s="86">
        <f t="shared" ref="U2621:U2638" si="206">T2621/$V$2620</f>
        <v>4.3152043452820136E-4</v>
      </c>
      <c r="V2621" s="7">
        <f>V2620-T2621</f>
        <v>13.47418310454256</v>
      </c>
      <c r="W2621" s="89">
        <f t="shared" si="200"/>
        <v>0.99956847956547179</v>
      </c>
      <c r="Y2621" s="72">
        <v>2.3445333333333299E-3</v>
      </c>
    </row>
    <row r="2622" spans="2:25" x14ac:dyDescent="0.3">
      <c r="B2622">
        <v>124</v>
      </c>
      <c r="C2622">
        <v>40</v>
      </c>
      <c r="D2622">
        <v>2</v>
      </c>
      <c r="F2622" s="73">
        <f t="shared" si="195"/>
        <v>0.29789115423886231</v>
      </c>
      <c r="G2622" s="15">
        <v>2.3796268310347837E-2</v>
      </c>
      <c r="H2622" s="15">
        <v>0.97620373168965213</v>
      </c>
      <c r="I2622" s="72">
        <f t="shared" si="205"/>
        <v>7.1152212264267763E-3</v>
      </c>
      <c r="J2622" s="72">
        <f t="shared" si="196"/>
        <v>0.29077593301243554</v>
      </c>
      <c r="K2622" s="8">
        <f t="shared" si="197"/>
        <v>5.2806327264678606E-4</v>
      </c>
      <c r="O2622" s="72">
        <v>0.29789115423886231</v>
      </c>
      <c r="P2622" s="72">
        <v>7.1152212264267763E-3</v>
      </c>
      <c r="R2622" s="73">
        <f t="shared" si="193"/>
        <v>5.2783540255391505E-4</v>
      </c>
      <c r="S2622" s="74">
        <f t="shared" si="202"/>
        <v>5.2806327264678596E-4</v>
      </c>
      <c r="T2622">
        <f t="shared" si="198"/>
        <v>1.2932116683866931E-2</v>
      </c>
      <c r="U2622" s="86">
        <f t="shared" si="206"/>
        <v>9.5935583708211647E-4</v>
      </c>
      <c r="V2622" s="7">
        <f t="shared" ref="V2622:V2638" si="207">V2621-T2622</f>
        <v>13.461250987858692</v>
      </c>
      <c r="W2622" s="89">
        <f t="shared" si="200"/>
        <v>0.99904064416291793</v>
      </c>
      <c r="Y2622" s="72">
        <v>1.38058E-2</v>
      </c>
    </row>
    <row r="2623" spans="2:25" x14ac:dyDescent="0.3">
      <c r="B2623">
        <v>124</v>
      </c>
      <c r="C2623">
        <v>40</v>
      </c>
      <c r="D2623">
        <v>3</v>
      </c>
      <c r="F2623" s="73">
        <f t="shared" si="195"/>
        <v>0.10856853366547632</v>
      </c>
      <c r="G2623" s="15">
        <v>4.7237800827451E-2</v>
      </c>
      <c r="H2623" s="15">
        <v>0.95276219917254901</v>
      </c>
      <c r="I2623" s="72">
        <f t="shared" si="205"/>
        <v>5.2010830023909403E-3</v>
      </c>
      <c r="J2623" s="72">
        <f t="shared" si="196"/>
        <v>0.10336745066308538</v>
      </c>
      <c r="K2623" s="8">
        <f t="shared" si="197"/>
        <v>3.8637441699007256E-4</v>
      </c>
      <c r="O2623" s="72">
        <v>0.10856853366547632</v>
      </c>
      <c r="P2623" s="72">
        <v>5.2010830023909403E-3</v>
      </c>
      <c r="R2623" s="73">
        <f t="shared" si="193"/>
        <v>3.8583701798152392E-4</v>
      </c>
      <c r="S2623" s="74">
        <f t="shared" si="202"/>
        <v>3.8620752842824659E-4</v>
      </c>
      <c r="T2623">
        <f t="shared" si="198"/>
        <v>1.8133199686257873E-2</v>
      </c>
      <c r="U2623" s="86">
        <f t="shared" si="206"/>
        <v>1.3451928550636404E-3</v>
      </c>
      <c r="V2623" s="7">
        <f t="shared" si="207"/>
        <v>13.443117788172435</v>
      </c>
      <c r="W2623" s="89">
        <f t="shared" si="200"/>
        <v>0.99865480714493637</v>
      </c>
      <c r="Y2623" s="72">
        <v>1.7983200000000001E-2</v>
      </c>
    </row>
    <row r="2624" spans="2:25" x14ac:dyDescent="0.3">
      <c r="B2624">
        <v>124</v>
      </c>
      <c r="C2624">
        <v>40</v>
      </c>
      <c r="D2624">
        <v>5</v>
      </c>
      <c r="F2624" s="73">
        <f t="shared" si="195"/>
        <v>0.16846232804378614</v>
      </c>
      <c r="G2624" s="15">
        <v>3.551058161392643E-2</v>
      </c>
      <c r="H2624" s="15">
        <v>0.96448941838607349</v>
      </c>
      <c r="I2624" s="72">
        <f t="shared" si="205"/>
        <v>5.9876747689416136E-3</v>
      </c>
      <c r="J2624" s="72">
        <f t="shared" si="196"/>
        <v>0.16247465327484453</v>
      </c>
      <c r="K2624" s="8">
        <f t="shared" si="197"/>
        <v>4.4540819051735959E-4</v>
      </c>
      <c r="O2624" s="72">
        <v>8.4231164021893068E-2</v>
      </c>
      <c r="P2624" s="72">
        <v>2.9938373844708068E-3</v>
      </c>
      <c r="R2624" s="73">
        <f t="shared" si="193"/>
        <v>2.2209476145925865E-4</v>
      </c>
      <c r="S2624" s="74">
        <f t="shared" si="202"/>
        <v>2.223939241770712E-4</v>
      </c>
      <c r="T2624">
        <f t="shared" si="198"/>
        <v>2.4120874455199486E-2</v>
      </c>
      <c r="U2624" s="86">
        <f t="shared" si="206"/>
        <v>1.7893823779821577E-3</v>
      </c>
      <c r="V2624" s="7">
        <f t="shared" si="207"/>
        <v>13.418996913717235</v>
      </c>
      <c r="W2624" s="89">
        <f t="shared" si="200"/>
        <v>0.99821061762201779</v>
      </c>
      <c r="Y2624" s="72">
        <v>2.4465066666666702E-2</v>
      </c>
    </row>
    <row r="2625" spans="2:25" x14ac:dyDescent="0.3">
      <c r="B2625">
        <v>124</v>
      </c>
      <c r="C2625">
        <v>40</v>
      </c>
      <c r="D2625">
        <v>8</v>
      </c>
      <c r="F2625" s="73">
        <f t="shared" si="195"/>
        <v>0.33227299617396899</v>
      </c>
      <c r="G2625" s="15">
        <v>2.4729599598670764E-2</v>
      </c>
      <c r="H2625" s="15">
        <v>0.97527040040132917</v>
      </c>
      <c r="I2625" s="72">
        <f t="shared" si="205"/>
        <v>8.0373080069111504E-3</v>
      </c>
      <c r="J2625" s="72">
        <f t="shared" si="196"/>
        <v>0.32423568816705783</v>
      </c>
      <c r="K2625" s="8">
        <f t="shared" si="197"/>
        <v>5.9894998550116753E-4</v>
      </c>
      <c r="O2625" s="72">
        <v>0.11075766539132299</v>
      </c>
      <c r="P2625" s="72">
        <v>2.6791026689703835E-3</v>
      </c>
      <c r="R2625" s="73">
        <f t="shared" si="193"/>
        <v>1.987464887960224E-4</v>
      </c>
      <c r="S2625" s="74">
        <f t="shared" si="202"/>
        <v>1.9910275976575489E-4</v>
      </c>
      <c r="T2625">
        <f t="shared" si="198"/>
        <v>3.2158182462110635E-2</v>
      </c>
      <c r="U2625" s="86">
        <f t="shared" si="206"/>
        <v>2.3856218443702249E-3</v>
      </c>
      <c r="V2625" s="7">
        <f t="shared" si="207"/>
        <v>13.386838731255125</v>
      </c>
      <c r="W2625" s="89">
        <f t="shared" si="200"/>
        <v>0.99761437815562981</v>
      </c>
      <c r="Y2625" s="72">
        <v>3.7250366666666701E-2</v>
      </c>
    </row>
    <row r="2626" spans="2:25" x14ac:dyDescent="0.3">
      <c r="B2626">
        <v>124</v>
      </c>
      <c r="C2626">
        <v>40</v>
      </c>
      <c r="D2626">
        <v>13</v>
      </c>
      <c r="F2626" s="73">
        <f t="shared" si="195"/>
        <v>0.51618320637148163</v>
      </c>
      <c r="G2626" s="15">
        <v>1.7287945996707202E-2</v>
      </c>
      <c r="H2626" s="15">
        <v>0.98271205400329276</v>
      </c>
      <c r="I2626" s="72">
        <f t="shared" si="205"/>
        <v>8.8612324775554849E-3</v>
      </c>
      <c r="J2626" s="72">
        <f t="shared" si="196"/>
        <v>0.50732197389392619</v>
      </c>
      <c r="K2626" s="8">
        <f t="shared" si="197"/>
        <v>6.6193614903768043E-4</v>
      </c>
      <c r="O2626" s="72">
        <v>0.10323664127429633</v>
      </c>
      <c r="P2626" s="72">
        <v>1.7722464955110969E-3</v>
      </c>
      <c r="R2626" s="73">
        <f t="shared" si="193"/>
        <v>1.3147229195186182E-4</v>
      </c>
      <c r="S2626" s="74">
        <f t="shared" si="202"/>
        <v>1.3178668514674503E-4</v>
      </c>
      <c r="T2626">
        <f t="shared" si="198"/>
        <v>4.101941493966612E-2</v>
      </c>
      <c r="U2626" s="86">
        <f t="shared" si="206"/>
        <v>3.042983304129534E-3</v>
      </c>
      <c r="V2626" s="7">
        <f t="shared" si="207"/>
        <v>13.345819316315458</v>
      </c>
      <c r="W2626" s="89">
        <f t="shared" si="200"/>
        <v>0.99695701669587045</v>
      </c>
      <c r="Y2626" s="72">
        <v>5.7111433333333302E-2</v>
      </c>
    </row>
    <row r="2627" spans="2:25" x14ac:dyDescent="0.3">
      <c r="B2627">
        <v>124</v>
      </c>
      <c r="C2627">
        <v>40</v>
      </c>
      <c r="D2627">
        <v>20</v>
      </c>
      <c r="F2627" s="73">
        <f t="shared" si="195"/>
        <v>0.51429707447938611</v>
      </c>
      <c r="G2627" s="15">
        <v>2.3638062249711635E-2</v>
      </c>
      <c r="H2627" s="15">
        <v>0.97636193775028846</v>
      </c>
      <c r="I2627" s="72">
        <f t="shared" si="205"/>
        <v>1.249287492287314E-2</v>
      </c>
      <c r="J2627" s="72">
        <f t="shared" si="196"/>
        <v>0.50180419955651301</v>
      </c>
      <c r="K2627" s="8">
        <f t="shared" si="197"/>
        <v>9.3608901984761766E-4</v>
      </c>
      <c r="O2627" s="72">
        <v>7.3471010639912307E-2</v>
      </c>
      <c r="P2627" s="72">
        <v>1.7846964175533058E-3</v>
      </c>
      <c r="R2627" s="73">
        <f t="shared" si="193"/>
        <v>1.3239587667309392E-4</v>
      </c>
      <c r="S2627" s="74">
        <f t="shared" si="202"/>
        <v>1.3279998480965837E-4</v>
      </c>
      <c r="T2627">
        <f t="shared" si="198"/>
        <v>5.351228986253926E-2</v>
      </c>
      <c r="U2627" s="86">
        <f t="shared" si="206"/>
        <v>3.9697544408411915E-3</v>
      </c>
      <c r="V2627" s="7">
        <f t="shared" si="207"/>
        <v>13.292307026452919</v>
      </c>
      <c r="W2627" s="89">
        <f t="shared" si="200"/>
        <v>0.99603024555915876</v>
      </c>
      <c r="Y2627" s="72">
        <v>7.6898733333333302E-2</v>
      </c>
    </row>
    <row r="2628" spans="2:25" x14ac:dyDescent="0.3">
      <c r="B2628">
        <v>124</v>
      </c>
      <c r="C2628">
        <v>40</v>
      </c>
      <c r="D2628">
        <v>30</v>
      </c>
      <c r="F2628" s="73">
        <f t="shared" si="195"/>
        <v>0.37587603317586765</v>
      </c>
      <c r="G2628" s="15">
        <v>2.2182625980593437E-2</v>
      </c>
      <c r="H2628" s="15">
        <v>0.9778173740194066</v>
      </c>
      <c r="I2628" s="72">
        <f t="shared" si="205"/>
        <v>8.3434844134363476E-3</v>
      </c>
      <c r="J2628" s="72">
        <f t="shared" si="196"/>
        <v>0.3675325487624313</v>
      </c>
      <c r="K2628" s="8">
        <f t="shared" si="197"/>
        <v>6.2769272458362889E-4</v>
      </c>
      <c r="O2628" s="72">
        <v>3.7587603317586767E-2</v>
      </c>
      <c r="P2628" s="72">
        <v>8.3434844134363476E-4</v>
      </c>
      <c r="R2628" s="73">
        <f t="shared" si="193"/>
        <v>6.1895284966144963E-5</v>
      </c>
      <c r="S2628" s="74">
        <f t="shared" si="202"/>
        <v>6.2141973340777145E-5</v>
      </c>
      <c r="T2628">
        <f t="shared" si="198"/>
        <v>6.1855774275975606E-2</v>
      </c>
      <c r="U2628" s="86">
        <f t="shared" si="206"/>
        <v>4.5887072905026411E-3</v>
      </c>
      <c r="V2628" s="7">
        <f t="shared" si="207"/>
        <v>13.230451252176943</v>
      </c>
      <c r="W2628" s="89">
        <f t="shared" si="200"/>
        <v>0.99541129270949735</v>
      </c>
      <c r="Y2628" s="72">
        <v>9.1360899999999995E-2</v>
      </c>
    </row>
    <row r="2629" spans="2:25" x14ac:dyDescent="0.3">
      <c r="B2629">
        <v>124</v>
      </c>
      <c r="C2629">
        <v>40</v>
      </c>
      <c r="D2629">
        <v>44</v>
      </c>
      <c r="F2629" s="73">
        <f t="shared" si="195"/>
        <v>0.43087394829594317</v>
      </c>
      <c r="G2629" s="15">
        <v>3.4560090566147367E-2</v>
      </c>
      <c r="H2629" s="15">
        <v>0.96543990943385272</v>
      </c>
      <c r="I2629" s="72">
        <f t="shared" si="205"/>
        <v>1.5189732982515303E-2</v>
      </c>
      <c r="J2629" s="72">
        <f t="shared" si="196"/>
        <v>0.41568421531342786</v>
      </c>
      <c r="K2629" s="8">
        <f t="shared" si="197"/>
        <v>1.1480888061180816E-3</v>
      </c>
      <c r="O2629" s="72">
        <v>3.0776710592567369E-2</v>
      </c>
      <c r="P2629" s="72">
        <v>1.0849809273225217E-3</v>
      </c>
      <c r="R2629" s="73">
        <f t="shared" si="193"/>
        <v>8.0488199356270172E-5</v>
      </c>
      <c r="S2629" s="74">
        <f t="shared" si="202"/>
        <v>8.085923873455592E-5</v>
      </c>
      <c r="T2629">
        <f t="shared" si="198"/>
        <v>7.7045507258490908E-2</v>
      </c>
      <c r="U2629" s="86">
        <f t="shared" si="206"/>
        <v>5.7155420814904235E-3</v>
      </c>
      <c r="V2629" s="7">
        <f t="shared" si="207"/>
        <v>13.153405744918452</v>
      </c>
      <c r="W2629" s="89">
        <f t="shared" si="200"/>
        <v>0.99428445791850961</v>
      </c>
      <c r="Y2629" s="72">
        <v>0.107940966666667</v>
      </c>
    </row>
    <row r="2630" spans="2:25" x14ac:dyDescent="0.3">
      <c r="B2630">
        <v>124</v>
      </c>
      <c r="C2630">
        <v>40</v>
      </c>
      <c r="D2630">
        <v>65</v>
      </c>
      <c r="F2630" s="73">
        <f t="shared" si="195"/>
        <v>0.2648117645887399</v>
      </c>
      <c r="G2630" s="15">
        <v>4.6266529194729768E-2</v>
      </c>
      <c r="H2630" s="15">
        <v>0.95373347080527027</v>
      </c>
      <c r="I2630" s="72">
        <f t="shared" si="205"/>
        <v>1.2092967947140374E-2</v>
      </c>
      <c r="J2630" s="72">
        <f t="shared" si="196"/>
        <v>0.25271879664159952</v>
      </c>
      <c r="K2630" s="8">
        <f t="shared" si="197"/>
        <v>9.1937922251142021E-4</v>
      </c>
      <c r="O2630" s="72">
        <v>1.2610084028035233E-2</v>
      </c>
      <c r="P2630" s="72">
        <v>5.7585561653049398E-4</v>
      </c>
      <c r="R2630" s="73">
        <f t="shared" si="193"/>
        <v>4.2719259386535161E-5</v>
      </c>
      <c r="S2630" s="74">
        <f t="shared" si="202"/>
        <v>4.2964826661341997E-5</v>
      </c>
      <c r="T2630">
        <f t="shared" si="198"/>
        <v>8.9138475205631285E-2</v>
      </c>
      <c r="U2630" s="86">
        <f t="shared" si="206"/>
        <v>6.6126465286076618E-3</v>
      </c>
      <c r="V2630" s="7">
        <f t="shared" si="207"/>
        <v>13.06426726971282</v>
      </c>
      <c r="W2630" s="89">
        <f t="shared" si="200"/>
        <v>0.99338735347139229</v>
      </c>
      <c r="Y2630" s="72">
        <v>0.11812903333333299</v>
      </c>
    </row>
    <row r="2631" spans="2:25" x14ac:dyDescent="0.3">
      <c r="B2631">
        <v>124</v>
      </c>
      <c r="C2631">
        <v>40</v>
      </c>
      <c r="D2631">
        <v>90</v>
      </c>
      <c r="F2631" s="73">
        <f t="shared" si="195"/>
        <v>0.1603012790193511</v>
      </c>
      <c r="G2631" s="15">
        <v>7.0300697495857808E-2</v>
      </c>
      <c r="H2631" s="15">
        <v>0.92969930250414223</v>
      </c>
      <c r="I2631" s="72">
        <f t="shared" si="205"/>
        <v>1.1213767416018448E-2</v>
      </c>
      <c r="J2631" s="72">
        <f t="shared" si="196"/>
        <v>0.14908751160333264</v>
      </c>
      <c r="K2631" s="8">
        <f t="shared" si="197"/>
        <v>8.5835410318155182E-4</v>
      </c>
      <c r="O2631" s="72">
        <v>6.4120511607740436E-3</v>
      </c>
      <c r="P2631" s="72">
        <v>4.4855069664073797E-4</v>
      </c>
      <c r="R2631" s="73">
        <f t="shared" si="193"/>
        <v>3.327527423150876E-5</v>
      </c>
      <c r="S2631" s="74">
        <f t="shared" si="202"/>
        <v>3.3496776574845959E-5</v>
      </c>
      <c r="T2631">
        <f t="shared" si="198"/>
        <v>0.10035224262164974</v>
      </c>
      <c r="U2631" s="86">
        <f t="shared" si="206"/>
        <v>7.4445283843953807E-3</v>
      </c>
      <c r="V2631" s="7">
        <f t="shared" si="207"/>
        <v>12.96391502709117</v>
      </c>
      <c r="W2631" s="89">
        <f t="shared" si="200"/>
        <v>0.99255547161560465</v>
      </c>
      <c r="Y2631" s="72">
        <v>0.124296166666667</v>
      </c>
    </row>
    <row r="2632" spans="2:25" x14ac:dyDescent="0.3">
      <c r="B2632">
        <v>124</v>
      </c>
      <c r="C2632">
        <v>40</v>
      </c>
      <c r="D2632">
        <v>120</v>
      </c>
      <c r="F2632" s="73">
        <f t="shared" si="195"/>
        <v>0.12881766423561761</v>
      </c>
      <c r="G2632" s="15">
        <v>8.9893310273681429E-2</v>
      </c>
      <c r="H2632" s="15">
        <v>0.91010668972631859</v>
      </c>
      <c r="I2632" s="72">
        <f t="shared" si="205"/>
        <v>1.154508027464755E-2</v>
      </c>
      <c r="J2632" s="72">
        <f t="shared" si="196"/>
        <v>0.11727258396097005</v>
      </c>
      <c r="K2632" s="8">
        <f t="shared" si="197"/>
        <v>8.9055507155989312E-4</v>
      </c>
      <c r="O2632" s="72">
        <v>4.2939221411872532E-3</v>
      </c>
      <c r="P2632" s="72">
        <v>3.8483600915491836E-4</v>
      </c>
      <c r="R2632" s="73">
        <f t="shared" si="193"/>
        <v>2.8548665367575562E-5</v>
      </c>
      <c r="S2632" s="74">
        <f t="shared" si="202"/>
        <v>2.8762790779951334E-5</v>
      </c>
      <c r="T2632">
        <f t="shared" si="198"/>
        <v>0.11189732289629729</v>
      </c>
      <c r="U2632" s="86">
        <f t="shared" si="206"/>
        <v>8.3009883454226475E-3</v>
      </c>
      <c r="V2632" s="7">
        <f t="shared" si="207"/>
        <v>12.852017704194873</v>
      </c>
      <c r="W2632" s="89">
        <f t="shared" si="200"/>
        <v>0.9916990116545773</v>
      </c>
      <c r="Y2632" s="72">
        <v>0.12925233333333302</v>
      </c>
    </row>
    <row r="2633" spans="2:25" x14ac:dyDescent="0.3">
      <c r="B2633">
        <v>124</v>
      </c>
      <c r="C2633">
        <v>40</v>
      </c>
      <c r="D2633">
        <v>240</v>
      </c>
      <c r="F2633" s="73">
        <f t="shared" si="195"/>
        <v>0.29994013752185122</v>
      </c>
      <c r="G2633" s="15">
        <v>0.10680025954599566</v>
      </c>
      <c r="H2633" s="15">
        <v>0.8931997404540043</v>
      </c>
      <c r="I2633" s="72">
        <f t="shared" si="205"/>
        <v>4.8305521225549673E-2</v>
      </c>
      <c r="J2633" s="72">
        <f t="shared" si="196"/>
        <v>0.25163461629630157</v>
      </c>
      <c r="K2633" s="8">
        <f t="shared" si="197"/>
        <v>3.758594357505658E-3</v>
      </c>
      <c r="O2633" s="72">
        <v>2.4995011460154271E-3</v>
      </c>
      <c r="P2633" s="72">
        <v>4.0254601021291395E-4</v>
      </c>
      <c r="R2633" s="73">
        <f t="shared" si="193"/>
        <v>2.9862463665646432E-5</v>
      </c>
      <c r="S2633" s="74">
        <f t="shared" si="202"/>
        <v>3.0112426567636783E-5</v>
      </c>
      <c r="T2633">
        <f t="shared" si="198"/>
        <v>0.16020284412184696</v>
      </c>
      <c r="U2633" s="86">
        <f t="shared" si="206"/>
        <v>1.1884483985300219E-2</v>
      </c>
      <c r="V2633" s="7">
        <f t="shared" si="207"/>
        <v>12.691814860073027</v>
      </c>
      <c r="W2633" s="89">
        <f t="shared" si="200"/>
        <v>0.98811551601469982</v>
      </c>
      <c r="Y2633" s="72">
        <v>0.140735533333333</v>
      </c>
    </row>
    <row r="2634" spans="2:25" x14ac:dyDescent="0.3">
      <c r="B2634">
        <v>124</v>
      </c>
      <c r="C2634">
        <v>40</v>
      </c>
      <c r="D2634">
        <v>310</v>
      </c>
      <c r="F2634" s="73">
        <f t="shared" si="195"/>
        <v>8.4609618101231077E-2</v>
      </c>
      <c r="G2634" s="15">
        <v>0.12370720881830968</v>
      </c>
      <c r="H2634" s="15">
        <v>0.87629279118169034</v>
      </c>
      <c r="I2634" s="72">
        <f t="shared" si="205"/>
        <v>1.0462248404820918E-2</v>
      </c>
      <c r="J2634" s="72">
        <f t="shared" si="196"/>
        <v>7.4147369696410156E-2</v>
      </c>
      <c r="K2634" s="8">
        <f t="shared" si="197"/>
        <v>8.2433036726165421E-4</v>
      </c>
      <c r="O2634" s="72">
        <v>1.2087088300175867E-3</v>
      </c>
      <c r="P2634" s="72">
        <v>1.4946069149744169E-4</v>
      </c>
      <c r="R2634" s="73">
        <f t="shared" si="193"/>
        <v>1.108758839001791E-5</v>
      </c>
      <c r="S2634" s="74">
        <f t="shared" si="202"/>
        <v>1.1220943513504108E-5</v>
      </c>
      <c r="T2634">
        <f t="shared" si="198"/>
        <v>0.17066509252666787</v>
      </c>
      <c r="U2634" s="86">
        <f t="shared" si="206"/>
        <v>1.2660615172601473E-2</v>
      </c>
      <c r="V2634" s="7">
        <f t="shared" si="207"/>
        <v>12.521149767546358</v>
      </c>
      <c r="W2634" s="89">
        <f t="shared" si="200"/>
        <v>0.98733938482739858</v>
      </c>
      <c r="Y2634" s="72">
        <v>0.1439926</v>
      </c>
    </row>
    <row r="2635" spans="2:25" x14ac:dyDescent="0.3">
      <c r="B2635">
        <v>124</v>
      </c>
      <c r="C2635">
        <v>40</v>
      </c>
      <c r="D2635">
        <v>430</v>
      </c>
      <c r="F2635" s="73">
        <f t="shared" si="195"/>
        <v>6.1720646768439157E-2</v>
      </c>
      <c r="G2635" s="15">
        <v>0.11890111174280568</v>
      </c>
      <c r="H2635" s="15">
        <v>0.8810988882571944</v>
      </c>
      <c r="I2635" s="72">
        <f t="shared" si="205"/>
        <v>7.383317373603141E-3</v>
      </c>
      <c r="J2635" s="72">
        <f t="shared" si="196"/>
        <v>5.4337329394836015E-2</v>
      </c>
      <c r="K2635" s="8">
        <f t="shared" si="197"/>
        <v>5.8966768313402059E-4</v>
      </c>
      <c r="O2635" s="72">
        <v>5.143387230703263E-4</v>
      </c>
      <c r="P2635" s="72">
        <v>6.1527644780026174E-5</v>
      </c>
      <c r="R2635" s="73">
        <f t="shared" si="193"/>
        <v>4.5643653397645612E-6</v>
      </c>
      <c r="S2635" s="74">
        <f t="shared" si="202"/>
        <v>4.6228940219603198E-6</v>
      </c>
      <c r="T2635">
        <f t="shared" si="198"/>
        <v>0.17804840990027102</v>
      </c>
      <c r="U2635" s="86">
        <f t="shared" si="206"/>
        <v>1.320833901337322E-2</v>
      </c>
      <c r="V2635" s="7">
        <f t="shared" si="207"/>
        <v>12.343101357646088</v>
      </c>
      <c r="W2635" s="89">
        <f t="shared" si="200"/>
        <v>0.98679166098662674</v>
      </c>
      <c r="Y2635" s="72">
        <v>0.14636859999999999</v>
      </c>
    </row>
    <row r="2636" spans="2:25" x14ac:dyDescent="0.3">
      <c r="B2636">
        <v>124</v>
      </c>
      <c r="C2636">
        <v>40</v>
      </c>
      <c r="D2636">
        <v>506</v>
      </c>
      <c r="F2636" s="73">
        <f t="shared" si="195"/>
        <v>6.5022315669505851E-2</v>
      </c>
      <c r="G2636" s="15">
        <v>0.14672850781420566</v>
      </c>
      <c r="H2636" s="15">
        <v>0.85327149218579434</v>
      </c>
      <c r="I2636" s="72">
        <f t="shared" si="205"/>
        <v>9.7070696387770213E-3</v>
      </c>
      <c r="J2636" s="72">
        <f t="shared" si="196"/>
        <v>5.5315246030728828E-2</v>
      </c>
      <c r="K2636" s="8">
        <f t="shared" si="197"/>
        <v>7.8643684091307057E-4</v>
      </c>
      <c r="O2636" s="72">
        <v>8.5555678512507698E-4</v>
      </c>
      <c r="P2636" s="72">
        <v>1.2772460051022397E-4</v>
      </c>
      <c r="R2636" s="73">
        <f t="shared" si="193"/>
        <v>9.4751187322124468E-6</v>
      </c>
      <c r="S2636" s="74">
        <f t="shared" si="202"/>
        <v>9.6019444699592536E-6</v>
      </c>
      <c r="T2636">
        <f t="shared" si="198"/>
        <v>0.18775547953904803</v>
      </c>
      <c r="U2636" s="86">
        <f t="shared" si="206"/>
        <v>1.3928448037021366E-2</v>
      </c>
      <c r="V2636" s="7">
        <f t="shared" si="207"/>
        <v>12.15534587810704</v>
      </c>
      <c r="W2636" s="89">
        <f t="shared" si="200"/>
        <v>0.98607155196297869</v>
      </c>
      <c r="Y2636" s="72">
        <v>0.14887166666666701</v>
      </c>
    </row>
    <row r="2637" spans="2:25" x14ac:dyDescent="0.3">
      <c r="B2637">
        <v>124</v>
      </c>
      <c r="C2637">
        <v>40</v>
      </c>
      <c r="D2637">
        <v>630</v>
      </c>
      <c r="F2637" s="73">
        <f t="shared" si="195"/>
        <v>7.6256162966151689E-2</v>
      </c>
      <c r="G2637" s="15">
        <v>0.15317554135537834</v>
      </c>
      <c r="H2637" s="15">
        <v>0.84682445864462164</v>
      </c>
      <c r="I2637" s="72">
        <f t="shared" si="205"/>
        <v>1.17306057399496E-2</v>
      </c>
      <c r="J2637" s="72">
        <f t="shared" si="196"/>
        <v>6.4525557226202096E-2</v>
      </c>
      <c r="K2637" s="8">
        <f t="shared" si="197"/>
        <v>9.6505733835822486E-4</v>
      </c>
      <c r="O2637" s="72">
        <v>6.1496905617864262E-4</v>
      </c>
      <c r="P2637" s="72">
        <v>9.4601659193141937E-5</v>
      </c>
      <c r="R2637" s="73">
        <f t="shared" si="193"/>
        <v>7.0179272398473307E-6</v>
      </c>
      <c r="S2637" s="74">
        <f t="shared" si="202"/>
        <v>7.1170567956013943E-6</v>
      </c>
      <c r="T2637">
        <f t="shared" si="198"/>
        <v>0.19948608527899764</v>
      </c>
      <c r="U2637" s="86">
        <f t="shared" si="206"/>
        <v>1.4798671014762435E-2</v>
      </c>
      <c r="V2637" s="7">
        <f t="shared" si="207"/>
        <v>11.955859792828042</v>
      </c>
      <c r="W2637" s="89">
        <f t="shared" si="200"/>
        <v>0.9852013289852376</v>
      </c>
      <c r="Y2637" s="72">
        <v>0.1518072</v>
      </c>
    </row>
    <row r="2638" spans="2:25" x14ac:dyDescent="0.3">
      <c r="B2638">
        <v>124</v>
      </c>
      <c r="C2638">
        <v>40</v>
      </c>
      <c r="D2638">
        <v>758</v>
      </c>
      <c r="F2638" s="73">
        <f t="shared" si="195"/>
        <v>7.2619319344613589E-2</v>
      </c>
      <c r="G2638" s="15">
        <v>7.7699664986115066E-2</v>
      </c>
      <c r="H2638" s="15">
        <v>0.92230033501388486</v>
      </c>
      <c r="I2638" s="72">
        <f t="shared" si="205"/>
        <v>5.7190494334315384E-3</v>
      </c>
      <c r="J2638" s="72">
        <f t="shared" si="196"/>
        <v>6.6900269911182045E-2</v>
      </c>
      <c r="K2638" s="8">
        <f t="shared" si="197"/>
        <v>4.7834698068826659E-4</v>
      </c>
      <c r="O2638" s="72">
        <v>5.6733843237979367E-4</v>
      </c>
      <c r="P2638" s="72">
        <v>4.4680073698683894E-5</v>
      </c>
      <c r="R2638" s="73">
        <f t="shared" si="193"/>
        <v>3.3145455266086029E-6</v>
      </c>
      <c r="S2638" s="74">
        <f t="shared" si="202"/>
        <v>3.3643331866214613E-6</v>
      </c>
      <c r="T2638">
        <f t="shared" si="198"/>
        <v>0.20520513471242918</v>
      </c>
      <c r="U2638" s="86">
        <f t="shared" si="206"/>
        <v>1.5222932842168337E-2</v>
      </c>
      <c r="V2638" s="7">
        <f t="shared" si="207"/>
        <v>11.750654658115613</v>
      </c>
      <c r="W2638" s="89">
        <f t="shared" si="200"/>
        <v>0.98477706715783164</v>
      </c>
      <c r="Y2638" s="72">
        <v>0.15460270000000001</v>
      </c>
    </row>
    <row r="2639" spans="2:25" s="18" customFormat="1" x14ac:dyDescent="0.3">
      <c r="B2639" s="18">
        <v>125</v>
      </c>
      <c r="C2639" s="18">
        <v>40</v>
      </c>
      <c r="D2639" s="18">
        <v>0</v>
      </c>
      <c r="E2639" s="93"/>
      <c r="F2639" s="73">
        <f t="shared" si="195"/>
        <v>0</v>
      </c>
      <c r="G2639" s="15">
        <v>0</v>
      </c>
      <c r="H2639" s="15">
        <v>0</v>
      </c>
      <c r="I2639" s="72">
        <f t="shared" si="205"/>
        <v>0</v>
      </c>
      <c r="J2639" s="72">
        <f t="shared" si="196"/>
        <v>0</v>
      </c>
      <c r="K2639" s="8">
        <f t="shared" si="197"/>
        <v>0</v>
      </c>
      <c r="L2639"/>
      <c r="M2639"/>
      <c r="N2639"/>
      <c r="O2639" s="72">
        <v>0</v>
      </c>
      <c r="P2639" s="72">
        <v>0</v>
      </c>
      <c r="Q2639"/>
      <c r="R2639" s="73">
        <f t="shared" si="193"/>
        <v>0</v>
      </c>
      <c r="S2639" s="74">
        <f t="shared" si="202"/>
        <v>0</v>
      </c>
      <c r="T2639">
        <f t="shared" si="198"/>
        <v>0</v>
      </c>
      <c r="U2639" s="86">
        <f>T2639/$V$2639</f>
        <v>0</v>
      </c>
      <c r="V2639">
        <f>2%*1000*0.674</f>
        <v>13.48</v>
      </c>
      <c r="W2639" s="89">
        <f t="shared" si="200"/>
        <v>1</v>
      </c>
      <c r="X2639"/>
      <c r="Y2639" s="72">
        <v>0</v>
      </c>
    </row>
    <row r="2640" spans="2:25" x14ac:dyDescent="0.3">
      <c r="B2640">
        <v>125</v>
      </c>
      <c r="C2640">
        <v>40</v>
      </c>
      <c r="D2640">
        <v>1</v>
      </c>
      <c r="F2640" s="73">
        <f t="shared" si="195"/>
        <v>5.6334737982339268E-2</v>
      </c>
      <c r="G2640" s="15">
        <v>0.10258008351866688</v>
      </c>
      <c r="H2640" s="15">
        <v>0.89741991648133312</v>
      </c>
      <c r="I2640" s="72">
        <f t="shared" si="205"/>
        <v>5.8028203397725827E-3</v>
      </c>
      <c r="J2640" s="72">
        <f t="shared" si="196"/>
        <v>5.0531917642566683E-2</v>
      </c>
      <c r="K2640" s="8">
        <f t="shared" si="197"/>
        <v>4.3047628633327762E-4</v>
      </c>
      <c r="O2640" s="72">
        <v>5.6334737982339268E-2</v>
      </c>
      <c r="P2640" s="72">
        <v>5.8028203397725827E-3</v>
      </c>
      <c r="R2640" s="73">
        <f t="shared" si="193"/>
        <v>4.3047628633327762E-4</v>
      </c>
      <c r="S2640" s="74">
        <f t="shared" si="202"/>
        <v>4.3047628633327762E-4</v>
      </c>
      <c r="T2640">
        <f t="shared" si="198"/>
        <v>5.8028203397725827E-3</v>
      </c>
      <c r="U2640" s="86">
        <f t="shared" ref="U2640:U2657" si="208">T2640/$V$2639</f>
        <v>4.3047628633327762E-4</v>
      </c>
      <c r="V2640" s="7">
        <f>V2639-T2640</f>
        <v>13.474197179660228</v>
      </c>
      <c r="W2640" s="89">
        <f t="shared" si="200"/>
        <v>0.9995695237136667</v>
      </c>
      <c r="Y2640" s="72">
        <v>1.6613000000000001E-3</v>
      </c>
    </row>
    <row r="2641" spans="2:25" x14ac:dyDescent="0.3">
      <c r="B2641">
        <v>125</v>
      </c>
      <c r="C2641">
        <v>40</v>
      </c>
      <c r="D2641">
        <v>2</v>
      </c>
      <c r="F2641" s="73">
        <f t="shared" si="195"/>
        <v>0.57830314570702657</v>
      </c>
      <c r="G2641" s="15">
        <v>1.4509276246354735E-2</v>
      </c>
      <c r="H2641" s="15">
        <v>0.98549072375364533</v>
      </c>
      <c r="I2641" s="72">
        <f t="shared" si="205"/>
        <v>8.374772908052084E-3</v>
      </c>
      <c r="J2641" s="72">
        <f t="shared" si="196"/>
        <v>0.56992837279897446</v>
      </c>
      <c r="K2641" s="8">
        <f t="shared" si="197"/>
        <v>6.2154151348579759E-4</v>
      </c>
      <c r="O2641" s="72">
        <v>0.57830314570702657</v>
      </c>
      <c r="P2641" s="72">
        <v>8.374772908052084E-3</v>
      </c>
      <c r="R2641" s="73">
        <f t="shared" si="193"/>
        <v>6.2127395460327022E-4</v>
      </c>
      <c r="S2641" s="74">
        <f t="shared" si="202"/>
        <v>6.2154151348579759E-4</v>
      </c>
      <c r="T2641">
        <f t="shared" si="198"/>
        <v>1.4177593247824666E-2</v>
      </c>
      <c r="U2641" s="86">
        <f t="shared" si="208"/>
        <v>1.0517502409365478E-3</v>
      </c>
      <c r="V2641" s="7">
        <f t="shared" ref="V2641:V2657" si="209">V2640-T2641</f>
        <v>13.460019586412404</v>
      </c>
      <c r="W2641" s="89">
        <f t="shared" si="200"/>
        <v>0.99894824975906349</v>
      </c>
      <c r="Y2641" s="72">
        <v>1.8713766666666701E-2</v>
      </c>
    </row>
    <row r="2642" spans="2:25" x14ac:dyDescent="0.3">
      <c r="B2642">
        <v>125</v>
      </c>
      <c r="C2642">
        <v>40</v>
      </c>
      <c r="D2642">
        <v>3</v>
      </c>
      <c r="F2642" s="73">
        <f t="shared" si="195"/>
        <v>0.27071260593712299</v>
      </c>
      <c r="G2642" s="15">
        <v>3.0668883169518001E-2</v>
      </c>
      <c r="H2642" s="15">
        <v>0.96933111683048201</v>
      </c>
      <c r="I2642" s="72">
        <f t="shared" si="205"/>
        <v>8.2798989527979577E-3</v>
      </c>
      <c r="J2642" s="72">
        <f t="shared" si="196"/>
        <v>0.26243270698432503</v>
      </c>
      <c r="K2642" s="8">
        <f t="shared" si="197"/>
        <v>6.1514761547273931E-4</v>
      </c>
      <c r="O2642" s="72">
        <v>0.27071260593712299</v>
      </c>
      <c r="P2642" s="72">
        <v>8.2798989527979577E-3</v>
      </c>
      <c r="R2642" s="73">
        <f t="shared" si="193"/>
        <v>6.1423582735889914E-4</v>
      </c>
      <c r="S2642" s="74">
        <f t="shared" si="202"/>
        <v>6.1488253020819329E-4</v>
      </c>
      <c r="T2642">
        <f t="shared" si="198"/>
        <v>2.2457492200622625E-2</v>
      </c>
      <c r="U2642" s="86">
        <f t="shared" si="208"/>
        <v>1.6659860682954469E-3</v>
      </c>
      <c r="V2642" s="7">
        <f t="shared" si="209"/>
        <v>13.437562094211781</v>
      </c>
      <c r="W2642" s="89">
        <f t="shared" si="200"/>
        <v>0.99833401393170451</v>
      </c>
      <c r="Y2642" s="72">
        <v>2.6696233333333298E-2</v>
      </c>
    </row>
    <row r="2643" spans="2:25" x14ac:dyDescent="0.3">
      <c r="B2643">
        <v>125</v>
      </c>
      <c r="C2643">
        <v>40</v>
      </c>
      <c r="D2643">
        <v>5</v>
      </c>
      <c r="F2643" s="73">
        <f t="shared" si="195"/>
        <v>0.32297515408626598</v>
      </c>
      <c r="G2643" s="15">
        <v>1.6009586635010481E-2</v>
      </c>
      <c r="H2643" s="15">
        <v>0.98399041336498949</v>
      </c>
      <c r="I2643" s="72">
        <f t="shared" si="205"/>
        <v>5.1153777532875868E-3</v>
      </c>
      <c r="J2643" s="72">
        <f t="shared" si="196"/>
        <v>0.31785977633297841</v>
      </c>
      <c r="K2643" s="8">
        <f t="shared" si="197"/>
        <v>3.8067751556593971E-4</v>
      </c>
      <c r="O2643" s="72">
        <v>0.16148757704313299</v>
      </c>
      <c r="P2643" s="72">
        <v>2.5576888766437934E-3</v>
      </c>
      <c r="R2643" s="73">
        <f t="shared" si="193"/>
        <v>1.8973953090829321E-4</v>
      </c>
      <c r="S2643" s="74">
        <f t="shared" si="202"/>
        <v>1.9005616182608917E-4</v>
      </c>
      <c r="T2643">
        <f t="shared" si="198"/>
        <v>2.7572869953910211E-2</v>
      </c>
      <c r="U2643" s="86">
        <f t="shared" si="208"/>
        <v>2.0454651301120333E-3</v>
      </c>
      <c r="V2643" s="7">
        <f t="shared" si="209"/>
        <v>13.40998922425787</v>
      </c>
      <c r="W2643" s="89">
        <f t="shared" si="200"/>
        <v>0.99795453486988794</v>
      </c>
      <c r="Y2643" s="72">
        <v>3.6219700000000001E-2</v>
      </c>
    </row>
    <row r="2644" spans="2:25" x14ac:dyDescent="0.3">
      <c r="B2644">
        <v>125</v>
      </c>
      <c r="C2644">
        <v>40</v>
      </c>
      <c r="D2644">
        <v>8</v>
      </c>
      <c r="F2644" s="73">
        <f t="shared" si="195"/>
        <v>0.57953766520966288</v>
      </c>
      <c r="G2644" s="15">
        <v>1.5849164608883613E-2</v>
      </c>
      <c r="H2644" s="15">
        <v>0.98415083539111636</v>
      </c>
      <c r="I2644" s="72">
        <f t="shared" si="205"/>
        <v>9.2529077269209691E-3</v>
      </c>
      <c r="J2644" s="72">
        <f t="shared" si="196"/>
        <v>0.57028475748274188</v>
      </c>
      <c r="K2644" s="8">
        <f t="shared" si="197"/>
        <v>6.9000113066332758E-4</v>
      </c>
      <c r="O2644" s="72">
        <v>0.1931792217365543</v>
      </c>
      <c r="P2644" s="72">
        <v>3.0843025756403233E-3</v>
      </c>
      <c r="R2644" s="73">
        <f t="shared" si="193"/>
        <v>2.2880582905343647E-4</v>
      </c>
      <c r="S2644" s="74">
        <f t="shared" si="202"/>
        <v>2.2927480266750618E-4</v>
      </c>
      <c r="T2644">
        <f t="shared" si="198"/>
        <v>3.682577768083118E-2</v>
      </c>
      <c r="U2644" s="86">
        <f t="shared" si="208"/>
        <v>2.7318826172723428E-3</v>
      </c>
      <c r="V2644" s="7">
        <f t="shared" si="209"/>
        <v>13.373163446577038</v>
      </c>
      <c r="W2644" s="89">
        <f t="shared" si="200"/>
        <v>0.99726811738272769</v>
      </c>
      <c r="Y2644" s="72">
        <v>5.3308366666666697E-2</v>
      </c>
    </row>
    <row r="2645" spans="2:25" x14ac:dyDescent="0.3">
      <c r="B2645">
        <v>125</v>
      </c>
      <c r="C2645">
        <v>40</v>
      </c>
      <c r="D2645">
        <v>13</v>
      </c>
      <c r="F2645" s="73">
        <f t="shared" si="195"/>
        <v>0.70441219043715153</v>
      </c>
      <c r="G2645" s="15">
        <v>1.2844085123482367E-2</v>
      </c>
      <c r="H2645" s="15">
        <v>0.98715591487651766</v>
      </c>
      <c r="I2645" s="72">
        <f t="shared" si="205"/>
        <v>9.0533612566563917E-3</v>
      </c>
      <c r="J2645" s="72">
        <f t="shared" si="196"/>
        <v>0.69535882918049519</v>
      </c>
      <c r="K2645" s="8">
        <f t="shared" si="197"/>
        <v>6.769797806497062E-4</v>
      </c>
      <c r="O2645" s="72">
        <v>0.14088243808743031</v>
      </c>
      <c r="P2645" s="72">
        <v>1.8106722513312784E-3</v>
      </c>
      <c r="R2645" s="73">
        <f t="shared" ref="R2645:R2708" si="210">IF(D2645&gt;D2644,(U2645-U2644)/1/(D2645-D2644),0)</f>
        <v>1.3432286730944196E-4</v>
      </c>
      <c r="S2645" s="74">
        <f t="shared" si="202"/>
        <v>1.3469082683798672E-4</v>
      </c>
      <c r="T2645">
        <f t="shared" si="198"/>
        <v>4.5879138937487574E-2</v>
      </c>
      <c r="U2645" s="86">
        <f t="shared" si="208"/>
        <v>3.4034969538195526E-3</v>
      </c>
      <c r="V2645" s="7">
        <f t="shared" si="209"/>
        <v>13.32728430763955</v>
      </c>
      <c r="W2645" s="89">
        <f t="shared" si="200"/>
        <v>0.99659650304618042</v>
      </c>
      <c r="Y2645" s="72">
        <v>7.4079533333333308E-2</v>
      </c>
    </row>
    <row r="2646" spans="2:25" x14ac:dyDescent="0.3">
      <c r="B2646">
        <v>125</v>
      </c>
      <c r="C2646">
        <v>40</v>
      </c>
      <c r="D2646">
        <v>20</v>
      </c>
      <c r="F2646" s="73">
        <f t="shared" si="195"/>
        <v>0.56070035560240339</v>
      </c>
      <c r="G2646" s="15">
        <v>2.4054261585996533E-2</v>
      </c>
      <c r="H2646" s="15">
        <v>0.97594573841400345</v>
      </c>
      <c r="I2646" s="72">
        <f t="shared" si="205"/>
        <v>1.3485323437635045E-2</v>
      </c>
      <c r="J2646" s="72">
        <f t="shared" si="196"/>
        <v>0.5472150321647683</v>
      </c>
      <c r="K2646" s="8">
        <f t="shared" si="197"/>
        <v>1.0118583145933867E-3</v>
      </c>
      <c r="O2646" s="72">
        <v>8.0100050800343339E-2</v>
      </c>
      <c r="P2646" s="72">
        <v>1.9264747768050065E-3</v>
      </c>
      <c r="R2646" s="73">
        <f t="shared" si="210"/>
        <v>1.4291355911016376E-4</v>
      </c>
      <c r="S2646" s="74">
        <f t="shared" si="202"/>
        <v>1.4340162610779441E-4</v>
      </c>
      <c r="T2646">
        <f t="shared" si="198"/>
        <v>5.936446237512262E-2</v>
      </c>
      <c r="U2646" s="86">
        <f t="shared" si="208"/>
        <v>4.403891867590699E-3</v>
      </c>
      <c r="V2646" s="7">
        <f t="shared" si="209"/>
        <v>13.267919845264426</v>
      </c>
      <c r="W2646" s="89">
        <f t="shared" si="200"/>
        <v>0.99559610813240929</v>
      </c>
      <c r="Y2646" s="72">
        <v>9.0612533333333301E-2</v>
      </c>
    </row>
    <row r="2647" spans="2:25" x14ac:dyDescent="0.3">
      <c r="B2647">
        <v>125</v>
      </c>
      <c r="C2647">
        <v>40</v>
      </c>
      <c r="D2647">
        <v>30</v>
      </c>
      <c r="F2647" s="73">
        <f t="shared" ref="F2647:F2710" si="211">O2647*IF(D2647&gt;D2646,(D2647-D2646),(D2647-0))</f>
        <v>0.5761513653121566</v>
      </c>
      <c r="G2647" s="15">
        <v>3.4671662398373465E-2</v>
      </c>
      <c r="H2647" s="15">
        <v>0.96532833760162662</v>
      </c>
      <c r="I2647" s="72">
        <f t="shared" si="205"/>
        <v>3.3536923493241645E-2</v>
      </c>
      <c r="J2647" s="72">
        <f t="shared" ref="J2647:J2710" si="212">F2647-I2647</f>
        <v>0.54261444181891494</v>
      </c>
      <c r="K2647" s="8">
        <f t="shared" ref="K2647:K2710" si="213">I2647/(T2647+V2647)</f>
        <v>2.5276700405460779E-3</v>
      </c>
      <c r="O2647" s="72">
        <v>5.7615136531215659E-2</v>
      </c>
      <c r="P2647" s="72">
        <v>3.3536923493241648E-3</v>
      </c>
      <c r="R2647" s="73">
        <f t="shared" si="210"/>
        <v>2.4879023362938904E-4</v>
      </c>
      <c r="S2647" s="74">
        <f t="shared" si="202"/>
        <v>2.4989072536259975E-4</v>
      </c>
      <c r="T2647">
        <f t="shared" ref="T2647:T2710" si="214">IF(D2647&gt;D2646,T2646+I2647,I2647)</f>
        <v>9.2901385868364272E-2</v>
      </c>
      <c r="U2647" s="86">
        <f t="shared" si="208"/>
        <v>6.8917942038845895E-3</v>
      </c>
      <c r="V2647" s="7">
        <f t="shared" si="209"/>
        <v>13.175018459396062</v>
      </c>
      <c r="W2647" s="89">
        <f t="shared" ref="W2647:W2710" si="215">100%-U2647</f>
        <v>0.99310820579611536</v>
      </c>
      <c r="Y2647" s="72">
        <v>0.107600766666667</v>
      </c>
    </row>
    <row r="2648" spans="2:25" x14ac:dyDescent="0.3">
      <c r="B2648">
        <v>125</v>
      </c>
      <c r="C2648">
        <v>40</v>
      </c>
      <c r="D2648">
        <v>44</v>
      </c>
      <c r="F2648" s="73">
        <f t="shared" si="211"/>
        <v>0.65408151938475689</v>
      </c>
      <c r="G2648" s="15">
        <v>3.6507637925322189E-2</v>
      </c>
      <c r="H2648" s="15">
        <v>0.96349236207467781</v>
      </c>
      <c r="I2648" s="72">
        <f t="shared" si="205"/>
        <v>2.3039006993998096E-2</v>
      </c>
      <c r="J2648" s="72">
        <f t="shared" si="212"/>
        <v>0.63104251239075881</v>
      </c>
      <c r="K2648" s="8">
        <f t="shared" si="213"/>
        <v>1.7486887828659782E-3</v>
      </c>
      <c r="O2648" s="72">
        <v>4.6720108527482637E-2</v>
      </c>
      <c r="P2648" s="72">
        <v>1.6456433567141498E-3</v>
      </c>
      <c r="R2648" s="73">
        <f t="shared" si="210"/>
        <v>1.2208036770876483E-4</v>
      </c>
      <c r="S2648" s="74">
        <f t="shared" si="202"/>
        <v>1.2292755914840146E-4</v>
      </c>
      <c r="T2648">
        <f t="shared" si="214"/>
        <v>0.11594039286236237</v>
      </c>
      <c r="U2648" s="86">
        <f t="shared" si="208"/>
        <v>8.6009193518072971E-3</v>
      </c>
      <c r="V2648" s="7">
        <f t="shared" si="209"/>
        <v>13.059078066533699</v>
      </c>
      <c r="W2648" s="89">
        <f t="shared" si="215"/>
        <v>0.99139908064819271</v>
      </c>
      <c r="Y2648" s="72">
        <v>0.126888266666667</v>
      </c>
    </row>
    <row r="2649" spans="2:25" x14ac:dyDescent="0.3">
      <c r="B2649">
        <v>125</v>
      </c>
      <c r="C2649">
        <v>40</v>
      </c>
      <c r="D2649">
        <v>65</v>
      </c>
      <c r="F2649" s="73">
        <f t="shared" si="211"/>
        <v>0.57521540828422513</v>
      </c>
      <c r="G2649" s="15">
        <v>3.4438238787044467E-2</v>
      </c>
      <c r="H2649" s="15">
        <v>0.96556176121295545</v>
      </c>
      <c r="I2649" s="72">
        <f t="shared" si="205"/>
        <v>2.0047547303566379E-2</v>
      </c>
      <c r="J2649" s="72">
        <f t="shared" si="212"/>
        <v>0.55516786098065873</v>
      </c>
      <c r="K2649" s="8">
        <f t="shared" si="213"/>
        <v>1.5351426189067607E-3</v>
      </c>
      <c r="O2649" s="72">
        <v>2.7391209918296435E-2</v>
      </c>
      <c r="P2649" s="72">
        <v>9.5464510969363705E-4</v>
      </c>
      <c r="R2649" s="73">
        <f t="shared" si="210"/>
        <v>7.0819370155314292E-5</v>
      </c>
      <c r="S2649" s="74">
        <f t="shared" si="202"/>
        <v>7.1433766217547274E-5</v>
      </c>
      <c r="T2649">
        <f t="shared" si="214"/>
        <v>0.13598794016592874</v>
      </c>
      <c r="U2649" s="86">
        <f t="shared" si="208"/>
        <v>1.0088126125068897E-2</v>
      </c>
      <c r="V2649" s="7">
        <f t="shared" si="209"/>
        <v>12.92309012636777</v>
      </c>
      <c r="W2649" s="89">
        <f t="shared" si="215"/>
        <v>0.98991187387493107</v>
      </c>
      <c r="Y2649" s="72">
        <v>0.14385050000000002</v>
      </c>
    </row>
    <row r="2650" spans="2:25" x14ac:dyDescent="0.3">
      <c r="B2650">
        <v>125</v>
      </c>
      <c r="C2650">
        <v>40</v>
      </c>
      <c r="D2650">
        <v>90</v>
      </c>
      <c r="F2650" s="73">
        <f t="shared" si="211"/>
        <v>0.36336944913713665</v>
      </c>
      <c r="G2650" s="15">
        <v>3.1372439121165691E-2</v>
      </c>
      <c r="H2650" s="15">
        <v>0.96862756087883428</v>
      </c>
      <c r="I2650" s="72">
        <f t="shared" si="205"/>
        <v>1.1196203237323066E-2</v>
      </c>
      <c r="J2650" s="72">
        <f t="shared" si="212"/>
        <v>0.35217324589981358</v>
      </c>
      <c r="K2650" s="8">
        <f t="shared" si="213"/>
        <v>8.6637198439704207E-4</v>
      </c>
      <c r="O2650" s="72">
        <v>1.4534777965485466E-2</v>
      </c>
      <c r="P2650" s="72">
        <v>4.4784812949292261E-4</v>
      </c>
      <c r="R2650" s="73">
        <f t="shared" si="210"/>
        <v>3.3223155006893365E-5</v>
      </c>
      <c r="S2650" s="74">
        <f t="shared" si="202"/>
        <v>3.3561729971824638E-5</v>
      </c>
      <c r="T2650">
        <f t="shared" si="214"/>
        <v>0.14718414340325181</v>
      </c>
      <c r="U2650" s="86">
        <f t="shared" si="208"/>
        <v>1.0918705000241231E-2</v>
      </c>
      <c r="V2650" s="7">
        <f t="shared" si="209"/>
        <v>12.775905982964519</v>
      </c>
      <c r="W2650" s="89">
        <f t="shared" si="215"/>
        <v>0.98908129499975872</v>
      </c>
      <c r="Y2650" s="72">
        <v>0.15456556666666699</v>
      </c>
    </row>
    <row r="2651" spans="2:25" x14ac:dyDescent="0.3">
      <c r="B2651">
        <v>125</v>
      </c>
      <c r="C2651">
        <v>40</v>
      </c>
      <c r="D2651">
        <v>120</v>
      </c>
      <c r="F2651" s="73">
        <f t="shared" si="211"/>
        <v>0.30656241984819677</v>
      </c>
      <c r="G2651" s="15">
        <v>3.331105354502803E-2</v>
      </c>
      <c r="H2651" s="15">
        <v>0.96668894645497205</v>
      </c>
      <c r="I2651" s="72">
        <f t="shared" si="205"/>
        <v>1.0192054745132019E-2</v>
      </c>
      <c r="J2651" s="72">
        <f t="shared" si="212"/>
        <v>0.29637036510306475</v>
      </c>
      <c r="K2651" s="8">
        <f t="shared" si="213"/>
        <v>7.9775592891198285E-4</v>
      </c>
      <c r="O2651" s="72">
        <v>1.0218747328273225E-2</v>
      </c>
      <c r="P2651" s="72">
        <v>3.3973515817106731E-4</v>
      </c>
      <c r="R2651" s="73">
        <f t="shared" si="210"/>
        <v>2.5202904908832915E-5</v>
      </c>
      <c r="S2651" s="74">
        <f t="shared" si="202"/>
        <v>2.5481125804567016E-5</v>
      </c>
      <c r="T2651">
        <f t="shared" si="214"/>
        <v>0.15737619814838383</v>
      </c>
      <c r="U2651" s="86">
        <f t="shared" si="208"/>
        <v>1.1674792147506219E-2</v>
      </c>
      <c r="V2651" s="7">
        <f t="shared" si="209"/>
        <v>12.618529784816134</v>
      </c>
      <c r="W2651" s="89">
        <f t="shared" si="215"/>
        <v>0.98832520785249378</v>
      </c>
      <c r="Y2651" s="72">
        <v>0.16360650000000002</v>
      </c>
    </row>
    <row r="2652" spans="2:25" x14ac:dyDescent="0.3">
      <c r="B2652">
        <v>125</v>
      </c>
      <c r="C2652">
        <v>40</v>
      </c>
      <c r="D2652">
        <v>240</v>
      </c>
      <c r="F2652" s="73">
        <f t="shared" si="211"/>
        <v>0.71401098409611918</v>
      </c>
      <c r="G2652" s="15">
        <v>4.8203072248043669E-2</v>
      </c>
      <c r="H2652" s="15">
        <v>0.95179692775195635</v>
      </c>
      <c r="I2652" s="72">
        <f t="shared" si="205"/>
        <v>4.5529282369080486E-2</v>
      </c>
      <c r="J2652" s="72">
        <f t="shared" si="212"/>
        <v>0.66848170172703869</v>
      </c>
      <c r="K2652" s="8">
        <f t="shared" si="213"/>
        <v>3.6081289298746854E-3</v>
      </c>
      <c r="O2652" s="72">
        <v>5.9500915341343264E-3</v>
      </c>
      <c r="P2652" s="72">
        <v>3.7941068640900407E-4</v>
      </c>
      <c r="R2652" s="73">
        <f t="shared" si="210"/>
        <v>2.8146193353783679E-5</v>
      </c>
      <c r="S2652" s="74">
        <f t="shared" si="202"/>
        <v>2.8478675976444854E-5</v>
      </c>
      <c r="T2652">
        <f t="shared" si="214"/>
        <v>0.20290548051746432</v>
      </c>
      <c r="U2652" s="86">
        <f t="shared" si="208"/>
        <v>1.505233534996026E-2</v>
      </c>
      <c r="V2652" s="7">
        <f t="shared" si="209"/>
        <v>12.415624304298671</v>
      </c>
      <c r="W2652" s="89">
        <f t="shared" si="215"/>
        <v>0.98494766465003969</v>
      </c>
      <c r="Y2652" s="72">
        <v>0.18455846666666698</v>
      </c>
    </row>
    <row r="2653" spans="2:25" x14ac:dyDescent="0.3">
      <c r="B2653">
        <v>125</v>
      </c>
      <c r="C2653">
        <v>40</v>
      </c>
      <c r="D2653">
        <v>310</v>
      </c>
      <c r="F2653" s="73">
        <f t="shared" si="211"/>
        <v>0.20177228879945364</v>
      </c>
      <c r="G2653" s="15">
        <v>6.3095090951059307E-2</v>
      </c>
      <c r="H2653" s="15">
        <v>0.93690490904894064</v>
      </c>
      <c r="I2653" s="72">
        <f t="shared" si="205"/>
        <v>1.2619729875296764E-2</v>
      </c>
      <c r="J2653" s="72">
        <f t="shared" si="212"/>
        <v>0.18915255892415686</v>
      </c>
      <c r="K2653" s="8">
        <f t="shared" si="213"/>
        <v>1.0164394126300539E-3</v>
      </c>
      <c r="O2653" s="72">
        <v>2.8824612685636234E-3</v>
      </c>
      <c r="P2653" s="72">
        <v>1.8028185536138233E-4</v>
      </c>
      <c r="R2653" s="73">
        <f t="shared" si="210"/>
        <v>1.3374024878440826E-5</v>
      </c>
      <c r="S2653" s="74">
        <f t="shared" si="202"/>
        <v>1.3578411684637814E-5</v>
      </c>
      <c r="T2653">
        <f t="shared" si="214"/>
        <v>0.2155252103927611</v>
      </c>
      <c r="U2653" s="86">
        <f t="shared" si="208"/>
        <v>1.5988517091451118E-2</v>
      </c>
      <c r="V2653" s="7">
        <f t="shared" si="209"/>
        <v>12.20009909390591</v>
      </c>
      <c r="W2653" s="89">
        <f t="shared" si="215"/>
        <v>0.9840114829085489</v>
      </c>
      <c r="Y2653" s="72">
        <v>0.190513866666667</v>
      </c>
    </row>
    <row r="2654" spans="2:25" x14ac:dyDescent="0.3">
      <c r="B2654">
        <v>125</v>
      </c>
      <c r="C2654">
        <v>40</v>
      </c>
      <c r="D2654">
        <v>430</v>
      </c>
      <c r="F2654" s="73">
        <f t="shared" si="211"/>
        <v>0.20234582742819157</v>
      </c>
      <c r="G2654" s="15">
        <v>7.8002329798105827E-2</v>
      </c>
      <c r="H2654" s="15">
        <v>0.92199767020189416</v>
      </c>
      <c r="I2654" s="72">
        <f t="shared" si="205"/>
        <v>1.581181820571248E-2</v>
      </c>
      <c r="J2654" s="72">
        <f t="shared" si="212"/>
        <v>0.18653400922247909</v>
      </c>
      <c r="K2654" s="8">
        <f t="shared" si="213"/>
        <v>1.2960401455764129E-3</v>
      </c>
      <c r="O2654" s="72">
        <v>1.6862152285682631E-3</v>
      </c>
      <c r="P2654" s="72">
        <v>1.3176515171427067E-4</v>
      </c>
      <c r="R2654" s="73">
        <f t="shared" si="210"/>
        <v>9.7748628868153383E-6</v>
      </c>
      <c r="S2654" s="74">
        <f t="shared" si="202"/>
        <v>9.9336878243765224E-6</v>
      </c>
      <c r="T2654">
        <f t="shared" si="214"/>
        <v>0.23133702859847358</v>
      </c>
      <c r="U2654" s="86">
        <f t="shared" si="208"/>
        <v>1.7161500637868959E-2</v>
      </c>
      <c r="V2654" s="7">
        <f t="shared" si="209"/>
        <v>11.968762065307438</v>
      </c>
      <c r="W2654" s="89">
        <f t="shared" si="215"/>
        <v>0.98283849936213108</v>
      </c>
      <c r="Y2654" s="72">
        <v>0.19648606666666699</v>
      </c>
    </row>
    <row r="2655" spans="2:25" x14ac:dyDescent="0.3">
      <c r="B2655">
        <v>125</v>
      </c>
      <c r="C2655">
        <v>40</v>
      </c>
      <c r="D2655">
        <v>506</v>
      </c>
      <c r="F2655" s="73">
        <f t="shared" si="211"/>
        <v>0.14212619032794474</v>
      </c>
      <c r="G2655" s="15">
        <v>4.9491761322898002E-2</v>
      </c>
      <c r="H2655" s="15">
        <v>0.95050823867710188</v>
      </c>
      <c r="I2655" s="72">
        <f t="shared" si="205"/>
        <v>6.5528051484874854E-3</v>
      </c>
      <c r="J2655" s="72">
        <f t="shared" si="212"/>
        <v>0.13557338517945725</v>
      </c>
      <c r="K2655" s="8">
        <f t="shared" si="213"/>
        <v>5.4749230645008775E-4</v>
      </c>
      <c r="O2655" s="72">
        <v>1.8700814516834834E-3</v>
      </c>
      <c r="P2655" s="72">
        <v>8.622112037483533E-5</v>
      </c>
      <c r="R2655" s="73">
        <f t="shared" si="210"/>
        <v>6.3962255470946401E-6</v>
      </c>
      <c r="S2655" s="74">
        <f t="shared" si="202"/>
        <v>6.5079110670225417E-6</v>
      </c>
      <c r="T2655">
        <f t="shared" si="214"/>
        <v>0.23788983374696107</v>
      </c>
      <c r="U2655" s="86">
        <f t="shared" si="208"/>
        <v>1.7647613779448151E-2</v>
      </c>
      <c r="V2655" s="7">
        <f t="shared" si="209"/>
        <v>11.730872231560477</v>
      </c>
      <c r="W2655" s="89">
        <f t="shared" si="215"/>
        <v>0.98235238622055188</v>
      </c>
      <c r="Y2655" s="72">
        <v>0.20068093333333301</v>
      </c>
    </row>
    <row r="2656" spans="2:25" x14ac:dyDescent="0.3">
      <c r="B2656">
        <v>125</v>
      </c>
      <c r="C2656">
        <v>40</v>
      </c>
      <c r="D2656">
        <v>630</v>
      </c>
      <c r="F2656" s="73">
        <f t="shared" si="211"/>
        <v>0.17542575483824102</v>
      </c>
      <c r="G2656" s="15">
        <v>6.1894436623595332E-2</v>
      </c>
      <c r="H2656" s="15">
        <v>0.93810556337640461</v>
      </c>
      <c r="I2656" s="72">
        <f t="shared" si="205"/>
        <v>1.0710699114400484E-2</v>
      </c>
      <c r="J2656" s="72">
        <f t="shared" si="212"/>
        <v>0.16471505572384054</v>
      </c>
      <c r="K2656" s="8">
        <f t="shared" si="213"/>
        <v>9.1303518638491843E-4</v>
      </c>
      <c r="O2656" s="72">
        <v>1.4147238293406533E-3</v>
      </c>
      <c r="P2656" s="72">
        <v>8.6376605761294235E-5</v>
      </c>
      <c r="R2656" s="73">
        <f t="shared" si="210"/>
        <v>6.4077600713126165E-6</v>
      </c>
      <c r="S2656" s="74">
        <f t="shared" si="202"/>
        <v>6.5228732186068973E-6</v>
      </c>
      <c r="T2656">
        <f t="shared" si="214"/>
        <v>0.24860053286136155</v>
      </c>
      <c r="U2656" s="86">
        <f t="shared" si="208"/>
        <v>1.8442176028290916E-2</v>
      </c>
      <c r="V2656" s="7">
        <f t="shared" si="209"/>
        <v>11.482271698699115</v>
      </c>
      <c r="W2656" s="89">
        <f t="shared" si="215"/>
        <v>0.9815578239717091</v>
      </c>
      <c r="Y2656" s="72">
        <v>0.20585870000000001</v>
      </c>
    </row>
    <row r="2657" spans="2:25" x14ac:dyDescent="0.3">
      <c r="B2657">
        <v>125</v>
      </c>
      <c r="C2657">
        <v>40</v>
      </c>
      <c r="D2657">
        <v>758</v>
      </c>
      <c r="F2657" s="73">
        <f t="shared" si="211"/>
        <v>0.2111189257482142</v>
      </c>
      <c r="G2657" s="15">
        <v>5.2554897865184996E-2</v>
      </c>
      <c r="H2657" s="15">
        <v>0.94744510213481503</v>
      </c>
      <c r="I2657" s="72">
        <f t="shared" si="205"/>
        <v>1.0866229444015397E-2</v>
      </c>
      <c r="J2657" s="72">
        <f t="shared" si="212"/>
        <v>0.20025269630419881</v>
      </c>
      <c r="K2657" s="8">
        <f t="shared" si="213"/>
        <v>9.4634839944141784E-4</v>
      </c>
      <c r="O2657" s="72">
        <v>1.6493666074079234E-3</v>
      </c>
      <c r="P2657" s="72">
        <v>8.4892417531370291E-5</v>
      </c>
      <c r="R2657" s="73">
        <f t="shared" si="210"/>
        <v>6.2976570868969082E-6</v>
      </c>
      <c r="S2657" s="74">
        <f t="shared" si="202"/>
        <v>6.4159817517571149E-6</v>
      </c>
      <c r="T2657">
        <f t="shared" si="214"/>
        <v>0.25946676230537696</v>
      </c>
      <c r="U2657" s="86">
        <f t="shared" si="208"/>
        <v>1.924827613541372E-2</v>
      </c>
      <c r="V2657" s="7">
        <f t="shared" si="209"/>
        <v>11.222804936393738</v>
      </c>
      <c r="W2657" s="89">
        <f t="shared" si="215"/>
        <v>0.98075172386458631</v>
      </c>
      <c r="Y2657" s="72">
        <v>0.21209003333333298</v>
      </c>
    </row>
    <row r="2658" spans="2:25" s="18" customFormat="1" x14ac:dyDescent="0.3">
      <c r="B2658" s="18">
        <v>126</v>
      </c>
      <c r="C2658" s="18">
        <v>40</v>
      </c>
      <c r="D2658" s="18">
        <v>0</v>
      </c>
      <c r="E2658" s="93"/>
      <c r="F2658" s="73">
        <f t="shared" si="211"/>
        <v>0</v>
      </c>
      <c r="G2658" s="15">
        <v>0</v>
      </c>
      <c r="H2658" s="15">
        <v>0</v>
      </c>
      <c r="I2658" s="72">
        <f t="shared" si="205"/>
        <v>0</v>
      </c>
      <c r="J2658" s="72">
        <f t="shared" si="212"/>
        <v>0</v>
      </c>
      <c r="K2658" s="8">
        <f t="shared" si="213"/>
        <v>0</v>
      </c>
      <c r="L2658"/>
      <c r="M2658"/>
      <c r="N2658"/>
      <c r="O2658" s="72">
        <v>0</v>
      </c>
      <c r="P2658" s="72">
        <v>0</v>
      </c>
      <c r="Q2658"/>
      <c r="R2658" s="73">
        <f t="shared" si="210"/>
        <v>0</v>
      </c>
      <c r="S2658" s="74">
        <f t="shared" si="202"/>
        <v>0</v>
      </c>
      <c r="T2658">
        <f t="shared" si="214"/>
        <v>0</v>
      </c>
      <c r="U2658" s="86">
        <f>T2658/$V$2658</f>
        <v>0</v>
      </c>
      <c r="V2658">
        <f>2%*1000*0.732</f>
        <v>14.64</v>
      </c>
      <c r="W2658" s="89">
        <f t="shared" si="215"/>
        <v>1</v>
      </c>
      <c r="X2658"/>
      <c r="Y2658" s="72">
        <v>0</v>
      </c>
    </row>
    <row r="2659" spans="2:25" x14ac:dyDescent="0.3">
      <c r="B2659">
        <v>126</v>
      </c>
      <c r="C2659">
        <v>40</v>
      </c>
      <c r="D2659">
        <v>1</v>
      </c>
      <c r="F2659" s="73">
        <f t="shared" si="211"/>
        <v>2.9562881057110933E-2</v>
      </c>
      <c r="G2659" s="15">
        <v>0.32492145304161801</v>
      </c>
      <c r="H2659" s="15">
        <v>0.6750785469583821</v>
      </c>
      <c r="I2659" s="72">
        <f t="shared" si="205"/>
        <v>9.6208534370818E-3</v>
      </c>
      <c r="J2659" s="72">
        <f t="shared" si="212"/>
        <v>1.9942027620029133E-2</v>
      </c>
      <c r="K2659" s="8">
        <f t="shared" si="213"/>
        <v>6.5716212001924864E-4</v>
      </c>
      <c r="O2659" s="72">
        <v>2.9562881057110933E-2</v>
      </c>
      <c r="P2659" s="72">
        <v>9.6208534370818E-3</v>
      </c>
      <c r="R2659" s="73">
        <f t="shared" si="210"/>
        <v>6.5716212001924864E-4</v>
      </c>
      <c r="S2659" s="74">
        <f t="shared" si="202"/>
        <v>6.5716212001924864E-4</v>
      </c>
      <c r="T2659">
        <f t="shared" si="214"/>
        <v>9.6208534370818E-3</v>
      </c>
      <c r="U2659" s="86">
        <f t="shared" ref="U2659:U2676" si="216">T2659/$V$2658</f>
        <v>6.5716212001924864E-4</v>
      </c>
      <c r="V2659" s="7">
        <f>V2658-T2659</f>
        <v>14.63037914656292</v>
      </c>
      <c r="W2659" s="89">
        <f t="shared" si="215"/>
        <v>0.99934283787998079</v>
      </c>
      <c r="Y2659" s="72">
        <v>1.51886666666667E-3</v>
      </c>
    </row>
    <row r="2660" spans="2:25" x14ac:dyDescent="0.3">
      <c r="B2660">
        <v>126</v>
      </c>
      <c r="C2660">
        <v>40</v>
      </c>
      <c r="D2660">
        <v>2</v>
      </c>
      <c r="F2660" s="73">
        <f t="shared" si="211"/>
        <v>5.9205086481444033E-3</v>
      </c>
      <c r="G2660" s="15">
        <v>0.29243850740775928</v>
      </c>
      <c r="H2660" s="15">
        <v>0.70756149259224077</v>
      </c>
      <c r="I2660" s="72">
        <f t="shared" si="205"/>
        <v>1.7434482729292065E-3</v>
      </c>
      <c r="J2660" s="72">
        <f t="shared" si="212"/>
        <v>4.1770603752151973E-3</v>
      </c>
      <c r="K2660" s="8">
        <f t="shared" si="213"/>
        <v>1.1916630836862425E-4</v>
      </c>
      <c r="O2660" s="72">
        <v>5.9205086481444033E-3</v>
      </c>
      <c r="P2660" s="72">
        <v>1.7434482729292065E-3</v>
      </c>
      <c r="R2660" s="73">
        <f t="shared" si="210"/>
        <v>1.1908799678478181E-4</v>
      </c>
      <c r="S2660" s="74">
        <f t="shared" si="202"/>
        <v>1.1916630836862419E-4</v>
      </c>
      <c r="T2660">
        <f t="shared" si="214"/>
        <v>1.1364301710011007E-2</v>
      </c>
      <c r="U2660" s="86">
        <f t="shared" si="216"/>
        <v>7.7625011680403045E-4</v>
      </c>
      <c r="V2660" s="7">
        <f t="shared" ref="V2660:V2723" si="217">V2659-T2660</f>
        <v>14.619014844852909</v>
      </c>
      <c r="W2660" s="89">
        <f t="shared" si="215"/>
        <v>0.99922374988319596</v>
      </c>
      <c r="Y2660" s="72">
        <v>1.8230333333333299E-3</v>
      </c>
    </row>
    <row r="2661" spans="2:25" x14ac:dyDescent="0.3">
      <c r="B2661">
        <v>126</v>
      </c>
      <c r="C2661">
        <v>40</v>
      </c>
      <c r="D2661">
        <v>3</v>
      </c>
      <c r="F2661" s="73">
        <f t="shared" si="211"/>
        <v>7.6367925488551539E-3</v>
      </c>
      <c r="G2661" s="15">
        <v>8.2599388391223785E-2</v>
      </c>
      <c r="H2661" s="15">
        <v>0.91740061160877617</v>
      </c>
      <c r="I2661" s="72">
        <f t="shared" si="205"/>
        <v>6.2833700111258341E-4</v>
      </c>
      <c r="J2661" s="72">
        <f t="shared" si="212"/>
        <v>7.0084555477425703E-3</v>
      </c>
      <c r="K2661" s="8">
        <f t="shared" si="213"/>
        <v>4.2980803274429231E-5</v>
      </c>
      <c r="O2661" s="72">
        <v>7.6367925488551539E-3</v>
      </c>
      <c r="P2661" s="72">
        <v>6.2833700111258341E-4</v>
      </c>
      <c r="R2661" s="73">
        <f t="shared" si="210"/>
        <v>4.2919194065067171E-5</v>
      </c>
      <c r="S2661" s="74">
        <f t="shared" si="202"/>
        <v>4.2952535976135678E-5</v>
      </c>
      <c r="T2661">
        <f t="shared" si="214"/>
        <v>1.199263871112359E-2</v>
      </c>
      <c r="U2661" s="86">
        <f t="shared" si="216"/>
        <v>8.1916931086909762E-4</v>
      </c>
      <c r="V2661" s="7">
        <f t="shared" si="217"/>
        <v>14.607022206141785</v>
      </c>
      <c r="W2661" s="89">
        <f t="shared" si="215"/>
        <v>0.99918083068913088</v>
      </c>
      <c r="Y2661" s="72">
        <v>2.2153999999999997E-3</v>
      </c>
    </row>
    <row r="2662" spans="2:25" x14ac:dyDescent="0.3">
      <c r="B2662">
        <v>126</v>
      </c>
      <c r="C2662">
        <v>40</v>
      </c>
      <c r="D2662">
        <v>5</v>
      </c>
      <c r="F2662" s="73">
        <f t="shared" si="211"/>
        <v>1.2163652970350852E-2</v>
      </c>
      <c r="G2662" s="15">
        <v>0.14460193660629733</v>
      </c>
      <c r="H2662" s="15">
        <v>0.85539806339370272</v>
      </c>
      <c r="I2662" s="72">
        <f t="shared" si="205"/>
        <v>1.7603434653366439E-3</v>
      </c>
      <c r="J2662" s="72">
        <f t="shared" si="212"/>
        <v>1.0403309505014209E-2</v>
      </c>
      <c r="K2662" s="8">
        <f t="shared" si="213"/>
        <v>1.2051350648296241E-4</v>
      </c>
      <c r="O2662" s="72">
        <v>6.0818264851754261E-3</v>
      </c>
      <c r="P2662" s="72">
        <v>8.8017173266832197E-4</v>
      </c>
      <c r="R2662" s="73">
        <f t="shared" si="210"/>
        <v>6.0121019991005598E-5</v>
      </c>
      <c r="S2662" s="74">
        <f t="shared" si="202"/>
        <v>6.0170309662106288E-5</v>
      </c>
      <c r="T2662">
        <f t="shared" si="214"/>
        <v>1.3752982176460234E-2</v>
      </c>
      <c r="U2662" s="86">
        <f t="shared" si="216"/>
        <v>9.3941135085110882E-4</v>
      </c>
      <c r="V2662" s="7">
        <f t="shared" si="217"/>
        <v>14.593269223965326</v>
      </c>
      <c r="W2662" s="89">
        <f t="shared" si="215"/>
        <v>0.99906058864914893</v>
      </c>
      <c r="Y2662" s="72">
        <v>2.8403333333333301E-3</v>
      </c>
    </row>
    <row r="2663" spans="2:25" x14ac:dyDescent="0.3">
      <c r="B2663">
        <v>126</v>
      </c>
      <c r="C2663">
        <v>40</v>
      </c>
      <c r="D2663">
        <v>8</v>
      </c>
      <c r="F2663" s="73">
        <f t="shared" si="211"/>
        <v>2.0777270686310786E-2</v>
      </c>
      <c r="G2663" s="15">
        <v>0.16550118778967898</v>
      </c>
      <c r="H2663" s="15">
        <v>0.83449881221032096</v>
      </c>
      <c r="I2663" s="72">
        <f t="shared" si="205"/>
        <v>3.2886537111456761E-3</v>
      </c>
      <c r="J2663" s="72">
        <f t="shared" si="212"/>
        <v>1.748861697516511E-2</v>
      </c>
      <c r="K2663" s="8">
        <f t="shared" si="213"/>
        <v>2.2535414516611471E-4</v>
      </c>
      <c r="O2663" s="72">
        <v>6.9257568954369294E-3</v>
      </c>
      <c r="P2663" s="72">
        <v>1.0962179037152253E-3</v>
      </c>
      <c r="R2663" s="73">
        <f t="shared" si="210"/>
        <v>7.4878272111695749E-5</v>
      </c>
      <c r="S2663" s="74">
        <f t="shared" si="202"/>
        <v>7.4948679752186249E-5</v>
      </c>
      <c r="T2663">
        <f t="shared" si="214"/>
        <v>1.7041635887605912E-2</v>
      </c>
      <c r="U2663" s="86">
        <f t="shared" si="216"/>
        <v>1.1640461671861961E-3</v>
      </c>
      <c r="V2663" s="7">
        <f t="shared" si="217"/>
        <v>14.576227588077719</v>
      </c>
      <c r="W2663" s="89">
        <f t="shared" si="215"/>
        <v>0.99883595383281376</v>
      </c>
      <c r="Y2663" s="72">
        <v>3.90783333333333E-3</v>
      </c>
    </row>
    <row r="2664" spans="2:25" x14ac:dyDescent="0.3">
      <c r="B2664">
        <v>126</v>
      </c>
      <c r="C2664">
        <v>40</v>
      </c>
      <c r="D2664">
        <v>13</v>
      </c>
      <c r="F2664" s="73">
        <f t="shared" si="211"/>
        <v>1.4769566870477016E-2</v>
      </c>
      <c r="G2664" s="15">
        <v>0.17598439832005233</v>
      </c>
      <c r="H2664" s="15">
        <v>0.8240156016799477</v>
      </c>
      <c r="I2664" s="72">
        <f t="shared" si="205"/>
        <v>2.532740076579203E-3</v>
      </c>
      <c r="J2664" s="72">
        <f t="shared" si="212"/>
        <v>1.2236826793897813E-2</v>
      </c>
      <c r="K2664" s="8">
        <f t="shared" si="213"/>
        <v>1.7375826915949074E-4</v>
      </c>
      <c r="O2664" s="72">
        <v>2.9539133740954034E-3</v>
      </c>
      <c r="P2664" s="72">
        <v>5.0654801531584061E-4</v>
      </c>
      <c r="R2664" s="73">
        <f t="shared" si="210"/>
        <v>3.4600274270207715E-5</v>
      </c>
      <c r="S2664" s="74">
        <f t="shared" si="202"/>
        <v>3.4640597524985715E-5</v>
      </c>
      <c r="T2664">
        <f t="shared" si="214"/>
        <v>1.9574375964185115E-2</v>
      </c>
      <c r="U2664" s="86">
        <f t="shared" si="216"/>
        <v>1.3370475385372346E-3</v>
      </c>
      <c r="V2664" s="7">
        <f t="shared" si="217"/>
        <v>14.556653212113535</v>
      </c>
      <c r="W2664" s="89">
        <f t="shared" si="215"/>
        <v>0.99866295246146275</v>
      </c>
      <c r="Y2664" s="72">
        <v>4.6665999999999999E-3</v>
      </c>
    </row>
    <row r="2665" spans="2:25" x14ac:dyDescent="0.3">
      <c r="B2665">
        <v>126</v>
      </c>
      <c r="C2665">
        <v>40</v>
      </c>
      <c r="D2665">
        <v>20</v>
      </c>
      <c r="F2665" s="73">
        <f t="shared" si="211"/>
        <v>2.1318591718698963E-2</v>
      </c>
      <c r="G2665" s="15">
        <v>0.17184265094880469</v>
      </c>
      <c r="H2665" s="15">
        <v>0.82815734905119531</v>
      </c>
      <c r="I2665" s="72">
        <f t="shared" si="205"/>
        <v>3.6990828119184819E-3</v>
      </c>
      <c r="J2665" s="72">
        <f t="shared" si="212"/>
        <v>1.761950890678048E-2</v>
      </c>
      <c r="K2665" s="8">
        <f t="shared" si="213"/>
        <v>2.5411629706478377E-4</v>
      </c>
      <c r="O2665" s="72">
        <v>3.0455131026712805E-3</v>
      </c>
      <c r="P2665" s="72">
        <v>5.2844040170264026E-4</v>
      </c>
      <c r="R2665" s="73">
        <f t="shared" si="210"/>
        <v>3.6095655854005496E-5</v>
      </c>
      <c r="S2665" s="74">
        <f t="shared" si="202"/>
        <v>3.6143982076273517E-5</v>
      </c>
      <c r="T2665">
        <f t="shared" si="214"/>
        <v>2.3273458776103598E-2</v>
      </c>
      <c r="U2665" s="86">
        <f t="shared" si="216"/>
        <v>1.5897171295152731E-3</v>
      </c>
      <c r="V2665" s="7">
        <f t="shared" si="217"/>
        <v>14.533379753337432</v>
      </c>
      <c r="W2665" s="89">
        <f t="shared" si="215"/>
        <v>0.99841028287048472</v>
      </c>
      <c r="Y2665" s="72">
        <v>5.76193333333333E-3</v>
      </c>
    </row>
    <row r="2666" spans="2:25" x14ac:dyDescent="0.3">
      <c r="B2666">
        <v>126</v>
      </c>
      <c r="C2666">
        <v>40</v>
      </c>
      <c r="D2666">
        <v>30</v>
      </c>
      <c r="F2666" s="73">
        <f t="shared" si="211"/>
        <v>2.8719566744511565E-2</v>
      </c>
      <c r="G2666" s="15">
        <v>0.20571401170640999</v>
      </c>
      <c r="H2666" s="15">
        <v>0.79428598829358998</v>
      </c>
      <c r="I2666" s="72">
        <f t="shared" si="205"/>
        <v>6.0165112037031381E-3</v>
      </c>
      <c r="J2666" s="72">
        <f t="shared" si="212"/>
        <v>2.2703055540808426E-2</v>
      </c>
      <c r="K2666" s="8">
        <f t="shared" si="213"/>
        <v>4.1397880643155371E-4</v>
      </c>
      <c r="O2666" s="72">
        <v>2.8719566744511565E-3</v>
      </c>
      <c r="P2666" s="72">
        <v>6.0165112037031379E-4</v>
      </c>
      <c r="R2666" s="73">
        <f t="shared" si="210"/>
        <v>4.1096388003436727E-5</v>
      </c>
      <c r="S2666" s="74">
        <f t="shared" ref="S2666:S2729" si="218">IF(D2666&gt;D2665,(U2666-U2665)/W2665/(D2666-D2665),0)</f>
        <v>4.1161823659590471E-5</v>
      </c>
      <c r="T2666">
        <f t="shared" si="214"/>
        <v>2.9289969979806735E-2</v>
      </c>
      <c r="U2666" s="86">
        <f t="shared" si="216"/>
        <v>2.0006810095496404E-3</v>
      </c>
      <c r="V2666" s="7">
        <f t="shared" si="217"/>
        <v>14.504089783357625</v>
      </c>
      <c r="W2666" s="89">
        <f t="shared" si="215"/>
        <v>0.99799931899045036</v>
      </c>
      <c r="Y2666" s="72">
        <v>7.2376333333333299E-3</v>
      </c>
    </row>
    <row r="2667" spans="2:25" x14ac:dyDescent="0.3">
      <c r="B2667">
        <v>126</v>
      </c>
      <c r="C2667">
        <v>40</v>
      </c>
      <c r="D2667">
        <v>44</v>
      </c>
      <c r="F2667" s="73">
        <f t="shared" si="211"/>
        <v>2.7304236756088281E-2</v>
      </c>
      <c r="G2667" s="15">
        <v>0.23576103952947933</v>
      </c>
      <c r="H2667" s="15">
        <v>0.76423896047052065</v>
      </c>
      <c r="I2667" s="72">
        <f t="shared" si="205"/>
        <v>6.1729299444987394E-3</v>
      </c>
      <c r="J2667" s="72">
        <f t="shared" si="212"/>
        <v>2.1131306811589541E-2</v>
      </c>
      <c r="K2667" s="8">
        <f t="shared" si="213"/>
        <v>4.2559926453169936E-4</v>
      </c>
      <c r="O2667" s="72">
        <v>1.9503026254348772E-3</v>
      </c>
      <c r="P2667" s="72">
        <v>4.4092356746419566E-4</v>
      </c>
      <c r="R2667" s="73">
        <f t="shared" si="210"/>
        <v>3.0117730018046122E-5</v>
      </c>
      <c r="S2667" s="74">
        <f t="shared" si="218"/>
        <v>3.0178106783191411E-5</v>
      </c>
      <c r="T2667">
        <f t="shared" si="214"/>
        <v>3.5462899924305472E-2</v>
      </c>
      <c r="U2667" s="86">
        <f t="shared" si="216"/>
        <v>2.4223292298022861E-3</v>
      </c>
      <c r="V2667" s="7">
        <f t="shared" si="217"/>
        <v>14.46862688343332</v>
      </c>
      <c r="W2667" s="89">
        <f t="shared" si="215"/>
        <v>0.99757767077019777</v>
      </c>
      <c r="Y2667" s="72">
        <v>8.6403333333333315E-3</v>
      </c>
    </row>
    <row r="2668" spans="2:25" x14ac:dyDescent="0.3">
      <c r="B2668">
        <v>126</v>
      </c>
      <c r="C2668">
        <v>40</v>
      </c>
      <c r="D2668">
        <v>65</v>
      </c>
      <c r="F2668" s="73">
        <f t="shared" si="211"/>
        <v>4.2397981510536122E-2</v>
      </c>
      <c r="G2668" s="15">
        <v>0.24563633499469961</v>
      </c>
      <c r="H2668" s="15">
        <v>0.75436366500530039</v>
      </c>
      <c r="I2668" s="72">
        <f t="shared" si="205"/>
        <v>1.0395438526212327E-2</v>
      </c>
      <c r="J2668" s="72">
        <f t="shared" si="212"/>
        <v>3.2002542984323798E-2</v>
      </c>
      <c r="K2668" s="8">
        <f t="shared" si="213"/>
        <v>7.1848134656891168E-4</v>
      </c>
      <c r="O2668" s="72">
        <v>2.0189515005017201E-3</v>
      </c>
      <c r="P2668" s="72">
        <v>4.9502088220058698E-4</v>
      </c>
      <c r="R2668" s="73">
        <f t="shared" si="210"/>
        <v>3.3812901789657604E-5</v>
      </c>
      <c r="S2668" s="74">
        <f t="shared" si="218"/>
        <v>3.3895006655022406E-5</v>
      </c>
      <c r="T2668">
        <f t="shared" si="214"/>
        <v>4.5858338450517802E-2</v>
      </c>
      <c r="U2668" s="86">
        <f t="shared" si="216"/>
        <v>3.1324001673850958E-3</v>
      </c>
      <c r="V2668" s="7">
        <f t="shared" si="217"/>
        <v>14.422768544982802</v>
      </c>
      <c r="W2668" s="89">
        <f t="shared" si="215"/>
        <v>0.99686759983261486</v>
      </c>
      <c r="Y2668" s="72">
        <v>1.0818599999999999E-2</v>
      </c>
    </row>
    <row r="2669" spans="2:25" x14ac:dyDescent="0.3">
      <c r="B2669">
        <v>126</v>
      </c>
      <c r="C2669">
        <v>40</v>
      </c>
      <c r="D2669">
        <v>90</v>
      </c>
      <c r="F2669" s="73">
        <f t="shared" si="211"/>
        <v>2.8911927493049321E-2</v>
      </c>
      <c r="G2669" s="15">
        <v>0.25435300893554835</v>
      </c>
      <c r="H2669" s="15">
        <v>0.74564699106445165</v>
      </c>
      <c r="I2669" s="72">
        <f t="shared" si="205"/>
        <v>7.3135966787228083E-3</v>
      </c>
      <c r="J2669" s="72">
        <f t="shared" si="212"/>
        <v>2.1598330814326511E-2</v>
      </c>
      <c r="K2669" s="8">
        <f t="shared" si="213"/>
        <v>5.0708687835574839E-4</v>
      </c>
      <c r="O2669" s="72">
        <v>1.1564770997219728E-3</v>
      </c>
      <c r="P2669" s="72">
        <v>2.9254386714891234E-4</v>
      </c>
      <c r="R2669" s="73">
        <f t="shared" si="210"/>
        <v>1.9982504586674323E-5</v>
      </c>
      <c r="S2669" s="74">
        <f t="shared" si="218"/>
        <v>2.0045294470428776E-5</v>
      </c>
      <c r="T2669">
        <f t="shared" si="214"/>
        <v>5.3171935129240608E-2</v>
      </c>
      <c r="U2669" s="86">
        <f t="shared" si="216"/>
        <v>3.6319627820519539E-3</v>
      </c>
      <c r="V2669" s="7">
        <f t="shared" si="217"/>
        <v>14.369596609853561</v>
      </c>
      <c r="W2669" s="89">
        <f t="shared" si="215"/>
        <v>0.99636803721794809</v>
      </c>
      <c r="Y2669" s="72">
        <v>1.23041E-2</v>
      </c>
    </row>
    <row r="2670" spans="2:25" x14ac:dyDescent="0.3">
      <c r="B2670">
        <v>126</v>
      </c>
      <c r="C2670">
        <v>40</v>
      </c>
      <c r="D2670">
        <v>120</v>
      </c>
      <c r="F2670" s="73">
        <f t="shared" si="211"/>
        <v>4.8369430594371897E-2</v>
      </c>
      <c r="G2670" s="15">
        <v>0.16912555104988269</v>
      </c>
      <c r="H2670" s="15">
        <v>0.83087444895011731</v>
      </c>
      <c r="I2670" s="72">
        <f t="shared" si="205"/>
        <v>8.0899334805256892E-3</v>
      </c>
      <c r="J2670" s="72">
        <f t="shared" si="212"/>
        <v>4.0279497113846208E-2</v>
      </c>
      <c r="K2670" s="8">
        <f t="shared" si="213"/>
        <v>5.6298960229532382E-4</v>
      </c>
      <c r="O2670" s="72">
        <v>1.61231435314573E-3</v>
      </c>
      <c r="P2670" s="72">
        <v>2.696644493508563E-4</v>
      </c>
      <c r="R2670" s="73">
        <f t="shared" si="210"/>
        <v>1.8419702824512047E-5</v>
      </c>
      <c r="S2670" s="74">
        <f t="shared" si="218"/>
        <v>1.8486846362458005E-5</v>
      </c>
      <c r="T2670">
        <f t="shared" si="214"/>
        <v>6.1261868609766297E-2</v>
      </c>
      <c r="U2670" s="86">
        <f t="shared" si="216"/>
        <v>4.1845538667873152E-3</v>
      </c>
      <c r="V2670" s="7">
        <f t="shared" si="217"/>
        <v>14.308334741243796</v>
      </c>
      <c r="W2670" s="89">
        <f t="shared" si="215"/>
        <v>0.99581544613321271</v>
      </c>
      <c r="Y2670" s="72">
        <v>1.4789199999999999E-2</v>
      </c>
    </row>
    <row r="2671" spans="2:25" x14ac:dyDescent="0.3">
      <c r="B2671">
        <v>126</v>
      </c>
      <c r="C2671">
        <v>40</v>
      </c>
      <c r="D2671">
        <v>240</v>
      </c>
      <c r="F2671" s="73">
        <f t="shared" si="211"/>
        <v>0.11639863173477036</v>
      </c>
      <c r="G2671" s="15">
        <v>0.167490278354924</v>
      </c>
      <c r="H2671" s="15">
        <v>0.83250972164507597</v>
      </c>
      <c r="I2671" s="72">
        <f t="shared" ref="I2671:I2733" si="219">P2671*IF(D2671&gt;D2670,(D2671-D2670),(D2671-0))</f>
        <v>3.3053456020997837E-2</v>
      </c>
      <c r="J2671" s="72">
        <f t="shared" si="212"/>
        <v>8.3345175713772521E-2</v>
      </c>
      <c r="K2671" s="8">
        <f t="shared" si="213"/>
        <v>2.3100840607063241E-3</v>
      </c>
      <c r="O2671" s="72">
        <v>9.69988597789753E-4</v>
      </c>
      <c r="P2671" s="72">
        <v>2.7544546684164865E-4</v>
      </c>
      <c r="R2671" s="73">
        <f t="shared" si="210"/>
        <v>1.8814581068418625E-5</v>
      </c>
      <c r="S2671" s="74">
        <f t="shared" si="218"/>
        <v>1.8893642533339208E-5</v>
      </c>
      <c r="T2671">
        <f t="shared" si="214"/>
        <v>9.4315324630764141E-2</v>
      </c>
      <c r="U2671" s="86">
        <f t="shared" si="216"/>
        <v>6.4423035949975503E-3</v>
      </c>
      <c r="V2671" s="7">
        <f t="shared" si="217"/>
        <v>14.214019416613031</v>
      </c>
      <c r="W2671" s="89">
        <f t="shared" si="215"/>
        <v>0.99355769640500247</v>
      </c>
      <c r="Y2671" s="72">
        <v>2.0739833333333301E-2</v>
      </c>
    </row>
    <row r="2672" spans="2:25" x14ac:dyDescent="0.3">
      <c r="B2672">
        <v>126</v>
      </c>
      <c r="C2672">
        <v>40</v>
      </c>
      <c r="D2672">
        <v>310</v>
      </c>
      <c r="F2672" s="73">
        <f t="shared" si="211"/>
        <v>3.9319541092053135E-2</v>
      </c>
      <c r="G2672" s="15">
        <v>0.165855005659965</v>
      </c>
      <c r="H2672" s="15">
        <v>0.83414499434003497</v>
      </c>
      <c r="I2672" s="72">
        <f t="shared" si="219"/>
        <v>6.3721319981878454E-3</v>
      </c>
      <c r="J2672" s="72">
        <f t="shared" si="212"/>
        <v>3.2947409093865287E-2</v>
      </c>
      <c r="K2672" s="8">
        <f t="shared" si="213"/>
        <v>4.4829909200350739E-4</v>
      </c>
      <c r="O2672" s="72">
        <v>5.6170772988647336E-4</v>
      </c>
      <c r="P2672" s="72">
        <v>9.1030457116969224E-5</v>
      </c>
      <c r="R2672" s="73">
        <f t="shared" si="210"/>
        <v>6.2179273987000751E-6</v>
      </c>
      <c r="S2672" s="74">
        <f t="shared" si="218"/>
        <v>6.2582449123975887E-6</v>
      </c>
      <c r="T2672">
        <f t="shared" si="214"/>
        <v>0.10068745662895198</v>
      </c>
      <c r="U2672" s="86">
        <f t="shared" si="216"/>
        <v>6.8775585129065555E-3</v>
      </c>
      <c r="V2672" s="7">
        <f t="shared" si="217"/>
        <v>14.113331959984079</v>
      </c>
      <c r="W2672" s="89">
        <f t="shared" si="215"/>
        <v>0.9931224414870935</v>
      </c>
      <c r="Y2672" s="72">
        <v>2.27588666666667E-2</v>
      </c>
    </row>
    <row r="2673" spans="2:25" x14ac:dyDescent="0.3">
      <c r="B2673">
        <v>126</v>
      </c>
      <c r="C2673">
        <v>40</v>
      </c>
      <c r="D2673">
        <v>430</v>
      </c>
      <c r="F2673" s="73">
        <f t="shared" si="211"/>
        <v>1.0214163089336951E-2</v>
      </c>
      <c r="G2673" s="15">
        <v>0.20205770950228166</v>
      </c>
      <c r="H2673" s="15">
        <v>0.79794229049771825</v>
      </c>
      <c r="I2673" s="72">
        <f t="shared" si="219"/>
        <v>2.2479996748694261E-3</v>
      </c>
      <c r="J2673" s="72">
        <f t="shared" si="212"/>
        <v>7.9661634144675246E-3</v>
      </c>
      <c r="K2673" s="8">
        <f t="shared" si="213"/>
        <v>1.5928199529659205E-4</v>
      </c>
      <c r="O2673" s="72">
        <v>8.5118025744474593E-5</v>
      </c>
      <c r="P2673" s="72">
        <v>1.8733330623911883E-5</v>
      </c>
      <c r="R2673" s="73">
        <f t="shared" si="210"/>
        <v>1.2795990863327781E-6</v>
      </c>
      <c r="S2673" s="74">
        <f t="shared" si="218"/>
        <v>1.2884605491511369E-6</v>
      </c>
      <c r="T2673">
        <f t="shared" si="214"/>
        <v>0.10293545630382141</v>
      </c>
      <c r="U2673" s="86">
        <f t="shared" si="216"/>
        <v>7.0311104032664889E-3</v>
      </c>
      <c r="V2673" s="7">
        <f t="shared" si="217"/>
        <v>14.010396503680257</v>
      </c>
      <c r="W2673" s="89">
        <f t="shared" si="215"/>
        <v>0.99296888959673346</v>
      </c>
      <c r="Y2673" s="72">
        <v>2.32832E-2</v>
      </c>
    </row>
    <row r="2674" spans="2:25" x14ac:dyDescent="0.3">
      <c r="B2674">
        <v>126</v>
      </c>
      <c r="C2674">
        <v>40</v>
      </c>
      <c r="D2674">
        <v>506</v>
      </c>
      <c r="F2674" s="73">
        <f t="shared" si="211"/>
        <v>2.358291936940142E-2</v>
      </c>
      <c r="G2674" s="15">
        <v>0.16967111720228867</v>
      </c>
      <c r="H2674" s="15">
        <v>0.83032888279771133</v>
      </c>
      <c r="I2674" s="72">
        <f t="shared" si="219"/>
        <v>3.9943707310587514E-3</v>
      </c>
      <c r="J2674" s="72">
        <f t="shared" si="212"/>
        <v>1.9588548638342668E-2</v>
      </c>
      <c r="K2674" s="8">
        <f t="shared" si="213"/>
        <v>2.8510047734976724E-4</v>
      </c>
      <c r="O2674" s="72">
        <v>3.1030157065001869E-4</v>
      </c>
      <c r="P2674" s="72">
        <v>5.2557509619194092E-5</v>
      </c>
      <c r="R2674" s="73">
        <f t="shared" si="210"/>
        <v>3.5899938264476952E-6</v>
      </c>
      <c r="S2674" s="74">
        <f t="shared" si="218"/>
        <v>3.6154142028615526E-6</v>
      </c>
      <c r="T2674">
        <f t="shared" si="214"/>
        <v>0.10692982703488016</v>
      </c>
      <c r="U2674" s="86">
        <f t="shared" si="216"/>
        <v>7.3039499340765137E-3</v>
      </c>
      <c r="V2674" s="7">
        <f t="shared" si="217"/>
        <v>13.903466676645376</v>
      </c>
      <c r="W2674" s="89">
        <f t="shared" si="215"/>
        <v>0.99269605006592354</v>
      </c>
      <c r="Y2674" s="72">
        <v>2.44941333333333E-2</v>
      </c>
    </row>
    <row r="2675" spans="2:25" x14ac:dyDescent="0.3">
      <c r="B2675">
        <v>126</v>
      </c>
      <c r="C2675">
        <v>40</v>
      </c>
      <c r="D2675">
        <v>630</v>
      </c>
      <c r="F2675" s="73">
        <f t="shared" si="211"/>
        <v>2.5885631981550802E-2</v>
      </c>
      <c r="G2675" s="15">
        <v>0.19699825498741266</v>
      </c>
      <c r="H2675" s="15">
        <v>0.80300174501258736</v>
      </c>
      <c r="I2675" s="72">
        <f t="shared" si="219"/>
        <v>3.9378344299704944E-3</v>
      </c>
      <c r="J2675" s="72">
        <f t="shared" si="212"/>
        <v>2.1947797551580307E-2</v>
      </c>
      <c r="K2675" s="8">
        <f t="shared" si="213"/>
        <v>2.8322680390101198E-4</v>
      </c>
      <c r="O2675" s="72">
        <v>2.0875509662540969E-4</v>
      </c>
      <c r="P2675" s="72">
        <v>3.1756729273955602E-5</v>
      </c>
      <c r="R2675" s="73">
        <f t="shared" si="210"/>
        <v>2.1691754968548874E-6</v>
      </c>
      <c r="S2675" s="74">
        <f t="shared" si="218"/>
        <v>2.1851356180079853E-6</v>
      </c>
      <c r="T2675">
        <f t="shared" si="214"/>
        <v>0.11086766146485065</v>
      </c>
      <c r="U2675" s="86">
        <f t="shared" si="216"/>
        <v>7.5729276956865198E-3</v>
      </c>
      <c r="V2675" s="7">
        <f t="shared" si="217"/>
        <v>13.792599015180526</v>
      </c>
      <c r="W2675" s="89">
        <f t="shared" si="215"/>
        <v>0.99242707230431348</v>
      </c>
      <c r="Y2675" s="72">
        <v>2.58230666666667E-2</v>
      </c>
    </row>
    <row r="2676" spans="2:25" x14ac:dyDescent="0.3">
      <c r="B2676">
        <v>126</v>
      </c>
      <c r="C2676">
        <v>40</v>
      </c>
      <c r="D2676">
        <v>758</v>
      </c>
      <c r="F2676" s="73">
        <f t="shared" si="211"/>
        <v>1.4437975858670868E-2</v>
      </c>
      <c r="G2676" s="15">
        <v>0.20661593880801932</v>
      </c>
      <c r="H2676" s="15">
        <v>0.79338406119198068</v>
      </c>
      <c r="I2676" s="72">
        <f t="shared" si="219"/>
        <v>3.0163060193645953E-3</v>
      </c>
      <c r="J2676" s="72">
        <f t="shared" si="212"/>
        <v>1.1421669839306273E-2</v>
      </c>
      <c r="K2676" s="8">
        <f t="shared" si="213"/>
        <v>2.1869018421000736E-4</v>
      </c>
      <c r="O2676" s="72">
        <v>1.1279668639586615E-4</v>
      </c>
      <c r="P2676" s="72">
        <v>2.3564890776285901E-5</v>
      </c>
      <c r="R2676" s="73">
        <f t="shared" si="210"/>
        <v>1.6096236869047722E-6</v>
      </c>
      <c r="S2676" s="74">
        <f t="shared" si="218"/>
        <v>1.6219062657847409E-6</v>
      </c>
      <c r="T2676">
        <f t="shared" si="214"/>
        <v>0.11388396748421524</v>
      </c>
      <c r="U2676" s="86">
        <f t="shared" si="216"/>
        <v>7.7789595276103306E-3</v>
      </c>
      <c r="V2676" s="7">
        <f t="shared" si="217"/>
        <v>13.678715047696311</v>
      </c>
      <c r="W2676" s="89">
        <f t="shared" si="215"/>
        <v>0.99222104047238968</v>
      </c>
      <c r="Y2676" s="72">
        <v>2.6564399999999998E-2</v>
      </c>
    </row>
    <row r="2677" spans="2:25" s="18" customFormat="1" x14ac:dyDescent="0.3">
      <c r="B2677" s="18">
        <v>127</v>
      </c>
      <c r="C2677" s="18">
        <v>40</v>
      </c>
      <c r="D2677" s="18">
        <v>0</v>
      </c>
      <c r="E2677" s="93"/>
      <c r="F2677" s="73">
        <f t="shared" si="211"/>
        <v>0</v>
      </c>
      <c r="G2677" s="15">
        <v>0</v>
      </c>
      <c r="H2677" s="15">
        <v>0</v>
      </c>
      <c r="I2677" s="72">
        <f t="shared" si="219"/>
        <v>0</v>
      </c>
      <c r="J2677" s="72">
        <f t="shared" si="212"/>
        <v>0</v>
      </c>
      <c r="K2677" s="8">
        <f t="shared" si="213"/>
        <v>0</v>
      </c>
      <c r="L2677"/>
      <c r="M2677"/>
      <c r="N2677"/>
      <c r="O2677" s="72">
        <v>0</v>
      </c>
      <c r="P2677" s="72">
        <v>0</v>
      </c>
      <c r="Q2677"/>
      <c r="R2677" s="73">
        <f t="shared" si="210"/>
        <v>0</v>
      </c>
      <c r="S2677" s="74">
        <f t="shared" si="218"/>
        <v>0</v>
      </c>
      <c r="T2677">
        <f t="shared" si="214"/>
        <v>0</v>
      </c>
      <c r="U2677" s="86">
        <f>T2677/$V$2677</f>
        <v>0</v>
      </c>
      <c r="V2677">
        <f>2%*1000*0.732</f>
        <v>14.64</v>
      </c>
      <c r="W2677" s="89">
        <f t="shared" si="215"/>
        <v>1</v>
      </c>
      <c r="X2677"/>
      <c r="Y2677" s="72">
        <v>0</v>
      </c>
    </row>
    <row r="2678" spans="2:25" x14ac:dyDescent="0.3">
      <c r="B2678">
        <v>127</v>
      </c>
      <c r="C2678">
        <v>40</v>
      </c>
      <c r="D2678">
        <v>1</v>
      </c>
      <c r="F2678" s="73">
        <f t="shared" si="211"/>
        <v>5.4280684715169135E-2</v>
      </c>
      <c r="G2678" s="15">
        <v>0.16479490954891568</v>
      </c>
      <c r="H2678" s="15">
        <v>0.83520509045108438</v>
      </c>
      <c r="I2678" s="72">
        <f t="shared" si="219"/>
        <v>8.9259972602463173E-3</v>
      </c>
      <c r="J2678" s="72">
        <f t="shared" si="212"/>
        <v>4.5354687454922819E-2</v>
      </c>
      <c r="K2678" s="8">
        <f t="shared" si="213"/>
        <v>6.0969926641026755E-4</v>
      </c>
      <c r="O2678" s="72">
        <v>5.4280684715169135E-2</v>
      </c>
      <c r="P2678" s="72">
        <v>8.9259972602463173E-3</v>
      </c>
      <c r="R2678" s="73">
        <f t="shared" si="210"/>
        <v>6.0969926641026755E-4</v>
      </c>
      <c r="S2678" s="74">
        <f t="shared" si="218"/>
        <v>6.0969926641026755E-4</v>
      </c>
      <c r="T2678">
        <f t="shared" si="214"/>
        <v>8.9259972602463173E-3</v>
      </c>
      <c r="U2678" s="86">
        <f t="shared" ref="U2678:U2695" si="220">T2678/$V$2677</f>
        <v>6.0969926641026755E-4</v>
      </c>
      <c r="V2678" s="7">
        <f t="shared" si="217"/>
        <v>14.631074002739755</v>
      </c>
      <c r="W2678" s="89">
        <f t="shared" si="215"/>
        <v>0.9993903007335897</v>
      </c>
      <c r="Y2678" s="72">
        <v>2.3168666666666701E-3</v>
      </c>
    </row>
    <row r="2679" spans="2:25" x14ac:dyDescent="0.3">
      <c r="B2679">
        <v>127</v>
      </c>
      <c r="C2679">
        <v>40</v>
      </c>
      <c r="D2679">
        <v>2</v>
      </c>
      <c r="F2679" s="73">
        <f t="shared" si="211"/>
        <v>0.15028766069381433</v>
      </c>
      <c r="G2679" s="15">
        <v>4.7101109544611067E-2</v>
      </c>
      <c r="H2679" s="15">
        <v>0.952898890455389</v>
      </c>
      <c r="I2679" s="72">
        <f t="shared" si="219"/>
        <v>7.0656052772880363E-3</v>
      </c>
      <c r="J2679" s="72">
        <f t="shared" si="212"/>
        <v>0.1432220554165263</v>
      </c>
      <c r="K2679" s="8">
        <f t="shared" si="213"/>
        <v>4.8291774588556932E-4</v>
      </c>
      <c r="O2679" s="72">
        <v>0.15028766069381433</v>
      </c>
      <c r="P2679" s="72">
        <v>7.0656052772880363E-3</v>
      </c>
      <c r="R2679" s="73">
        <f t="shared" si="210"/>
        <v>4.8262331129016655E-4</v>
      </c>
      <c r="S2679" s="74">
        <f t="shared" si="218"/>
        <v>4.8291774588556948E-4</v>
      </c>
      <c r="T2679">
        <f t="shared" si="214"/>
        <v>1.5991602537534354E-2</v>
      </c>
      <c r="U2679" s="86">
        <f t="shared" si="220"/>
        <v>1.0923225777004341E-3</v>
      </c>
      <c r="V2679" s="7">
        <f t="shared" si="217"/>
        <v>14.615082400202221</v>
      </c>
      <c r="W2679" s="89">
        <f t="shared" si="215"/>
        <v>0.99890767742229958</v>
      </c>
      <c r="Y2679" s="72">
        <v>8.7318666666666711E-3</v>
      </c>
    </row>
    <row r="2680" spans="2:25" x14ac:dyDescent="0.3">
      <c r="B2680">
        <v>127</v>
      </c>
      <c r="C2680">
        <v>40</v>
      </c>
      <c r="D2680">
        <v>3</v>
      </c>
      <c r="F2680" s="73">
        <f t="shared" si="211"/>
        <v>4.6022720681007163E-2</v>
      </c>
      <c r="G2680" s="15">
        <v>3.9056000825017166E-2</v>
      </c>
      <c r="H2680" s="15">
        <v>0.96094399917498274</v>
      </c>
      <c r="I2680" s="72">
        <f t="shared" si="219"/>
        <v>1.7859594105661032E-3</v>
      </c>
      <c r="J2680" s="72">
        <f t="shared" si="212"/>
        <v>4.4236761270441058E-2</v>
      </c>
      <c r="K2680" s="8">
        <f t="shared" si="213"/>
        <v>1.2219974966007664E-4</v>
      </c>
      <c r="O2680" s="72">
        <v>4.6022720681007163E-2</v>
      </c>
      <c r="P2680" s="72">
        <v>1.7859594105661032E-3</v>
      </c>
      <c r="R2680" s="73">
        <f t="shared" si="210"/>
        <v>1.2199176301681022E-4</v>
      </c>
      <c r="S2680" s="74">
        <f t="shared" si="218"/>
        <v>1.2212516308975852E-4</v>
      </c>
      <c r="T2680">
        <f t="shared" si="214"/>
        <v>1.7777561948100457E-2</v>
      </c>
      <c r="U2680" s="86">
        <f t="shared" si="220"/>
        <v>1.2143143407172443E-3</v>
      </c>
      <c r="V2680" s="7">
        <f t="shared" si="217"/>
        <v>14.59730483825412</v>
      </c>
      <c r="W2680" s="89">
        <f t="shared" si="215"/>
        <v>0.99878568565928272</v>
      </c>
      <c r="Y2680" s="72">
        <v>1.06961333333333E-2</v>
      </c>
    </row>
    <row r="2681" spans="2:25" x14ac:dyDescent="0.3">
      <c r="B2681">
        <v>127</v>
      </c>
      <c r="C2681">
        <v>40</v>
      </c>
      <c r="D2681">
        <v>5</v>
      </c>
      <c r="F2681" s="73">
        <f t="shared" si="211"/>
        <v>8.627796843647105E-2</v>
      </c>
      <c r="G2681" s="15">
        <v>2.9314655495264099E-2</v>
      </c>
      <c r="H2681" s="15">
        <v>0.97068534450473587</v>
      </c>
      <c r="I2681" s="72">
        <f t="shared" si="219"/>
        <v>2.5145470000756476E-3</v>
      </c>
      <c r="J2681" s="72">
        <f t="shared" si="212"/>
        <v>8.3763421436395397E-2</v>
      </c>
      <c r="K2681" s="8">
        <f t="shared" si="213"/>
        <v>1.7226104599021272E-4</v>
      </c>
      <c r="O2681" s="72">
        <v>4.3138984218235525E-2</v>
      </c>
      <c r="P2681" s="72">
        <v>1.2572735000378238E-3</v>
      </c>
      <c r="R2681" s="73">
        <f t="shared" si="210"/>
        <v>8.5879337434277537E-5</v>
      </c>
      <c r="S2681" s="74">
        <f t="shared" si="218"/>
        <v>8.598374873343317E-5</v>
      </c>
      <c r="T2681">
        <f t="shared" si="214"/>
        <v>2.0292108948176103E-2</v>
      </c>
      <c r="U2681" s="86">
        <f t="shared" si="220"/>
        <v>1.3860730155857994E-3</v>
      </c>
      <c r="V2681" s="7">
        <f t="shared" si="217"/>
        <v>14.577012729305943</v>
      </c>
      <c r="W2681" s="89">
        <f t="shared" si="215"/>
        <v>0.9986139269844142</v>
      </c>
      <c r="Y2681" s="72">
        <v>1.43786333333333E-2</v>
      </c>
    </row>
    <row r="2682" spans="2:25" x14ac:dyDescent="0.3">
      <c r="B2682">
        <v>127</v>
      </c>
      <c r="C2682">
        <v>40</v>
      </c>
      <c r="D2682">
        <v>8</v>
      </c>
      <c r="F2682" s="73">
        <f t="shared" si="211"/>
        <v>0.15594538634505589</v>
      </c>
      <c r="G2682" s="15">
        <v>3.8656978332070699E-2</v>
      </c>
      <c r="H2682" s="15">
        <v>0.9613430216679294</v>
      </c>
      <c r="I2682" s="72">
        <f t="shared" si="219"/>
        <v>5.9822612668820902E-3</v>
      </c>
      <c r="J2682" s="72">
        <f t="shared" si="212"/>
        <v>0.1499631250781738</v>
      </c>
      <c r="K2682" s="8">
        <f t="shared" si="213"/>
        <v>4.1039006948626874E-4</v>
      </c>
      <c r="O2682" s="72">
        <v>5.1981795448351964E-2</v>
      </c>
      <c r="P2682" s="72">
        <v>1.9940870889606967E-3</v>
      </c>
      <c r="R2682" s="73">
        <f t="shared" si="210"/>
        <v>1.3620813449185081E-4</v>
      </c>
      <c r="S2682" s="74">
        <f t="shared" si="218"/>
        <v>1.363971909576389E-4</v>
      </c>
      <c r="T2682">
        <f t="shared" si="214"/>
        <v>2.6274370215058192E-2</v>
      </c>
      <c r="U2682" s="86">
        <f t="shared" si="220"/>
        <v>1.7946974190613519E-3</v>
      </c>
      <c r="V2682" s="7">
        <f t="shared" si="217"/>
        <v>14.550738359090886</v>
      </c>
      <c r="W2682" s="89">
        <f t="shared" si="215"/>
        <v>0.99820530258093865</v>
      </c>
      <c r="Y2682" s="72">
        <v>2.1035233333333299E-2</v>
      </c>
    </row>
    <row r="2683" spans="2:25" x14ac:dyDescent="0.3">
      <c r="B2683">
        <v>127</v>
      </c>
      <c r="C2683">
        <v>40</v>
      </c>
      <c r="D2683">
        <v>13</v>
      </c>
      <c r="F2683" s="73">
        <f t="shared" si="211"/>
        <v>0.25831574361857002</v>
      </c>
      <c r="G2683" s="15">
        <v>1.7902898471421898E-2</v>
      </c>
      <c r="H2683" s="15">
        <v>0.9820971015285781</v>
      </c>
      <c r="I2683" s="72">
        <f t="shared" si="219"/>
        <v>4.6285765838273178E-3</v>
      </c>
      <c r="J2683" s="72">
        <f t="shared" si="212"/>
        <v>0.2536871670347427</v>
      </c>
      <c r="K2683" s="8">
        <f t="shared" si="213"/>
        <v>3.1809908676802751E-4</v>
      </c>
      <c r="O2683" s="72">
        <v>5.1663148723713997E-2</v>
      </c>
      <c r="P2683" s="72">
        <v>9.257153167654636E-4</v>
      </c>
      <c r="R2683" s="73">
        <f t="shared" si="210"/>
        <v>6.3231920544089054E-5</v>
      </c>
      <c r="S2683" s="74">
        <f t="shared" si="218"/>
        <v>6.3345606741016029E-5</v>
      </c>
      <c r="T2683">
        <f t="shared" si="214"/>
        <v>3.090294679888551E-2</v>
      </c>
      <c r="U2683" s="86">
        <f t="shared" si="220"/>
        <v>2.1108570217817971E-3</v>
      </c>
      <c r="V2683" s="7">
        <f t="shared" si="217"/>
        <v>14.519835412292</v>
      </c>
      <c r="W2683" s="89">
        <f t="shared" si="215"/>
        <v>0.99788914297821818</v>
      </c>
      <c r="Y2683" s="72">
        <v>3.2061266666666699E-2</v>
      </c>
    </row>
    <row r="2684" spans="2:25" x14ac:dyDescent="0.3">
      <c r="B2684">
        <v>127</v>
      </c>
      <c r="C2684">
        <v>40</v>
      </c>
      <c r="D2684">
        <v>20</v>
      </c>
      <c r="F2684" s="73">
        <f t="shared" si="211"/>
        <v>0.25846586640818886</v>
      </c>
      <c r="G2684" s="15">
        <v>1.0974365039724494E-2</v>
      </c>
      <c r="H2684" s="15">
        <v>0.98902563496027551</v>
      </c>
      <c r="I2684" s="72">
        <f t="shared" si="219"/>
        <v>2.8745024762373739E-3</v>
      </c>
      <c r="J2684" s="72">
        <f t="shared" si="212"/>
        <v>0.25559136393195148</v>
      </c>
      <c r="K2684" s="8">
        <f t="shared" si="213"/>
        <v>1.9797073414509352E-4</v>
      </c>
      <c r="O2684" s="72">
        <v>3.6923695201169837E-2</v>
      </c>
      <c r="P2684" s="72">
        <v>4.106432108910534E-4</v>
      </c>
      <c r="R2684" s="73">
        <f t="shared" si="210"/>
        <v>2.8049399651028212E-5</v>
      </c>
      <c r="S2684" s="74">
        <f t="shared" si="218"/>
        <v>2.8108733167808873E-5</v>
      </c>
      <c r="T2684">
        <f t="shared" si="214"/>
        <v>3.3777449275122884E-2</v>
      </c>
      <c r="U2684" s="86">
        <f t="shared" si="220"/>
        <v>2.3072028193389946E-3</v>
      </c>
      <c r="V2684" s="7">
        <f t="shared" si="217"/>
        <v>14.486057963016878</v>
      </c>
      <c r="W2684" s="89">
        <f t="shared" si="215"/>
        <v>0.99769279718066095</v>
      </c>
      <c r="Y2684" s="72">
        <v>4.3093733333333301E-2</v>
      </c>
    </row>
    <row r="2685" spans="2:25" x14ac:dyDescent="0.3">
      <c r="B2685">
        <v>127</v>
      </c>
      <c r="C2685">
        <v>40</v>
      </c>
      <c r="D2685">
        <v>30</v>
      </c>
      <c r="F2685" s="73">
        <f t="shared" si="211"/>
        <v>0.18426425303453597</v>
      </c>
      <c r="G2685" s="15">
        <v>1.060228803742131E-2</v>
      </c>
      <c r="H2685" s="15">
        <v>0.98939771196257864</v>
      </c>
      <c r="I2685" s="72">
        <f t="shared" si="219"/>
        <v>1.9456876567633002E-3</v>
      </c>
      <c r="J2685" s="72">
        <f t="shared" si="212"/>
        <v>0.18231856537777266</v>
      </c>
      <c r="K2685" s="8">
        <f t="shared" si="213"/>
        <v>1.3431450169056825E-4</v>
      </c>
      <c r="O2685" s="72">
        <v>1.8426425303453599E-2</v>
      </c>
      <c r="P2685" s="72">
        <v>1.9456876567633001E-4</v>
      </c>
      <c r="R2685" s="73">
        <f t="shared" si="210"/>
        <v>1.3290216234721972E-5</v>
      </c>
      <c r="S2685" s="74">
        <f t="shared" si="218"/>
        <v>1.3320950368969534E-5</v>
      </c>
      <c r="T2685">
        <f t="shared" si="214"/>
        <v>3.5723136931886182E-2</v>
      </c>
      <c r="U2685" s="86">
        <f t="shared" si="220"/>
        <v>2.4401049816862143E-3</v>
      </c>
      <c r="V2685" s="7">
        <f t="shared" si="217"/>
        <v>14.450334826084992</v>
      </c>
      <c r="W2685" s="89">
        <f t="shared" si="215"/>
        <v>0.99755989501831377</v>
      </c>
      <c r="Y2685" s="72">
        <v>5.0958566666666698E-2</v>
      </c>
    </row>
    <row r="2686" spans="2:25" x14ac:dyDescent="0.3">
      <c r="B2686">
        <v>127</v>
      </c>
      <c r="C2686">
        <v>40</v>
      </c>
      <c r="D2686">
        <v>44</v>
      </c>
      <c r="F2686" s="73">
        <f t="shared" si="211"/>
        <v>0.20665967768164786</v>
      </c>
      <c r="G2686" s="15">
        <v>1.3960616717357776E-2</v>
      </c>
      <c r="H2686" s="15">
        <v>0.98603938328264218</v>
      </c>
      <c r="I2686" s="72">
        <f t="shared" si="219"/>
        <v>2.864352865514494E-3</v>
      </c>
      <c r="J2686" s="72">
        <f t="shared" si="212"/>
        <v>0.20379532481613338</v>
      </c>
      <c r="K2686" s="8">
        <f t="shared" si="213"/>
        <v>1.9822051876223056E-4</v>
      </c>
      <c r="O2686" s="72">
        <v>1.4761405548689132E-2</v>
      </c>
      <c r="P2686" s="72">
        <v>2.045966332510353E-4</v>
      </c>
      <c r="R2686" s="73">
        <f t="shared" si="210"/>
        <v>1.3975179866874024E-5</v>
      </c>
      <c r="S2686" s="74">
        <f t="shared" si="218"/>
        <v>1.4009364186215064E-5</v>
      </c>
      <c r="T2686">
        <f t="shared" si="214"/>
        <v>3.8587489797400676E-2</v>
      </c>
      <c r="U2686" s="86">
        <f t="shared" si="220"/>
        <v>2.6357574998224506E-3</v>
      </c>
      <c r="V2686" s="7">
        <f t="shared" si="217"/>
        <v>14.411747336287592</v>
      </c>
      <c r="W2686" s="89">
        <f t="shared" si="215"/>
        <v>0.99736424250017752</v>
      </c>
      <c r="Y2686" s="72">
        <v>5.97797333333333E-2</v>
      </c>
    </row>
    <row r="2687" spans="2:25" x14ac:dyDescent="0.3">
      <c r="B2687">
        <v>127</v>
      </c>
      <c r="C2687">
        <v>40</v>
      </c>
      <c r="D2687">
        <v>65</v>
      </c>
      <c r="F2687" s="73">
        <f t="shared" si="211"/>
        <v>0.14303058291834278</v>
      </c>
      <c r="G2687" s="15">
        <v>4.6414959117405265E-2</v>
      </c>
      <c r="H2687" s="15">
        <v>0.95358504088259477</v>
      </c>
      <c r="I2687" s="72">
        <f t="shared" si="219"/>
        <v>6.5664487025311104E-3</v>
      </c>
      <c r="J2687" s="72">
        <f t="shared" si="212"/>
        <v>0.13646413421581166</v>
      </c>
      <c r="K2687" s="8">
        <f t="shared" si="213"/>
        <v>4.5563168360559126E-4</v>
      </c>
      <c r="O2687" s="72">
        <v>6.8109801389687032E-3</v>
      </c>
      <c r="P2687" s="72">
        <v>3.1268803345386239E-4</v>
      </c>
      <c r="R2687" s="73">
        <f t="shared" si="210"/>
        <v>2.1358472230455082E-5</v>
      </c>
      <c r="S2687" s="74">
        <f t="shared" si="218"/>
        <v>2.1414916757907813E-5</v>
      </c>
      <c r="T2687">
        <f t="shared" si="214"/>
        <v>4.5153938499931788E-2</v>
      </c>
      <c r="U2687" s="86">
        <f t="shared" si="220"/>
        <v>3.0842854166620074E-3</v>
      </c>
      <c r="V2687" s="7">
        <f t="shared" si="217"/>
        <v>14.366593397787661</v>
      </c>
      <c r="W2687" s="89">
        <f t="shared" si="215"/>
        <v>0.99691571458333794</v>
      </c>
      <c r="Y2687" s="72">
        <v>6.58850666666667E-2</v>
      </c>
    </row>
    <row r="2688" spans="2:25" x14ac:dyDescent="0.3">
      <c r="B2688">
        <v>127</v>
      </c>
      <c r="C2688">
        <v>40</v>
      </c>
      <c r="D2688">
        <v>90</v>
      </c>
      <c r="F2688" s="73">
        <f t="shared" si="211"/>
        <v>9.6659906568329734E-2</v>
      </c>
      <c r="G2688" s="15">
        <v>5.3177000946453036E-2</v>
      </c>
      <c r="H2688" s="15">
        <v>0.94682299905354694</v>
      </c>
      <c r="I2688" s="72">
        <f t="shared" si="219"/>
        <v>5.1046434742807924E-3</v>
      </c>
      <c r="J2688" s="72">
        <f t="shared" si="212"/>
        <v>9.1555263094048947E-2</v>
      </c>
      <c r="K2688" s="8">
        <f t="shared" si="213"/>
        <v>3.553134228095344E-4</v>
      </c>
      <c r="O2688" s="72">
        <v>3.8663962627331896E-3</v>
      </c>
      <c r="P2688" s="72">
        <v>2.0418573897123168E-4</v>
      </c>
      <c r="R2688" s="73">
        <f t="shared" si="210"/>
        <v>1.3947113317707079E-5</v>
      </c>
      <c r="S2688" s="74">
        <f t="shared" si="218"/>
        <v>1.3990263282725253E-5</v>
      </c>
      <c r="T2688">
        <f t="shared" si="214"/>
        <v>5.0258581974212582E-2</v>
      </c>
      <c r="U2688" s="86">
        <f t="shared" si="220"/>
        <v>3.4329632496046844E-3</v>
      </c>
      <c r="V2688" s="7">
        <f t="shared" si="217"/>
        <v>14.316334815813448</v>
      </c>
      <c r="W2688" s="89">
        <f t="shared" si="215"/>
        <v>0.99656703675039526</v>
      </c>
      <c r="Y2688" s="72">
        <v>7.0010499999999892E-2</v>
      </c>
    </row>
    <row r="2689" spans="2:25" x14ac:dyDescent="0.3">
      <c r="B2689">
        <v>127</v>
      </c>
      <c r="C2689">
        <v>40</v>
      </c>
      <c r="D2689">
        <v>120</v>
      </c>
      <c r="F2689" s="73">
        <f t="shared" si="211"/>
        <v>8.1241922821653989E-2</v>
      </c>
      <c r="G2689" s="15">
        <v>5.8627618601754534E-2</v>
      </c>
      <c r="H2689" s="15">
        <v>0.94137238139824542</v>
      </c>
      <c r="I2689" s="72">
        <f t="shared" si="219"/>
        <v>4.8443952008049079E-3</v>
      </c>
      <c r="J2689" s="72">
        <f t="shared" si="212"/>
        <v>7.6397527620849087E-2</v>
      </c>
      <c r="K2689" s="8">
        <f t="shared" si="213"/>
        <v>3.3838236274370419E-4</v>
      </c>
      <c r="O2689" s="72">
        <v>2.7080640940551331E-3</v>
      </c>
      <c r="P2689" s="72">
        <v>1.6147984002683026E-4</v>
      </c>
      <c r="R2689" s="73">
        <f t="shared" si="210"/>
        <v>1.103004371767966E-5</v>
      </c>
      <c r="S2689" s="74">
        <f t="shared" si="218"/>
        <v>1.1068039891873621E-5</v>
      </c>
      <c r="T2689">
        <f t="shared" si="214"/>
        <v>5.5102977175017491E-2</v>
      </c>
      <c r="U2689" s="86">
        <f t="shared" si="220"/>
        <v>3.7638645611350742E-3</v>
      </c>
      <c r="V2689" s="7">
        <f t="shared" si="217"/>
        <v>14.26123183863843</v>
      </c>
      <c r="W2689" s="89">
        <f t="shared" si="215"/>
        <v>0.99623613543886491</v>
      </c>
      <c r="Y2689" s="72">
        <v>7.3477766666666694E-2</v>
      </c>
    </row>
    <row r="2690" spans="2:25" x14ac:dyDescent="0.3">
      <c r="B2690">
        <v>127</v>
      </c>
      <c r="C2690">
        <v>40</v>
      </c>
      <c r="D2690">
        <v>240</v>
      </c>
      <c r="F2690" s="73">
        <f t="shared" si="211"/>
        <v>0.19114519720097364</v>
      </c>
      <c r="G2690" s="15">
        <v>6.6129769148138492E-2</v>
      </c>
      <c r="H2690" s="15">
        <v>0.93387023085186138</v>
      </c>
      <c r="I2690" s="72">
        <f t="shared" si="219"/>
        <v>2.019633886170712E-2</v>
      </c>
      <c r="J2690" s="72">
        <f t="shared" si="212"/>
        <v>0.17094885833926651</v>
      </c>
      <c r="K2690" s="8">
        <f t="shared" si="213"/>
        <v>1.4161707130367594E-3</v>
      </c>
      <c r="O2690" s="72">
        <v>1.592876643341447E-3</v>
      </c>
      <c r="P2690" s="72">
        <v>1.6830282384755932E-4</v>
      </c>
      <c r="R2690" s="73">
        <f t="shared" si="210"/>
        <v>1.1496094525106514E-5</v>
      </c>
      <c r="S2690" s="74">
        <f t="shared" si="218"/>
        <v>1.1539527744636787E-5</v>
      </c>
      <c r="T2690">
        <f t="shared" si="214"/>
        <v>7.5299316036724614E-2</v>
      </c>
      <c r="U2690" s="86">
        <f t="shared" si="220"/>
        <v>5.1433959041478558E-3</v>
      </c>
      <c r="V2690" s="7">
        <f t="shared" si="217"/>
        <v>14.185932522601705</v>
      </c>
      <c r="W2690" s="89">
        <f t="shared" si="215"/>
        <v>0.99485660409585219</v>
      </c>
      <c r="Y2690" s="72">
        <v>8.1593033333333301E-2</v>
      </c>
    </row>
    <row r="2691" spans="2:25" x14ac:dyDescent="0.3">
      <c r="B2691">
        <v>127</v>
      </c>
      <c r="C2691">
        <v>40</v>
      </c>
      <c r="D2691">
        <v>310</v>
      </c>
      <c r="F2691" s="73">
        <f t="shared" si="211"/>
        <v>5.7322703115331594E-2</v>
      </c>
      <c r="G2691" s="15">
        <v>7.3631919694522499E-2</v>
      </c>
      <c r="H2691" s="15">
        <v>0.92636808030547757</v>
      </c>
      <c r="I2691" s="72">
        <f t="shared" si="219"/>
        <v>4.2930741663814425E-3</v>
      </c>
      <c r="J2691" s="72">
        <f t="shared" si="212"/>
        <v>5.302962894895015E-2</v>
      </c>
      <c r="K2691" s="8">
        <f t="shared" si="213"/>
        <v>3.0262897130953583E-4</v>
      </c>
      <c r="O2691" s="72">
        <v>8.188957587904513E-4</v>
      </c>
      <c r="P2691" s="72">
        <v>6.1329630948306319E-5</v>
      </c>
      <c r="R2691" s="73">
        <f t="shared" si="210"/>
        <v>4.189182441824201E-6</v>
      </c>
      <c r="S2691" s="74">
        <f t="shared" si="218"/>
        <v>4.2108404614064188E-6</v>
      </c>
      <c r="T2691">
        <f t="shared" si="214"/>
        <v>7.9592390203106059E-2</v>
      </c>
      <c r="U2691" s="86">
        <f t="shared" si="220"/>
        <v>5.4366386750755499E-3</v>
      </c>
      <c r="V2691" s="7">
        <f t="shared" si="217"/>
        <v>14.1063401323986</v>
      </c>
      <c r="W2691" s="89">
        <f t="shared" si="215"/>
        <v>0.9945633613249244</v>
      </c>
      <c r="Y2691" s="72">
        <v>8.40389E-2</v>
      </c>
    </row>
    <row r="2692" spans="2:25" x14ac:dyDescent="0.3">
      <c r="B2692">
        <v>127</v>
      </c>
      <c r="C2692">
        <v>40</v>
      </c>
      <c r="D2692">
        <v>430</v>
      </c>
      <c r="F2692" s="73">
        <f t="shared" si="211"/>
        <v>3.8078631768939886E-2</v>
      </c>
      <c r="G2692" s="15">
        <v>7.6688386200466405E-2</v>
      </c>
      <c r="H2692" s="15">
        <v>0.92331161379953353</v>
      </c>
      <c r="I2692" s="72">
        <f t="shared" si="219"/>
        <v>2.8372331233663482E-3</v>
      </c>
      <c r="J2692" s="72">
        <f t="shared" si="212"/>
        <v>3.5241398645573539E-2</v>
      </c>
      <c r="K2692" s="8">
        <f t="shared" si="213"/>
        <v>2.0113176747028525E-4</v>
      </c>
      <c r="O2692" s="72">
        <v>3.1732193140783239E-4</v>
      </c>
      <c r="P2692" s="72">
        <v>2.3643609361386234E-5</v>
      </c>
      <c r="R2692" s="73">
        <f t="shared" si="210"/>
        <v>1.615000639438958E-6</v>
      </c>
      <c r="S2692" s="74">
        <f t="shared" si="218"/>
        <v>1.6238288099488277E-6</v>
      </c>
      <c r="T2692">
        <f t="shared" si="214"/>
        <v>8.2429623326472412E-2</v>
      </c>
      <c r="U2692" s="86">
        <f t="shared" si="220"/>
        <v>5.6304387518082248E-3</v>
      </c>
      <c r="V2692" s="7">
        <f t="shared" si="217"/>
        <v>14.023910509072127</v>
      </c>
      <c r="W2692" s="89">
        <f t="shared" si="215"/>
        <v>0.99436956124819176</v>
      </c>
      <c r="Y2692" s="72">
        <v>8.5663700000000009E-2</v>
      </c>
    </row>
    <row r="2693" spans="2:25" x14ac:dyDescent="0.3">
      <c r="B2693">
        <v>127</v>
      </c>
      <c r="C2693">
        <v>40</v>
      </c>
      <c r="D2693">
        <v>506</v>
      </c>
      <c r="F2693" s="73">
        <f t="shared" si="211"/>
        <v>5.3112649300116034E-2</v>
      </c>
      <c r="G2693" s="15">
        <v>7.1072454472063493E-2</v>
      </c>
      <c r="H2693" s="15">
        <v>0.92892754552793644</v>
      </c>
      <c r="I2693" s="72">
        <f t="shared" si="219"/>
        <v>4.2695297984931772E-3</v>
      </c>
      <c r="J2693" s="72">
        <f t="shared" si="212"/>
        <v>4.8843119501622859E-2</v>
      </c>
      <c r="K2693" s="8">
        <f t="shared" si="213"/>
        <v>3.0444645205994432E-4</v>
      </c>
      <c r="O2693" s="72">
        <v>6.9885064868573728E-4</v>
      </c>
      <c r="P2693" s="72">
        <v>5.6178023664383905E-5</v>
      </c>
      <c r="R2693" s="73">
        <f t="shared" si="210"/>
        <v>3.8372966983868833E-6</v>
      </c>
      <c r="S2693" s="74">
        <f t="shared" si="218"/>
        <v>3.8590247006053567E-6</v>
      </c>
      <c r="T2693">
        <f t="shared" si="214"/>
        <v>8.6699153124965594E-2</v>
      </c>
      <c r="U2693" s="86">
        <f t="shared" si="220"/>
        <v>5.922073300885628E-3</v>
      </c>
      <c r="V2693" s="7">
        <f t="shared" si="217"/>
        <v>13.937211355947161</v>
      </c>
      <c r="W2693" s="89">
        <f t="shared" si="215"/>
        <v>0.99407792669911432</v>
      </c>
      <c r="Y2693" s="72">
        <v>8.7930166666666587E-2</v>
      </c>
    </row>
    <row r="2694" spans="2:25" x14ac:dyDescent="0.3">
      <c r="B2694">
        <v>127</v>
      </c>
      <c r="C2694">
        <v>40</v>
      </c>
      <c r="D2694">
        <v>630</v>
      </c>
      <c r="F2694" s="73">
        <f t="shared" si="211"/>
        <v>4.0345792001681563E-2</v>
      </c>
      <c r="G2694" s="15">
        <v>8.6333097689941296E-2</v>
      </c>
      <c r="H2694" s="15">
        <v>0.91366690231005876</v>
      </c>
      <c r="I2694" s="72">
        <f t="shared" si="219"/>
        <v>3.1282005812789033E-3</v>
      </c>
      <c r="J2694" s="72">
        <f t="shared" si="212"/>
        <v>3.7217591420402658E-2</v>
      </c>
      <c r="K2694" s="8">
        <f t="shared" si="213"/>
        <v>2.2444953307994902E-4</v>
      </c>
      <c r="O2694" s="72">
        <v>3.2536929033614162E-4</v>
      </c>
      <c r="P2694" s="72">
        <v>2.5227424042571802E-5</v>
      </c>
      <c r="R2694" s="73">
        <f t="shared" si="210"/>
        <v>1.7231847023614568E-6</v>
      </c>
      <c r="S2694" s="74">
        <f t="shared" si="218"/>
        <v>1.7334503222331655E-6</v>
      </c>
      <c r="T2694">
        <f t="shared" si="214"/>
        <v>8.9827353706244492E-2</v>
      </c>
      <c r="U2694" s="86">
        <f t="shared" si="220"/>
        <v>6.1357482039784486E-3</v>
      </c>
      <c r="V2694" s="7">
        <f t="shared" si="217"/>
        <v>13.847384002240917</v>
      </c>
      <c r="W2694" s="89">
        <f t="shared" si="215"/>
        <v>0.99386425179602156</v>
      </c>
      <c r="Y2694" s="72">
        <v>8.9651300000000003E-2</v>
      </c>
    </row>
    <row r="2695" spans="2:25" x14ac:dyDescent="0.3">
      <c r="B2695">
        <v>127</v>
      </c>
      <c r="C2695">
        <v>40</v>
      </c>
      <c r="D2695">
        <v>758</v>
      </c>
      <c r="F2695" s="73">
        <f t="shared" si="211"/>
        <v>4.1498065433077547E-2</v>
      </c>
      <c r="G2695" s="15">
        <v>5.8480219267057133E-2</v>
      </c>
      <c r="H2695" s="15">
        <v>0.94151978073294285</v>
      </c>
      <c r="I2695" s="72">
        <f t="shared" si="219"/>
        <v>2.5781961606387658E-3</v>
      </c>
      <c r="J2695" s="72">
        <f t="shared" si="212"/>
        <v>3.8919869272438783E-2</v>
      </c>
      <c r="K2695" s="8">
        <f t="shared" si="213"/>
        <v>1.8618651437856692E-4</v>
      </c>
      <c r="O2695" s="72">
        <v>3.2420363619591833E-4</v>
      </c>
      <c r="P2695" s="72">
        <v>2.0142157504990358E-5</v>
      </c>
      <c r="R2695" s="73">
        <f t="shared" si="210"/>
        <v>1.3758304306687419E-6</v>
      </c>
      <c r="S2695" s="74">
        <f t="shared" si="218"/>
        <v>1.3843242959815343E-6</v>
      </c>
      <c r="T2695">
        <f t="shared" si="214"/>
        <v>9.2405549866883263E-2</v>
      </c>
      <c r="U2695" s="86">
        <f t="shared" si="220"/>
        <v>6.3118544991040476E-3</v>
      </c>
      <c r="V2695" s="7">
        <f t="shared" si="217"/>
        <v>13.754978452374033</v>
      </c>
      <c r="W2695" s="89">
        <f t="shared" si="215"/>
        <v>0.9936881455008959</v>
      </c>
      <c r="Y2695" s="72">
        <v>9.1422033333333305E-2</v>
      </c>
    </row>
    <row r="2696" spans="2:25" s="18" customFormat="1" x14ac:dyDescent="0.3">
      <c r="B2696" s="18">
        <v>128</v>
      </c>
      <c r="C2696" s="18">
        <v>40</v>
      </c>
      <c r="D2696" s="18">
        <v>0</v>
      </c>
      <c r="E2696" s="93"/>
      <c r="F2696" s="73">
        <f t="shared" si="211"/>
        <v>0</v>
      </c>
      <c r="G2696" s="15">
        <v>0</v>
      </c>
      <c r="H2696" s="15">
        <v>0</v>
      </c>
      <c r="I2696" s="72">
        <f t="shared" si="219"/>
        <v>0</v>
      </c>
      <c r="J2696" s="72">
        <f t="shared" si="212"/>
        <v>0</v>
      </c>
      <c r="K2696" s="8">
        <f t="shared" si="213"/>
        <v>0</v>
      </c>
      <c r="L2696"/>
      <c r="M2696"/>
      <c r="N2696"/>
      <c r="O2696" s="72">
        <v>0</v>
      </c>
      <c r="P2696" s="72">
        <v>0</v>
      </c>
      <c r="Q2696"/>
      <c r="R2696" s="73">
        <f t="shared" si="210"/>
        <v>0</v>
      </c>
      <c r="S2696" s="74">
        <f t="shared" si="218"/>
        <v>0</v>
      </c>
      <c r="T2696">
        <f t="shared" si="214"/>
        <v>0</v>
      </c>
      <c r="U2696" s="86">
        <f>T2696/$V$2696</f>
        <v>0</v>
      </c>
      <c r="V2696">
        <f>2%*1000*0.732</f>
        <v>14.64</v>
      </c>
      <c r="W2696" s="89">
        <f t="shared" si="215"/>
        <v>1</v>
      </c>
      <c r="X2696"/>
      <c r="Y2696" s="72">
        <v>0</v>
      </c>
    </row>
    <row r="2697" spans="2:25" x14ac:dyDescent="0.3">
      <c r="B2697">
        <v>128</v>
      </c>
      <c r="C2697">
        <v>40</v>
      </c>
      <c r="D2697">
        <v>1</v>
      </c>
      <c r="F2697" s="73">
        <f t="shared" si="211"/>
        <v>5.7153327827648696E-2</v>
      </c>
      <c r="G2697" s="15">
        <v>0.160638374229986</v>
      </c>
      <c r="H2697" s="15">
        <v>0.83936162577001394</v>
      </c>
      <c r="I2697" s="72">
        <f t="shared" si="219"/>
        <v>9.2354260902366703E-3</v>
      </c>
      <c r="J2697" s="72">
        <f t="shared" si="212"/>
        <v>4.7917901737412026E-2</v>
      </c>
      <c r="K2697" s="8">
        <f t="shared" si="213"/>
        <v>6.3083511545332447E-4</v>
      </c>
      <c r="O2697" s="72">
        <v>5.7153327827648696E-2</v>
      </c>
      <c r="P2697" s="72">
        <v>9.2354260902366703E-3</v>
      </c>
      <c r="R2697" s="73">
        <f t="shared" si="210"/>
        <v>6.3083511545332447E-4</v>
      </c>
      <c r="S2697" s="74">
        <f t="shared" si="218"/>
        <v>6.3083511545332447E-4</v>
      </c>
      <c r="T2697">
        <f t="shared" si="214"/>
        <v>9.2354260902366703E-3</v>
      </c>
      <c r="U2697" s="86">
        <f t="shared" ref="U2697:U2714" si="221">T2697/$V$2696</f>
        <v>6.3083511545332447E-4</v>
      </c>
      <c r="V2697" s="7">
        <f t="shared" si="217"/>
        <v>14.630764573909763</v>
      </c>
      <c r="W2697" s="89">
        <f t="shared" si="215"/>
        <v>0.99936916488454663</v>
      </c>
      <c r="Y2697" s="72">
        <v>2.0865333333333299E-3</v>
      </c>
    </row>
    <row r="2698" spans="2:25" x14ac:dyDescent="0.3">
      <c r="B2698">
        <v>128</v>
      </c>
      <c r="C2698">
        <v>40</v>
      </c>
      <c r="D2698">
        <v>2</v>
      </c>
      <c r="F2698" s="73">
        <f t="shared" si="211"/>
        <v>0.29369964059947262</v>
      </c>
      <c r="G2698" s="15">
        <v>3.4852699193364797E-2</v>
      </c>
      <c r="H2698" s="15">
        <v>0.96514730080663524</v>
      </c>
      <c r="I2698" s="72">
        <f t="shared" si="219"/>
        <v>1.0335443724155704E-2</v>
      </c>
      <c r="J2698" s="72">
        <f t="shared" si="212"/>
        <v>0.28336419687531694</v>
      </c>
      <c r="K2698" s="8">
        <f t="shared" si="213"/>
        <v>7.0641856561524691E-4</v>
      </c>
      <c r="O2698" s="72">
        <v>0.29369964059947262</v>
      </c>
      <c r="P2698" s="72">
        <v>1.0335443724155704E-2</v>
      </c>
      <c r="R2698" s="73">
        <f t="shared" si="210"/>
        <v>7.0597293197784854E-4</v>
      </c>
      <c r="S2698" s="74">
        <f t="shared" si="218"/>
        <v>7.064185656152468E-4</v>
      </c>
      <c r="T2698">
        <f t="shared" si="214"/>
        <v>1.9570869814392374E-2</v>
      </c>
      <c r="U2698" s="86">
        <f t="shared" si="221"/>
        <v>1.336808047431173E-3</v>
      </c>
      <c r="V2698" s="7">
        <f t="shared" si="217"/>
        <v>14.611193704095371</v>
      </c>
      <c r="W2698" s="89">
        <f t="shared" si="215"/>
        <v>0.99866319195256881</v>
      </c>
      <c r="Y2698" s="72">
        <v>1.2808433333333299E-2</v>
      </c>
    </row>
    <row r="2699" spans="2:25" x14ac:dyDescent="0.3">
      <c r="B2699">
        <v>128</v>
      </c>
      <c r="C2699">
        <v>40</v>
      </c>
      <c r="D2699">
        <v>3</v>
      </c>
      <c r="F2699" s="73">
        <f t="shared" si="211"/>
        <v>0.11435110272188019</v>
      </c>
      <c r="G2699" s="15">
        <v>3.4386665240127137E-2</v>
      </c>
      <c r="H2699" s="15">
        <v>0.96561333475987288</v>
      </c>
      <c r="I2699" s="72">
        <f t="shared" si="219"/>
        <v>3.6481911629749272E-3</v>
      </c>
      <c r="J2699" s="72">
        <f t="shared" si="212"/>
        <v>0.11070291155890527</v>
      </c>
      <c r="K2699" s="8">
        <f t="shared" si="213"/>
        <v>2.4968467579431077E-4</v>
      </c>
      <c r="O2699" s="72">
        <v>0.11435110272188019</v>
      </c>
      <c r="P2699" s="72">
        <v>3.6481911629749272E-3</v>
      </c>
      <c r="R2699" s="73">
        <f t="shared" si="210"/>
        <v>2.4919338544910708E-4</v>
      </c>
      <c r="S2699" s="74">
        <f t="shared" si="218"/>
        <v>2.4952695509072338E-4</v>
      </c>
      <c r="T2699">
        <f t="shared" si="214"/>
        <v>2.3219060977367301E-2</v>
      </c>
      <c r="U2699" s="86">
        <f t="shared" si="221"/>
        <v>1.5860014328802801E-3</v>
      </c>
      <c r="V2699" s="7">
        <f t="shared" si="217"/>
        <v>14.587974643118002</v>
      </c>
      <c r="W2699" s="89">
        <f t="shared" si="215"/>
        <v>0.99841399856711976</v>
      </c>
      <c r="Y2699" s="72">
        <v>1.6982733333333302E-2</v>
      </c>
    </row>
    <row r="2700" spans="2:25" x14ac:dyDescent="0.3">
      <c r="B2700">
        <v>128</v>
      </c>
      <c r="C2700">
        <v>40</v>
      </c>
      <c r="D2700">
        <v>5</v>
      </c>
      <c r="F2700" s="73">
        <f t="shared" si="211"/>
        <v>0.15817927459923287</v>
      </c>
      <c r="G2700" s="15">
        <v>3.0715672749677528E-2</v>
      </c>
      <c r="H2700" s="15">
        <v>0.96928432725032254</v>
      </c>
      <c r="I2700" s="72">
        <f t="shared" si="219"/>
        <v>4.7755937716315406E-3</v>
      </c>
      <c r="J2700" s="72">
        <f t="shared" si="212"/>
        <v>0.15340368082760134</v>
      </c>
      <c r="K2700" s="8">
        <f t="shared" si="213"/>
        <v>3.2736509957428987E-4</v>
      </c>
      <c r="O2700" s="72">
        <v>7.9089637299616433E-2</v>
      </c>
      <c r="P2700" s="72">
        <v>2.3877968858157703E-3</v>
      </c>
      <c r="R2700" s="73">
        <f t="shared" si="210"/>
        <v>1.631008801786729E-4</v>
      </c>
      <c r="S2700" s="74">
        <f t="shared" si="218"/>
        <v>1.6335996932409619E-4</v>
      </c>
      <c r="T2700">
        <f t="shared" si="214"/>
        <v>2.7994654748998843E-2</v>
      </c>
      <c r="U2700" s="86">
        <f t="shared" si="221"/>
        <v>1.9122031932376259E-3</v>
      </c>
      <c r="V2700" s="7">
        <f t="shared" si="217"/>
        <v>14.559979988369003</v>
      </c>
      <c r="W2700" s="89">
        <f t="shared" si="215"/>
        <v>0.99808779680676241</v>
      </c>
      <c r="Y2700" s="72">
        <v>2.2757433333333299E-2</v>
      </c>
    </row>
    <row r="2701" spans="2:25" x14ac:dyDescent="0.3">
      <c r="B2701">
        <v>128</v>
      </c>
      <c r="C2701">
        <v>40</v>
      </c>
      <c r="D2701">
        <v>8</v>
      </c>
      <c r="F2701" s="73">
        <f t="shared" si="211"/>
        <v>0.31636296900339822</v>
      </c>
      <c r="G2701" s="15">
        <v>3.5422987123361727E-2</v>
      </c>
      <c r="H2701" s="15">
        <v>0.96457701287663822</v>
      </c>
      <c r="I2701" s="72">
        <f t="shared" si="219"/>
        <v>1.1317071783467471E-2</v>
      </c>
      <c r="J2701" s="72">
        <f t="shared" si="212"/>
        <v>0.30504589721993075</v>
      </c>
      <c r="K2701" s="8">
        <f t="shared" si="213"/>
        <v>7.7727248200258007E-4</v>
      </c>
      <c r="O2701" s="72">
        <v>0.10545432300113275</v>
      </c>
      <c r="P2701" s="72">
        <v>3.7723572611558236E-3</v>
      </c>
      <c r="R2701" s="73">
        <f t="shared" si="210"/>
        <v>2.5767467630845786E-4</v>
      </c>
      <c r="S2701" s="74">
        <f t="shared" si="218"/>
        <v>2.5816834664530586E-4</v>
      </c>
      <c r="T2701">
        <f t="shared" si="214"/>
        <v>3.9311726532466312E-2</v>
      </c>
      <c r="U2701" s="86">
        <f t="shared" si="221"/>
        <v>2.6852272221629995E-3</v>
      </c>
      <c r="V2701" s="7">
        <f t="shared" si="217"/>
        <v>14.520668261836537</v>
      </c>
      <c r="W2701" s="89">
        <f t="shared" si="215"/>
        <v>0.99731477277783698</v>
      </c>
      <c r="Y2701" s="72">
        <v>3.43068333333333E-2</v>
      </c>
    </row>
    <row r="2702" spans="2:25" x14ac:dyDescent="0.3">
      <c r="B2702">
        <v>128</v>
      </c>
      <c r="C2702">
        <v>40</v>
      </c>
      <c r="D2702">
        <v>13</v>
      </c>
      <c r="F2702" s="73">
        <f t="shared" si="211"/>
        <v>0.5208027941660649</v>
      </c>
      <c r="G2702" s="15">
        <v>1.1022363444298982E-2</v>
      </c>
      <c r="H2702" s="15">
        <v>0.98897763655570103</v>
      </c>
      <c r="I2702" s="72">
        <f t="shared" si="219"/>
        <v>5.7284584919804222E-3</v>
      </c>
      <c r="J2702" s="72">
        <f t="shared" si="212"/>
        <v>0.51507433567408445</v>
      </c>
      <c r="K2702" s="8">
        <f t="shared" si="213"/>
        <v>3.9450377824800617E-4</v>
      </c>
      <c r="O2702" s="72">
        <v>0.10416055883321299</v>
      </c>
      <c r="P2702" s="72">
        <v>1.1456916983960844E-3</v>
      </c>
      <c r="R2702" s="73">
        <f t="shared" si="210"/>
        <v>7.8257629671863674E-5</v>
      </c>
      <c r="S2702" s="74">
        <f t="shared" si="218"/>
        <v>7.8468334981032545E-5</v>
      </c>
      <c r="T2702">
        <f t="shared" si="214"/>
        <v>4.5040185024446733E-2</v>
      </c>
      <c r="U2702" s="86">
        <f t="shared" si="221"/>
        <v>3.0765153705223178E-3</v>
      </c>
      <c r="V2702" s="7">
        <f t="shared" si="217"/>
        <v>14.47562807681209</v>
      </c>
      <c r="W2702" s="89">
        <f t="shared" si="215"/>
        <v>0.99692348462947766</v>
      </c>
      <c r="Y2702" s="72">
        <v>5.3319633333333297E-2</v>
      </c>
    </row>
    <row r="2703" spans="2:25" x14ac:dyDescent="0.3">
      <c r="B2703">
        <v>128</v>
      </c>
      <c r="C2703">
        <v>40</v>
      </c>
      <c r="D2703">
        <v>20</v>
      </c>
      <c r="F2703" s="73">
        <f t="shared" si="211"/>
        <v>0.49652045563164937</v>
      </c>
      <c r="G2703" s="15">
        <v>5.7128115155745778E-3</v>
      </c>
      <c r="H2703" s="15">
        <v>0.99428718848442543</v>
      </c>
      <c r="I2703" s="72">
        <f t="shared" si="219"/>
        <v>2.8482426017776199E-3</v>
      </c>
      <c r="J2703" s="72">
        <f t="shared" si="212"/>
        <v>0.49367221302987174</v>
      </c>
      <c r="K2703" s="8">
        <f t="shared" si="213"/>
        <v>1.9676124494660802E-4</v>
      </c>
      <c r="O2703" s="72">
        <v>7.0931493661664194E-2</v>
      </c>
      <c r="P2703" s="72">
        <v>4.0689180025394567E-4</v>
      </c>
      <c r="R2703" s="73">
        <f t="shared" si="210"/>
        <v>2.7793155755050946E-5</v>
      </c>
      <c r="S2703" s="74">
        <f t="shared" si="218"/>
        <v>2.7878925698475959E-5</v>
      </c>
      <c r="T2703">
        <f t="shared" si="214"/>
        <v>4.7888427626224354E-2</v>
      </c>
      <c r="U2703" s="86">
        <f t="shared" si="221"/>
        <v>3.2710674608076745E-3</v>
      </c>
      <c r="V2703" s="7">
        <f t="shared" si="217"/>
        <v>14.427739649185865</v>
      </c>
      <c r="W2703" s="89">
        <f t="shared" si="215"/>
        <v>0.99672893253919237</v>
      </c>
      <c r="Y2703" s="72">
        <v>7.1445866666666705E-2</v>
      </c>
    </row>
    <row r="2704" spans="2:25" x14ac:dyDescent="0.3">
      <c r="B2704">
        <v>128</v>
      </c>
      <c r="C2704">
        <v>40</v>
      </c>
      <c r="D2704">
        <v>30</v>
      </c>
      <c r="F2704" s="73">
        <f t="shared" si="211"/>
        <v>0.38282758411674028</v>
      </c>
      <c r="G2704" s="15">
        <v>2.281653567226856E-3</v>
      </c>
      <c r="H2704" s="15">
        <v>0.99771834643277313</v>
      </c>
      <c r="I2704" s="72">
        <f t="shared" si="219"/>
        <v>8.4078528984154739E-4</v>
      </c>
      <c r="J2704" s="72">
        <f t="shared" si="212"/>
        <v>0.38198679882689873</v>
      </c>
      <c r="K2704" s="8">
        <f t="shared" si="213"/>
        <v>5.8275607287451406E-5</v>
      </c>
      <c r="O2704" s="72">
        <v>3.8282758411674028E-2</v>
      </c>
      <c r="P2704" s="72">
        <v>8.4078528984154742E-5</v>
      </c>
      <c r="R2704" s="73">
        <f t="shared" si="210"/>
        <v>5.7430689196827023E-6</v>
      </c>
      <c r="S2704" s="74">
        <f t="shared" si="218"/>
        <v>5.7619165373800146E-6</v>
      </c>
      <c r="T2704">
        <f t="shared" si="214"/>
        <v>4.8729212916065905E-2</v>
      </c>
      <c r="U2704" s="86">
        <f t="shared" si="221"/>
        <v>3.3284981500045015E-3</v>
      </c>
      <c r="V2704" s="7">
        <f t="shared" si="217"/>
        <v>14.3790104362698</v>
      </c>
      <c r="W2704" s="89">
        <f t="shared" si="215"/>
        <v>0.99667150184999553</v>
      </c>
      <c r="Y2704" s="72">
        <v>8.5421433333333296E-2</v>
      </c>
    </row>
    <row r="2705" spans="2:25" x14ac:dyDescent="0.3">
      <c r="B2705">
        <v>128</v>
      </c>
      <c r="C2705">
        <v>40</v>
      </c>
      <c r="D2705">
        <v>44</v>
      </c>
      <c r="F2705" s="73">
        <f t="shared" si="211"/>
        <v>0.39001905338682813</v>
      </c>
      <c r="G2705" s="15">
        <v>8.9979470414358123E-3</v>
      </c>
      <c r="H2705" s="15">
        <v>0.99100205295856414</v>
      </c>
      <c r="I2705" s="72">
        <f t="shared" si="219"/>
        <v>3.5574444305250855E-3</v>
      </c>
      <c r="J2705" s="72">
        <f t="shared" si="212"/>
        <v>0.38646160895630305</v>
      </c>
      <c r="K2705" s="8">
        <f t="shared" si="213"/>
        <v>2.4740537231628552E-4</v>
      </c>
      <c r="O2705" s="72">
        <v>2.7858503813344867E-2</v>
      </c>
      <c r="P2705" s="72">
        <v>2.5410317360893467E-4</v>
      </c>
      <c r="R2705" s="73">
        <f t="shared" si="210"/>
        <v>1.7356774153615773E-5</v>
      </c>
      <c r="S2705" s="74">
        <f t="shared" si="218"/>
        <v>1.7414739080427785E-5</v>
      </c>
      <c r="T2705">
        <f t="shared" si="214"/>
        <v>5.2286657346590992E-2</v>
      </c>
      <c r="U2705" s="86">
        <f t="shared" si="221"/>
        <v>3.5714929881551223E-3</v>
      </c>
      <c r="V2705" s="7">
        <f t="shared" si="217"/>
        <v>14.32672377892321</v>
      </c>
      <c r="W2705" s="89">
        <f t="shared" si="215"/>
        <v>0.99642850701184493</v>
      </c>
      <c r="Y2705" s="72">
        <v>9.9659833333333295E-2</v>
      </c>
    </row>
    <row r="2706" spans="2:25" x14ac:dyDescent="0.3">
      <c r="B2706">
        <v>128</v>
      </c>
      <c r="C2706">
        <v>40</v>
      </c>
      <c r="D2706">
        <v>65</v>
      </c>
      <c r="F2706" s="73">
        <f t="shared" si="211"/>
        <v>0.27234129571516985</v>
      </c>
      <c r="G2706" s="15">
        <v>1.2326124698539536E-2</v>
      </c>
      <c r="H2706" s="15">
        <v>0.98767387530146056</v>
      </c>
      <c r="I2706" s="72">
        <f t="shared" si="219"/>
        <v>3.3957132065814024E-3</v>
      </c>
      <c r="J2706" s="72">
        <f t="shared" si="212"/>
        <v>0.26894558250858847</v>
      </c>
      <c r="K2706" s="8">
        <f t="shared" si="213"/>
        <v>2.3701952093031997E-4</v>
      </c>
      <c r="O2706" s="72">
        <v>1.2968633129293802E-2</v>
      </c>
      <c r="P2706" s="72">
        <v>1.6170062888482868E-4</v>
      </c>
      <c r="R2706" s="73">
        <f t="shared" si="210"/>
        <v>1.1045124923827085E-5</v>
      </c>
      <c r="S2706" s="74">
        <f t="shared" si="218"/>
        <v>1.108471390180308E-5</v>
      </c>
      <c r="T2706">
        <f t="shared" si="214"/>
        <v>5.5682370553172392E-2</v>
      </c>
      <c r="U2706" s="86">
        <f t="shared" si="221"/>
        <v>3.8034406115554911E-3</v>
      </c>
      <c r="V2706" s="7">
        <f t="shared" si="217"/>
        <v>14.271041408370037</v>
      </c>
      <c r="W2706" s="89">
        <f t="shared" si="215"/>
        <v>0.99619655938844454</v>
      </c>
      <c r="Y2706" s="72">
        <v>0.1096022</v>
      </c>
    </row>
    <row r="2707" spans="2:25" x14ac:dyDescent="0.3">
      <c r="B2707">
        <v>128</v>
      </c>
      <c r="C2707">
        <v>40</v>
      </c>
      <c r="D2707">
        <v>90</v>
      </c>
      <c r="F2707" s="73">
        <f t="shared" si="211"/>
        <v>0.17621794761527551</v>
      </c>
      <c r="G2707" s="15">
        <v>1.9406505900792268E-2</v>
      </c>
      <c r="H2707" s="15">
        <v>0.98059349409920771</v>
      </c>
      <c r="I2707" s="72">
        <f t="shared" si="219"/>
        <v>3.387172576854208E-3</v>
      </c>
      <c r="J2707" s="72">
        <f t="shared" si="212"/>
        <v>0.17283077503842131</v>
      </c>
      <c r="K2707" s="8">
        <f t="shared" si="213"/>
        <v>2.3734585864684091E-4</v>
      </c>
      <c r="O2707" s="72">
        <v>7.0487179046110201E-3</v>
      </c>
      <c r="P2707" s="72">
        <v>1.3548690307416833E-4</v>
      </c>
      <c r="R2707" s="73">
        <f t="shared" si="210"/>
        <v>9.2545698821153152E-6</v>
      </c>
      <c r="S2707" s="74">
        <f t="shared" si="218"/>
        <v>9.2899034782820432E-6</v>
      </c>
      <c r="T2707">
        <f t="shared" si="214"/>
        <v>5.9069543130026603E-2</v>
      </c>
      <c r="U2707" s="86">
        <f t="shared" si="221"/>
        <v>4.034804858608374E-3</v>
      </c>
      <c r="V2707" s="7">
        <f t="shared" si="217"/>
        <v>14.21197186524001</v>
      </c>
      <c r="W2707" s="89">
        <f t="shared" si="215"/>
        <v>0.99596519514139159</v>
      </c>
      <c r="Y2707" s="72">
        <v>0.11603593333333301</v>
      </c>
    </row>
    <row r="2708" spans="2:25" x14ac:dyDescent="0.3">
      <c r="B2708">
        <v>128</v>
      </c>
      <c r="C2708">
        <v>40</v>
      </c>
      <c r="D2708">
        <v>120</v>
      </c>
      <c r="F2708" s="73">
        <f t="shared" si="211"/>
        <v>0.13905767903483576</v>
      </c>
      <c r="G2708" s="15">
        <v>4.0596821545402569E-2</v>
      </c>
      <c r="H2708" s="15">
        <v>0.95940317845459744</v>
      </c>
      <c r="I2708" s="72">
        <f t="shared" si="219"/>
        <v>5.46197121144634E-3</v>
      </c>
      <c r="J2708" s="72">
        <f t="shared" si="212"/>
        <v>0.13359570782338942</v>
      </c>
      <c r="K2708" s="8">
        <f t="shared" si="213"/>
        <v>3.8432184240424534E-4</v>
      </c>
      <c r="O2708" s="72">
        <v>4.6352559678278591E-3</v>
      </c>
      <c r="P2708" s="72">
        <v>1.8206570704821132E-4</v>
      </c>
      <c r="R2708" s="73">
        <f t="shared" si="210"/>
        <v>1.2436182175424298E-5</v>
      </c>
      <c r="S2708" s="74">
        <f t="shared" si="218"/>
        <v>1.2486563020567002E-5</v>
      </c>
      <c r="T2708">
        <f t="shared" si="214"/>
        <v>6.4531514341472945E-2</v>
      </c>
      <c r="U2708" s="86">
        <f t="shared" si="221"/>
        <v>4.4078903238711029E-3</v>
      </c>
      <c r="V2708" s="7">
        <f t="shared" si="217"/>
        <v>14.147440350898536</v>
      </c>
      <c r="W2708" s="89">
        <f t="shared" si="215"/>
        <v>0.99559210967612888</v>
      </c>
      <c r="Y2708" s="72">
        <v>0.121112733333333</v>
      </c>
    </row>
    <row r="2709" spans="2:25" x14ac:dyDescent="0.3">
      <c r="B2709">
        <v>128</v>
      </c>
      <c r="C2709">
        <v>40</v>
      </c>
      <c r="D2709">
        <v>240</v>
      </c>
      <c r="F2709" s="73">
        <f t="shared" si="211"/>
        <v>0.32055411586083593</v>
      </c>
      <c r="G2709" s="15">
        <v>4.7424441228884534E-2</v>
      </c>
      <c r="H2709" s="15">
        <v>0.95257555877111544</v>
      </c>
      <c r="I2709" s="72">
        <f t="shared" si="219"/>
        <v>2.2540082040273957E-2</v>
      </c>
      <c r="J2709" s="72">
        <f t="shared" si="212"/>
        <v>0.29801403382056196</v>
      </c>
      <c r="K2709" s="8">
        <f t="shared" si="213"/>
        <v>1.5932268651581475E-3</v>
      </c>
      <c r="O2709" s="72">
        <v>2.6712842988402996E-3</v>
      </c>
      <c r="P2709" s="72">
        <v>1.8783401700228297E-4</v>
      </c>
      <c r="R2709" s="73">
        <f t="shared" ref="R2709:R2733" si="222">IF(D2709&gt;D2708,(U2709-U2708)/1/(D2709-D2708),0)</f>
        <v>1.283019241818872E-5</v>
      </c>
      <c r="S2709" s="74">
        <f t="shared" si="218"/>
        <v>1.2886996887070998E-5</v>
      </c>
      <c r="T2709">
        <f t="shared" si="214"/>
        <v>8.7071596381746899E-2</v>
      </c>
      <c r="U2709" s="86">
        <f t="shared" si="221"/>
        <v>5.9475134140537494E-3</v>
      </c>
      <c r="V2709" s="7">
        <f t="shared" si="217"/>
        <v>14.060368754516789</v>
      </c>
      <c r="W2709" s="89">
        <f t="shared" si="215"/>
        <v>0.99405248658594625</v>
      </c>
      <c r="Y2709" s="72">
        <v>0.13275543333333301</v>
      </c>
    </row>
    <row r="2710" spans="2:25" x14ac:dyDescent="0.3">
      <c r="B2710">
        <v>128</v>
      </c>
      <c r="C2710">
        <v>40</v>
      </c>
      <c r="D2710">
        <v>310</v>
      </c>
      <c r="F2710" s="73">
        <f t="shared" si="211"/>
        <v>8.4877515582328242E-2</v>
      </c>
      <c r="G2710" s="15">
        <v>5.4252060912366507E-2</v>
      </c>
      <c r="H2710" s="15">
        <v>0.94574793908763355</v>
      </c>
      <c r="I2710" s="72">
        <f t="shared" si="219"/>
        <v>4.5883534899164597E-3</v>
      </c>
      <c r="J2710" s="72">
        <f t="shared" si="212"/>
        <v>8.0289162092411784E-2</v>
      </c>
      <c r="K2710" s="8">
        <f t="shared" si="213"/>
        <v>3.2633237221765506E-4</v>
      </c>
      <c r="O2710" s="72">
        <v>1.2125359368904034E-3</v>
      </c>
      <c r="P2710" s="72">
        <v>6.5547906998806573E-5</v>
      </c>
      <c r="R2710" s="73">
        <f t="shared" si="222"/>
        <v>4.4773160518310505E-6</v>
      </c>
      <c r="S2710" s="74">
        <f t="shared" si="218"/>
        <v>4.5041042724095032E-6</v>
      </c>
      <c r="T2710">
        <f t="shared" si="214"/>
        <v>9.1659949871663357E-2</v>
      </c>
      <c r="U2710" s="86">
        <f t="shared" si="221"/>
        <v>6.2609255376819229E-3</v>
      </c>
      <c r="V2710" s="7">
        <f t="shared" si="217"/>
        <v>13.968708804645125</v>
      </c>
      <c r="W2710" s="89">
        <f t="shared" si="215"/>
        <v>0.99373907446231813</v>
      </c>
      <c r="Y2710" s="72">
        <v>0.13585533333333299</v>
      </c>
    </row>
    <row r="2711" spans="2:25" x14ac:dyDescent="0.3">
      <c r="B2711">
        <v>128</v>
      </c>
      <c r="C2711">
        <v>40</v>
      </c>
      <c r="D2711">
        <v>430</v>
      </c>
      <c r="F2711" s="73">
        <f t="shared" ref="F2711:F2733" si="223">O2711*IF(D2711&gt;D2710,(D2711-D2710),(D2711-0))</f>
        <v>7.9686467196682126E-2</v>
      </c>
      <c r="G2711" s="15">
        <v>6.4665590152889335E-2</v>
      </c>
      <c r="H2711" s="15">
        <v>0.93533440984711058</v>
      </c>
      <c r="I2711" s="72">
        <f t="shared" si="219"/>
        <v>5.1745469561538361E-3</v>
      </c>
      <c r="J2711" s="72">
        <f t="shared" ref="J2711:J2733" si="224">F2711-I2711</f>
        <v>7.4511920240528287E-2</v>
      </c>
      <c r="K2711" s="8">
        <f t="shared" ref="K2711:K2733" si="225">I2711/(T2711+V2711)</f>
        <v>3.7043845845172911E-4</v>
      </c>
      <c r="O2711" s="72">
        <v>6.6405389330568437E-4</v>
      </c>
      <c r="P2711" s="72">
        <v>4.3121224634615301E-5</v>
      </c>
      <c r="R2711" s="73">
        <f t="shared" si="222"/>
        <v>2.9454388411622466E-6</v>
      </c>
      <c r="S2711" s="74">
        <f t="shared" si="218"/>
        <v>2.9639962006686047E-6</v>
      </c>
      <c r="T2711">
        <f t="shared" ref="T2711:T2733" si="226">IF(D2711&gt;D2710,T2710+I2711,I2711)</f>
        <v>9.6834496827817196E-2</v>
      </c>
      <c r="U2711" s="86">
        <f t="shared" si="221"/>
        <v>6.6143781986213925E-3</v>
      </c>
      <c r="V2711" s="7">
        <f t="shared" si="217"/>
        <v>13.871874307817308</v>
      </c>
      <c r="W2711" s="89">
        <f t="shared" ref="W2711:W2733" si="227">100%-U2711</f>
        <v>0.99338562180137857</v>
      </c>
      <c r="Y2711" s="72">
        <v>0.138765733333333</v>
      </c>
    </row>
    <row r="2712" spans="2:25" x14ac:dyDescent="0.3">
      <c r="B2712">
        <v>128</v>
      </c>
      <c r="C2712">
        <v>40</v>
      </c>
      <c r="D2712">
        <v>506</v>
      </c>
      <c r="F2712" s="73">
        <f t="shared" si="223"/>
        <v>5.3615646163340101E-2</v>
      </c>
      <c r="G2712" s="15">
        <v>7.104416535915957E-2</v>
      </c>
      <c r="H2712" s="15">
        <v>0.92895583464084042</v>
      </c>
      <c r="I2712" s="72">
        <f t="shared" si="219"/>
        <v>3.9341344438658379E-3</v>
      </c>
      <c r="J2712" s="72">
        <f t="shared" si="224"/>
        <v>4.9681511719474263E-2</v>
      </c>
      <c r="K2712" s="8">
        <f t="shared" si="225"/>
        <v>2.836051103525938E-4</v>
      </c>
      <c r="O2712" s="72">
        <v>7.0546902846500132E-4</v>
      </c>
      <c r="P2712" s="72">
        <v>5.1764926892971556E-5</v>
      </c>
      <c r="R2712" s="73">
        <f t="shared" si="222"/>
        <v>3.5358556620882242E-6</v>
      </c>
      <c r="S2712" s="74">
        <f t="shared" si="218"/>
        <v>3.5593988723899582E-6</v>
      </c>
      <c r="T2712">
        <f t="shared" si="226"/>
        <v>0.10076863127168303</v>
      </c>
      <c r="U2712" s="86">
        <f t="shared" si="221"/>
        <v>6.8831032289400976E-3</v>
      </c>
      <c r="V2712" s="7">
        <f t="shared" si="217"/>
        <v>13.771105676545625</v>
      </c>
      <c r="W2712" s="89">
        <f t="shared" si="227"/>
        <v>0.99311689677105985</v>
      </c>
      <c r="Y2712" s="72">
        <v>0.14072389999999999</v>
      </c>
    </row>
    <row r="2713" spans="2:25" x14ac:dyDescent="0.3">
      <c r="B2713">
        <v>128</v>
      </c>
      <c r="C2713">
        <v>40</v>
      </c>
      <c r="D2713">
        <v>630</v>
      </c>
      <c r="F2713" s="73">
        <f t="shared" si="223"/>
        <v>6.9799638377866208E-2</v>
      </c>
      <c r="G2713" s="15">
        <v>6.7650147440335789E-2</v>
      </c>
      <c r="H2713" s="15">
        <v>0.93234985255966418</v>
      </c>
      <c r="I2713" s="72">
        <f t="shared" si="219"/>
        <v>4.9953871157323373E-3</v>
      </c>
      <c r="J2713" s="72">
        <f t="shared" si="224"/>
        <v>6.4804251262133877E-2</v>
      </c>
      <c r="K2713" s="8">
        <f t="shared" si="225"/>
        <v>3.6274408410359331E-4</v>
      </c>
      <c r="O2713" s="72">
        <v>5.6290030949892103E-4</v>
      </c>
      <c r="P2713" s="72">
        <v>4.0285379965583368E-5</v>
      </c>
      <c r="R2713" s="73">
        <f t="shared" si="222"/>
        <v>2.7517336042065102E-6</v>
      </c>
      <c r="S2713" s="74">
        <f t="shared" si="218"/>
        <v>2.7708053434125176E-6</v>
      </c>
      <c r="T2713">
        <f t="shared" si="226"/>
        <v>0.10576401838741536</v>
      </c>
      <c r="U2713" s="86">
        <f t="shared" si="221"/>
        <v>7.2243181958617049E-3</v>
      </c>
      <c r="V2713" s="7">
        <f t="shared" si="217"/>
        <v>13.66534165815821</v>
      </c>
      <c r="W2713" s="89">
        <f t="shared" si="227"/>
        <v>0.99277568180413833</v>
      </c>
      <c r="Y2713" s="72">
        <v>0.14327309999999999</v>
      </c>
    </row>
    <row r="2714" spans="2:25" x14ac:dyDescent="0.3">
      <c r="B2714">
        <v>128</v>
      </c>
      <c r="C2714">
        <v>40</v>
      </c>
      <c r="D2714">
        <v>758</v>
      </c>
      <c r="F2714" s="73">
        <f t="shared" si="223"/>
        <v>5.8819243122679672E-2</v>
      </c>
      <c r="G2714" s="15">
        <v>6.1727608200313755E-2</v>
      </c>
      <c r="H2714" s="15">
        <v>0.93827239179968625</v>
      </c>
      <c r="I2714" s="72">
        <f t="shared" si="219"/>
        <v>3.8332288027640134E-3</v>
      </c>
      <c r="J2714" s="72">
        <f t="shared" si="224"/>
        <v>5.4986014319915656E-2</v>
      </c>
      <c r="K2714" s="8">
        <f t="shared" si="225"/>
        <v>2.8050735200430021E-4</v>
      </c>
      <c r="O2714" s="72">
        <v>4.5952533689593494E-4</v>
      </c>
      <c r="P2714" s="72">
        <v>2.9947100021593855E-5</v>
      </c>
      <c r="R2714" s="73">
        <f t="shared" si="222"/>
        <v>2.0455669413657054E-6</v>
      </c>
      <c r="S2714" s="74">
        <f t="shared" si="218"/>
        <v>2.060452304440379E-6</v>
      </c>
      <c r="T2714">
        <f t="shared" si="226"/>
        <v>0.10959724719017938</v>
      </c>
      <c r="U2714" s="86">
        <f t="shared" si="221"/>
        <v>7.4861507643565152E-3</v>
      </c>
      <c r="V2714" s="7">
        <f t="shared" si="217"/>
        <v>13.555744410968032</v>
      </c>
      <c r="W2714" s="89">
        <f t="shared" si="227"/>
        <v>0.99251384923564345</v>
      </c>
      <c r="Y2714" s="72">
        <v>0.14542133333333299</v>
      </c>
    </row>
    <row r="2715" spans="2:25" s="18" customFormat="1" x14ac:dyDescent="0.3">
      <c r="B2715" s="18">
        <v>129</v>
      </c>
      <c r="C2715" s="18">
        <v>40</v>
      </c>
      <c r="D2715" s="18">
        <v>0</v>
      </c>
      <c r="E2715" s="93"/>
      <c r="F2715" s="73">
        <f t="shared" si="223"/>
        <v>0</v>
      </c>
      <c r="G2715" s="15">
        <v>0</v>
      </c>
      <c r="H2715" s="15">
        <v>0</v>
      </c>
      <c r="I2715" s="72">
        <f t="shared" si="219"/>
        <v>0</v>
      </c>
      <c r="J2715" s="72">
        <f t="shared" si="224"/>
        <v>0</v>
      </c>
      <c r="K2715" s="8">
        <f t="shared" si="225"/>
        <v>0</v>
      </c>
      <c r="L2715"/>
      <c r="M2715"/>
      <c r="N2715"/>
      <c r="O2715" s="72">
        <v>0</v>
      </c>
      <c r="P2715" s="72">
        <v>0</v>
      </c>
      <c r="Q2715"/>
      <c r="R2715" s="73">
        <f t="shared" si="222"/>
        <v>0</v>
      </c>
      <c r="S2715" s="74">
        <f t="shared" si="218"/>
        <v>0</v>
      </c>
      <c r="T2715">
        <f t="shared" si="226"/>
        <v>0</v>
      </c>
      <c r="U2715" s="86">
        <f>T2715/$V$2715</f>
        <v>0</v>
      </c>
      <c r="V2715">
        <f>2%*1000*0.732</f>
        <v>14.64</v>
      </c>
      <c r="W2715" s="89">
        <f t="shared" si="227"/>
        <v>1</v>
      </c>
      <c r="X2715"/>
      <c r="Y2715" s="72">
        <v>0</v>
      </c>
    </row>
    <row r="2716" spans="2:25" x14ac:dyDescent="0.3">
      <c r="B2716">
        <v>129</v>
      </c>
      <c r="C2716">
        <v>40</v>
      </c>
      <c r="D2716">
        <v>1</v>
      </c>
      <c r="F2716" s="73">
        <f t="shared" si="223"/>
        <v>4.859875647276423E-2</v>
      </c>
      <c r="G2716" s="15">
        <v>0.16810640467053703</v>
      </c>
      <c r="H2716" s="15">
        <v>0.83189359532946294</v>
      </c>
      <c r="I2716" s="72">
        <f t="shared" si="219"/>
        <v>7.3466556929326103E-3</v>
      </c>
      <c r="J2716" s="72">
        <f t="shared" si="224"/>
        <v>4.1252100779831623E-2</v>
      </c>
      <c r="K2716" s="8">
        <f t="shared" si="225"/>
        <v>5.0182074405277386E-4</v>
      </c>
      <c r="O2716" s="72">
        <v>4.859875647276423E-2</v>
      </c>
      <c r="P2716" s="72">
        <v>7.3466556929326103E-3</v>
      </c>
      <c r="R2716" s="73">
        <f t="shared" si="222"/>
        <v>5.0182074405277386E-4</v>
      </c>
      <c r="S2716" s="74">
        <f t="shared" si="218"/>
        <v>5.0182074405277386E-4</v>
      </c>
      <c r="T2716">
        <f t="shared" si="226"/>
        <v>7.3466556929326103E-3</v>
      </c>
      <c r="U2716" s="86">
        <f t="shared" ref="U2716:U2733" si="228">T2716/$V$2715</f>
        <v>5.0182074405277386E-4</v>
      </c>
      <c r="V2716" s="7">
        <f t="shared" si="217"/>
        <v>14.632653344307068</v>
      </c>
      <c r="W2716" s="89">
        <f t="shared" si="227"/>
        <v>0.99949817925594719</v>
      </c>
      <c r="Y2716" s="72">
        <v>1.6613000000000001E-3</v>
      </c>
    </row>
    <row r="2717" spans="2:25" x14ac:dyDescent="0.3">
      <c r="B2717">
        <v>129</v>
      </c>
      <c r="C2717">
        <v>40</v>
      </c>
      <c r="D2717">
        <v>2</v>
      </c>
      <c r="F2717" s="73">
        <f t="shared" si="223"/>
        <v>0.57999937647678701</v>
      </c>
      <c r="G2717" s="15">
        <v>2.4145363916232069E-2</v>
      </c>
      <c r="H2717" s="15">
        <v>0.97585463608376799</v>
      </c>
      <c r="I2717" s="72">
        <f t="shared" si="219"/>
        <v>1.2783735567349694E-2</v>
      </c>
      <c r="J2717" s="72">
        <f t="shared" si="224"/>
        <v>0.56721564090943732</v>
      </c>
      <c r="K2717" s="8">
        <f t="shared" si="225"/>
        <v>8.736443942563084E-4</v>
      </c>
      <c r="O2717" s="72">
        <v>0.57999937647678701</v>
      </c>
      <c r="P2717" s="72">
        <v>1.2783735567349694E-2</v>
      </c>
      <c r="R2717" s="73">
        <f t="shared" si="222"/>
        <v>8.7320598137634515E-4</v>
      </c>
      <c r="S2717" s="74">
        <f t="shared" si="218"/>
        <v>8.736443942563084E-4</v>
      </c>
      <c r="T2717">
        <f t="shared" si="226"/>
        <v>2.0130391260282304E-2</v>
      </c>
      <c r="U2717" s="86">
        <f t="shared" si="228"/>
        <v>1.375026725429119E-3</v>
      </c>
      <c r="V2717" s="7">
        <f t="shared" si="217"/>
        <v>14.612522953046785</v>
      </c>
      <c r="W2717" s="89">
        <f t="shared" si="227"/>
        <v>0.99862497327457089</v>
      </c>
      <c r="Y2717" s="72">
        <v>1.8713766666666701E-2</v>
      </c>
    </row>
    <row r="2718" spans="2:25" x14ac:dyDescent="0.3">
      <c r="B2718">
        <v>129</v>
      </c>
      <c r="C2718">
        <v>40</v>
      </c>
      <c r="D2718">
        <v>3</v>
      </c>
      <c r="F2718" s="73">
        <f t="shared" si="223"/>
        <v>0.24853780806615336</v>
      </c>
      <c r="G2718" s="15">
        <v>3.0602846670463535E-2</v>
      </c>
      <c r="H2718" s="15">
        <v>0.96939715332953658</v>
      </c>
      <c r="I2718" s="72">
        <f t="shared" si="219"/>
        <v>9.2549469849688062E-3</v>
      </c>
      <c r="J2718" s="72">
        <f t="shared" si="224"/>
        <v>0.23928286108118454</v>
      </c>
      <c r="K2718" s="8">
        <f t="shared" si="225"/>
        <v>6.3335722480689779E-4</v>
      </c>
      <c r="O2718" s="72">
        <v>0.24853780806615336</v>
      </c>
      <c r="P2718" s="72">
        <v>9.2549469849688062E-3</v>
      </c>
      <c r="R2718" s="73">
        <f t="shared" si="222"/>
        <v>6.3216850990224067E-4</v>
      </c>
      <c r="S2718" s="74">
        <f t="shared" si="218"/>
        <v>6.3303895538413155E-4</v>
      </c>
      <c r="T2718">
        <f t="shared" si="226"/>
        <v>2.9385338245251108E-2</v>
      </c>
      <c r="U2718" s="86">
        <f t="shared" si="228"/>
        <v>2.0071952353313597E-3</v>
      </c>
      <c r="V2718" s="7">
        <f t="shared" si="217"/>
        <v>14.583137614801533</v>
      </c>
      <c r="W2718" s="89">
        <f t="shared" si="227"/>
        <v>0.99799280476466867</v>
      </c>
      <c r="Y2718" s="72">
        <v>2.6696233333333298E-2</v>
      </c>
    </row>
    <row r="2719" spans="2:25" x14ac:dyDescent="0.3">
      <c r="B2719">
        <v>129</v>
      </c>
      <c r="C2719">
        <v>40</v>
      </c>
      <c r="D2719">
        <v>5</v>
      </c>
      <c r="F2719" s="73">
        <f t="shared" si="223"/>
        <v>0.29614237442219538</v>
      </c>
      <c r="G2719" s="15">
        <v>8.06986961725145E-3</v>
      </c>
      <c r="H2719" s="15">
        <v>0.99193013038274858</v>
      </c>
      <c r="I2719" s="72">
        <f t="shared" si="219"/>
        <v>4.3064026367747198E-4</v>
      </c>
      <c r="J2719" s="72">
        <f t="shared" si="224"/>
        <v>0.29571173415851792</v>
      </c>
      <c r="K2719" s="8">
        <f t="shared" si="225"/>
        <v>2.9530014394185137E-5</v>
      </c>
      <c r="O2719" s="72">
        <v>0.14807118721109769</v>
      </c>
      <c r="P2719" s="72">
        <v>2.1532013183873599E-4</v>
      </c>
      <c r="R2719" s="73">
        <f t="shared" si="222"/>
        <v>1.4707659278602285E-5</v>
      </c>
      <c r="S2719" s="74">
        <f t="shared" si="218"/>
        <v>1.4737239796102959E-5</v>
      </c>
      <c r="T2719">
        <f t="shared" si="226"/>
        <v>2.981597850892858E-2</v>
      </c>
      <c r="U2719" s="86">
        <f t="shared" si="228"/>
        <v>2.0366105538885643E-3</v>
      </c>
      <c r="V2719" s="7">
        <f t="shared" si="217"/>
        <v>14.553321636292605</v>
      </c>
      <c r="W2719" s="89">
        <f t="shared" si="227"/>
        <v>0.9979633894461114</v>
      </c>
      <c r="Y2719" s="72">
        <v>3.6219700000000001E-2</v>
      </c>
    </row>
    <row r="2720" spans="2:25" x14ac:dyDescent="0.3">
      <c r="B2720">
        <v>129</v>
      </c>
      <c r="C2720">
        <v>40</v>
      </c>
      <c r="D2720">
        <v>8</v>
      </c>
      <c r="F2720" s="73">
        <f t="shared" si="223"/>
        <v>0.552101367304208</v>
      </c>
      <c r="G2720" s="15">
        <v>1.8904959252596217E-2</v>
      </c>
      <c r="H2720" s="15">
        <v>0.98109504074740372</v>
      </c>
      <c r="I2720" s="72">
        <f t="shared" si="219"/>
        <v>1.3792495854161715E-2</v>
      </c>
      <c r="J2720" s="72">
        <f t="shared" si="224"/>
        <v>0.53830887145004624</v>
      </c>
      <c r="K2720" s="8">
        <f t="shared" si="225"/>
        <v>9.4772150295685303E-4</v>
      </c>
      <c r="O2720" s="72">
        <v>0.18403378910140267</v>
      </c>
      <c r="P2720" s="72">
        <v>4.5974986180539051E-3</v>
      </c>
      <c r="R2720" s="73">
        <f t="shared" si="222"/>
        <v>3.1403679085067652E-4</v>
      </c>
      <c r="S2720" s="74">
        <f t="shared" si="218"/>
        <v>3.146776667077666E-4</v>
      </c>
      <c r="T2720">
        <f t="shared" si="226"/>
        <v>4.3608474363090295E-2</v>
      </c>
      <c r="U2720" s="86">
        <f t="shared" si="228"/>
        <v>2.9787209264405938E-3</v>
      </c>
      <c r="V2720" s="7">
        <f t="shared" si="217"/>
        <v>14.509713161929515</v>
      </c>
      <c r="W2720" s="89">
        <f t="shared" si="227"/>
        <v>0.99702127907355942</v>
      </c>
      <c r="Y2720" s="72">
        <v>5.3308366666666697E-2</v>
      </c>
    </row>
    <row r="2721" spans="2:25" x14ac:dyDescent="0.3">
      <c r="B2721">
        <v>129</v>
      </c>
      <c r="C2721">
        <v>40</v>
      </c>
      <c r="D2721">
        <v>13</v>
      </c>
      <c r="F2721" s="73">
        <f t="shared" si="223"/>
        <v>0.71059258394972835</v>
      </c>
      <c r="G2721" s="15">
        <v>1.4232521811649867E-2</v>
      </c>
      <c r="H2721" s="15">
        <v>0.9857674781883502</v>
      </c>
      <c r="I2721" s="72">
        <f t="shared" si="219"/>
        <v>1.119874170347825E-2</v>
      </c>
      <c r="J2721" s="72">
        <f t="shared" si="224"/>
        <v>0.69939384224625012</v>
      </c>
      <c r="K2721" s="8">
        <f t="shared" si="225"/>
        <v>7.7180999917086099E-4</v>
      </c>
      <c r="O2721" s="72">
        <v>0.14211851678994566</v>
      </c>
      <c r="P2721" s="72">
        <v>2.2397483406956498E-3</v>
      </c>
      <c r="R2721" s="73">
        <f t="shared" si="222"/>
        <v>1.5298827463768109E-4</v>
      </c>
      <c r="S2721" s="74">
        <f t="shared" si="218"/>
        <v>1.5344534549938501E-4</v>
      </c>
      <c r="T2721">
        <f t="shared" si="226"/>
        <v>5.4807216066568548E-2</v>
      </c>
      <c r="U2721" s="86">
        <f t="shared" si="228"/>
        <v>3.7436622996289992E-3</v>
      </c>
      <c r="V2721" s="7">
        <f t="shared" si="217"/>
        <v>14.454905945862945</v>
      </c>
      <c r="W2721" s="89">
        <f t="shared" si="227"/>
        <v>0.99625633770037103</v>
      </c>
      <c r="Y2721" s="72">
        <v>7.4079533333333308E-2</v>
      </c>
    </row>
    <row r="2722" spans="2:25" x14ac:dyDescent="0.3">
      <c r="B2722">
        <v>129</v>
      </c>
      <c r="C2722">
        <v>40</v>
      </c>
      <c r="D2722">
        <v>20</v>
      </c>
      <c r="F2722" s="73">
        <f t="shared" si="223"/>
        <v>0.52580540119632202</v>
      </c>
      <c r="G2722" s="15">
        <v>1.454030582351783E-2</v>
      </c>
      <c r="H2722" s="15">
        <v>0.98545969417648227</v>
      </c>
      <c r="I2722" s="72">
        <f t="shared" si="219"/>
        <v>9.3789623600613846E-3</v>
      </c>
      <c r="J2722" s="72">
        <f t="shared" si="224"/>
        <v>0.5164264388362606</v>
      </c>
      <c r="K2722" s="8">
        <f t="shared" si="225"/>
        <v>6.48842849285068E-4</v>
      </c>
      <c r="O2722" s="72">
        <v>7.5115057313760294E-2</v>
      </c>
      <c r="P2722" s="72">
        <v>1.339851765723055E-3</v>
      </c>
      <c r="R2722" s="73">
        <f t="shared" si="222"/>
        <v>9.1519929352667647E-5</v>
      </c>
      <c r="S2722" s="74">
        <f t="shared" si="218"/>
        <v>9.1863836534200022E-5</v>
      </c>
      <c r="T2722">
        <f t="shared" si="226"/>
        <v>6.4186178426629936E-2</v>
      </c>
      <c r="U2722" s="86">
        <f t="shared" si="228"/>
        <v>4.3843018050976727E-3</v>
      </c>
      <c r="V2722" s="7">
        <f t="shared" si="217"/>
        <v>14.390719767436316</v>
      </c>
      <c r="W2722" s="89">
        <f t="shared" si="227"/>
        <v>0.99561569819490237</v>
      </c>
      <c r="Y2722" s="72">
        <v>9.0612533333333301E-2</v>
      </c>
    </row>
    <row r="2723" spans="2:25" x14ac:dyDescent="0.3">
      <c r="B2723">
        <v>129</v>
      </c>
      <c r="C2723">
        <v>40</v>
      </c>
      <c r="D2723">
        <v>30</v>
      </c>
      <c r="F2723" s="73">
        <f t="shared" si="223"/>
        <v>0.60772744257414768</v>
      </c>
      <c r="G2723" s="15">
        <v>1.4032850101966841E-2</v>
      </c>
      <c r="H2723" s="15">
        <v>0.98596714989803314</v>
      </c>
      <c r="I2723" s="72">
        <f t="shared" si="219"/>
        <v>4.0429219616990707E-3</v>
      </c>
      <c r="J2723" s="72">
        <f t="shared" si="224"/>
        <v>0.60368452061244859</v>
      </c>
      <c r="K2723" s="8">
        <f t="shared" si="225"/>
        <v>2.8093952401515707E-4</v>
      </c>
      <c r="O2723" s="72">
        <v>6.0772744257414767E-2</v>
      </c>
      <c r="P2723" s="72">
        <v>4.0429219616990703E-4</v>
      </c>
      <c r="R2723" s="73">
        <f t="shared" si="222"/>
        <v>2.7615587170075686E-5</v>
      </c>
      <c r="S2723" s="74">
        <f t="shared" si="218"/>
        <v>2.7737195405962396E-5</v>
      </c>
      <c r="T2723">
        <f t="shared" si="226"/>
        <v>6.8229100388329009E-2</v>
      </c>
      <c r="U2723" s="86">
        <f t="shared" si="228"/>
        <v>4.6604576767984296E-3</v>
      </c>
      <c r="V2723" s="7">
        <f t="shared" si="217"/>
        <v>14.322490667047987</v>
      </c>
      <c r="W2723" s="89">
        <f t="shared" si="227"/>
        <v>0.99533954232320154</v>
      </c>
      <c r="Y2723" s="72">
        <v>0.107600766666667</v>
      </c>
    </row>
    <row r="2724" spans="2:25" x14ac:dyDescent="0.3">
      <c r="B2724">
        <v>129</v>
      </c>
      <c r="C2724">
        <v>40</v>
      </c>
      <c r="D2724">
        <v>44</v>
      </c>
      <c r="F2724" s="73">
        <f t="shared" si="223"/>
        <v>0.63854382720680669</v>
      </c>
      <c r="G2724" s="15">
        <v>9.5052081993265876E-3</v>
      </c>
      <c r="H2724" s="15">
        <v>0.99049479180067335</v>
      </c>
      <c r="I2724" s="72">
        <f t="shared" si="219"/>
        <v>-6.6149916428786127E-4</v>
      </c>
      <c r="J2724" s="72">
        <f t="shared" si="224"/>
        <v>0.63920532637109451</v>
      </c>
      <c r="K2724" s="8">
        <f t="shared" si="225"/>
        <v>-4.6186042614067421E-5</v>
      </c>
      <c r="O2724" s="72">
        <v>4.5610273371914763E-2</v>
      </c>
      <c r="P2724" s="72">
        <v>-4.7249940306275803E-5</v>
      </c>
      <c r="R2724" s="73">
        <f t="shared" si="222"/>
        <v>-3.2274549389532545E-6</v>
      </c>
      <c r="S2724" s="74">
        <f t="shared" si="218"/>
        <v>-3.2425667842152822E-6</v>
      </c>
      <c r="T2724">
        <f t="shared" si="226"/>
        <v>6.7567601224041152E-2</v>
      </c>
      <c r="U2724" s="86">
        <f t="shared" si="228"/>
        <v>4.615273307653084E-3</v>
      </c>
      <c r="V2724" s="7">
        <f t="shared" ref="V2724:V2733" si="229">V2723-T2724</f>
        <v>14.254923065823945</v>
      </c>
      <c r="W2724" s="89">
        <f t="shared" si="227"/>
        <v>0.9953847266923469</v>
      </c>
      <c r="Y2724" s="72">
        <v>0.126888266666667</v>
      </c>
    </row>
    <row r="2725" spans="2:25" x14ac:dyDescent="0.3">
      <c r="B2725">
        <v>129</v>
      </c>
      <c r="C2725">
        <v>40</v>
      </c>
      <c r="D2725">
        <v>65</v>
      </c>
      <c r="F2725" s="73">
        <f t="shared" si="223"/>
        <v>0.56795037084815825</v>
      </c>
      <c r="G2725" s="15">
        <v>2.0616487127913495E-2</v>
      </c>
      <c r="H2725" s="15">
        <v>0.97938351287208647</v>
      </c>
      <c r="I2725" s="72">
        <f t="shared" si="219"/>
        <v>5.65096567907542E-3</v>
      </c>
      <c r="J2725" s="72">
        <f t="shared" si="224"/>
        <v>0.56229940516908283</v>
      </c>
      <c r="K2725" s="8">
        <f t="shared" si="225"/>
        <v>3.9642203980907911E-4</v>
      </c>
      <c r="O2725" s="72">
        <v>2.7045255754674202E-2</v>
      </c>
      <c r="P2725" s="72">
        <v>2.6909360376549618E-4</v>
      </c>
      <c r="R2725" s="73">
        <f t="shared" si="222"/>
        <v>1.8380710639719657E-5</v>
      </c>
      <c r="S2725" s="74">
        <f t="shared" si="218"/>
        <v>1.846593598115431E-5</v>
      </c>
      <c r="T2725">
        <f t="shared" si="226"/>
        <v>7.3218566903116566E-2</v>
      </c>
      <c r="U2725" s="86">
        <f t="shared" si="228"/>
        <v>5.0012682310871968E-3</v>
      </c>
      <c r="V2725" s="7">
        <f t="shared" si="229"/>
        <v>14.181704498920828</v>
      </c>
      <c r="W2725" s="89">
        <f t="shared" si="227"/>
        <v>0.99499873176891285</v>
      </c>
      <c r="Y2725" s="72">
        <v>0.14385050000000002</v>
      </c>
    </row>
    <row r="2726" spans="2:25" x14ac:dyDescent="0.3">
      <c r="B2726">
        <v>129</v>
      </c>
      <c r="C2726">
        <v>40</v>
      </c>
      <c r="D2726">
        <v>90</v>
      </c>
      <c r="F2726" s="73">
        <f t="shared" si="223"/>
        <v>0.3559220614370075</v>
      </c>
      <c r="G2726" s="15">
        <v>2.0377153900135631E-2</v>
      </c>
      <c r="H2726" s="15">
        <v>0.97962284609986439</v>
      </c>
      <c r="I2726" s="72">
        <f t="shared" si="219"/>
        <v>5.6374632007765374E-3</v>
      </c>
      <c r="J2726" s="72">
        <f t="shared" si="224"/>
        <v>0.35028459823623098</v>
      </c>
      <c r="K2726" s="8">
        <f t="shared" si="225"/>
        <v>3.9751661735763327E-4</v>
      </c>
      <c r="O2726" s="72">
        <v>1.4236882457480299E-2</v>
      </c>
      <c r="P2726" s="72">
        <v>2.254985280310615E-4</v>
      </c>
      <c r="R2726" s="73">
        <f t="shared" si="222"/>
        <v>1.5402904920154488E-5</v>
      </c>
      <c r="S2726" s="74">
        <f t="shared" si="218"/>
        <v>1.5480326183703915E-5</v>
      </c>
      <c r="T2726">
        <f t="shared" si="226"/>
        <v>7.885603010389311E-2</v>
      </c>
      <c r="U2726" s="86">
        <f t="shared" si="228"/>
        <v>5.386340854091059E-3</v>
      </c>
      <c r="V2726" s="7">
        <f t="shared" si="229"/>
        <v>14.102848468816935</v>
      </c>
      <c r="W2726" s="89">
        <f t="shared" si="227"/>
        <v>0.99461365914590893</v>
      </c>
      <c r="Y2726" s="72">
        <v>0.15456556666666699</v>
      </c>
    </row>
    <row r="2727" spans="2:25" x14ac:dyDescent="0.3">
      <c r="B2727">
        <v>129</v>
      </c>
      <c r="C2727">
        <v>40</v>
      </c>
      <c r="D2727">
        <v>120</v>
      </c>
      <c r="F2727" s="73">
        <f t="shared" si="223"/>
        <v>0.28984745006911106</v>
      </c>
      <c r="G2727" s="15">
        <v>2.29814635776475E-2</v>
      </c>
      <c r="H2727" s="15">
        <v>0.97701853642235248</v>
      </c>
      <c r="I2727" s="72">
        <f t="shared" si="219"/>
        <v>4.6043836651407447E-3</v>
      </c>
      <c r="J2727" s="72">
        <f t="shared" si="224"/>
        <v>0.28524306640397029</v>
      </c>
      <c r="K2727" s="8">
        <f t="shared" si="225"/>
        <v>3.2648607657676968E-4</v>
      </c>
      <c r="O2727" s="72">
        <v>9.6615816689703676E-3</v>
      </c>
      <c r="P2727" s="72">
        <v>1.5347945550469149E-4</v>
      </c>
      <c r="R2727" s="73">
        <f t="shared" si="222"/>
        <v>1.0483569365074552E-5</v>
      </c>
      <c r="S2727" s="74">
        <f t="shared" si="218"/>
        <v>1.0540343246519423E-5</v>
      </c>
      <c r="T2727">
        <f t="shared" si="226"/>
        <v>8.3460413769033848E-2</v>
      </c>
      <c r="U2727" s="86">
        <f t="shared" si="228"/>
        <v>5.7008479350432956E-3</v>
      </c>
      <c r="V2727" s="7">
        <f t="shared" si="229"/>
        <v>14.019388055047902</v>
      </c>
      <c r="W2727" s="89">
        <f t="shared" si="227"/>
        <v>0.99429915206495667</v>
      </c>
      <c r="Y2727" s="72">
        <v>0.16360650000000002</v>
      </c>
    </row>
    <row r="2728" spans="2:25" x14ac:dyDescent="0.3">
      <c r="B2728">
        <v>129</v>
      </c>
      <c r="C2728">
        <v>40</v>
      </c>
      <c r="D2728">
        <v>240</v>
      </c>
      <c r="F2728" s="73">
        <f t="shared" si="223"/>
        <v>0.6909111568942603</v>
      </c>
      <c r="G2728" s="15">
        <v>2.19231855051106E-2</v>
      </c>
      <c r="H2728" s="15">
        <v>0.97807681449488937</v>
      </c>
      <c r="I2728" s="72">
        <f t="shared" si="219"/>
        <v>1.9290440155024981E-2</v>
      </c>
      <c r="J2728" s="72">
        <f t="shared" si="224"/>
        <v>0.67162071673923529</v>
      </c>
      <c r="K2728" s="8">
        <f t="shared" si="225"/>
        <v>1.3759830371539758E-3</v>
      </c>
      <c r="O2728" s="72">
        <v>5.7575929741188357E-3</v>
      </c>
      <c r="P2728" s="72">
        <v>1.607536679585415E-4</v>
      </c>
      <c r="R2728" s="73">
        <f t="shared" si="222"/>
        <v>1.0980441800446823E-5</v>
      </c>
      <c r="S2728" s="74">
        <f t="shared" si="218"/>
        <v>1.104339853618771E-5</v>
      </c>
      <c r="T2728">
        <f t="shared" si="226"/>
        <v>0.10275085392405883</v>
      </c>
      <c r="U2728" s="86">
        <f t="shared" si="228"/>
        <v>7.0185009510969143E-3</v>
      </c>
      <c r="V2728" s="7">
        <f t="shared" si="229"/>
        <v>13.916637201123843</v>
      </c>
      <c r="W2728" s="89">
        <f t="shared" si="227"/>
        <v>0.99298149904890309</v>
      </c>
      <c r="Y2728" s="72">
        <v>0.18455846666666698</v>
      </c>
    </row>
    <row r="2729" spans="2:25" x14ac:dyDescent="0.3">
      <c r="B2729">
        <v>129</v>
      </c>
      <c r="C2729">
        <v>40</v>
      </c>
      <c r="D2729">
        <v>310</v>
      </c>
      <c r="F2729" s="73">
        <f t="shared" si="223"/>
        <v>0.22243251351207785</v>
      </c>
      <c r="G2729" s="15">
        <v>2.0864907432573732E-2</v>
      </c>
      <c r="H2729" s="15">
        <v>0.97913509256742626</v>
      </c>
      <c r="I2729" s="72">
        <f t="shared" si="219"/>
        <v>4.1930204028514384E-3</v>
      </c>
      <c r="J2729" s="72">
        <f t="shared" si="224"/>
        <v>0.21823949310922641</v>
      </c>
      <c r="K2729" s="8">
        <f t="shared" si="225"/>
        <v>3.012955171751427E-4</v>
      </c>
      <c r="O2729" s="72">
        <v>3.1776073358868264E-3</v>
      </c>
      <c r="P2729" s="72">
        <v>5.9900291469306257E-5</v>
      </c>
      <c r="R2729" s="73">
        <f t="shared" si="222"/>
        <v>4.0915499637504362E-6</v>
      </c>
      <c r="S2729" s="74">
        <f t="shared" si="218"/>
        <v>4.12046948273397E-6</v>
      </c>
      <c r="T2729">
        <f t="shared" si="226"/>
        <v>0.10694387432691027</v>
      </c>
      <c r="U2729" s="86">
        <f t="shared" si="228"/>
        <v>7.3049094485594449E-3</v>
      </c>
      <c r="V2729" s="7">
        <f t="shared" si="229"/>
        <v>13.809693326796932</v>
      </c>
      <c r="W2729" s="89">
        <f t="shared" si="227"/>
        <v>0.99269509055144056</v>
      </c>
      <c r="Y2729" s="72">
        <v>0.190513866666667</v>
      </c>
    </row>
    <row r="2730" spans="2:25" x14ac:dyDescent="0.3">
      <c r="B2730">
        <v>129</v>
      </c>
      <c r="C2730">
        <v>40</v>
      </c>
      <c r="D2730">
        <v>430</v>
      </c>
      <c r="F2730" s="73">
        <f t="shared" si="223"/>
        <v>0.21971640684559801</v>
      </c>
      <c r="G2730" s="15">
        <v>2.9525751469526396E-2</v>
      </c>
      <c r="H2730" s="15">
        <v>0.97047424853047359</v>
      </c>
      <c r="I2730" s="72">
        <f t="shared" si="219"/>
        <v>7.0265829313845051E-3</v>
      </c>
      <c r="J2730" s="72">
        <f t="shared" si="224"/>
        <v>0.21268982391421351</v>
      </c>
      <c r="K2730" s="8">
        <f t="shared" si="225"/>
        <v>5.0881527671217848E-4</v>
      </c>
      <c r="O2730" s="72">
        <v>1.8309700570466501E-3</v>
      </c>
      <c r="P2730" s="72">
        <v>5.8554857761537541E-5</v>
      </c>
      <c r="R2730" s="73">
        <f t="shared" si="222"/>
        <v>3.9996487542033771E-6</v>
      </c>
      <c r="S2730" s="74">
        <f t="shared" ref="S2730:S2791" si="230">IF(D2730&gt;D2729,(U2730-U2729)/W2729/(D2730-D2729),0)</f>
        <v>4.0290808247893907E-6</v>
      </c>
      <c r="T2730">
        <f t="shared" si="226"/>
        <v>0.11397045725829477</v>
      </c>
      <c r="U2730" s="86">
        <f t="shared" si="228"/>
        <v>7.7848672990638501E-3</v>
      </c>
      <c r="V2730" s="7">
        <f t="shared" si="229"/>
        <v>13.695722869538637</v>
      </c>
      <c r="W2730" s="89">
        <f t="shared" si="227"/>
        <v>0.9922151327009362</v>
      </c>
      <c r="Y2730" s="72">
        <v>0.19648606666666699</v>
      </c>
    </row>
    <row r="2731" spans="2:25" x14ac:dyDescent="0.3">
      <c r="B2731">
        <v>129</v>
      </c>
      <c r="C2731">
        <v>40</v>
      </c>
      <c r="D2731">
        <v>506</v>
      </c>
      <c r="F2731" s="73">
        <f t="shared" si="223"/>
        <v>0.13635946516599426</v>
      </c>
      <c r="G2731" s="15">
        <v>2.5693919633930681E-2</v>
      </c>
      <c r="H2731" s="15">
        <v>0.97430608036606925</v>
      </c>
      <c r="I2731" s="72">
        <f t="shared" si="219"/>
        <v>2.8477851240740889E-3</v>
      </c>
      <c r="J2731" s="72">
        <f t="shared" si="224"/>
        <v>0.13351168004192018</v>
      </c>
      <c r="K2731" s="8">
        <f t="shared" si="225"/>
        <v>2.0793244366881829E-4</v>
      </c>
      <c r="O2731" s="72">
        <v>1.7942034890262401E-3</v>
      </c>
      <c r="P2731" s="72">
        <v>3.7470856895711694E-5</v>
      </c>
      <c r="R2731" s="73">
        <f t="shared" si="222"/>
        <v>2.5594847606360434E-6</v>
      </c>
      <c r="S2731" s="74">
        <f t="shared" si="230"/>
        <v>2.57956634229998E-6</v>
      </c>
      <c r="T2731">
        <f t="shared" si="226"/>
        <v>0.11681824238236886</v>
      </c>
      <c r="U2731" s="86">
        <f t="shared" si="228"/>
        <v>7.9793881408721894E-3</v>
      </c>
      <c r="V2731" s="7">
        <f t="shared" si="229"/>
        <v>13.578904627156268</v>
      </c>
      <c r="W2731" s="89">
        <f t="shared" si="227"/>
        <v>0.99202061185912782</v>
      </c>
      <c r="Y2731" s="72">
        <v>0.20068093333333301</v>
      </c>
    </row>
    <row r="2732" spans="2:25" x14ac:dyDescent="0.3">
      <c r="B2732">
        <v>129</v>
      </c>
      <c r="C2732">
        <v>40</v>
      </c>
      <c r="D2732">
        <v>630</v>
      </c>
      <c r="F2732" s="73">
        <f t="shared" si="223"/>
        <v>0.14045316871438893</v>
      </c>
      <c r="G2732" s="15">
        <v>4.5980293108450206E-2</v>
      </c>
      <c r="H2732" s="15">
        <v>0.9540197068915498</v>
      </c>
      <c r="I2732" s="72">
        <f t="shared" si="219"/>
        <v>5.5239790044817588E-3</v>
      </c>
      <c r="J2732" s="72">
        <f t="shared" si="224"/>
        <v>0.13492918970990717</v>
      </c>
      <c r="K2732" s="8">
        <f t="shared" si="225"/>
        <v>4.0680593583626974E-4</v>
      </c>
      <c r="O2732" s="72">
        <v>1.1326868444708784E-3</v>
      </c>
      <c r="P2732" s="72">
        <v>4.45482177780787E-5</v>
      </c>
      <c r="R2732" s="73">
        <f t="shared" si="222"/>
        <v>3.0429110504152195E-6</v>
      </c>
      <c r="S2732" s="74">
        <f t="shared" si="230"/>
        <v>3.0673869212380124E-6</v>
      </c>
      <c r="T2732">
        <f t="shared" si="226"/>
        <v>0.12234222138685062</v>
      </c>
      <c r="U2732" s="86">
        <f t="shared" si="228"/>
        <v>8.3567091111236766E-3</v>
      </c>
      <c r="V2732" s="7">
        <f t="shared" si="229"/>
        <v>13.456562405769418</v>
      </c>
      <c r="W2732" s="89">
        <f t="shared" si="227"/>
        <v>0.99164329088887637</v>
      </c>
      <c r="Y2732" s="72">
        <v>0.20585870000000001</v>
      </c>
    </row>
    <row r="2733" spans="2:25" x14ac:dyDescent="0.3">
      <c r="B2733">
        <v>129</v>
      </c>
      <c r="C2733">
        <v>40</v>
      </c>
      <c r="D2733">
        <v>758</v>
      </c>
      <c r="F2733" s="73">
        <f t="shared" si="223"/>
        <v>0.20669704425406121</v>
      </c>
      <c r="G2733" s="15">
        <v>6.1707876670121432E-2</v>
      </c>
      <c r="H2733" s="15">
        <v>0.93829212332987855</v>
      </c>
      <c r="I2733" s="72">
        <f t="shared" si="219"/>
        <v>1.5043807204184601E-2</v>
      </c>
      <c r="J2733" s="72">
        <f t="shared" si="224"/>
        <v>0.19165323704987661</v>
      </c>
      <c r="K2733" s="8">
        <f t="shared" si="225"/>
        <v>1.1179532149856238E-3</v>
      </c>
      <c r="O2733" s="72">
        <v>1.6148206582348532E-3</v>
      </c>
      <c r="P2733" s="72">
        <v>1.1752974378269219E-4</v>
      </c>
      <c r="R2733" s="73">
        <f t="shared" si="222"/>
        <v>8.0279879632986372E-6</v>
      </c>
      <c r="S2733" s="74">
        <f t="shared" si="230"/>
        <v>8.0956408791941838E-6</v>
      </c>
      <c r="T2733">
        <f t="shared" si="226"/>
        <v>0.13738602859103521</v>
      </c>
      <c r="U2733" s="86">
        <f t="shared" si="228"/>
        <v>9.3842915704259022E-3</v>
      </c>
      <c r="V2733" s="7">
        <f t="shared" si="229"/>
        <v>13.319176377178383</v>
      </c>
      <c r="W2733" s="89">
        <f t="shared" si="227"/>
        <v>0.99061570842957414</v>
      </c>
      <c r="Y2733" s="72">
        <v>0.21209003333333298</v>
      </c>
    </row>
    <row r="2734" spans="2:25" x14ac:dyDescent="0.3">
      <c r="B2734">
        <v>169</v>
      </c>
      <c r="C2734">
        <v>72</v>
      </c>
      <c r="D2734">
        <v>0</v>
      </c>
      <c r="R2734" s="8">
        <v>0</v>
      </c>
      <c r="S2734" s="74">
        <f>IF(D2734&gt;D2733,(U2734-U2733)/W2733/(D2734-D2733),0)</f>
        <v>0</v>
      </c>
      <c r="U2734">
        <v>0</v>
      </c>
      <c r="W2734" s="12">
        <f>100%-U2734</f>
        <v>1</v>
      </c>
    </row>
    <row r="2735" spans="2:25" x14ac:dyDescent="0.3">
      <c r="B2735">
        <v>169</v>
      </c>
      <c r="C2735">
        <v>72</v>
      </c>
      <c r="D2735">
        <v>3</v>
      </c>
      <c r="R2735" s="8">
        <v>2.0343507970000001E-2</v>
      </c>
      <c r="S2735" s="74">
        <f>IF(D2735&gt;D2734,(U2735-U2734)/W2734/(D2735-D2734),0)</f>
        <v>2.0343507970000001E-2</v>
      </c>
      <c r="U2735" s="15">
        <f>R2735*(D2735-D2734)+U2734</f>
        <v>6.1030523910000002E-2</v>
      </c>
      <c r="W2735" s="12">
        <f t="shared" ref="W2735:W2791" si="231">100%-U2735</f>
        <v>0.93896947609000003</v>
      </c>
    </row>
    <row r="2736" spans="2:25" x14ac:dyDescent="0.3">
      <c r="B2736">
        <v>169</v>
      </c>
      <c r="C2736">
        <v>72</v>
      </c>
      <c r="D2736">
        <v>10</v>
      </c>
      <c r="R2736" s="8">
        <v>1.0577452389999999E-2</v>
      </c>
      <c r="S2736" s="74">
        <f t="shared" si="230"/>
        <v>1.1264958722669013E-2</v>
      </c>
      <c r="U2736" s="15">
        <f t="shared" ref="U2736:U2743" si="232">R2736*(D2736-D2735)+U2735</f>
        <v>0.13507269063999999</v>
      </c>
      <c r="W2736" s="12">
        <f t="shared" si="231"/>
        <v>0.86492730936000006</v>
      </c>
    </row>
    <row r="2737" spans="2:23" x14ac:dyDescent="0.3">
      <c r="B2737">
        <v>169</v>
      </c>
      <c r="C2737">
        <v>72</v>
      </c>
      <c r="D2737">
        <v>25</v>
      </c>
      <c r="R2737" s="8">
        <v>4.2458596279999995E-3</v>
      </c>
      <c r="S2737" s="74">
        <f t="shared" si="230"/>
        <v>4.9089207636901994E-3</v>
      </c>
      <c r="U2737" s="15">
        <f t="shared" si="232"/>
        <v>0.19876058505999999</v>
      </c>
      <c r="W2737" s="12">
        <f t="shared" si="231"/>
        <v>0.80123941493999995</v>
      </c>
    </row>
    <row r="2738" spans="2:23" x14ac:dyDescent="0.3">
      <c r="B2738">
        <v>169</v>
      </c>
      <c r="C2738">
        <v>72</v>
      </c>
      <c r="D2738">
        <v>60</v>
      </c>
      <c r="R2738" s="8">
        <v>2.156383331E-3</v>
      </c>
      <c r="S2738" s="74">
        <f t="shared" si="230"/>
        <v>2.6913096020887576E-3</v>
      </c>
      <c r="U2738" s="15">
        <f t="shared" si="232"/>
        <v>0.274234001645</v>
      </c>
      <c r="W2738" s="12">
        <f t="shared" si="231"/>
        <v>0.725765998355</v>
      </c>
    </row>
    <row r="2739" spans="2:23" x14ac:dyDescent="0.3">
      <c r="B2739">
        <v>169</v>
      </c>
      <c r="C2739">
        <v>72</v>
      </c>
      <c r="D2739">
        <v>125</v>
      </c>
      <c r="R2739" s="8">
        <v>8.6848406600000005E-4</v>
      </c>
      <c r="S2739" s="74">
        <f t="shared" si="230"/>
        <v>1.1966447422013171E-3</v>
      </c>
      <c r="U2739" s="15">
        <f t="shared" si="232"/>
        <v>0.33068546593500003</v>
      </c>
      <c r="W2739" s="12">
        <f t="shared" si="231"/>
        <v>0.66931453406499997</v>
      </c>
    </row>
    <row r="2740" spans="2:23" x14ac:dyDescent="0.3">
      <c r="B2740">
        <v>169</v>
      </c>
      <c r="C2740">
        <v>72</v>
      </c>
      <c r="D2740">
        <v>216</v>
      </c>
      <c r="R2740" s="8">
        <v>1.267434162E-3</v>
      </c>
      <c r="S2740" s="74">
        <f t="shared" si="230"/>
        <v>1.8936301208079165E-3</v>
      </c>
      <c r="U2740" s="15">
        <f t="shared" si="232"/>
        <v>0.44602197467700005</v>
      </c>
      <c r="W2740" s="12">
        <f t="shared" si="231"/>
        <v>0.553978025323</v>
      </c>
    </row>
    <row r="2741" spans="2:23" x14ac:dyDescent="0.3">
      <c r="B2741">
        <v>169</v>
      </c>
      <c r="C2741">
        <v>72</v>
      </c>
      <c r="D2741">
        <v>337</v>
      </c>
      <c r="R2741" s="8">
        <v>4.2791120699999999E-4</v>
      </c>
      <c r="S2741" s="74">
        <f t="shared" si="230"/>
        <v>7.7243353967064671E-4</v>
      </c>
      <c r="U2741" s="15">
        <f>R2741*(D2741-D2740)+U2740</f>
        <v>0.49779923072400006</v>
      </c>
      <c r="W2741" s="12">
        <f t="shared" si="231"/>
        <v>0.50220076927599999</v>
      </c>
    </row>
    <row r="2742" spans="2:23" x14ac:dyDescent="0.3">
      <c r="B2742">
        <v>169</v>
      </c>
      <c r="C2742">
        <v>72</v>
      </c>
      <c r="D2742">
        <v>371</v>
      </c>
      <c r="R2742" s="8">
        <v>2.3743157300000001E-4</v>
      </c>
      <c r="S2742" s="74">
        <f t="shared" si="230"/>
        <v>4.7278217702114122E-4</v>
      </c>
      <c r="U2742" s="15">
        <f t="shared" si="232"/>
        <v>0.50587190420600003</v>
      </c>
      <c r="W2742" s="12">
        <f t="shared" si="231"/>
        <v>0.49412809579399997</v>
      </c>
    </row>
    <row r="2743" spans="2:23" x14ac:dyDescent="0.3">
      <c r="B2743">
        <v>169</v>
      </c>
      <c r="C2743">
        <v>72</v>
      </c>
      <c r="D2743">
        <v>745</v>
      </c>
      <c r="R2743" s="8">
        <v>1.7976695700000001E-4</v>
      </c>
      <c r="S2743" s="74">
        <f t="shared" si="230"/>
        <v>3.6380638650214349E-4</v>
      </c>
      <c r="U2743" s="15">
        <f t="shared" si="232"/>
        <v>0.57310474612400009</v>
      </c>
      <c r="W2743" s="12">
        <f t="shared" si="231"/>
        <v>0.42689525387599991</v>
      </c>
    </row>
    <row r="2744" spans="2:23" x14ac:dyDescent="0.3">
      <c r="B2744">
        <v>170</v>
      </c>
      <c r="C2744">
        <v>72</v>
      </c>
      <c r="D2744">
        <v>0</v>
      </c>
      <c r="R2744" s="8">
        <v>0</v>
      </c>
      <c r="S2744" s="74">
        <f t="shared" si="230"/>
        <v>0</v>
      </c>
      <c r="U2744">
        <v>0</v>
      </c>
      <c r="W2744" s="12">
        <f t="shared" si="231"/>
        <v>1</v>
      </c>
    </row>
    <row r="2745" spans="2:23" x14ac:dyDescent="0.3">
      <c r="B2745">
        <v>170</v>
      </c>
      <c r="C2745">
        <v>72</v>
      </c>
      <c r="D2745">
        <v>3</v>
      </c>
      <c r="R2745" s="8">
        <v>1.7812449019999999E-2</v>
      </c>
      <c r="S2745" s="74">
        <f t="shared" si="230"/>
        <v>1.7812449019999999E-2</v>
      </c>
      <c r="U2745" s="15">
        <f>R2745*(D2745-D2744)+U2744</f>
        <v>5.3437347060000001E-2</v>
      </c>
      <c r="W2745" s="12">
        <f t="shared" si="231"/>
        <v>0.94656265293999997</v>
      </c>
    </row>
    <row r="2746" spans="2:23" x14ac:dyDescent="0.3">
      <c r="B2746">
        <v>170</v>
      </c>
      <c r="C2746">
        <v>72</v>
      </c>
      <c r="D2746">
        <v>10</v>
      </c>
      <c r="R2746" s="8">
        <v>7.0789669849999999E-3</v>
      </c>
      <c r="S2746" s="74">
        <f>IF(D2746&gt;D2745,(U2746-U2745)/W2745/(D2746-D2745),0)</f>
        <v>7.4786037279338091E-3</v>
      </c>
      <c r="U2746" s="15">
        <f t="shared" ref="U2746:U2753" si="233">R2746*(D2746-D2745)+U2745</f>
        <v>0.102990115955</v>
      </c>
      <c r="W2746" s="12">
        <f t="shared" si="231"/>
        <v>0.89700988404500004</v>
      </c>
    </row>
    <row r="2747" spans="2:23" x14ac:dyDescent="0.3">
      <c r="B2747">
        <v>170</v>
      </c>
      <c r="C2747">
        <v>72</v>
      </c>
      <c r="D2747">
        <v>25</v>
      </c>
      <c r="R2747" s="8">
        <v>4.050305457E-3</v>
      </c>
      <c r="S2747" s="74">
        <f t="shared" si="230"/>
        <v>4.5153409444447208E-3</v>
      </c>
      <c r="U2747" s="15">
        <f t="shared" si="233"/>
        <v>0.16374469781000001</v>
      </c>
      <c r="W2747" s="12">
        <f t="shared" si="231"/>
        <v>0.83625530218999999</v>
      </c>
    </row>
    <row r="2748" spans="2:23" x14ac:dyDescent="0.3">
      <c r="B2748">
        <v>170</v>
      </c>
      <c r="C2748">
        <v>72</v>
      </c>
      <c r="D2748">
        <v>60</v>
      </c>
      <c r="R2748" s="8">
        <v>1.7906765540000001E-3</v>
      </c>
      <c r="S2748" s="74">
        <f t="shared" si="230"/>
        <v>2.1413036776096309E-3</v>
      </c>
      <c r="U2748" s="15">
        <f t="shared" si="233"/>
        <v>0.22641837720000002</v>
      </c>
      <c r="W2748" s="12">
        <f t="shared" si="231"/>
        <v>0.77358162279999998</v>
      </c>
    </row>
    <row r="2749" spans="2:23" x14ac:dyDescent="0.3">
      <c r="B2749">
        <v>170</v>
      </c>
      <c r="C2749">
        <v>72</v>
      </c>
      <c r="D2749">
        <v>125</v>
      </c>
      <c r="R2749" s="8">
        <v>8.5440309000000007E-5</v>
      </c>
      <c r="S2749" s="74">
        <f t="shared" si="230"/>
        <v>1.1044769741394096E-4</v>
      </c>
      <c r="U2749" s="15">
        <f t="shared" si="233"/>
        <v>0.23197199728500001</v>
      </c>
      <c r="W2749" s="12">
        <f t="shared" si="231"/>
        <v>0.76802800271499994</v>
      </c>
    </row>
    <row r="2750" spans="2:23" x14ac:dyDescent="0.3">
      <c r="B2750">
        <v>170</v>
      </c>
      <c r="C2750">
        <v>72</v>
      </c>
      <c r="D2750">
        <v>216</v>
      </c>
      <c r="R2750" s="8">
        <v>4.0410472600000005E-4</v>
      </c>
      <c r="S2750" s="74">
        <f t="shared" si="230"/>
        <v>5.2615884391126182E-4</v>
      </c>
      <c r="U2750" s="15">
        <f t="shared" si="233"/>
        <v>0.26874552735099999</v>
      </c>
      <c r="W2750" s="12">
        <f t="shared" si="231"/>
        <v>0.73125447264900001</v>
      </c>
    </row>
    <row r="2751" spans="2:23" x14ac:dyDescent="0.3">
      <c r="B2751">
        <v>170</v>
      </c>
      <c r="C2751">
        <v>72</v>
      </c>
      <c r="D2751">
        <v>337</v>
      </c>
      <c r="R2751" s="8">
        <v>5.0032010699999996E-4</v>
      </c>
      <c r="S2751" s="74">
        <f t="shared" si="230"/>
        <v>6.8419425208788068E-4</v>
      </c>
      <c r="U2751" s="15">
        <f t="shared" si="233"/>
        <v>0.32928426029800001</v>
      </c>
      <c r="W2751" s="12">
        <f t="shared" si="231"/>
        <v>0.67071573970200005</v>
      </c>
    </row>
    <row r="2752" spans="2:23" x14ac:dyDescent="0.3">
      <c r="B2752">
        <v>170</v>
      </c>
      <c r="C2752">
        <v>72</v>
      </c>
      <c r="D2752">
        <v>371</v>
      </c>
      <c r="R2752" s="8">
        <v>1.1395461299999999E-4</v>
      </c>
      <c r="S2752" s="74">
        <f t="shared" si="230"/>
        <v>1.6990001315703442E-4</v>
      </c>
      <c r="U2752" s="15">
        <f t="shared" si="233"/>
        <v>0.33315871714</v>
      </c>
      <c r="W2752" s="12">
        <f t="shared" si="231"/>
        <v>0.66684128286</v>
      </c>
    </row>
    <row r="2753" spans="2:23" x14ac:dyDescent="0.3">
      <c r="B2753">
        <v>170</v>
      </c>
      <c r="C2753">
        <v>72</v>
      </c>
      <c r="D2753">
        <v>745</v>
      </c>
      <c r="R2753" s="8">
        <v>1.66910689E-4</v>
      </c>
      <c r="S2753" s="74">
        <f t="shared" si="230"/>
        <v>2.5030047372613266E-4</v>
      </c>
      <c r="U2753" s="15">
        <f t="shared" si="233"/>
        <v>0.39558331482600001</v>
      </c>
      <c r="W2753" s="12">
        <f t="shared" si="231"/>
        <v>0.60441668517400005</v>
      </c>
    </row>
    <row r="2754" spans="2:23" x14ac:dyDescent="0.3">
      <c r="B2754">
        <v>171</v>
      </c>
      <c r="C2754">
        <v>72</v>
      </c>
      <c r="D2754">
        <v>0</v>
      </c>
      <c r="R2754" s="8">
        <v>0</v>
      </c>
      <c r="S2754" s="74">
        <f t="shared" si="230"/>
        <v>0</v>
      </c>
      <c r="U2754">
        <v>0</v>
      </c>
      <c r="W2754" s="12">
        <f t="shared" si="231"/>
        <v>1</v>
      </c>
    </row>
    <row r="2755" spans="2:23" x14ac:dyDescent="0.3">
      <c r="B2755">
        <v>171</v>
      </c>
      <c r="C2755">
        <v>72</v>
      </c>
      <c r="D2755">
        <v>3</v>
      </c>
      <c r="R2755" s="8">
        <v>8.0887918200000001E-4</v>
      </c>
      <c r="S2755" s="74">
        <f t="shared" si="230"/>
        <v>8.0887918200000001E-4</v>
      </c>
      <c r="U2755" s="15">
        <f>R2755*(D2755-D2754)+U2754</f>
        <v>2.4266375460000001E-3</v>
      </c>
      <c r="W2755" s="12">
        <f t="shared" si="231"/>
        <v>0.99757336245399997</v>
      </c>
    </row>
    <row r="2756" spans="2:23" x14ac:dyDescent="0.3">
      <c r="B2756">
        <v>171</v>
      </c>
      <c r="C2756">
        <v>72</v>
      </c>
      <c r="D2756">
        <v>10</v>
      </c>
      <c r="R2756" s="8">
        <v>3.4758647699999998E-4</v>
      </c>
      <c r="S2756" s="74">
        <f t="shared" si="230"/>
        <v>3.4843199516168712E-4</v>
      </c>
      <c r="U2756" s="15">
        <f t="shared" ref="U2756:U2763" si="234">R2756*(D2756-D2755)+U2755</f>
        <v>4.8597428850000006E-3</v>
      </c>
      <c r="W2756" s="12">
        <f t="shared" si="231"/>
        <v>0.99514025711499998</v>
      </c>
    </row>
    <row r="2757" spans="2:23" x14ac:dyDescent="0.3">
      <c r="B2757">
        <v>171</v>
      </c>
      <c r="C2757">
        <v>72</v>
      </c>
      <c r="D2757">
        <v>25</v>
      </c>
      <c r="R2757" s="8">
        <v>1.92245702E-4</v>
      </c>
      <c r="S2757" s="74">
        <f t="shared" si="230"/>
        <v>1.9318452914098496E-4</v>
      </c>
      <c r="U2757" s="15">
        <f t="shared" si="234"/>
        <v>7.7434284150000006E-3</v>
      </c>
      <c r="W2757" s="12">
        <f t="shared" si="231"/>
        <v>0.99225657158500002</v>
      </c>
    </row>
    <row r="2758" spans="2:23" x14ac:dyDescent="0.3">
      <c r="B2758">
        <v>171</v>
      </c>
      <c r="C2758">
        <v>72</v>
      </c>
      <c r="D2758">
        <v>60</v>
      </c>
      <c r="R2758" s="8">
        <v>1.6489147700000001E-4</v>
      </c>
      <c r="S2758" s="74">
        <f t="shared" si="230"/>
        <v>1.6617826651085563E-4</v>
      </c>
      <c r="U2758" s="15">
        <f t="shared" si="234"/>
        <v>1.3514630110000002E-2</v>
      </c>
      <c r="W2758" s="12">
        <f t="shared" si="231"/>
        <v>0.98648536989000002</v>
      </c>
    </row>
    <row r="2759" spans="2:23" x14ac:dyDescent="0.3">
      <c r="B2759">
        <v>171</v>
      </c>
      <c r="C2759">
        <v>72</v>
      </c>
      <c r="D2759">
        <v>125</v>
      </c>
      <c r="R2759" s="8">
        <v>2.3421050999999998E-5</v>
      </c>
      <c r="S2759" s="74">
        <f t="shared" si="230"/>
        <v>2.3741914188359028E-5</v>
      </c>
      <c r="U2759" s="15">
        <f t="shared" si="234"/>
        <v>1.5036998425000002E-2</v>
      </c>
      <c r="W2759" s="12">
        <f t="shared" si="231"/>
        <v>0.98496300157500005</v>
      </c>
    </row>
    <row r="2760" spans="2:23" x14ac:dyDescent="0.3">
      <c r="B2760">
        <v>171</v>
      </c>
      <c r="C2760">
        <v>72</v>
      </c>
      <c r="D2760">
        <v>216</v>
      </c>
      <c r="R2760" s="8">
        <v>5.4469206999999996E-5</v>
      </c>
      <c r="S2760" s="74">
        <f t="shared" si="230"/>
        <v>5.5300764508820442E-5</v>
      </c>
      <c r="U2760" s="15">
        <f t="shared" si="234"/>
        <v>1.9993696262000003E-2</v>
      </c>
      <c r="W2760" s="12">
        <f t="shared" si="231"/>
        <v>0.98000630373800002</v>
      </c>
    </row>
    <row r="2761" spans="2:23" x14ac:dyDescent="0.3">
      <c r="B2761">
        <v>171</v>
      </c>
      <c r="C2761">
        <v>72</v>
      </c>
      <c r="D2761">
        <v>337</v>
      </c>
      <c r="R2761" s="8">
        <v>2.8040748000000002E-5</v>
      </c>
      <c r="S2761" s="74">
        <f t="shared" si="230"/>
        <v>2.8612824114544212E-5</v>
      </c>
      <c r="U2761" s="15">
        <f t="shared" si="234"/>
        <v>2.3386626770000002E-2</v>
      </c>
      <c r="W2761" s="12">
        <f t="shared" si="231"/>
        <v>0.97661337322999997</v>
      </c>
    </row>
    <row r="2762" spans="2:23" x14ac:dyDescent="0.3">
      <c r="B2762">
        <v>171</v>
      </c>
      <c r="C2762">
        <v>72</v>
      </c>
      <c r="D2762">
        <v>371</v>
      </c>
      <c r="R2762" s="8">
        <v>1.9148062999999999E-5</v>
      </c>
      <c r="S2762" s="74">
        <f t="shared" si="230"/>
        <v>1.9606595122357076E-5</v>
      </c>
      <c r="U2762" s="15">
        <f t="shared" si="234"/>
        <v>2.4037660912000002E-2</v>
      </c>
      <c r="W2762" s="12">
        <f t="shared" si="231"/>
        <v>0.97596233908800001</v>
      </c>
    </row>
    <row r="2763" spans="2:23" x14ac:dyDescent="0.3">
      <c r="B2763">
        <v>171</v>
      </c>
      <c r="C2763">
        <v>72</v>
      </c>
      <c r="D2763">
        <v>745</v>
      </c>
      <c r="R2763" s="8">
        <v>2.7056335E-5</v>
      </c>
      <c r="S2763" s="74">
        <f t="shared" si="230"/>
        <v>2.7722724449883102E-5</v>
      </c>
      <c r="U2763" s="15">
        <f t="shared" si="234"/>
        <v>3.4156730202000003E-2</v>
      </c>
      <c r="W2763" s="12">
        <f t="shared" si="231"/>
        <v>0.96584326979799995</v>
      </c>
    </row>
    <row r="2764" spans="2:23" x14ac:dyDescent="0.3">
      <c r="B2764">
        <v>172</v>
      </c>
      <c r="C2764">
        <v>72</v>
      </c>
      <c r="D2764">
        <v>0</v>
      </c>
      <c r="R2764" s="8">
        <v>0</v>
      </c>
      <c r="S2764" s="74">
        <f t="shared" si="230"/>
        <v>0</v>
      </c>
      <c r="U2764" s="90">
        <v>0</v>
      </c>
      <c r="W2764" s="12">
        <f t="shared" si="231"/>
        <v>1</v>
      </c>
    </row>
    <row r="2765" spans="2:23" x14ac:dyDescent="0.3">
      <c r="B2765">
        <v>172</v>
      </c>
      <c r="C2765">
        <v>72</v>
      </c>
      <c r="D2765">
        <v>3</v>
      </c>
      <c r="R2765" s="8">
        <v>7.7169595700000006E-4</v>
      </c>
      <c r="S2765" s="74">
        <f t="shared" si="230"/>
        <v>7.7169595699999995E-4</v>
      </c>
      <c r="U2765" s="15">
        <f>R2765*(D2765-D2764)+U2764</f>
        <v>2.3150878709999999E-3</v>
      </c>
      <c r="W2765" s="12">
        <f t="shared" si="231"/>
        <v>0.99768491212900001</v>
      </c>
    </row>
    <row r="2766" spans="2:23" x14ac:dyDescent="0.3">
      <c r="B2766">
        <v>172</v>
      </c>
      <c r="C2766">
        <v>72</v>
      </c>
      <c r="D2766">
        <v>10</v>
      </c>
      <c r="R2766" s="8">
        <v>3.6511759900000003E-4</v>
      </c>
      <c r="S2766" s="74">
        <f t="shared" si="230"/>
        <v>3.6596483976174488E-4</v>
      </c>
      <c r="U2766" s="15">
        <f t="shared" ref="U2766:U2773" si="235">R2766*(D2766-D2765)+U2765</f>
        <v>4.8709110640000001E-3</v>
      </c>
      <c r="W2766" s="12">
        <f t="shared" si="231"/>
        <v>0.99512908893600005</v>
      </c>
    </row>
    <row r="2767" spans="2:23" x14ac:dyDescent="0.3">
      <c r="B2767">
        <v>172</v>
      </c>
      <c r="C2767">
        <v>72</v>
      </c>
      <c r="D2767">
        <v>25</v>
      </c>
      <c r="R2767" s="8">
        <v>2.05673792E-4</v>
      </c>
      <c r="S2767" s="74">
        <f t="shared" si="230"/>
        <v>2.0668051440432528E-4</v>
      </c>
      <c r="U2767" s="15">
        <f t="shared" si="235"/>
        <v>7.9560179440000007E-3</v>
      </c>
      <c r="W2767" s="12">
        <f t="shared" si="231"/>
        <v>0.99204398205599997</v>
      </c>
    </row>
    <row r="2768" spans="2:23" x14ac:dyDescent="0.3">
      <c r="B2768">
        <v>172</v>
      </c>
      <c r="C2768">
        <v>72</v>
      </c>
      <c r="D2768">
        <v>60</v>
      </c>
      <c r="R2768" s="8">
        <v>1.4030528599999999E-4</v>
      </c>
      <c r="S2768" s="74">
        <f t="shared" si="230"/>
        <v>1.4143050967278578E-4</v>
      </c>
      <c r="U2768" s="15">
        <f t="shared" si="235"/>
        <v>1.2866702954000001E-2</v>
      </c>
      <c r="W2768" s="12">
        <f t="shared" si="231"/>
        <v>0.98713329704599995</v>
      </c>
    </row>
    <row r="2769" spans="2:23" x14ac:dyDescent="0.3">
      <c r="B2769">
        <v>172</v>
      </c>
      <c r="C2769">
        <v>72</v>
      </c>
      <c r="D2769">
        <v>125</v>
      </c>
      <c r="R2769" s="8">
        <v>6.2341859999999997E-5</v>
      </c>
      <c r="S2769" s="74">
        <f t="shared" si="230"/>
        <v>6.3154449542486568E-5</v>
      </c>
      <c r="U2769" s="15">
        <f t="shared" si="235"/>
        <v>1.6918923854000002E-2</v>
      </c>
      <c r="W2769" s="12">
        <f t="shared" si="231"/>
        <v>0.98308107614600004</v>
      </c>
    </row>
    <row r="2770" spans="2:23" x14ac:dyDescent="0.3">
      <c r="B2770">
        <v>172</v>
      </c>
      <c r="C2770">
        <v>72</v>
      </c>
      <c r="D2770">
        <v>216</v>
      </c>
      <c r="R2770" s="8">
        <v>3.5717986999999997E-5</v>
      </c>
      <c r="S2770" s="74">
        <f t="shared" si="230"/>
        <v>3.6332697136258786E-5</v>
      </c>
      <c r="U2770" s="15">
        <f t="shared" si="235"/>
        <v>2.0169260671E-2</v>
      </c>
      <c r="W2770" s="12">
        <f t="shared" si="231"/>
        <v>0.979830739329</v>
      </c>
    </row>
    <row r="2771" spans="2:23" x14ac:dyDescent="0.3">
      <c r="B2771">
        <v>172</v>
      </c>
      <c r="C2771">
        <v>72</v>
      </c>
      <c r="D2771">
        <v>337</v>
      </c>
      <c r="R2771" s="8">
        <v>2.4669157999999999E-5</v>
      </c>
      <c r="S2771" s="74">
        <f t="shared" si="230"/>
        <v>2.5176958641748409E-5</v>
      </c>
      <c r="U2771" s="15">
        <f t="shared" si="235"/>
        <v>2.3154228789E-2</v>
      </c>
      <c r="W2771" s="12">
        <f t="shared" si="231"/>
        <v>0.97684577121100002</v>
      </c>
    </row>
    <row r="2772" spans="2:23" x14ac:dyDescent="0.3">
      <c r="B2772">
        <v>172</v>
      </c>
      <c r="C2772">
        <v>72</v>
      </c>
      <c r="D2772">
        <v>371</v>
      </c>
      <c r="R2772" s="8">
        <v>1.5744810000000003E-5</v>
      </c>
      <c r="S2772" s="74">
        <f t="shared" si="230"/>
        <v>1.6118010093324248E-5</v>
      </c>
      <c r="U2772" s="15">
        <f t="shared" si="235"/>
        <v>2.3689552329E-2</v>
      </c>
      <c r="W2772" s="12">
        <f t="shared" si="231"/>
        <v>0.97631044767099995</v>
      </c>
    </row>
    <row r="2773" spans="2:23" x14ac:dyDescent="0.3">
      <c r="B2773">
        <v>172</v>
      </c>
      <c r="C2773">
        <v>72</v>
      </c>
      <c r="D2773">
        <v>745</v>
      </c>
      <c r="R2773" s="8">
        <v>1.179856E-5</v>
      </c>
      <c r="S2773" s="74">
        <f t="shared" si="230"/>
        <v>1.2084844557533522E-5</v>
      </c>
      <c r="U2773" s="15">
        <f t="shared" si="235"/>
        <v>2.8102213769E-2</v>
      </c>
      <c r="W2773" s="12">
        <f t="shared" si="231"/>
        <v>0.97189778623099998</v>
      </c>
    </row>
    <row r="2774" spans="2:23" x14ac:dyDescent="0.3">
      <c r="B2774">
        <v>173</v>
      </c>
      <c r="C2774">
        <v>72</v>
      </c>
      <c r="D2774">
        <v>0</v>
      </c>
      <c r="R2774" s="8">
        <v>0</v>
      </c>
      <c r="S2774" s="74">
        <f t="shared" si="230"/>
        <v>0</v>
      </c>
      <c r="U2774" s="90">
        <v>0</v>
      </c>
      <c r="W2774" s="12">
        <f t="shared" si="231"/>
        <v>1</v>
      </c>
    </row>
    <row r="2775" spans="2:23" x14ac:dyDescent="0.3">
      <c r="B2775">
        <v>173</v>
      </c>
      <c r="C2775">
        <v>72</v>
      </c>
      <c r="D2775">
        <v>3</v>
      </c>
      <c r="R2775" s="8">
        <v>2.6646542699999999E-4</v>
      </c>
      <c r="S2775" s="74">
        <f t="shared" si="230"/>
        <v>2.6646542699999999E-4</v>
      </c>
      <c r="U2775" s="15">
        <f>R2775*(D2775-D2774)+U2774</f>
        <v>7.9939628099999992E-4</v>
      </c>
      <c r="W2775" s="12">
        <f t="shared" si="231"/>
        <v>0.99920060371899999</v>
      </c>
    </row>
    <row r="2776" spans="2:23" x14ac:dyDescent="0.3">
      <c r="B2776">
        <v>173</v>
      </c>
      <c r="C2776">
        <v>72</v>
      </c>
      <c r="D2776">
        <v>10</v>
      </c>
      <c r="R2776" s="8">
        <v>5.7063793000000002E-5</v>
      </c>
      <c r="S2776" s="74">
        <f t="shared" si="230"/>
        <v>5.7109446078805382E-5</v>
      </c>
      <c r="U2776" s="15">
        <f t="shared" ref="U2776:U2791" si="236">R2776*(D2776-D2775)+U2775</f>
        <v>1.198842832E-3</v>
      </c>
      <c r="W2776" s="12">
        <f t="shared" si="231"/>
        <v>0.998801157168</v>
      </c>
    </row>
    <row r="2777" spans="2:23" x14ac:dyDescent="0.3">
      <c r="B2777">
        <v>173</v>
      </c>
      <c r="C2777">
        <v>72</v>
      </c>
      <c r="D2777">
        <v>25</v>
      </c>
      <c r="R2777" s="8">
        <v>4.5732477E-5</v>
      </c>
      <c r="S2777" s="74">
        <f t="shared" si="230"/>
        <v>4.5787368858952707E-5</v>
      </c>
      <c r="U2777" s="15">
        <f t="shared" si="236"/>
        <v>1.8848299870000002E-3</v>
      </c>
      <c r="W2777" s="12">
        <f t="shared" si="231"/>
        <v>0.99811517001299999</v>
      </c>
    </row>
    <row r="2778" spans="2:23" x14ac:dyDescent="0.3">
      <c r="B2778">
        <v>173</v>
      </c>
      <c r="C2778">
        <v>72</v>
      </c>
      <c r="D2778">
        <v>60</v>
      </c>
      <c r="R2778" s="8">
        <v>5.3322442999999994E-5</v>
      </c>
      <c r="S2778" s="74">
        <f t="shared" si="230"/>
        <v>5.3423136529730826E-5</v>
      </c>
      <c r="U2778" s="15">
        <f t="shared" si="236"/>
        <v>3.7511154919999999E-3</v>
      </c>
      <c r="W2778" s="12">
        <f t="shared" si="231"/>
        <v>0.99624888450799998</v>
      </c>
    </row>
    <row r="2779" spans="2:23" x14ac:dyDescent="0.3">
      <c r="B2779">
        <v>173</v>
      </c>
      <c r="C2779">
        <v>72</v>
      </c>
      <c r="D2779">
        <v>125</v>
      </c>
      <c r="R2779" s="8">
        <v>4.7738650000000002E-6</v>
      </c>
      <c r="S2779" s="74">
        <f t="shared" si="230"/>
        <v>4.791839744300029E-6</v>
      </c>
      <c r="U2779" s="15">
        <f t="shared" si="236"/>
        <v>4.0614167170000002E-3</v>
      </c>
      <c r="W2779" s="12">
        <f t="shared" si="231"/>
        <v>0.995938583283</v>
      </c>
    </row>
    <row r="2780" spans="2:23" x14ac:dyDescent="0.3">
      <c r="B2780">
        <v>173</v>
      </c>
      <c r="C2780">
        <v>72</v>
      </c>
      <c r="D2780">
        <v>216</v>
      </c>
      <c r="R2780" s="8">
        <v>1.8350707999999999E-5</v>
      </c>
      <c r="S2780" s="74">
        <f t="shared" si="230"/>
        <v>1.8425541803500516E-5</v>
      </c>
      <c r="U2780" s="15">
        <f t="shared" si="236"/>
        <v>5.731331145E-3</v>
      </c>
      <c r="W2780" s="12">
        <f t="shared" si="231"/>
        <v>0.99426866885499998</v>
      </c>
    </row>
    <row r="2781" spans="2:23" x14ac:dyDescent="0.3">
      <c r="B2781">
        <v>173</v>
      </c>
      <c r="C2781">
        <v>72</v>
      </c>
      <c r="D2781">
        <v>371</v>
      </c>
      <c r="R2781" s="8">
        <v>4.2325139999999997E-6</v>
      </c>
      <c r="S2781" s="74">
        <f t="shared" si="230"/>
        <v>4.2569117710147319E-6</v>
      </c>
      <c r="U2781" s="15">
        <f t="shared" si="236"/>
        <v>6.3873708149999996E-3</v>
      </c>
      <c r="W2781" s="12">
        <f t="shared" si="231"/>
        <v>0.99361262918500004</v>
      </c>
    </row>
    <row r="2782" spans="2:23" x14ac:dyDescent="0.3">
      <c r="B2782">
        <v>173</v>
      </c>
      <c r="C2782">
        <v>72</v>
      </c>
      <c r="D2782">
        <v>745</v>
      </c>
      <c r="R2782" s="8">
        <v>8.519442E-6</v>
      </c>
      <c r="S2782" s="74">
        <f t="shared" si="230"/>
        <v>8.5742086500933251E-6</v>
      </c>
      <c r="U2782" s="15">
        <f t="shared" si="236"/>
        <v>9.5736421229999993E-3</v>
      </c>
      <c r="W2782" s="12">
        <f t="shared" si="231"/>
        <v>0.99042635787699995</v>
      </c>
    </row>
    <row r="2783" spans="2:23" x14ac:dyDescent="0.3">
      <c r="B2783">
        <v>174</v>
      </c>
      <c r="C2783">
        <v>72</v>
      </c>
      <c r="D2783">
        <v>0</v>
      </c>
      <c r="R2783" s="8">
        <v>0</v>
      </c>
      <c r="S2783" s="74">
        <f t="shared" si="230"/>
        <v>0</v>
      </c>
      <c r="U2783" s="90">
        <v>0</v>
      </c>
      <c r="W2783" s="12">
        <f t="shared" si="231"/>
        <v>1</v>
      </c>
    </row>
    <row r="2784" spans="2:23" x14ac:dyDescent="0.3">
      <c r="B2784">
        <v>174</v>
      </c>
      <c r="C2784">
        <v>72</v>
      </c>
      <c r="D2784">
        <v>3</v>
      </c>
      <c r="R2784" s="8">
        <v>2.6708532099999999E-4</v>
      </c>
      <c r="S2784" s="74">
        <f t="shared" si="230"/>
        <v>2.6708532099999999E-4</v>
      </c>
      <c r="U2784" s="15">
        <f>R2784*(D2784-D2783)+U2783</f>
        <v>8.012559629999999E-4</v>
      </c>
      <c r="W2784" s="12">
        <f t="shared" si="231"/>
        <v>0.99919874403700004</v>
      </c>
    </row>
    <row r="2785" spans="2:23" x14ac:dyDescent="0.3">
      <c r="B2785">
        <v>174</v>
      </c>
      <c r="C2785">
        <v>72</v>
      </c>
      <c r="D2785">
        <v>10</v>
      </c>
      <c r="R2785" s="8">
        <v>5.4263585000000006E-5</v>
      </c>
      <c r="S2785" s="74">
        <f t="shared" si="230"/>
        <v>5.4307098886816291E-5</v>
      </c>
      <c r="U2785" s="15">
        <f t="shared" si="236"/>
        <v>1.1811010579999999E-3</v>
      </c>
      <c r="W2785" s="12">
        <f t="shared" si="231"/>
        <v>0.99881889894200004</v>
      </c>
    </row>
    <row r="2786" spans="2:23" x14ac:dyDescent="0.3">
      <c r="B2786">
        <v>174</v>
      </c>
      <c r="C2786">
        <v>72</v>
      </c>
      <c r="D2786">
        <v>25</v>
      </c>
      <c r="R2786" s="8">
        <v>3.2491750999999999E-5</v>
      </c>
      <c r="S2786" s="74">
        <f t="shared" si="230"/>
        <v>3.2530172421063431E-5</v>
      </c>
      <c r="U2786" s="15">
        <f t="shared" si="236"/>
        <v>1.6684773229999998E-3</v>
      </c>
      <c r="W2786" s="12">
        <f t="shared" si="231"/>
        <v>0.99833152267699998</v>
      </c>
    </row>
    <row r="2787" spans="2:23" x14ac:dyDescent="0.3">
      <c r="B2787">
        <v>174</v>
      </c>
      <c r="C2787">
        <v>72</v>
      </c>
      <c r="D2787">
        <v>60</v>
      </c>
      <c r="R2787" s="8">
        <v>2.2424433000000002E-5</v>
      </c>
      <c r="S2787" s="74">
        <f t="shared" si="230"/>
        <v>2.2461910187779571E-5</v>
      </c>
      <c r="U2787" s="15">
        <f t="shared" si="236"/>
        <v>2.4533324779999997E-3</v>
      </c>
      <c r="W2787" s="12">
        <f t="shared" si="231"/>
        <v>0.99754666752200005</v>
      </c>
    </row>
    <row r="2788" spans="2:23" x14ac:dyDescent="0.3">
      <c r="B2788">
        <v>174</v>
      </c>
      <c r="C2788">
        <v>72</v>
      </c>
      <c r="D2788">
        <v>125</v>
      </c>
      <c r="R2788" s="8">
        <v>5.2754128E-5</v>
      </c>
      <c r="S2788" s="74">
        <f t="shared" si="230"/>
        <v>5.2883869715134446E-5</v>
      </c>
      <c r="U2788" s="15">
        <f t="shared" si="236"/>
        <v>5.8823507979999991E-3</v>
      </c>
      <c r="W2788" s="12">
        <f t="shared" si="231"/>
        <v>0.99411764920199996</v>
      </c>
    </row>
    <row r="2789" spans="2:23" x14ac:dyDescent="0.3">
      <c r="B2789">
        <v>174</v>
      </c>
      <c r="C2789">
        <v>72</v>
      </c>
      <c r="D2789">
        <v>216</v>
      </c>
      <c r="R2789" s="8">
        <v>8.1346559999999999E-6</v>
      </c>
      <c r="S2789" s="74">
        <f t="shared" si="230"/>
        <v>8.1827900415306691E-6</v>
      </c>
      <c r="U2789" s="15">
        <f t="shared" si="236"/>
        <v>6.6226044939999996E-3</v>
      </c>
      <c r="W2789" s="12">
        <f t="shared" si="231"/>
        <v>0.99337739550600002</v>
      </c>
    </row>
    <row r="2790" spans="2:23" x14ac:dyDescent="0.3">
      <c r="B2790">
        <v>174</v>
      </c>
      <c r="C2790">
        <v>72</v>
      </c>
      <c r="D2790">
        <v>371</v>
      </c>
      <c r="R2790" s="8">
        <v>3.6590499999999999E-7</v>
      </c>
      <c r="S2790" s="74">
        <f t="shared" si="230"/>
        <v>3.68344399273971E-7</v>
      </c>
      <c r="U2790" s="15">
        <f t="shared" si="236"/>
        <v>6.6793197689999995E-3</v>
      </c>
      <c r="W2790" s="12">
        <f t="shared" si="231"/>
        <v>0.99332068023099995</v>
      </c>
    </row>
    <row r="2791" spans="2:23" x14ac:dyDescent="0.3">
      <c r="B2791">
        <v>174</v>
      </c>
      <c r="C2791">
        <v>72</v>
      </c>
      <c r="D2791">
        <v>745</v>
      </c>
      <c r="R2791" s="8">
        <v>6.953831E-6</v>
      </c>
      <c r="S2791" s="74">
        <f t="shared" si="230"/>
        <v>7.0005901803865231E-6</v>
      </c>
      <c r="U2791" s="15">
        <f t="shared" si="236"/>
        <v>9.2800525629999995E-3</v>
      </c>
      <c r="W2791" s="12">
        <f t="shared" si="231"/>
        <v>0.99071994743699998</v>
      </c>
    </row>
    <row r="2792" spans="2:23" x14ac:dyDescent="0.3">
      <c r="B2792">
        <v>175</v>
      </c>
      <c r="C2792">
        <v>51</v>
      </c>
      <c r="D2792">
        <v>0</v>
      </c>
      <c r="R2792" s="8">
        <v>0</v>
      </c>
      <c r="S2792" s="8">
        <v>0</v>
      </c>
      <c r="U2792" s="15">
        <v>0</v>
      </c>
      <c r="W2792" s="15">
        <v>1</v>
      </c>
    </row>
    <row r="2793" spans="2:23" x14ac:dyDescent="0.3">
      <c r="B2793">
        <v>175</v>
      </c>
      <c r="C2793">
        <v>51</v>
      </c>
      <c r="D2793">
        <v>1.105</v>
      </c>
      <c r="R2793" s="8">
        <v>1.4897737556561066E-2</v>
      </c>
      <c r="S2793" s="8">
        <v>1.5147088934602492E-2</v>
      </c>
      <c r="U2793" s="15">
        <v>1.6462000000000001E-2</v>
      </c>
      <c r="W2793" s="15">
        <v>0.98353800000000002</v>
      </c>
    </row>
    <row r="2794" spans="2:23" x14ac:dyDescent="0.3">
      <c r="B2794">
        <v>175</v>
      </c>
      <c r="C2794">
        <v>51</v>
      </c>
      <c r="D2794">
        <v>8.0429999999999993</v>
      </c>
      <c r="R2794" s="8">
        <v>6.0504468146440008E-3</v>
      </c>
      <c r="S2794" s="8">
        <v>6.4259811532393057E-3</v>
      </c>
      <c r="U2794" s="15">
        <v>5.8439999999999999E-2</v>
      </c>
      <c r="W2794" s="15">
        <v>0.94155999999999995</v>
      </c>
    </row>
    <row r="2795" spans="2:23" x14ac:dyDescent="0.3">
      <c r="B2795">
        <v>175</v>
      </c>
      <c r="C2795">
        <v>51</v>
      </c>
      <c r="D2795">
        <v>15.833</v>
      </c>
      <c r="R2795" s="8">
        <v>3.3759948652118048E-3</v>
      </c>
      <c r="S2795" s="8">
        <v>3.6885597280030555E-3</v>
      </c>
      <c r="U2795" s="15">
        <v>8.4739000000000009E-2</v>
      </c>
      <c r="W2795" s="15">
        <v>0.91526099999999999</v>
      </c>
    </row>
    <row r="2796" spans="2:23" x14ac:dyDescent="0.3">
      <c r="B2796">
        <v>175</v>
      </c>
      <c r="C2796">
        <v>51</v>
      </c>
      <c r="D2796">
        <v>21.994</v>
      </c>
      <c r="R2796" s="8">
        <v>2.6854406752150678E-3</v>
      </c>
      <c r="S2796" s="8">
        <v>2.988085975119023E-3</v>
      </c>
      <c r="U2796" s="15">
        <v>0.10128400000000001</v>
      </c>
      <c r="W2796" s="15">
        <v>0.89871599999999996</v>
      </c>
    </row>
    <row r="2797" spans="2:23" x14ac:dyDescent="0.3">
      <c r="B2797">
        <v>175</v>
      </c>
      <c r="C2797">
        <v>51</v>
      </c>
      <c r="D2797">
        <v>36.125</v>
      </c>
      <c r="R2797" s="8">
        <v>1.9659613615455344E-3</v>
      </c>
      <c r="S2797" s="8">
        <v>2.2572997543393414E-3</v>
      </c>
      <c r="U2797" s="15">
        <v>0.12906499999999999</v>
      </c>
      <c r="W2797" s="15">
        <v>0.87093500000000001</v>
      </c>
    </row>
    <row r="2798" spans="2:23" x14ac:dyDescent="0.3">
      <c r="B2798">
        <v>175</v>
      </c>
      <c r="C2798">
        <v>51</v>
      </c>
      <c r="D2798">
        <v>64.228999999999999</v>
      </c>
      <c r="R2798" s="8">
        <v>1.3484201537147752E-3</v>
      </c>
      <c r="S2798" s="8">
        <v>1.6186759007858879E-3</v>
      </c>
      <c r="U2798" s="15">
        <v>0.16696100000000003</v>
      </c>
      <c r="W2798" s="15">
        <v>0.83303899999999997</v>
      </c>
    </row>
    <row r="2799" spans="2:23" x14ac:dyDescent="0.3">
      <c r="B2799">
        <v>175</v>
      </c>
      <c r="C2799">
        <v>51</v>
      </c>
      <c r="D2799">
        <v>141.226</v>
      </c>
      <c r="R2799" s="8">
        <v>8.2290219099445433E-4</v>
      </c>
      <c r="S2799" s="8">
        <v>1.0691512437596689E-3</v>
      </c>
      <c r="U2799" s="15">
        <v>0.230322</v>
      </c>
      <c r="W2799" s="15">
        <v>0.76967799999999997</v>
      </c>
    </row>
    <row r="2800" spans="2:23" x14ac:dyDescent="0.3">
      <c r="B2800">
        <v>175</v>
      </c>
      <c r="C2800">
        <v>51</v>
      </c>
      <c r="D2800">
        <v>199.97300000000001</v>
      </c>
      <c r="R2800" s="8">
        <v>1.0918344766541273E-3</v>
      </c>
      <c r="S2800" s="8">
        <v>1.547524827442012E-3</v>
      </c>
      <c r="U2800" s="15">
        <v>0.294464</v>
      </c>
      <c r="W2800" s="15">
        <v>0.70553599999999994</v>
      </c>
    </row>
    <row r="2801" spans="2:23" x14ac:dyDescent="0.3">
      <c r="B2801">
        <v>176</v>
      </c>
      <c r="C2801">
        <v>51</v>
      </c>
      <c r="D2801">
        <v>0</v>
      </c>
      <c r="R2801" s="8">
        <v>0</v>
      </c>
      <c r="S2801" s="8">
        <v>0</v>
      </c>
      <c r="U2801" s="17">
        <v>0</v>
      </c>
      <c r="W2801" s="15">
        <v>1</v>
      </c>
    </row>
    <row r="2802" spans="2:23" x14ac:dyDescent="0.3">
      <c r="B2802">
        <v>176</v>
      </c>
      <c r="C2802">
        <v>51</v>
      </c>
      <c r="D2802">
        <v>1.3380000000000001</v>
      </c>
      <c r="R2802" s="8">
        <v>1.3854260089685784E-3</v>
      </c>
      <c r="S2802" s="8">
        <v>1.3879989426084918E-3</v>
      </c>
      <c r="U2802" s="17">
        <v>1.8537E-3</v>
      </c>
      <c r="W2802" s="15">
        <v>0.99814630000000004</v>
      </c>
    </row>
    <row r="2803" spans="2:23" x14ac:dyDescent="0.3">
      <c r="B2803">
        <v>176</v>
      </c>
      <c r="C2803">
        <v>51</v>
      </c>
      <c r="D2803">
        <v>8.0325000000000006</v>
      </c>
      <c r="R2803" s="8">
        <v>4.9533945776383814E-4</v>
      </c>
      <c r="S2803" s="8">
        <v>4.9791354631992561E-4</v>
      </c>
      <c r="U2803" s="17">
        <v>5.1697500000000007E-3</v>
      </c>
      <c r="W2803" s="15">
        <v>0.99483025000000003</v>
      </c>
    </row>
    <row r="2804" spans="2:23" x14ac:dyDescent="0.3">
      <c r="B2804">
        <v>176</v>
      </c>
      <c r="C2804">
        <v>51</v>
      </c>
      <c r="D2804">
        <v>16.137999999999998</v>
      </c>
      <c r="R2804" s="8">
        <v>4.8320893220653608E-4</v>
      </c>
      <c r="S2804" s="8">
        <v>4.8763982269143966E-4</v>
      </c>
      <c r="U2804" s="17">
        <v>9.0864000000000014E-3</v>
      </c>
      <c r="W2804" s="15">
        <v>0.99091359999999995</v>
      </c>
    </row>
    <row r="2805" spans="2:23" x14ac:dyDescent="0.3">
      <c r="B2805">
        <v>176</v>
      </c>
      <c r="C2805">
        <v>51</v>
      </c>
      <c r="D2805">
        <v>22.244999999999997</v>
      </c>
      <c r="R2805" s="8">
        <v>4.4264778123463813E-4</v>
      </c>
      <c r="S2805" s="8">
        <v>4.4792870387831712E-4</v>
      </c>
      <c r="U2805" s="17">
        <v>1.178965E-2</v>
      </c>
      <c r="W2805" s="15">
        <v>0.98821035000000002</v>
      </c>
    </row>
    <row r="2806" spans="2:23" x14ac:dyDescent="0.3">
      <c r="B2806">
        <v>176</v>
      </c>
      <c r="C2806">
        <v>51</v>
      </c>
      <c r="D2806">
        <v>36.325000000000003</v>
      </c>
      <c r="R2806" s="8">
        <v>2.5238636363636679E-4</v>
      </c>
      <c r="S2806" s="8">
        <v>2.5631913216089439E-4</v>
      </c>
      <c r="U2806" s="17">
        <v>1.5343250000000001E-2</v>
      </c>
      <c r="W2806" s="15">
        <v>0.98465674999999997</v>
      </c>
    </row>
    <row r="2807" spans="2:23" x14ac:dyDescent="0.3">
      <c r="B2807">
        <v>176</v>
      </c>
      <c r="C2807">
        <v>51</v>
      </c>
      <c r="D2807">
        <v>64.417000000000002</v>
      </c>
      <c r="R2807" s="8">
        <v>1.5729211163320408E-4</v>
      </c>
      <c r="S2807" s="8">
        <v>1.6046316872727563E-4</v>
      </c>
      <c r="U2807" s="17">
        <v>1.9761900000000002E-2</v>
      </c>
      <c r="W2807" s="15">
        <v>0.9802381</v>
      </c>
    </row>
    <row r="2808" spans="2:23" x14ac:dyDescent="0.3">
      <c r="B2808">
        <v>176</v>
      </c>
      <c r="C2808">
        <v>51</v>
      </c>
      <c r="D2808">
        <v>141.35649999999998</v>
      </c>
      <c r="R2808" s="8">
        <v>1.2341580072654517E-4</v>
      </c>
      <c r="S2808" s="8">
        <v>1.2713546009345645E-4</v>
      </c>
      <c r="U2808" s="17">
        <v>2.9257449999999997E-2</v>
      </c>
      <c r="W2808" s="15">
        <v>0.97074254999999998</v>
      </c>
    </row>
    <row r="2809" spans="2:23" x14ac:dyDescent="0.3">
      <c r="B2809">
        <v>176</v>
      </c>
      <c r="C2809">
        <v>51</v>
      </c>
      <c r="D2809">
        <v>200.21600000000001</v>
      </c>
      <c r="R2809" s="8">
        <v>1.8408837995565741E-4</v>
      </c>
      <c r="S2809" s="8">
        <v>1.9177726758967681E-4</v>
      </c>
      <c r="U2809" s="17">
        <v>4.0092799999999998E-2</v>
      </c>
      <c r="W2809" s="15">
        <v>0.95990719999999996</v>
      </c>
    </row>
    <row r="2810" spans="2:23" x14ac:dyDescent="0.3">
      <c r="B2810">
        <v>177</v>
      </c>
      <c r="C2810">
        <v>51</v>
      </c>
      <c r="D2810">
        <v>0</v>
      </c>
      <c r="R2810" s="8">
        <v>0</v>
      </c>
      <c r="S2810" s="8">
        <v>0</v>
      </c>
      <c r="U2810" s="17">
        <v>0</v>
      </c>
      <c r="W2810" s="15">
        <v>1</v>
      </c>
    </row>
    <row r="2811" spans="2:23" x14ac:dyDescent="0.3">
      <c r="B2811">
        <v>177</v>
      </c>
      <c r="C2811">
        <v>51</v>
      </c>
      <c r="D2811">
        <v>1.3380000000000001</v>
      </c>
      <c r="R2811" s="8">
        <v>3.7073991031387899E-4</v>
      </c>
      <c r="S2811" s="8">
        <v>3.709239071180049E-4</v>
      </c>
      <c r="U2811" s="17">
        <v>4.9604999999999994E-4</v>
      </c>
      <c r="W2811" s="15">
        <v>0.99950395000000003</v>
      </c>
    </row>
    <row r="2812" spans="2:23" x14ac:dyDescent="0.3">
      <c r="B2812">
        <v>177</v>
      </c>
      <c r="C2812">
        <v>51</v>
      </c>
      <c r="D2812">
        <v>8.0325000000000006</v>
      </c>
      <c r="R2812" s="8">
        <v>8.6309657181279058E-5</v>
      </c>
      <c r="S2812" s="8">
        <v>8.6402440441947647E-5</v>
      </c>
      <c r="U2812" s="17">
        <v>1.0738499999999999E-3</v>
      </c>
      <c r="W2812" s="15">
        <v>0.99892614999999996</v>
      </c>
    </row>
    <row r="2813" spans="2:23" x14ac:dyDescent="0.3">
      <c r="B2813">
        <v>177</v>
      </c>
      <c r="C2813">
        <v>51</v>
      </c>
      <c r="D2813">
        <v>16.137999999999998</v>
      </c>
      <c r="R2813" s="8">
        <v>1.2034421072111395E-4</v>
      </c>
      <c r="S2813" s="8">
        <v>1.2059133855120694E-4</v>
      </c>
      <c r="U2813" s="17">
        <v>2.0493E-3</v>
      </c>
      <c r="W2813" s="15">
        <v>0.99795069999999997</v>
      </c>
    </row>
    <row r="2814" spans="2:23" x14ac:dyDescent="0.3">
      <c r="B2814">
        <v>177</v>
      </c>
      <c r="C2814">
        <v>51</v>
      </c>
      <c r="D2814">
        <v>22.244999999999997</v>
      </c>
      <c r="R2814" s="8">
        <v>1.6403307679712192E-4</v>
      </c>
      <c r="S2814" s="8">
        <v>1.6453508155770858E-4</v>
      </c>
      <c r="U2814" s="17">
        <v>3.05105E-3</v>
      </c>
      <c r="W2814" s="15">
        <v>0.99694894999999994</v>
      </c>
    </row>
    <row r="2815" spans="2:23" x14ac:dyDescent="0.3">
      <c r="B2815">
        <v>177</v>
      </c>
      <c r="C2815">
        <v>51</v>
      </c>
      <c r="D2815">
        <v>36.325000000000003</v>
      </c>
      <c r="R2815" s="8">
        <v>2.60511363636285E-5</v>
      </c>
      <c r="S2815" s="8">
        <v>2.6140480605265207E-5</v>
      </c>
      <c r="U2815" s="17">
        <v>3.4178500000000001E-3</v>
      </c>
      <c r="W2815" s="15">
        <v>0.99658215000000006</v>
      </c>
    </row>
    <row r="2816" spans="2:23" x14ac:dyDescent="0.3">
      <c r="B2816">
        <v>177</v>
      </c>
      <c r="C2816">
        <v>51</v>
      </c>
      <c r="D2816">
        <v>64.417000000000002</v>
      </c>
      <c r="R2816" s="8">
        <v>3.8105154492384172E-5</v>
      </c>
      <c r="S2816" s="8">
        <v>3.8276952940265967E-5</v>
      </c>
      <c r="U2816" s="17">
        <v>4.4883000000000006E-3</v>
      </c>
      <c r="W2816" s="15">
        <v>0.9955117</v>
      </c>
    </row>
    <row r="2817" spans="2:23" x14ac:dyDescent="0.3">
      <c r="B2817">
        <v>177</v>
      </c>
      <c r="C2817">
        <v>51</v>
      </c>
      <c r="D2817">
        <v>141.35649999999998</v>
      </c>
      <c r="R2817" s="8">
        <v>9.3570272746768462E-5</v>
      </c>
      <c r="S2817" s="8">
        <v>9.4676812729383778E-5</v>
      </c>
      <c r="U2817" s="17">
        <v>1.168755E-2</v>
      </c>
      <c r="W2817" s="15">
        <v>0.98831245000000001</v>
      </c>
    </row>
    <row r="2818" spans="2:23" x14ac:dyDescent="0.3">
      <c r="B2818">
        <v>177</v>
      </c>
      <c r="C2818">
        <v>51</v>
      </c>
      <c r="D2818">
        <v>200.21600000000001</v>
      </c>
      <c r="R2818" s="8">
        <v>1.9116030547320354E-4</v>
      </c>
      <c r="S2818" s="8">
        <v>1.9564831143649195E-4</v>
      </c>
      <c r="U2818" s="17">
        <v>2.2939149999999998E-2</v>
      </c>
      <c r="W2818" s="15">
        <v>0.97706084999999998</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N191"/>
  <sheetViews>
    <sheetView zoomScale="70" zoomScaleNormal="70" workbookViewId="0">
      <pane xSplit="7" ySplit="11" topLeftCell="AH173" activePane="bottomRight" state="frozen"/>
      <selection pane="topRight" activeCell="H1" sqref="H1"/>
      <selection pane="bottomLeft" activeCell="A12" sqref="A12"/>
      <selection pane="bottomRight" activeCell="D190" sqref="D190"/>
    </sheetView>
  </sheetViews>
  <sheetFormatPr defaultRowHeight="14.4" x14ac:dyDescent="0.3"/>
  <cols>
    <col min="1" max="1" width="9" customWidth="1"/>
    <col min="2" max="2" width="8" customWidth="1"/>
    <col min="3" max="3" width="6.6640625" customWidth="1"/>
    <col min="4" max="4" width="17.5546875" customWidth="1"/>
    <col min="5" max="5" width="20.44140625" customWidth="1"/>
    <col min="6" max="6" width="5.88671875" customWidth="1"/>
    <col min="7" max="7" width="11.77734375" customWidth="1"/>
    <col min="8" max="8" width="13.77734375" customWidth="1"/>
    <col min="9" max="9" width="13.5546875" customWidth="1"/>
    <col min="10" max="10" width="10.88671875" customWidth="1"/>
    <col min="11" max="11" width="12.33203125" customWidth="1"/>
    <col min="12" max="12" width="8" customWidth="1"/>
    <col min="13" max="13" width="9.5546875" customWidth="1"/>
    <col min="14" max="14" width="7" customWidth="1"/>
    <col min="15" max="15" width="14" customWidth="1"/>
    <col min="16" max="16" width="15" customWidth="1"/>
    <col min="17" max="17" width="16" customWidth="1"/>
    <col min="18" max="18" width="14.88671875" customWidth="1"/>
    <col min="19" max="19" width="24.109375" customWidth="1"/>
    <col min="20" max="20" width="13.5546875" customWidth="1"/>
    <col min="21" max="21" width="17.33203125" customWidth="1"/>
    <col min="22" max="22" width="9" customWidth="1"/>
    <col min="23" max="23" width="10.21875" customWidth="1"/>
    <col min="24" max="24" width="11.77734375" customWidth="1"/>
    <col min="25" max="25" width="15.21875" customWidth="1"/>
    <col min="26" max="26" width="9.21875" customWidth="1"/>
    <col min="27" max="27" width="10.5546875" customWidth="1"/>
    <col min="28" max="28" width="17.5546875" customWidth="1"/>
    <col min="29" max="29" width="18.109375" customWidth="1"/>
    <col min="30" max="30" width="15.6640625" customWidth="1"/>
    <col min="31" max="31" width="25" customWidth="1"/>
    <col min="32" max="32" width="29" customWidth="1"/>
    <col min="33" max="33" width="26.109375" customWidth="1"/>
    <col min="34" max="34" width="16.88671875" customWidth="1"/>
    <col min="35" max="35" width="8.44140625" customWidth="1"/>
    <col min="36" max="36" width="8.5546875" customWidth="1"/>
    <col min="37" max="37" width="9.5546875" customWidth="1"/>
    <col min="38" max="38" width="14" customWidth="1"/>
    <col min="39" max="39" width="10.6640625" customWidth="1"/>
    <col min="40" max="40" width="13" customWidth="1"/>
    <col min="41" max="41" width="12" customWidth="1"/>
    <col min="42" max="42" width="13.6640625" customWidth="1"/>
    <col min="43" max="45" width="14" customWidth="1"/>
    <col min="46" max="48" width="12" customWidth="1"/>
    <col min="49" max="49" width="8.5546875" customWidth="1"/>
    <col min="50" max="50" width="11" customWidth="1"/>
    <col min="51" max="51" width="13" customWidth="1"/>
    <col min="52" max="52" width="8" customWidth="1"/>
    <col min="53" max="53" width="10" customWidth="1"/>
    <col min="54" max="54" width="11" customWidth="1"/>
    <col min="55" max="55" width="11.44140625" customWidth="1"/>
    <col min="56" max="56" width="14.44140625" customWidth="1"/>
    <col min="57" max="57" width="12.109375" customWidth="1"/>
    <col min="58" max="58" width="11.44140625" customWidth="1"/>
    <col min="59" max="59" width="11.6640625" customWidth="1"/>
    <col min="60" max="60" width="18" customWidth="1"/>
    <col min="61" max="61" width="11.6640625" customWidth="1"/>
    <col min="62" max="62" width="11.5546875" customWidth="1"/>
  </cols>
  <sheetData>
    <row r="1" spans="1:66" x14ac:dyDescent="0.3">
      <c r="A1" s="1" t="s">
        <v>0</v>
      </c>
      <c r="B1" t="s">
        <v>71</v>
      </c>
      <c r="D1">
        <f>COUNT(_xlfn.UNIQUE(B11:B200))</f>
        <v>181</v>
      </c>
      <c r="E1" t="s">
        <v>1431</v>
      </c>
      <c r="F1">
        <f>COUNT(_xlfn.UNIQUE(C11:C4974))</f>
        <v>24</v>
      </c>
      <c r="G1" t="s">
        <v>1432</v>
      </c>
      <c r="S1" s="90"/>
      <c r="T1" s="90"/>
      <c r="U1" s="91"/>
      <c r="AI1" s="87"/>
      <c r="AJ1" s="87"/>
      <c r="AX1" s="16"/>
      <c r="AY1" s="16"/>
    </row>
    <row r="2" spans="1:66" x14ac:dyDescent="0.3">
      <c r="A2" s="1" t="s">
        <v>2</v>
      </c>
      <c r="B2" t="s">
        <v>72</v>
      </c>
      <c r="S2" s="14"/>
      <c r="U2" s="91"/>
      <c r="AI2" s="87"/>
      <c r="AJ2" s="87"/>
      <c r="AX2" s="16"/>
      <c r="AY2" s="16"/>
    </row>
    <row r="3" spans="1:66" x14ac:dyDescent="0.3">
      <c r="A3" s="1"/>
      <c r="B3">
        <f>MAX(B11:B501)</f>
        <v>183</v>
      </c>
      <c r="S3" s="15"/>
      <c r="AI3" s="87"/>
      <c r="AJ3" s="87"/>
      <c r="AX3" s="16"/>
      <c r="AY3" s="16"/>
    </row>
    <row r="4" spans="1:66" x14ac:dyDescent="0.3">
      <c r="A4" s="2" t="s">
        <v>4</v>
      </c>
      <c r="B4" s="2" t="s">
        <v>60</v>
      </c>
      <c r="C4" s="2" t="s">
        <v>5</v>
      </c>
      <c r="D4" s="2" t="s">
        <v>6</v>
      </c>
      <c r="E4" s="2" t="s">
        <v>73</v>
      </c>
      <c r="F4" s="2" t="s">
        <v>74</v>
      </c>
      <c r="G4" s="2" t="s">
        <v>75</v>
      </c>
      <c r="H4" s="2" t="s">
        <v>76</v>
      </c>
      <c r="I4" s="2" t="s">
        <v>77</v>
      </c>
      <c r="J4" s="2" t="s">
        <v>78</v>
      </c>
      <c r="K4" s="2" t="s">
        <v>79</v>
      </c>
      <c r="L4" s="2" t="s">
        <v>80</v>
      </c>
      <c r="M4" s="2" t="s">
        <v>81</v>
      </c>
      <c r="N4" s="2" t="s">
        <v>82</v>
      </c>
      <c r="O4" s="2" t="s">
        <v>83</v>
      </c>
      <c r="P4" s="2" t="s">
        <v>84</v>
      </c>
      <c r="Q4" s="2" t="s">
        <v>85</v>
      </c>
      <c r="R4" s="2" t="s">
        <v>86</v>
      </c>
      <c r="S4" s="2" t="s">
        <v>87</v>
      </c>
      <c r="T4" s="2" t="s">
        <v>88</v>
      </c>
      <c r="U4" s="2" t="s">
        <v>89</v>
      </c>
      <c r="V4" s="2" t="s">
        <v>90</v>
      </c>
      <c r="W4" s="2" t="s">
        <v>91</v>
      </c>
      <c r="X4" s="2" t="s">
        <v>92</v>
      </c>
      <c r="Y4" s="2" t="s">
        <v>93</v>
      </c>
      <c r="Z4" s="2" t="s">
        <v>94</v>
      </c>
      <c r="AA4" s="2" t="s">
        <v>95</v>
      </c>
      <c r="AB4" s="2" t="s">
        <v>96</v>
      </c>
      <c r="AC4" s="2" t="s">
        <v>97</v>
      </c>
      <c r="AD4" s="2" t="s">
        <v>98</v>
      </c>
      <c r="AE4" s="2" t="s">
        <v>99</v>
      </c>
      <c r="AF4" s="2" t="s">
        <v>100</v>
      </c>
      <c r="AG4" s="2" t="s">
        <v>101</v>
      </c>
      <c r="AH4" s="2" t="s">
        <v>102</v>
      </c>
      <c r="AI4" s="2" t="s">
        <v>103</v>
      </c>
      <c r="AJ4" s="2" t="s">
        <v>104</v>
      </c>
      <c r="AK4" s="2" t="s">
        <v>105</v>
      </c>
      <c r="AL4" s="2" t="s">
        <v>106</v>
      </c>
      <c r="AM4" s="2" t="s">
        <v>107</v>
      </c>
      <c r="AN4" s="2" t="s">
        <v>108</v>
      </c>
      <c r="AO4" s="2" t="s">
        <v>109</v>
      </c>
      <c r="AP4" s="2" t="s">
        <v>110</v>
      </c>
      <c r="AQ4" s="2" t="s">
        <v>111</v>
      </c>
      <c r="AR4" s="2" t="s">
        <v>112</v>
      </c>
      <c r="AS4" s="2" t="s">
        <v>896</v>
      </c>
      <c r="AT4" s="2" t="s">
        <v>113</v>
      </c>
      <c r="AU4" s="2" t="s">
        <v>114</v>
      </c>
      <c r="AV4" s="2" t="s">
        <v>115</v>
      </c>
      <c r="AW4" s="2" t="s">
        <v>116</v>
      </c>
      <c r="AX4" s="2" t="s">
        <v>117</v>
      </c>
      <c r="AY4" s="2" t="s">
        <v>118</v>
      </c>
      <c r="AZ4" s="2" t="s">
        <v>119</v>
      </c>
      <c r="BA4" s="2" t="s">
        <v>120</v>
      </c>
      <c r="BB4" s="2" t="s">
        <v>121</v>
      </c>
      <c r="BC4" s="2" t="s">
        <v>122</v>
      </c>
      <c r="BD4" s="2" t="s">
        <v>123</v>
      </c>
      <c r="BE4" s="2" t="s">
        <v>124</v>
      </c>
      <c r="BF4" s="2" t="s">
        <v>125</v>
      </c>
      <c r="BG4" s="2" t="s">
        <v>126</v>
      </c>
      <c r="BH4" s="19" t="s">
        <v>127</v>
      </c>
      <c r="BI4" s="24" t="s">
        <v>709</v>
      </c>
      <c r="BJ4" s="21" t="s">
        <v>625</v>
      </c>
      <c r="BK4" s="9" t="s">
        <v>626</v>
      </c>
      <c r="BL4" s="1" t="s">
        <v>678</v>
      </c>
      <c r="BM4" s="1" t="s">
        <v>679</v>
      </c>
      <c r="BN4" s="1" t="s">
        <v>681</v>
      </c>
    </row>
    <row r="5" spans="1:66" x14ac:dyDescent="0.3">
      <c r="A5" s="2" t="s">
        <v>20</v>
      </c>
      <c r="B5" s="3" t="s">
        <v>62</v>
      </c>
      <c r="C5" s="3" t="s">
        <v>21</v>
      </c>
      <c r="D5" s="3" t="s">
        <v>22</v>
      </c>
      <c r="E5" s="3" t="s">
        <v>128</v>
      </c>
      <c r="F5" s="3" t="s">
        <v>129</v>
      </c>
      <c r="G5" s="3" t="s">
        <v>130</v>
      </c>
      <c r="H5" s="3" t="s">
        <v>131</v>
      </c>
      <c r="I5" s="3" t="s">
        <v>132</v>
      </c>
      <c r="J5" s="3" t="s">
        <v>133</v>
      </c>
      <c r="K5" s="3" t="s">
        <v>134</v>
      </c>
      <c r="L5" s="3" t="s">
        <v>135</v>
      </c>
      <c r="M5" s="3" t="s">
        <v>136</v>
      </c>
      <c r="N5" s="3" t="s">
        <v>137</v>
      </c>
      <c r="O5" s="3" t="s">
        <v>83</v>
      </c>
      <c r="P5" s="3" t="s">
        <v>138</v>
      </c>
      <c r="Q5" s="3" t="s">
        <v>139</v>
      </c>
      <c r="R5" s="3" t="s">
        <v>140</v>
      </c>
      <c r="S5" s="3" t="s">
        <v>141</v>
      </c>
      <c r="T5" s="3" t="s">
        <v>142</v>
      </c>
      <c r="U5" s="3" t="s">
        <v>143</v>
      </c>
      <c r="V5" s="3" t="s">
        <v>144</v>
      </c>
      <c r="W5" s="3" t="s">
        <v>145</v>
      </c>
      <c r="X5" s="3" t="s">
        <v>146</v>
      </c>
      <c r="Y5" s="3" t="s">
        <v>147</v>
      </c>
      <c r="Z5" s="3" t="s">
        <v>148</v>
      </c>
      <c r="AA5" s="3" t="s">
        <v>148</v>
      </c>
      <c r="AB5" s="3" t="s">
        <v>149</v>
      </c>
      <c r="AC5" s="3" t="s">
        <v>150</v>
      </c>
      <c r="AD5" s="3" t="s">
        <v>151</v>
      </c>
      <c r="AE5" s="3" t="s">
        <v>152</v>
      </c>
      <c r="AF5" s="3" t="s">
        <v>153</v>
      </c>
      <c r="AG5" s="3" t="s">
        <v>154</v>
      </c>
      <c r="AH5" s="3" t="s">
        <v>102</v>
      </c>
      <c r="AI5" s="3" t="s">
        <v>155</v>
      </c>
      <c r="AJ5" s="3" t="s">
        <v>156</v>
      </c>
      <c r="AK5" s="3" t="s">
        <v>157</v>
      </c>
      <c r="AL5" s="3" t="s">
        <v>158</v>
      </c>
      <c r="AM5" s="3" t="s">
        <v>159</v>
      </c>
      <c r="AN5" s="3" t="s">
        <v>160</v>
      </c>
      <c r="AO5" s="3" t="s">
        <v>161</v>
      </c>
      <c r="AP5" s="3" t="s">
        <v>162</v>
      </c>
      <c r="AQ5" s="3" t="s">
        <v>163</v>
      </c>
      <c r="AR5" s="3" t="s">
        <v>164</v>
      </c>
      <c r="AS5" s="3" t="s">
        <v>897</v>
      </c>
      <c r="AT5" s="3" t="s">
        <v>165</v>
      </c>
      <c r="AU5" s="3" t="s">
        <v>166</v>
      </c>
      <c r="AV5" s="3" t="s">
        <v>167</v>
      </c>
      <c r="AW5" s="3" t="s">
        <v>168</v>
      </c>
      <c r="AX5" s="3" t="s">
        <v>169</v>
      </c>
      <c r="AY5" s="3" t="s">
        <v>170</v>
      </c>
      <c r="AZ5" s="3" t="s">
        <v>171</v>
      </c>
      <c r="BA5" s="3" t="s">
        <v>172</v>
      </c>
      <c r="BB5" s="3" t="s">
        <v>173</v>
      </c>
      <c r="BC5" s="3" t="s">
        <v>174</v>
      </c>
      <c r="BD5" s="3" t="s">
        <v>175</v>
      </c>
      <c r="BE5" s="3" t="s">
        <v>176</v>
      </c>
      <c r="BF5" s="3" t="s">
        <v>177</v>
      </c>
      <c r="BG5" s="3" t="s">
        <v>177</v>
      </c>
      <c r="BH5" s="20" t="s">
        <v>178</v>
      </c>
      <c r="BI5" s="10" t="s">
        <v>707</v>
      </c>
      <c r="BJ5" s="22" t="s">
        <v>628</v>
      </c>
      <c r="BK5" s="10" t="s">
        <v>628</v>
      </c>
      <c r="BL5" t="s">
        <v>684</v>
      </c>
      <c r="BM5" t="s">
        <v>685</v>
      </c>
      <c r="BN5" t="s">
        <v>686</v>
      </c>
    </row>
    <row r="6" spans="1:66" x14ac:dyDescent="0.3">
      <c r="A6" s="2" t="s">
        <v>36</v>
      </c>
      <c r="B6" s="3" t="s">
        <v>37</v>
      </c>
      <c r="C6" s="3" t="s">
        <v>37</v>
      </c>
      <c r="D6" s="3" t="s">
        <v>38</v>
      </c>
      <c r="E6" s="3" t="s">
        <v>38</v>
      </c>
      <c r="F6" s="3" t="s">
        <v>37</v>
      </c>
      <c r="G6" s="3" t="s">
        <v>38</v>
      </c>
      <c r="H6" s="3" t="s">
        <v>38</v>
      </c>
      <c r="I6" s="3" t="s">
        <v>64</v>
      </c>
      <c r="J6" s="3" t="s">
        <v>38</v>
      </c>
      <c r="K6" s="3" t="s">
        <v>38</v>
      </c>
      <c r="L6" s="3" t="s">
        <v>64</v>
      </c>
      <c r="M6" s="3" t="s">
        <v>64</v>
      </c>
      <c r="N6" s="3" t="s">
        <v>64</v>
      </c>
      <c r="O6" s="3" t="s">
        <v>38</v>
      </c>
      <c r="P6" s="3" t="s">
        <v>64</v>
      </c>
      <c r="Q6" s="3" t="s">
        <v>64</v>
      </c>
      <c r="R6" s="3" t="s">
        <v>64</v>
      </c>
      <c r="S6" s="3" t="s">
        <v>64</v>
      </c>
      <c r="T6" s="3" t="s">
        <v>64</v>
      </c>
      <c r="U6" s="3" t="s">
        <v>64</v>
      </c>
      <c r="V6" s="3" t="s">
        <v>64</v>
      </c>
      <c r="W6" s="3" t="s">
        <v>64</v>
      </c>
      <c r="X6" s="3" t="s">
        <v>38</v>
      </c>
      <c r="Y6" s="3" t="s">
        <v>179</v>
      </c>
      <c r="Z6" s="3" t="s">
        <v>41</v>
      </c>
      <c r="AA6" s="3" t="s">
        <v>41</v>
      </c>
      <c r="AB6" s="3" t="s">
        <v>64</v>
      </c>
      <c r="AC6" s="3" t="s">
        <v>64</v>
      </c>
      <c r="AD6" s="3" t="s">
        <v>64</v>
      </c>
      <c r="AE6" s="3" t="s">
        <v>38</v>
      </c>
      <c r="AF6" s="3" t="s">
        <v>38</v>
      </c>
      <c r="AG6" s="3" t="s">
        <v>38</v>
      </c>
      <c r="AH6" s="3" t="s">
        <v>41</v>
      </c>
      <c r="AI6" s="3" t="s">
        <v>64</v>
      </c>
      <c r="AJ6" s="3" t="s">
        <v>64</v>
      </c>
      <c r="AK6" s="3" t="s">
        <v>64</v>
      </c>
      <c r="AL6" s="3" t="s">
        <v>64</v>
      </c>
      <c r="AM6" s="3" t="s">
        <v>64</v>
      </c>
      <c r="AN6" s="3" t="s">
        <v>64</v>
      </c>
      <c r="AO6" s="3" t="s">
        <v>64</v>
      </c>
      <c r="AP6" s="3" t="s">
        <v>64</v>
      </c>
      <c r="AQ6" s="3" t="s">
        <v>64</v>
      </c>
      <c r="AR6" s="3" t="s">
        <v>64</v>
      </c>
      <c r="AS6" s="3" t="s">
        <v>64</v>
      </c>
      <c r="AT6" s="3" t="s">
        <v>64</v>
      </c>
      <c r="AU6" s="3" t="s">
        <v>64</v>
      </c>
      <c r="AV6" s="3" t="s">
        <v>64</v>
      </c>
      <c r="AW6" s="3" t="s">
        <v>64</v>
      </c>
      <c r="AX6" s="3" t="s">
        <v>64</v>
      </c>
      <c r="AY6" s="3" t="s">
        <v>64</v>
      </c>
      <c r="AZ6" s="3" t="s">
        <v>64</v>
      </c>
      <c r="BA6" s="3" t="s">
        <v>64</v>
      </c>
      <c r="BB6" s="3" t="s">
        <v>64</v>
      </c>
      <c r="BC6" s="3" t="s">
        <v>64</v>
      </c>
      <c r="BD6" s="3" t="s">
        <v>64</v>
      </c>
      <c r="BE6" s="3" t="s">
        <v>38</v>
      </c>
      <c r="BF6" s="3" t="s">
        <v>64</v>
      </c>
      <c r="BG6" s="3" t="s">
        <v>64</v>
      </c>
      <c r="BH6" s="20" t="s">
        <v>64</v>
      </c>
      <c r="BI6" s="10" t="s">
        <v>64</v>
      </c>
      <c r="BJ6" s="22" t="s">
        <v>64</v>
      </c>
      <c r="BK6" s="10" t="s">
        <v>64</v>
      </c>
      <c r="BL6" t="s">
        <v>42</v>
      </c>
      <c r="BM6" t="s">
        <v>42</v>
      </c>
      <c r="BN6" t="s">
        <v>42</v>
      </c>
    </row>
    <row r="7" spans="1:66" x14ac:dyDescent="0.3">
      <c r="A7" s="2" t="s">
        <v>65</v>
      </c>
      <c r="B7" s="3" t="s">
        <v>66</v>
      </c>
      <c r="C7" s="3" t="s">
        <v>66</v>
      </c>
      <c r="D7" s="3" t="s">
        <v>66</v>
      </c>
      <c r="E7" s="3" t="s">
        <v>66</v>
      </c>
      <c r="F7" s="3" t="s">
        <v>66</v>
      </c>
      <c r="G7" s="3" t="s">
        <v>66</v>
      </c>
      <c r="H7" s="3" t="s">
        <v>66</v>
      </c>
      <c r="I7" s="3" t="s">
        <v>180</v>
      </c>
      <c r="J7" s="3" t="s">
        <v>66</v>
      </c>
      <c r="K7" s="3" t="s">
        <v>66</v>
      </c>
      <c r="L7" s="3" t="s">
        <v>181</v>
      </c>
      <c r="M7" s="3" t="s">
        <v>182</v>
      </c>
      <c r="N7" s="3" t="s">
        <v>183</v>
      </c>
      <c r="O7" s="3" t="s">
        <v>66</v>
      </c>
      <c r="P7" s="3" t="s">
        <v>180</v>
      </c>
      <c r="Q7" s="3" t="s">
        <v>180</v>
      </c>
      <c r="R7" s="3" t="s">
        <v>180</v>
      </c>
      <c r="S7" s="3" t="s">
        <v>180</v>
      </c>
      <c r="T7" s="3" t="s">
        <v>874</v>
      </c>
      <c r="U7" s="3" t="s">
        <v>184</v>
      </c>
      <c r="V7" s="3" t="s">
        <v>66</v>
      </c>
      <c r="W7" s="3" t="s">
        <v>66</v>
      </c>
      <c r="X7" s="3" t="s">
        <v>66</v>
      </c>
      <c r="Y7" s="3" t="s">
        <v>66</v>
      </c>
      <c r="Z7" s="3" t="s">
        <v>66</v>
      </c>
      <c r="AA7" s="3" t="s">
        <v>66</v>
      </c>
      <c r="AB7" s="3" t="s">
        <v>181</v>
      </c>
      <c r="AC7" s="3" t="s">
        <v>67</v>
      </c>
      <c r="AD7" s="3" t="s">
        <v>185</v>
      </c>
      <c r="AE7" s="3" t="s">
        <v>66</v>
      </c>
      <c r="AF7" s="3" t="s">
        <v>66</v>
      </c>
      <c r="AG7" s="3" t="s">
        <v>66</v>
      </c>
      <c r="AH7" s="3" t="s">
        <v>66</v>
      </c>
      <c r="AI7" s="3" t="s">
        <v>185</v>
      </c>
      <c r="AJ7" s="3" t="s">
        <v>185</v>
      </c>
      <c r="AK7" s="3" t="s">
        <v>185</v>
      </c>
      <c r="AL7" s="3" t="s">
        <v>185</v>
      </c>
      <c r="AM7" s="3" t="s">
        <v>185</v>
      </c>
      <c r="AN7" s="3" t="s">
        <v>185</v>
      </c>
      <c r="AO7" s="3" t="s">
        <v>895</v>
      </c>
      <c r="AP7" s="3" t="s">
        <v>185</v>
      </c>
      <c r="AQ7" s="3" t="s">
        <v>895</v>
      </c>
      <c r="AR7" s="3" t="s">
        <v>895</v>
      </c>
      <c r="AS7" s="3" t="s">
        <v>895</v>
      </c>
      <c r="AT7" s="3" t="s">
        <v>185</v>
      </c>
      <c r="AU7" s="3" t="s">
        <v>185</v>
      </c>
      <c r="AV7" s="3" t="s">
        <v>185</v>
      </c>
      <c r="AW7" s="3" t="s">
        <v>185</v>
      </c>
      <c r="AX7" s="3" t="s">
        <v>66</v>
      </c>
      <c r="AY7" s="3" t="s">
        <v>66</v>
      </c>
      <c r="AZ7" s="3" t="s">
        <v>186</v>
      </c>
      <c r="BA7" s="3" t="s">
        <v>187</v>
      </c>
      <c r="BB7" s="3" t="s">
        <v>187</v>
      </c>
      <c r="BC7" s="3" t="s">
        <v>185</v>
      </c>
      <c r="BD7" s="3" t="s">
        <v>185</v>
      </c>
      <c r="BE7" s="3" t="s">
        <v>188</v>
      </c>
      <c r="BF7" s="3" t="s">
        <v>189</v>
      </c>
      <c r="BG7" s="3" t="s">
        <v>190</v>
      </c>
      <c r="BH7" s="20" t="s">
        <v>1235</v>
      </c>
      <c r="BI7" s="10" t="s">
        <v>185</v>
      </c>
      <c r="BJ7" s="22" t="s">
        <v>629</v>
      </c>
      <c r="BK7" s="10" t="s">
        <v>629</v>
      </c>
      <c r="BL7" t="s">
        <v>198</v>
      </c>
      <c r="BM7" t="s">
        <v>198</v>
      </c>
      <c r="BN7" t="s">
        <v>198</v>
      </c>
    </row>
    <row r="8" spans="1:66" x14ac:dyDescent="0.3">
      <c r="A8" s="2" t="s">
        <v>191</v>
      </c>
      <c r="B8" s="3" t="s">
        <v>192</v>
      </c>
      <c r="C8" s="3" t="s">
        <v>192</v>
      </c>
      <c r="D8" s="3" t="s">
        <v>192</v>
      </c>
      <c r="E8" s="3" t="s">
        <v>192</v>
      </c>
      <c r="F8" s="3" t="s">
        <v>192</v>
      </c>
      <c r="G8" s="3" t="s">
        <v>193</v>
      </c>
      <c r="H8" s="3" t="s">
        <v>193</v>
      </c>
      <c r="I8" s="3" t="s">
        <v>193</v>
      </c>
      <c r="J8" s="3" t="s">
        <v>194</v>
      </c>
      <c r="K8" s="3" t="s">
        <v>194</v>
      </c>
      <c r="L8" s="3" t="s">
        <v>194</v>
      </c>
      <c r="M8" s="3" t="s">
        <v>194</v>
      </c>
      <c r="N8" s="3" t="s">
        <v>194</v>
      </c>
      <c r="O8" s="3" t="s">
        <v>195</v>
      </c>
      <c r="P8" s="3" t="s">
        <v>195</v>
      </c>
      <c r="Q8" s="3" t="s">
        <v>195</v>
      </c>
      <c r="R8" s="3" t="s">
        <v>195</v>
      </c>
      <c r="S8" s="3" t="s">
        <v>195</v>
      </c>
      <c r="T8" s="3" t="s">
        <v>195</v>
      </c>
      <c r="U8" s="3" t="s">
        <v>195</v>
      </c>
      <c r="V8" s="3" t="s">
        <v>195</v>
      </c>
      <c r="W8" s="3" t="s">
        <v>195</v>
      </c>
      <c r="X8" s="3" t="s">
        <v>195</v>
      </c>
      <c r="Y8" s="3" t="s">
        <v>195</v>
      </c>
      <c r="Z8" s="3" t="s">
        <v>195</v>
      </c>
      <c r="AA8" s="3" t="s">
        <v>195</v>
      </c>
      <c r="AB8" s="3" t="s">
        <v>195</v>
      </c>
      <c r="AC8" s="3" t="s">
        <v>195</v>
      </c>
      <c r="AD8" s="3" t="s">
        <v>195</v>
      </c>
      <c r="AE8" s="3" t="s">
        <v>195</v>
      </c>
      <c r="AF8" s="3" t="s">
        <v>195</v>
      </c>
      <c r="AG8" s="3" t="s">
        <v>195</v>
      </c>
      <c r="AH8" s="3" t="s">
        <v>195</v>
      </c>
      <c r="AI8" s="3" t="s">
        <v>196</v>
      </c>
      <c r="AJ8" s="3" t="s">
        <v>196</v>
      </c>
      <c r="AK8" s="3" t="s">
        <v>196</v>
      </c>
      <c r="AL8" s="3" t="s">
        <v>196</v>
      </c>
      <c r="AM8" s="3" t="s">
        <v>196</v>
      </c>
      <c r="AN8" s="3" t="s">
        <v>196</v>
      </c>
      <c r="AO8" s="3" t="s">
        <v>196</v>
      </c>
      <c r="AP8" s="3" t="s">
        <v>196</v>
      </c>
      <c r="AQ8" s="3" t="s">
        <v>196</v>
      </c>
      <c r="AR8" s="3" t="s">
        <v>196</v>
      </c>
      <c r="AS8" s="3" t="s">
        <v>196</v>
      </c>
      <c r="AT8" s="3" t="s">
        <v>196</v>
      </c>
      <c r="AU8" s="3" t="s">
        <v>196</v>
      </c>
      <c r="AV8" s="3" t="s">
        <v>196</v>
      </c>
      <c r="AW8" s="3" t="s">
        <v>196</v>
      </c>
      <c r="AX8" s="3" t="s">
        <v>196</v>
      </c>
      <c r="AY8" s="3" t="s">
        <v>196</v>
      </c>
      <c r="AZ8" s="3" t="s">
        <v>196</v>
      </c>
      <c r="BA8" s="3" t="s">
        <v>196</v>
      </c>
      <c r="BB8" s="3" t="s">
        <v>196</v>
      </c>
      <c r="BC8" s="3" t="s">
        <v>196</v>
      </c>
      <c r="BD8" s="3" t="s">
        <v>196</v>
      </c>
      <c r="BE8" s="3" t="s">
        <v>196</v>
      </c>
      <c r="BF8" s="3" t="s">
        <v>196</v>
      </c>
      <c r="BG8" s="3" t="s">
        <v>196</v>
      </c>
      <c r="BH8" s="20" t="s">
        <v>196</v>
      </c>
      <c r="BI8" s="10" t="s">
        <v>196</v>
      </c>
      <c r="BJ8" s="22" t="s">
        <v>196</v>
      </c>
      <c r="BK8" s="10" t="s">
        <v>196</v>
      </c>
      <c r="BL8" t="s">
        <v>192</v>
      </c>
      <c r="BM8" t="s">
        <v>192</v>
      </c>
      <c r="BN8" t="s">
        <v>192</v>
      </c>
    </row>
    <row r="9" spans="1:66" x14ac:dyDescent="0.3">
      <c r="A9" s="2" t="s">
        <v>197</v>
      </c>
      <c r="B9" s="3" t="s">
        <v>198</v>
      </c>
      <c r="C9" s="3" t="s">
        <v>198</v>
      </c>
      <c r="D9" s="3" t="s">
        <v>198</v>
      </c>
      <c r="E9" s="3" t="s">
        <v>198</v>
      </c>
      <c r="F9" s="3" t="s">
        <v>198</v>
      </c>
      <c r="G9" s="3" t="s">
        <v>198</v>
      </c>
      <c r="H9" s="3" t="s">
        <v>198</v>
      </c>
      <c r="I9" s="3" t="s">
        <v>198</v>
      </c>
      <c r="J9" s="3" t="s">
        <v>198</v>
      </c>
      <c r="K9" s="3" t="s">
        <v>198</v>
      </c>
      <c r="L9" s="3" t="s">
        <v>198</v>
      </c>
      <c r="M9" s="3" t="s">
        <v>198</v>
      </c>
      <c r="N9" s="3" t="s">
        <v>198</v>
      </c>
      <c r="O9" s="3" t="s">
        <v>198</v>
      </c>
      <c r="P9" s="3" t="s">
        <v>198</v>
      </c>
      <c r="Q9" s="3" t="s">
        <v>198</v>
      </c>
      <c r="R9" s="3" t="s">
        <v>198</v>
      </c>
      <c r="S9" s="3" t="s">
        <v>198</v>
      </c>
      <c r="T9" s="3" t="s">
        <v>198</v>
      </c>
      <c r="U9" s="3" t="s">
        <v>198</v>
      </c>
      <c r="V9" s="3" t="s">
        <v>198</v>
      </c>
      <c r="W9" s="3" t="s">
        <v>198</v>
      </c>
      <c r="X9" s="3" t="s">
        <v>198</v>
      </c>
      <c r="Y9" s="3" t="s">
        <v>198</v>
      </c>
      <c r="Z9" s="3" t="s">
        <v>198</v>
      </c>
      <c r="AA9" s="3" t="s">
        <v>198</v>
      </c>
      <c r="AB9" s="3" t="s">
        <v>198</v>
      </c>
      <c r="AC9" s="3" t="s">
        <v>198</v>
      </c>
      <c r="AD9" s="3" t="s">
        <v>198</v>
      </c>
      <c r="AE9" s="3" t="s">
        <v>198</v>
      </c>
      <c r="AF9" s="3" t="s">
        <v>198</v>
      </c>
      <c r="AG9" s="3" t="s">
        <v>198</v>
      </c>
      <c r="AH9" s="3" t="s">
        <v>198</v>
      </c>
      <c r="AI9" s="3" t="s">
        <v>198</v>
      </c>
      <c r="AJ9" s="3" t="s">
        <v>198</v>
      </c>
      <c r="AK9" s="3" t="s">
        <v>198</v>
      </c>
      <c r="AL9" s="3" t="s">
        <v>198</v>
      </c>
      <c r="AM9" s="3" t="s">
        <v>198</v>
      </c>
      <c r="AN9" s="3" t="s">
        <v>198</v>
      </c>
      <c r="AO9" s="3" t="s">
        <v>198</v>
      </c>
      <c r="AP9" s="3" t="s">
        <v>198</v>
      </c>
      <c r="AQ9" s="3" t="s">
        <v>198</v>
      </c>
      <c r="AR9" s="3" t="s">
        <v>198</v>
      </c>
      <c r="AS9" s="3" t="s">
        <v>198</v>
      </c>
      <c r="AT9" s="3" t="s">
        <v>198</v>
      </c>
      <c r="AU9" s="3" t="s">
        <v>198</v>
      </c>
      <c r="AV9" s="3" t="s">
        <v>198</v>
      </c>
      <c r="AW9" s="3" t="s">
        <v>198</v>
      </c>
      <c r="AX9" s="3" t="s">
        <v>198</v>
      </c>
      <c r="AY9" s="3" t="s">
        <v>198</v>
      </c>
      <c r="AZ9" s="3" t="s">
        <v>198</v>
      </c>
      <c r="BA9" s="3" t="s">
        <v>198</v>
      </c>
      <c r="BB9" s="3" t="s">
        <v>198</v>
      </c>
      <c r="BC9" s="3" t="s">
        <v>198</v>
      </c>
      <c r="BD9" s="3" t="s">
        <v>198</v>
      </c>
      <c r="BE9" s="3" t="s">
        <v>198</v>
      </c>
      <c r="BF9" s="3" t="s">
        <v>198</v>
      </c>
      <c r="BG9" s="3" t="s">
        <v>198</v>
      </c>
      <c r="BH9" s="20" t="s">
        <v>199</v>
      </c>
      <c r="BI9" s="10" t="s">
        <v>198</v>
      </c>
      <c r="BJ9" s="23" t="s">
        <v>198</v>
      </c>
      <c r="BK9" s="11" t="s">
        <v>198</v>
      </c>
      <c r="BL9" t="s">
        <v>198</v>
      </c>
      <c r="BM9" t="s">
        <v>198</v>
      </c>
      <c r="BN9" t="s">
        <v>198</v>
      </c>
    </row>
    <row r="10" spans="1:66" x14ac:dyDescent="0.3">
      <c r="A10" s="2" t="s">
        <v>43</v>
      </c>
      <c r="B10" s="25" t="s">
        <v>68</v>
      </c>
      <c r="C10" s="25" t="s">
        <v>200</v>
      </c>
      <c r="D10" s="25" t="s">
        <v>45</v>
      </c>
      <c r="E10" s="25" t="s">
        <v>201</v>
      </c>
      <c r="F10" s="25" t="s">
        <v>202</v>
      </c>
      <c r="G10" s="25" t="s">
        <v>203</v>
      </c>
      <c r="H10" s="25" t="s">
        <v>204</v>
      </c>
      <c r="I10" s="25" t="s">
        <v>205</v>
      </c>
      <c r="J10" s="25" t="s">
        <v>206</v>
      </c>
      <c r="K10" s="25" t="s">
        <v>1055</v>
      </c>
      <c r="L10" s="25" t="s">
        <v>207</v>
      </c>
      <c r="M10" s="25" t="s">
        <v>208</v>
      </c>
      <c r="N10" s="25" t="s">
        <v>209</v>
      </c>
      <c r="O10" s="25" t="s">
        <v>210</v>
      </c>
      <c r="P10" s="25" t="s">
        <v>211</v>
      </c>
      <c r="Q10" s="25" t="s">
        <v>212</v>
      </c>
      <c r="R10" s="25" t="s">
        <v>213</v>
      </c>
      <c r="S10" s="25" t="s">
        <v>214</v>
      </c>
      <c r="T10" s="25" t="s">
        <v>215</v>
      </c>
      <c r="U10" s="25" t="s">
        <v>216</v>
      </c>
      <c r="V10" s="25" t="s">
        <v>217</v>
      </c>
      <c r="W10" s="25" t="s">
        <v>218</v>
      </c>
      <c r="X10" s="25" t="s">
        <v>219</v>
      </c>
      <c r="Y10" s="25" t="s">
        <v>220</v>
      </c>
      <c r="Z10" s="25" t="s">
        <v>221</v>
      </c>
      <c r="AA10" s="25" t="s">
        <v>222</v>
      </c>
      <c r="AB10" s="25" t="s">
        <v>223</v>
      </c>
      <c r="AC10" s="25" t="s">
        <v>224</v>
      </c>
      <c r="AD10" s="25" t="s">
        <v>225</v>
      </c>
      <c r="AE10" s="25" t="s">
        <v>226</v>
      </c>
      <c r="AF10" s="25" t="s">
        <v>227</v>
      </c>
      <c r="AG10" s="25" t="s">
        <v>228</v>
      </c>
      <c r="AH10" s="25" t="s">
        <v>229</v>
      </c>
      <c r="AI10" s="25" t="s">
        <v>230</v>
      </c>
      <c r="AJ10" s="25" t="s">
        <v>231</v>
      </c>
      <c r="AK10" s="25" t="s">
        <v>232</v>
      </c>
      <c r="AL10" s="25" t="s">
        <v>233</v>
      </c>
      <c r="AM10" s="25" t="s">
        <v>234</v>
      </c>
      <c r="AN10" s="25" t="s">
        <v>235</v>
      </c>
      <c r="AO10" s="25" t="s">
        <v>236</v>
      </c>
      <c r="AP10" s="25" t="s">
        <v>237</v>
      </c>
      <c r="AQ10" s="25" t="s">
        <v>238</v>
      </c>
      <c r="AR10" s="25" t="s">
        <v>239</v>
      </c>
      <c r="AS10" s="25" t="s">
        <v>897</v>
      </c>
      <c r="AT10" s="25" t="s">
        <v>240</v>
      </c>
      <c r="AU10" s="25" t="s">
        <v>241</v>
      </c>
      <c r="AV10" s="25" t="s">
        <v>242</v>
      </c>
      <c r="AW10" s="25" t="s">
        <v>243</v>
      </c>
      <c r="AX10" s="25" t="s">
        <v>244</v>
      </c>
      <c r="AY10" s="25" t="s">
        <v>245</v>
      </c>
      <c r="AZ10" s="25" t="s">
        <v>246</v>
      </c>
      <c r="BA10" s="25" t="s">
        <v>247</v>
      </c>
      <c r="BB10" s="25" t="s">
        <v>248</v>
      </c>
      <c r="BC10" s="25" t="s">
        <v>249</v>
      </c>
      <c r="BD10" s="25" t="s">
        <v>250</v>
      </c>
      <c r="BE10" s="25" t="s">
        <v>251</v>
      </c>
      <c r="BF10" s="25" t="s">
        <v>252</v>
      </c>
      <c r="BG10" s="25" t="s">
        <v>253</v>
      </c>
      <c r="BH10" s="26" t="s">
        <v>254</v>
      </c>
      <c r="BI10" s="27" t="s">
        <v>708</v>
      </c>
      <c r="BJ10" s="28" t="s">
        <v>630</v>
      </c>
      <c r="BK10" s="29" t="s">
        <v>631</v>
      </c>
      <c r="BL10" t="s">
        <v>684</v>
      </c>
      <c r="BM10" t="s">
        <v>685</v>
      </c>
      <c r="BN10" t="s">
        <v>686</v>
      </c>
    </row>
    <row r="11" spans="1:66" x14ac:dyDescent="0.3">
      <c r="B11" s="30">
        <v>1</v>
      </c>
      <c r="C11" s="30">
        <v>1</v>
      </c>
      <c r="D11" s="30" t="s">
        <v>363</v>
      </c>
      <c r="E11" s="30" t="s">
        <v>633</v>
      </c>
      <c r="F11" s="30">
        <v>3</v>
      </c>
      <c r="G11" s="30" t="s">
        <v>624</v>
      </c>
      <c r="H11" s="30" t="s">
        <v>635</v>
      </c>
      <c r="I11" s="31">
        <v>0.23749999999999999</v>
      </c>
      <c r="J11" s="30" t="s">
        <v>638</v>
      </c>
      <c r="K11" s="30" t="s">
        <v>694</v>
      </c>
      <c r="L11" s="30">
        <v>500</v>
      </c>
      <c r="M11" s="30">
        <v>2880</v>
      </c>
      <c r="N11" s="30" t="s">
        <v>198</v>
      </c>
      <c r="O11" s="30" t="s">
        <v>619</v>
      </c>
      <c r="P11" s="32">
        <v>0.3</v>
      </c>
      <c r="Q11" s="32">
        <v>0.55500000000000005</v>
      </c>
      <c r="R11" s="32">
        <f>1-Q11-P11</f>
        <v>0.14499999999999996</v>
      </c>
      <c r="S11" s="32">
        <v>0.03</v>
      </c>
      <c r="T11" s="30" t="s">
        <v>198</v>
      </c>
      <c r="U11" s="30" t="s">
        <v>198</v>
      </c>
      <c r="V11" s="30" t="s">
        <v>198</v>
      </c>
      <c r="W11" s="30" t="s">
        <v>198</v>
      </c>
      <c r="X11" s="30" t="s">
        <v>621</v>
      </c>
      <c r="Y11" s="30" t="s">
        <v>622</v>
      </c>
      <c r="Z11" s="30" t="s">
        <v>647</v>
      </c>
      <c r="AA11" s="30" t="s">
        <v>454</v>
      </c>
      <c r="AB11" s="30">
        <v>26</v>
      </c>
      <c r="AC11" s="30">
        <v>568</v>
      </c>
      <c r="AD11" s="33">
        <f xml:space="preserve"> (23.2/10) / (1*0.1*1250)</f>
        <v>1.856E-2</v>
      </c>
      <c r="AE11" s="30" t="s">
        <v>659</v>
      </c>
      <c r="AF11" s="30" t="s">
        <v>661</v>
      </c>
      <c r="AG11" s="30" t="s">
        <v>198</v>
      </c>
      <c r="AH11" s="30" t="s">
        <v>451</v>
      </c>
      <c r="AI11" s="34">
        <f>AVERAGE(8.8%, 12%)</f>
        <v>0.10400000000000001</v>
      </c>
      <c r="AJ11" s="30" t="s">
        <v>198</v>
      </c>
      <c r="AK11" s="35">
        <f>AVERAGE(71.7,63.5)%</f>
        <v>0.67599999999999993</v>
      </c>
      <c r="AL11" s="30" t="s">
        <v>198</v>
      </c>
      <c r="AM11" s="31">
        <v>1.6459499999999998E-2</v>
      </c>
      <c r="AN11" s="36">
        <v>2.8920322697606961E-3</v>
      </c>
      <c r="AO11" s="30" t="s">
        <v>198</v>
      </c>
      <c r="AP11" s="33">
        <v>0.151895</v>
      </c>
      <c r="AQ11" s="37">
        <f>AVERAGE(291,185)</f>
        <v>238</v>
      </c>
      <c r="AR11" s="37">
        <f>AVERAGE(3.3,2.61)*1000</f>
        <v>2955</v>
      </c>
      <c r="AS11" s="38" t="s">
        <v>198</v>
      </c>
      <c r="AT11" s="30" t="s">
        <v>198</v>
      </c>
      <c r="AU11" s="30">
        <v>0.29218047337278114</v>
      </c>
      <c r="AV11" s="39">
        <v>0.16875000000000001</v>
      </c>
      <c r="AW11" s="30">
        <v>278.25</v>
      </c>
      <c r="AX11" s="30">
        <f>AVERAGE(10.14,10.07)</f>
        <v>10.105</v>
      </c>
      <c r="AY11" s="30" t="s">
        <v>198</v>
      </c>
      <c r="AZ11" s="30">
        <f>AVERAGE(235,248)/10</f>
        <v>24.15</v>
      </c>
      <c r="BA11" s="30" t="s">
        <v>198</v>
      </c>
      <c r="BB11" s="30" t="s">
        <v>198</v>
      </c>
      <c r="BC11" s="30" t="s">
        <v>198</v>
      </c>
      <c r="BD11" s="30" t="s">
        <v>198</v>
      </c>
      <c r="BE11" s="30" t="s">
        <v>676</v>
      </c>
      <c r="BF11" s="30" t="s">
        <v>198</v>
      </c>
      <c r="BG11" s="30" t="s">
        <v>198</v>
      </c>
      <c r="BH11" s="30" t="s">
        <v>198</v>
      </c>
      <c r="BI11" s="27" t="s">
        <v>198</v>
      </c>
      <c r="BJ11" s="40" t="s">
        <v>632</v>
      </c>
      <c r="BK11" s="41" t="s">
        <v>627</v>
      </c>
      <c r="BL11" s="30" t="s">
        <v>683</v>
      </c>
      <c r="BM11" s="30" t="s">
        <v>1132</v>
      </c>
      <c r="BN11" s="30" t="s">
        <v>682</v>
      </c>
    </row>
    <row r="12" spans="1:66" x14ac:dyDescent="0.3">
      <c r="B12" s="42">
        <v>3</v>
      </c>
      <c r="C12" s="42">
        <v>9</v>
      </c>
      <c r="D12" s="54" t="s">
        <v>370</v>
      </c>
      <c r="E12" s="42" t="s">
        <v>1036</v>
      </c>
      <c r="F12" s="42">
        <v>3</v>
      </c>
      <c r="G12" s="42" t="s">
        <v>1045</v>
      </c>
      <c r="H12" s="42" t="s">
        <v>693</v>
      </c>
      <c r="I12" s="42"/>
      <c r="J12" s="42" t="s">
        <v>1029</v>
      </c>
      <c r="K12" s="42" t="s">
        <v>694</v>
      </c>
      <c r="L12" s="42">
        <v>500</v>
      </c>
      <c r="M12" s="42">
        <f>3*60</f>
        <v>180</v>
      </c>
      <c r="N12" s="55">
        <v>7.5</v>
      </c>
      <c r="O12" s="42" t="s">
        <v>1030</v>
      </c>
      <c r="P12" s="56">
        <v>0.24399999999999999</v>
      </c>
      <c r="Q12" s="56">
        <v>0.35799999999999998</v>
      </c>
      <c r="R12" s="44">
        <f>1-P12-Q12</f>
        <v>0.39800000000000002</v>
      </c>
      <c r="S12" s="46">
        <f>19.64/1000*1.72</f>
        <v>3.37808E-2</v>
      </c>
      <c r="T12" s="42" t="s">
        <v>198</v>
      </c>
      <c r="U12" s="44">
        <v>1</v>
      </c>
      <c r="V12" s="42">
        <v>5.39</v>
      </c>
      <c r="W12" s="42" t="s">
        <v>198</v>
      </c>
      <c r="X12" s="42" t="s">
        <v>1035</v>
      </c>
      <c r="Y12" s="42" t="s">
        <v>1349</v>
      </c>
      <c r="Z12" s="42" t="s">
        <v>696</v>
      </c>
      <c r="AA12" s="42" t="s">
        <v>454</v>
      </c>
      <c r="AB12" s="42">
        <v>25</v>
      </c>
      <c r="AC12" s="42">
        <v>390</v>
      </c>
      <c r="AD12" s="52">
        <v>2.5000000000000001E-2</v>
      </c>
      <c r="AE12" s="42" t="s">
        <v>888</v>
      </c>
      <c r="AF12" s="42" t="s">
        <v>1047</v>
      </c>
      <c r="AG12" s="42" t="s">
        <v>1048</v>
      </c>
      <c r="AH12" s="42" t="s">
        <v>451</v>
      </c>
      <c r="AI12" s="51">
        <v>0.2742</v>
      </c>
      <c r="AJ12" s="51">
        <v>0.2742</v>
      </c>
      <c r="AK12" s="51">
        <v>0.80500000000000005</v>
      </c>
      <c r="AL12" s="51">
        <v>0.61019999999999996</v>
      </c>
      <c r="AM12" s="51">
        <v>1.84E-2</v>
      </c>
      <c r="AN12" s="51">
        <v>2.29E-2</v>
      </c>
      <c r="AO12" s="42" t="s">
        <v>198</v>
      </c>
      <c r="AP12" s="69">
        <v>0.19500000000000001</v>
      </c>
      <c r="AQ12" s="42" t="s">
        <v>198</v>
      </c>
      <c r="AR12" s="42" t="s">
        <v>198</v>
      </c>
      <c r="AS12" s="42" t="s">
        <v>198</v>
      </c>
      <c r="AT12" s="47">
        <f>AM12/AL12*12.0107/1.00784</f>
        <v>0.35935388806753416</v>
      </c>
      <c r="AU12" s="47">
        <f>AM12/AK12*12.0107/1.00784</f>
        <v>0.27239471117864505</v>
      </c>
      <c r="AV12" s="47">
        <f t="shared" ref="AV12:AV46" si="0">AP12/AL12*12.0107/15.999</f>
        <v>0.23990422090662872</v>
      </c>
      <c r="AW12" s="42">
        <f>AK12/AN12*14.0067/12.0107</f>
        <v>40.994718210323597</v>
      </c>
      <c r="AX12" s="42">
        <v>10.039999999999999</v>
      </c>
      <c r="AY12" s="42" t="s">
        <v>198</v>
      </c>
      <c r="AZ12" s="42" t="s">
        <v>198</v>
      </c>
      <c r="BA12" s="42" t="s">
        <v>198</v>
      </c>
      <c r="BB12" s="42" t="s">
        <v>198</v>
      </c>
      <c r="BC12" s="42" t="s">
        <v>198</v>
      </c>
      <c r="BD12" s="42" t="s">
        <v>198</v>
      </c>
      <c r="BE12" s="42" t="s">
        <v>198</v>
      </c>
      <c r="BF12" s="42" t="s">
        <v>198</v>
      </c>
      <c r="BG12" s="42" t="s">
        <v>198</v>
      </c>
      <c r="BH12" s="42" t="s">
        <v>198</v>
      </c>
      <c r="BI12" s="42" t="s">
        <v>198</v>
      </c>
      <c r="BJ12" s="42">
        <v>570.67999999999995</v>
      </c>
      <c r="BK12" s="42">
        <v>-24.51</v>
      </c>
      <c r="BL12" s="42" t="s">
        <v>1109</v>
      </c>
      <c r="BM12" s="42" t="s">
        <v>1133</v>
      </c>
      <c r="BN12" s="42" t="s">
        <v>1086</v>
      </c>
    </row>
    <row r="13" spans="1:66" x14ac:dyDescent="0.3">
      <c r="B13" s="42">
        <v>4</v>
      </c>
      <c r="C13" s="42">
        <v>9</v>
      </c>
      <c r="D13" s="54" t="s">
        <v>370</v>
      </c>
      <c r="E13" s="42" t="s">
        <v>1037</v>
      </c>
      <c r="F13" s="42">
        <v>3</v>
      </c>
      <c r="G13" s="42" t="s">
        <v>1045</v>
      </c>
      <c r="H13" s="42" t="s">
        <v>693</v>
      </c>
      <c r="I13" s="42"/>
      <c r="J13" s="42" t="s">
        <v>1029</v>
      </c>
      <c r="K13" s="42" t="s">
        <v>694</v>
      </c>
      <c r="L13" s="42">
        <v>500</v>
      </c>
      <c r="M13" s="42">
        <f>3*60</f>
        <v>180</v>
      </c>
      <c r="N13" s="55">
        <v>7.5</v>
      </c>
      <c r="O13" s="42" t="s">
        <v>1031</v>
      </c>
      <c r="P13" s="56">
        <v>0.19600000000000001</v>
      </c>
      <c r="Q13" s="56">
        <v>0.32100000000000001</v>
      </c>
      <c r="R13" s="44">
        <f>1-P13-Q13</f>
        <v>0.48300000000000004</v>
      </c>
      <c r="S13" s="46">
        <f>14.59/1000*1.72</f>
        <v>2.50948E-2</v>
      </c>
      <c r="T13" s="42" t="s">
        <v>198</v>
      </c>
      <c r="U13" s="44">
        <v>1</v>
      </c>
      <c r="V13" s="42">
        <v>5.7</v>
      </c>
      <c r="W13" s="42" t="s">
        <v>198</v>
      </c>
      <c r="X13" s="42" t="s">
        <v>1041</v>
      </c>
      <c r="Y13" s="42" t="s">
        <v>1352</v>
      </c>
      <c r="Z13" s="42" t="s">
        <v>696</v>
      </c>
      <c r="AA13" s="42" t="s">
        <v>454</v>
      </c>
      <c r="AB13" s="42">
        <v>25</v>
      </c>
      <c r="AC13" s="42">
        <v>390</v>
      </c>
      <c r="AD13" s="52">
        <v>2.5000000000000001E-2</v>
      </c>
      <c r="AE13" s="42" t="s">
        <v>888</v>
      </c>
      <c r="AF13" s="42" t="s">
        <v>1047</v>
      </c>
      <c r="AG13" s="42" t="s">
        <v>1048</v>
      </c>
      <c r="AH13" s="42" t="s">
        <v>451</v>
      </c>
      <c r="AI13" s="51">
        <v>0.2742</v>
      </c>
      <c r="AJ13" s="51">
        <v>0.2742</v>
      </c>
      <c r="AK13" s="51">
        <v>0.80500000000000005</v>
      </c>
      <c r="AL13" s="51">
        <v>0.61019999999999996</v>
      </c>
      <c r="AM13" s="51">
        <v>1.84E-2</v>
      </c>
      <c r="AN13" s="51">
        <v>2.29E-2</v>
      </c>
      <c r="AO13" s="42" t="s">
        <v>198</v>
      </c>
      <c r="AP13" s="69">
        <v>0.19500000000000001</v>
      </c>
      <c r="AQ13" s="42" t="s">
        <v>198</v>
      </c>
      <c r="AR13" s="42" t="s">
        <v>198</v>
      </c>
      <c r="AS13" s="42" t="s">
        <v>198</v>
      </c>
      <c r="AT13" s="47">
        <f>AM13/AL13*12.0107/1.00784</f>
        <v>0.35935388806753416</v>
      </c>
      <c r="AU13" s="47">
        <f>AM13/AK13*12.0107/1.00784</f>
        <v>0.27239471117864505</v>
      </c>
      <c r="AV13" s="47">
        <f t="shared" si="0"/>
        <v>0.23990422090662872</v>
      </c>
      <c r="AW13" s="42">
        <f t="shared" ref="AW13:AW53" si="1">AK13/AN13*14.0067/12.0107</f>
        <v>40.994718210323597</v>
      </c>
      <c r="AX13" s="42">
        <v>10.039999999999999</v>
      </c>
      <c r="AY13" s="42" t="s">
        <v>198</v>
      </c>
      <c r="AZ13" s="42" t="s">
        <v>198</v>
      </c>
      <c r="BA13" s="42" t="s">
        <v>198</v>
      </c>
      <c r="BB13" s="42" t="s">
        <v>198</v>
      </c>
      <c r="BC13" s="42" t="s">
        <v>198</v>
      </c>
      <c r="BD13" s="42" t="s">
        <v>198</v>
      </c>
      <c r="BE13" s="42" t="s">
        <v>198</v>
      </c>
      <c r="BF13" s="42" t="s">
        <v>198</v>
      </c>
      <c r="BG13" s="42" t="s">
        <v>198</v>
      </c>
      <c r="BH13" s="42" t="s">
        <v>198</v>
      </c>
      <c r="BI13" s="42" t="s">
        <v>198</v>
      </c>
      <c r="BJ13" s="42">
        <v>570.67999999999995</v>
      </c>
      <c r="BK13" s="42">
        <v>-23.87</v>
      </c>
      <c r="BL13" s="42" t="s">
        <v>1110</v>
      </c>
      <c r="BM13" s="42" t="s">
        <v>1134</v>
      </c>
      <c r="BN13" s="42" t="s">
        <v>1087</v>
      </c>
    </row>
    <row r="14" spans="1:66" x14ac:dyDescent="0.3">
      <c r="B14" s="42">
        <v>5</v>
      </c>
      <c r="C14" s="42">
        <v>9</v>
      </c>
      <c r="D14" s="54" t="s">
        <v>370</v>
      </c>
      <c r="E14" s="42" t="s">
        <v>1038</v>
      </c>
      <c r="F14" s="42">
        <v>3</v>
      </c>
      <c r="G14" s="42" t="s">
        <v>1045</v>
      </c>
      <c r="H14" s="42" t="s">
        <v>693</v>
      </c>
      <c r="I14" s="42"/>
      <c r="J14" s="42" t="s">
        <v>1029</v>
      </c>
      <c r="K14" s="42" t="s">
        <v>694</v>
      </c>
      <c r="L14" s="42">
        <v>500</v>
      </c>
      <c r="M14" s="42">
        <f>3*60</f>
        <v>180</v>
      </c>
      <c r="N14" s="55">
        <v>7.5</v>
      </c>
      <c r="O14" s="42" t="s">
        <v>1032</v>
      </c>
      <c r="P14" s="56">
        <v>0.27100000000000002</v>
      </c>
      <c r="Q14" s="56">
        <v>0.36399999999999999</v>
      </c>
      <c r="R14" s="44">
        <f>1-P14-Q14</f>
        <v>0.36499999999999999</v>
      </c>
      <c r="S14" s="46">
        <f>12.97/1000*1.72</f>
        <v>2.2308399999999999E-2</v>
      </c>
      <c r="T14" s="42" t="s">
        <v>198</v>
      </c>
      <c r="U14" s="44">
        <v>1</v>
      </c>
      <c r="V14" s="42">
        <v>4.6399999999999997</v>
      </c>
      <c r="W14" s="42" t="s">
        <v>198</v>
      </c>
      <c r="X14" s="42" t="s">
        <v>1042</v>
      </c>
      <c r="Y14" s="42" t="s">
        <v>1353</v>
      </c>
      <c r="Z14" s="42" t="s">
        <v>696</v>
      </c>
      <c r="AA14" s="42" t="s">
        <v>454</v>
      </c>
      <c r="AB14" s="42">
        <v>25</v>
      </c>
      <c r="AC14" s="42">
        <v>390</v>
      </c>
      <c r="AD14" s="52">
        <v>2.5000000000000001E-2</v>
      </c>
      <c r="AE14" s="42" t="s">
        <v>888</v>
      </c>
      <c r="AF14" s="42" t="s">
        <v>1047</v>
      </c>
      <c r="AG14" s="42" t="s">
        <v>1048</v>
      </c>
      <c r="AH14" s="42" t="s">
        <v>451</v>
      </c>
      <c r="AI14" s="51">
        <v>0.2742</v>
      </c>
      <c r="AJ14" s="51">
        <v>0.2742</v>
      </c>
      <c r="AK14" s="51">
        <v>0.80500000000000005</v>
      </c>
      <c r="AL14" s="51">
        <v>0.61019999999999996</v>
      </c>
      <c r="AM14" s="51">
        <v>1.84E-2</v>
      </c>
      <c r="AN14" s="51">
        <v>2.29E-2</v>
      </c>
      <c r="AO14" s="42" t="s">
        <v>198</v>
      </c>
      <c r="AP14" s="69">
        <v>0.19500000000000001</v>
      </c>
      <c r="AQ14" s="42" t="s">
        <v>198</v>
      </c>
      <c r="AR14" s="42" t="s">
        <v>198</v>
      </c>
      <c r="AS14" s="42" t="s">
        <v>198</v>
      </c>
      <c r="AT14" s="47">
        <f>AM14/AL14*12.0107/1.00784</f>
        <v>0.35935388806753416</v>
      </c>
      <c r="AU14" s="47">
        <f>AM14/AK14*12.0107/1.00784</f>
        <v>0.27239471117864505</v>
      </c>
      <c r="AV14" s="47">
        <f t="shared" si="0"/>
        <v>0.23990422090662872</v>
      </c>
      <c r="AW14" s="42">
        <f t="shared" si="1"/>
        <v>40.994718210323597</v>
      </c>
      <c r="AX14" s="42">
        <v>10.039999999999999</v>
      </c>
      <c r="AY14" s="42" t="s">
        <v>198</v>
      </c>
      <c r="AZ14" s="42" t="s">
        <v>198</v>
      </c>
      <c r="BA14" s="42" t="s">
        <v>198</v>
      </c>
      <c r="BB14" s="42" t="s">
        <v>198</v>
      </c>
      <c r="BC14" s="42" t="s">
        <v>198</v>
      </c>
      <c r="BD14" s="42" t="s">
        <v>198</v>
      </c>
      <c r="BE14" s="42" t="s">
        <v>198</v>
      </c>
      <c r="BF14" s="42" t="s">
        <v>198</v>
      </c>
      <c r="BG14" s="42" t="s">
        <v>198</v>
      </c>
      <c r="BH14" s="42" t="s">
        <v>198</v>
      </c>
      <c r="BI14" s="42" t="s">
        <v>198</v>
      </c>
      <c r="BJ14" s="42">
        <v>570.67999999999995</v>
      </c>
      <c r="BK14" s="42">
        <v>-25.58</v>
      </c>
      <c r="BL14" s="42" t="s">
        <v>1111</v>
      </c>
      <c r="BM14" s="42" t="s">
        <v>1135</v>
      </c>
      <c r="BN14" s="42" t="s">
        <v>1088</v>
      </c>
    </row>
    <row r="15" spans="1:66" x14ac:dyDescent="0.3">
      <c r="B15" s="42">
        <v>6</v>
      </c>
      <c r="C15" s="42">
        <v>9</v>
      </c>
      <c r="D15" s="54" t="s">
        <v>370</v>
      </c>
      <c r="E15" s="42" t="s">
        <v>1039</v>
      </c>
      <c r="F15" s="42">
        <v>3</v>
      </c>
      <c r="G15" s="42" t="s">
        <v>1045</v>
      </c>
      <c r="H15" s="42" t="s">
        <v>693</v>
      </c>
      <c r="I15" s="42"/>
      <c r="J15" s="42" t="s">
        <v>1029</v>
      </c>
      <c r="K15" s="42" t="s">
        <v>694</v>
      </c>
      <c r="L15" s="42">
        <v>500</v>
      </c>
      <c r="M15" s="42">
        <f>3*60</f>
        <v>180</v>
      </c>
      <c r="N15" s="55">
        <v>7.5</v>
      </c>
      <c r="O15" s="42" t="s">
        <v>1033</v>
      </c>
      <c r="P15" s="56">
        <v>0.26</v>
      </c>
      <c r="Q15" s="56">
        <v>0.33700000000000002</v>
      </c>
      <c r="R15" s="44">
        <f>1-P15-Q15</f>
        <v>0.40299999999999997</v>
      </c>
      <c r="S15" s="46">
        <f>15.14/1000*1.72</f>
        <v>2.6040799999999999E-2</v>
      </c>
      <c r="T15" s="42" t="s">
        <v>198</v>
      </c>
      <c r="U15" s="44">
        <v>1</v>
      </c>
      <c r="V15" s="42">
        <v>5.6</v>
      </c>
      <c r="W15" s="42" t="s">
        <v>198</v>
      </c>
      <c r="X15" s="42" t="s">
        <v>1043</v>
      </c>
      <c r="Y15" s="42" t="s">
        <v>1350</v>
      </c>
      <c r="Z15" s="42" t="s">
        <v>696</v>
      </c>
      <c r="AA15" s="42" t="s">
        <v>454</v>
      </c>
      <c r="AB15" s="42">
        <v>25</v>
      </c>
      <c r="AC15" s="42">
        <v>390</v>
      </c>
      <c r="AD15" s="52">
        <v>2.5000000000000001E-2</v>
      </c>
      <c r="AE15" s="42" t="s">
        <v>888</v>
      </c>
      <c r="AF15" s="42" t="s">
        <v>1047</v>
      </c>
      <c r="AG15" s="42" t="s">
        <v>1048</v>
      </c>
      <c r="AH15" s="42" t="s">
        <v>451</v>
      </c>
      <c r="AI15" s="51">
        <v>0.2742</v>
      </c>
      <c r="AJ15" s="51">
        <v>0.2742</v>
      </c>
      <c r="AK15" s="51">
        <v>0.80500000000000005</v>
      </c>
      <c r="AL15" s="51">
        <v>0.61019999999999996</v>
      </c>
      <c r="AM15" s="51">
        <v>1.84E-2</v>
      </c>
      <c r="AN15" s="51">
        <v>2.29E-2</v>
      </c>
      <c r="AO15" s="42" t="s">
        <v>198</v>
      </c>
      <c r="AP15" s="69">
        <v>0.19500000000000001</v>
      </c>
      <c r="AQ15" s="42" t="s">
        <v>198</v>
      </c>
      <c r="AR15" s="42" t="s">
        <v>198</v>
      </c>
      <c r="AS15" s="42" t="s">
        <v>198</v>
      </c>
      <c r="AT15" s="47">
        <f>AM15/AL15*12.0107/1.00784</f>
        <v>0.35935388806753416</v>
      </c>
      <c r="AU15" s="47">
        <f>AM15/AK15*12.0107/1.00784</f>
        <v>0.27239471117864505</v>
      </c>
      <c r="AV15" s="47">
        <f t="shared" si="0"/>
        <v>0.23990422090662872</v>
      </c>
      <c r="AW15" s="42">
        <f t="shared" si="1"/>
        <v>40.994718210323597</v>
      </c>
      <c r="AX15" s="42">
        <v>10.039999999999999</v>
      </c>
      <c r="AY15" s="42" t="s">
        <v>198</v>
      </c>
      <c r="AZ15" s="42" t="s">
        <v>198</v>
      </c>
      <c r="BA15" s="42" t="s">
        <v>198</v>
      </c>
      <c r="BB15" s="42" t="s">
        <v>198</v>
      </c>
      <c r="BC15" s="42" t="s">
        <v>198</v>
      </c>
      <c r="BD15" s="42" t="s">
        <v>198</v>
      </c>
      <c r="BE15" s="42" t="s">
        <v>198</v>
      </c>
      <c r="BF15" s="42" t="s">
        <v>198</v>
      </c>
      <c r="BG15" s="42" t="s">
        <v>198</v>
      </c>
      <c r="BH15" s="42" t="s">
        <v>198</v>
      </c>
      <c r="BI15" s="42" t="s">
        <v>198</v>
      </c>
      <c r="BJ15" s="42">
        <v>570.67999999999995</v>
      </c>
      <c r="BK15" s="42">
        <v>-28.18</v>
      </c>
      <c r="BL15" s="42" t="s">
        <v>1112</v>
      </c>
      <c r="BM15" s="42" t="s">
        <v>1136</v>
      </c>
      <c r="BN15" s="42" t="s">
        <v>1089</v>
      </c>
    </row>
    <row r="16" spans="1:66" x14ac:dyDescent="0.3">
      <c r="B16" s="42">
        <v>7</v>
      </c>
      <c r="C16" s="42">
        <v>9</v>
      </c>
      <c r="D16" s="54" t="s">
        <v>370</v>
      </c>
      <c r="E16" s="42" t="s">
        <v>1040</v>
      </c>
      <c r="F16" s="42">
        <v>3</v>
      </c>
      <c r="G16" s="42" t="s">
        <v>1045</v>
      </c>
      <c r="H16" s="42" t="s">
        <v>693</v>
      </c>
      <c r="I16" s="42"/>
      <c r="J16" s="42" t="s">
        <v>1029</v>
      </c>
      <c r="K16" s="42" t="s">
        <v>694</v>
      </c>
      <c r="L16" s="42">
        <v>500</v>
      </c>
      <c r="M16" s="42">
        <f>3*60</f>
        <v>180</v>
      </c>
      <c r="N16" s="55">
        <v>7.5</v>
      </c>
      <c r="O16" s="42" t="s">
        <v>1034</v>
      </c>
      <c r="P16" s="56">
        <v>0.35399999999999998</v>
      </c>
      <c r="Q16" s="56">
        <v>0.48499999999999999</v>
      </c>
      <c r="R16" s="44">
        <f>1-P16-Q16</f>
        <v>0.16100000000000003</v>
      </c>
      <c r="S16" s="46">
        <f>19.82/1000*1.72</f>
        <v>3.40904E-2</v>
      </c>
      <c r="T16" s="42" t="s">
        <v>198</v>
      </c>
      <c r="U16" s="44">
        <v>1</v>
      </c>
      <c r="V16" s="42">
        <v>5.25</v>
      </c>
      <c r="W16" s="42" t="s">
        <v>198</v>
      </c>
      <c r="X16" s="42" t="s">
        <v>1044</v>
      </c>
      <c r="Y16" s="42" t="s">
        <v>1351</v>
      </c>
      <c r="Z16" s="42" t="s">
        <v>696</v>
      </c>
      <c r="AA16" s="42" t="s">
        <v>454</v>
      </c>
      <c r="AB16" s="42">
        <v>25</v>
      </c>
      <c r="AC16" s="42">
        <v>390</v>
      </c>
      <c r="AD16" s="52">
        <v>2.5000000000000001E-2</v>
      </c>
      <c r="AE16" s="42" t="s">
        <v>888</v>
      </c>
      <c r="AF16" s="42" t="s">
        <v>1047</v>
      </c>
      <c r="AG16" s="42" t="s">
        <v>1048</v>
      </c>
      <c r="AH16" s="42" t="s">
        <v>451</v>
      </c>
      <c r="AI16" s="51">
        <v>0.2742</v>
      </c>
      <c r="AJ16" s="51">
        <v>0.2742</v>
      </c>
      <c r="AK16" s="51">
        <v>0.80500000000000005</v>
      </c>
      <c r="AL16" s="51">
        <v>0.61019999999999996</v>
      </c>
      <c r="AM16" s="51">
        <v>1.84E-2</v>
      </c>
      <c r="AN16" s="51">
        <v>2.29E-2</v>
      </c>
      <c r="AO16" s="42" t="s">
        <v>198</v>
      </c>
      <c r="AP16" s="69">
        <v>0.19500000000000001</v>
      </c>
      <c r="AQ16" s="42" t="s">
        <v>198</v>
      </c>
      <c r="AR16" s="42" t="s">
        <v>198</v>
      </c>
      <c r="AS16" s="42" t="s">
        <v>198</v>
      </c>
      <c r="AT16" s="47">
        <f>AM16/AL16*12.0107/1.00784</f>
        <v>0.35935388806753416</v>
      </c>
      <c r="AU16" s="47">
        <f>AM16/AK16*12.0107/1.00784</f>
        <v>0.27239471117864505</v>
      </c>
      <c r="AV16" s="47">
        <f t="shared" si="0"/>
        <v>0.23990422090662872</v>
      </c>
      <c r="AW16" s="42">
        <f t="shared" si="1"/>
        <v>40.994718210323597</v>
      </c>
      <c r="AX16" s="42">
        <v>10.039999999999999</v>
      </c>
      <c r="AY16" s="42" t="s">
        <v>198</v>
      </c>
      <c r="AZ16" s="42" t="s">
        <v>198</v>
      </c>
      <c r="BA16" s="42" t="s">
        <v>198</v>
      </c>
      <c r="BB16" s="42" t="s">
        <v>198</v>
      </c>
      <c r="BC16" s="42" t="s">
        <v>198</v>
      </c>
      <c r="BD16" s="42" t="s">
        <v>198</v>
      </c>
      <c r="BE16" s="42" t="s">
        <v>198</v>
      </c>
      <c r="BF16" s="42" t="s">
        <v>198</v>
      </c>
      <c r="BG16" s="42" t="s">
        <v>198</v>
      </c>
      <c r="BH16" s="42" t="s">
        <v>198</v>
      </c>
      <c r="BI16" s="42" t="s">
        <v>198</v>
      </c>
      <c r="BJ16" s="42">
        <v>570.67999999999995</v>
      </c>
      <c r="BK16" s="42">
        <v>-24.95</v>
      </c>
      <c r="BL16" s="42" t="s">
        <v>1113</v>
      </c>
      <c r="BM16" s="42" t="s">
        <v>1137</v>
      </c>
      <c r="BN16" s="42" t="s">
        <v>1090</v>
      </c>
    </row>
    <row r="17" spans="2:66" x14ac:dyDescent="0.3">
      <c r="B17" s="42">
        <v>8</v>
      </c>
      <c r="C17" s="42">
        <v>5</v>
      </c>
      <c r="D17" s="42" t="s">
        <v>366</v>
      </c>
      <c r="E17" s="54" t="s">
        <v>916</v>
      </c>
      <c r="F17" s="42">
        <v>4</v>
      </c>
      <c r="G17" s="42" t="s">
        <v>901</v>
      </c>
      <c r="H17" s="42" t="s">
        <v>635</v>
      </c>
      <c r="I17" s="42"/>
      <c r="J17" s="42" t="s">
        <v>902</v>
      </c>
      <c r="K17" s="42" t="s">
        <v>694</v>
      </c>
      <c r="L17" s="42">
        <v>450</v>
      </c>
      <c r="M17" s="42">
        <v>40</v>
      </c>
      <c r="N17" s="42">
        <f t="shared" ref="N17:N46" si="2">AVERAGE(5,10)</f>
        <v>7.5</v>
      </c>
      <c r="O17" s="54" t="s">
        <v>906</v>
      </c>
      <c r="P17" s="67">
        <v>0.441</v>
      </c>
      <c r="Q17" s="67">
        <v>0.24299999999999999</v>
      </c>
      <c r="R17" s="67">
        <v>0.316</v>
      </c>
      <c r="S17" s="68">
        <f t="shared" ref="S17:S28" si="3">4.39%*1.72</f>
        <v>7.5507999999999992E-2</v>
      </c>
      <c r="T17" s="42" t="s">
        <v>198</v>
      </c>
      <c r="U17" s="44">
        <v>0.7</v>
      </c>
      <c r="V17" s="54">
        <v>5.65</v>
      </c>
      <c r="W17" s="54" t="s">
        <v>198</v>
      </c>
      <c r="X17" s="54" t="s">
        <v>944</v>
      </c>
      <c r="Y17" s="54" t="s">
        <v>978</v>
      </c>
      <c r="Z17" s="42" t="s">
        <v>696</v>
      </c>
      <c r="AA17" s="42" t="s">
        <v>454</v>
      </c>
      <c r="AB17" s="42">
        <v>20</v>
      </c>
      <c r="AC17" s="42">
        <v>730</v>
      </c>
      <c r="AD17" s="51">
        <v>0.02</v>
      </c>
      <c r="AE17" s="42" t="s">
        <v>888</v>
      </c>
      <c r="AF17" s="42" t="s">
        <v>908</v>
      </c>
      <c r="AG17" s="42" t="s">
        <v>198</v>
      </c>
      <c r="AH17" s="42" t="s">
        <v>451</v>
      </c>
      <c r="AI17" s="43">
        <v>0.03</v>
      </c>
      <c r="AJ17" s="43">
        <v>0.03</v>
      </c>
      <c r="AK17" s="49">
        <f t="shared" ref="AK17:AK46" si="4">AL17</f>
        <v>0.67400000000000004</v>
      </c>
      <c r="AL17" s="45">
        <v>0.67400000000000004</v>
      </c>
      <c r="AM17" s="51">
        <f t="shared" ref="AM17:AM47" si="5">AK17*AU17/12.0107*1.00784</f>
        <v>3.5065081901970746E-2</v>
      </c>
      <c r="AN17" s="51">
        <v>5.1999999999999998E-3</v>
      </c>
      <c r="AO17" s="42" t="s">
        <v>198</v>
      </c>
      <c r="AP17" s="51">
        <f t="shared" ref="AP17:AP47" si="6">1-AI17-AL17-AM17-AN17</f>
        <v>0.25573491809802917</v>
      </c>
      <c r="AQ17" s="42" t="s">
        <v>198</v>
      </c>
      <c r="AR17" s="42" t="s">
        <v>198</v>
      </c>
      <c r="AS17" s="42" t="s">
        <v>198</v>
      </c>
      <c r="AT17" s="42">
        <v>0.62</v>
      </c>
      <c r="AU17" s="42">
        <v>0.62</v>
      </c>
      <c r="AV17" s="47">
        <f t="shared" si="0"/>
        <v>0.28484304200763277</v>
      </c>
      <c r="AW17" s="55">
        <f t="shared" si="1"/>
        <v>151.15553695390844</v>
      </c>
      <c r="AX17" s="42">
        <v>8.64</v>
      </c>
      <c r="AY17" s="42" t="s">
        <v>198</v>
      </c>
      <c r="AZ17" s="42">
        <v>1.1399999999999999</v>
      </c>
      <c r="BA17" s="42" t="s">
        <v>198</v>
      </c>
      <c r="BB17" s="42">
        <v>191</v>
      </c>
      <c r="BC17" s="42" t="s">
        <v>198</v>
      </c>
      <c r="BD17" s="42" t="s">
        <v>198</v>
      </c>
      <c r="BE17" s="42" t="s">
        <v>861</v>
      </c>
      <c r="BF17" s="42" t="s">
        <v>198</v>
      </c>
      <c r="BG17" s="42" t="s">
        <v>198</v>
      </c>
      <c r="BH17" s="42" t="s">
        <v>198</v>
      </c>
      <c r="BI17" s="42" t="s">
        <v>198</v>
      </c>
      <c r="BJ17" s="42">
        <v>-36.299999999999997</v>
      </c>
      <c r="BK17" s="54">
        <v>-21.35</v>
      </c>
      <c r="BL17" s="53" t="s">
        <v>198</v>
      </c>
      <c r="BM17" s="53" t="s">
        <v>198</v>
      </c>
      <c r="BN17" s="53" t="s">
        <v>198</v>
      </c>
    </row>
    <row r="18" spans="2:66" x14ac:dyDescent="0.3">
      <c r="B18" s="42">
        <v>9</v>
      </c>
      <c r="C18" s="42">
        <v>5</v>
      </c>
      <c r="D18" s="42" t="s">
        <v>366</v>
      </c>
      <c r="E18" s="54" t="s">
        <v>911</v>
      </c>
      <c r="F18" s="42">
        <v>4</v>
      </c>
      <c r="G18" s="42" t="s">
        <v>901</v>
      </c>
      <c r="H18" s="42" t="s">
        <v>635</v>
      </c>
      <c r="I18" s="42"/>
      <c r="J18" s="42" t="s">
        <v>902</v>
      </c>
      <c r="K18" s="42" t="s">
        <v>694</v>
      </c>
      <c r="L18" s="42">
        <v>450</v>
      </c>
      <c r="M18" s="42">
        <v>40</v>
      </c>
      <c r="N18" s="42">
        <f t="shared" si="2"/>
        <v>7.5</v>
      </c>
      <c r="O18" s="54" t="s">
        <v>906</v>
      </c>
      <c r="P18" s="67">
        <v>0.441</v>
      </c>
      <c r="Q18" s="67">
        <v>0.24299999999999999</v>
      </c>
      <c r="R18" s="67">
        <v>0.316</v>
      </c>
      <c r="S18" s="68">
        <f t="shared" si="3"/>
        <v>7.5507999999999992E-2</v>
      </c>
      <c r="T18" s="42" t="s">
        <v>198</v>
      </c>
      <c r="U18" s="44">
        <v>0.7</v>
      </c>
      <c r="V18" s="54">
        <v>5.65</v>
      </c>
      <c r="W18" s="54" t="s">
        <v>198</v>
      </c>
      <c r="X18" s="54" t="s">
        <v>944</v>
      </c>
      <c r="Y18" s="54" t="s">
        <v>978</v>
      </c>
      <c r="Z18" s="42" t="s">
        <v>696</v>
      </c>
      <c r="AA18" s="42" t="s">
        <v>454</v>
      </c>
      <c r="AB18" s="42">
        <v>40</v>
      </c>
      <c r="AC18" s="42">
        <v>730</v>
      </c>
      <c r="AD18" s="51">
        <v>0.02</v>
      </c>
      <c r="AE18" s="42" t="s">
        <v>888</v>
      </c>
      <c r="AF18" s="42" t="s">
        <v>908</v>
      </c>
      <c r="AG18" s="42" t="s">
        <v>198</v>
      </c>
      <c r="AH18" s="42" t="s">
        <v>451</v>
      </c>
      <c r="AI18" s="43">
        <v>0.03</v>
      </c>
      <c r="AJ18" s="43">
        <v>0.03</v>
      </c>
      <c r="AK18" s="49">
        <f t="shared" si="4"/>
        <v>0.67400000000000004</v>
      </c>
      <c r="AL18" s="45">
        <v>0.67400000000000004</v>
      </c>
      <c r="AM18" s="51">
        <f t="shared" si="5"/>
        <v>3.5065081901970746E-2</v>
      </c>
      <c r="AN18" s="51">
        <v>5.1999999999999998E-3</v>
      </c>
      <c r="AO18" s="42" t="s">
        <v>198</v>
      </c>
      <c r="AP18" s="51">
        <f t="shared" si="6"/>
        <v>0.25573491809802917</v>
      </c>
      <c r="AQ18" s="42" t="s">
        <v>198</v>
      </c>
      <c r="AR18" s="42" t="s">
        <v>198</v>
      </c>
      <c r="AS18" s="42" t="s">
        <v>198</v>
      </c>
      <c r="AT18" s="42">
        <v>0.62</v>
      </c>
      <c r="AU18" s="42">
        <v>0.62</v>
      </c>
      <c r="AV18" s="47">
        <f t="shared" si="0"/>
        <v>0.28484304200763277</v>
      </c>
      <c r="AW18" s="55">
        <f t="shared" si="1"/>
        <v>151.15553695390844</v>
      </c>
      <c r="AX18" s="42">
        <v>8.64</v>
      </c>
      <c r="AY18" s="42" t="s">
        <v>198</v>
      </c>
      <c r="AZ18" s="42">
        <v>1.1399999999999999</v>
      </c>
      <c r="BA18" s="42" t="s">
        <v>198</v>
      </c>
      <c r="BB18" s="42">
        <v>191</v>
      </c>
      <c r="BC18" s="42" t="s">
        <v>198</v>
      </c>
      <c r="BD18" s="42" t="s">
        <v>198</v>
      </c>
      <c r="BE18" s="42" t="s">
        <v>861</v>
      </c>
      <c r="BF18" s="42" t="s">
        <v>198</v>
      </c>
      <c r="BG18" s="42" t="s">
        <v>198</v>
      </c>
      <c r="BH18" s="42" t="s">
        <v>198</v>
      </c>
      <c r="BI18" s="42" t="s">
        <v>198</v>
      </c>
      <c r="BJ18" s="42">
        <v>-36.299999999999997</v>
      </c>
      <c r="BK18" s="54">
        <v>-21.35</v>
      </c>
      <c r="BL18" s="53" t="s">
        <v>198</v>
      </c>
      <c r="BM18" s="53" t="s">
        <v>198</v>
      </c>
      <c r="BN18" s="53" t="s">
        <v>198</v>
      </c>
    </row>
    <row r="19" spans="2:66" x14ac:dyDescent="0.3">
      <c r="B19" s="42">
        <v>10</v>
      </c>
      <c r="C19" s="42">
        <v>5</v>
      </c>
      <c r="D19" s="42" t="s">
        <v>366</v>
      </c>
      <c r="E19" s="54" t="s">
        <v>917</v>
      </c>
      <c r="F19" s="42">
        <v>4</v>
      </c>
      <c r="G19" s="42" t="s">
        <v>901</v>
      </c>
      <c r="H19" s="42" t="s">
        <v>635</v>
      </c>
      <c r="I19" s="42"/>
      <c r="J19" s="42" t="s">
        <v>902</v>
      </c>
      <c r="K19" s="42" t="s">
        <v>694</v>
      </c>
      <c r="L19" s="42">
        <v>450</v>
      </c>
      <c r="M19" s="42">
        <v>40</v>
      </c>
      <c r="N19" s="42">
        <f t="shared" si="2"/>
        <v>7.5</v>
      </c>
      <c r="O19" s="54" t="s">
        <v>906</v>
      </c>
      <c r="P19" s="67">
        <v>0.441</v>
      </c>
      <c r="Q19" s="67">
        <v>0.24299999999999999</v>
      </c>
      <c r="R19" s="67">
        <v>0.316</v>
      </c>
      <c r="S19" s="68">
        <f t="shared" si="3"/>
        <v>7.5507999999999992E-2</v>
      </c>
      <c r="T19" s="42" t="s">
        <v>198</v>
      </c>
      <c r="U19" s="44">
        <v>0.7</v>
      </c>
      <c r="V19" s="54">
        <v>5.65</v>
      </c>
      <c r="W19" s="54" t="s">
        <v>198</v>
      </c>
      <c r="X19" s="54" t="s">
        <v>944</v>
      </c>
      <c r="Y19" s="54" t="s">
        <v>978</v>
      </c>
      <c r="Z19" s="42" t="s">
        <v>696</v>
      </c>
      <c r="AA19" s="42" t="s">
        <v>454</v>
      </c>
      <c r="AB19" s="42">
        <v>60</v>
      </c>
      <c r="AC19" s="42">
        <v>730</v>
      </c>
      <c r="AD19" s="51">
        <v>0.02</v>
      </c>
      <c r="AE19" s="42" t="s">
        <v>888</v>
      </c>
      <c r="AF19" s="42" t="s">
        <v>908</v>
      </c>
      <c r="AG19" s="42" t="s">
        <v>198</v>
      </c>
      <c r="AH19" s="42" t="s">
        <v>451</v>
      </c>
      <c r="AI19" s="43">
        <v>0.03</v>
      </c>
      <c r="AJ19" s="43">
        <v>0.03</v>
      </c>
      <c r="AK19" s="49">
        <f t="shared" si="4"/>
        <v>0.67400000000000004</v>
      </c>
      <c r="AL19" s="45">
        <v>0.67400000000000004</v>
      </c>
      <c r="AM19" s="51">
        <f t="shared" si="5"/>
        <v>3.5065081901970746E-2</v>
      </c>
      <c r="AN19" s="51">
        <v>5.1999999999999998E-3</v>
      </c>
      <c r="AO19" s="42" t="s">
        <v>198</v>
      </c>
      <c r="AP19" s="51">
        <f t="shared" si="6"/>
        <v>0.25573491809802917</v>
      </c>
      <c r="AQ19" s="42" t="s">
        <v>198</v>
      </c>
      <c r="AR19" s="42" t="s">
        <v>198</v>
      </c>
      <c r="AS19" s="42" t="s">
        <v>198</v>
      </c>
      <c r="AT19" s="42">
        <v>0.62</v>
      </c>
      <c r="AU19" s="42">
        <v>0.62</v>
      </c>
      <c r="AV19" s="47">
        <f t="shared" si="0"/>
        <v>0.28484304200763277</v>
      </c>
      <c r="AW19" s="55">
        <f t="shared" si="1"/>
        <v>151.15553695390844</v>
      </c>
      <c r="AX19" s="42">
        <v>8.64</v>
      </c>
      <c r="AY19" s="42" t="s">
        <v>198</v>
      </c>
      <c r="AZ19" s="42">
        <v>1.1399999999999999</v>
      </c>
      <c r="BA19" s="42" t="s">
        <v>198</v>
      </c>
      <c r="BB19" s="42">
        <v>191</v>
      </c>
      <c r="BC19" s="42" t="s">
        <v>198</v>
      </c>
      <c r="BD19" s="42" t="s">
        <v>198</v>
      </c>
      <c r="BE19" s="42" t="s">
        <v>861</v>
      </c>
      <c r="BF19" s="42" t="s">
        <v>198</v>
      </c>
      <c r="BG19" s="42" t="s">
        <v>198</v>
      </c>
      <c r="BH19" s="42" t="s">
        <v>198</v>
      </c>
      <c r="BI19" s="42" t="s">
        <v>198</v>
      </c>
      <c r="BJ19" s="42">
        <v>-36.299999999999997</v>
      </c>
      <c r="BK19" s="54">
        <v>-21.35</v>
      </c>
      <c r="BL19" s="53" t="s">
        <v>198</v>
      </c>
      <c r="BM19" s="53" t="s">
        <v>198</v>
      </c>
      <c r="BN19" s="53" t="s">
        <v>198</v>
      </c>
    </row>
    <row r="20" spans="2:66" x14ac:dyDescent="0.3">
      <c r="B20" s="42">
        <v>11</v>
      </c>
      <c r="C20" s="42">
        <v>5</v>
      </c>
      <c r="D20" s="42" t="s">
        <v>366</v>
      </c>
      <c r="E20" s="54" t="s">
        <v>926</v>
      </c>
      <c r="F20" s="42">
        <v>4</v>
      </c>
      <c r="G20" s="42" t="s">
        <v>901</v>
      </c>
      <c r="H20" s="42" t="s">
        <v>635</v>
      </c>
      <c r="I20" s="42"/>
      <c r="J20" s="42" t="s">
        <v>902</v>
      </c>
      <c r="K20" s="42" t="s">
        <v>694</v>
      </c>
      <c r="L20" s="42">
        <v>550</v>
      </c>
      <c r="M20" s="42">
        <v>40</v>
      </c>
      <c r="N20" s="42">
        <f t="shared" si="2"/>
        <v>7.5</v>
      </c>
      <c r="O20" s="54" t="s">
        <v>906</v>
      </c>
      <c r="P20" s="67">
        <v>0.441</v>
      </c>
      <c r="Q20" s="67">
        <v>0.24299999999999999</v>
      </c>
      <c r="R20" s="67">
        <v>0.316</v>
      </c>
      <c r="S20" s="68">
        <f t="shared" si="3"/>
        <v>7.5507999999999992E-2</v>
      </c>
      <c r="T20" s="42" t="s">
        <v>198</v>
      </c>
      <c r="U20" s="44">
        <v>0.7</v>
      </c>
      <c r="V20" s="54">
        <v>5.65</v>
      </c>
      <c r="W20" s="54" t="s">
        <v>198</v>
      </c>
      <c r="X20" s="54" t="s">
        <v>944</v>
      </c>
      <c r="Y20" s="54" t="s">
        <v>978</v>
      </c>
      <c r="Z20" s="42" t="s">
        <v>696</v>
      </c>
      <c r="AA20" s="42" t="s">
        <v>454</v>
      </c>
      <c r="AB20" s="42">
        <v>20</v>
      </c>
      <c r="AC20" s="42">
        <v>730</v>
      </c>
      <c r="AD20" s="51">
        <v>0.02</v>
      </c>
      <c r="AE20" s="42" t="s">
        <v>888</v>
      </c>
      <c r="AF20" s="42" t="s">
        <v>908</v>
      </c>
      <c r="AG20" s="42" t="s">
        <v>198</v>
      </c>
      <c r="AH20" s="42" t="s">
        <v>451</v>
      </c>
      <c r="AI20" s="43">
        <v>7.0000000000000007E-2</v>
      </c>
      <c r="AJ20" s="43">
        <v>7.0000000000000007E-2</v>
      </c>
      <c r="AK20" s="49">
        <f t="shared" si="4"/>
        <v>0.73199999999999998</v>
      </c>
      <c r="AL20" s="45">
        <v>0.73199999999999998</v>
      </c>
      <c r="AM20" s="51">
        <f t="shared" si="5"/>
        <v>3.0097500661909797E-2</v>
      </c>
      <c r="AN20" s="51">
        <v>6.1999999999999998E-3</v>
      </c>
      <c r="AO20" s="42" t="s">
        <v>198</v>
      </c>
      <c r="AP20" s="51">
        <f t="shared" si="6"/>
        <v>0.16170249933809014</v>
      </c>
      <c r="AQ20" s="42" t="s">
        <v>198</v>
      </c>
      <c r="AR20" s="42" t="s">
        <v>198</v>
      </c>
      <c r="AS20" s="42" t="s">
        <v>198</v>
      </c>
      <c r="AT20" s="42">
        <v>0.49</v>
      </c>
      <c r="AU20" s="42">
        <v>0.49</v>
      </c>
      <c r="AV20" s="47">
        <f t="shared" si="0"/>
        <v>0.16583688536544455</v>
      </c>
      <c r="AW20" s="55">
        <f t="shared" si="1"/>
        <v>137.68508563734972</v>
      </c>
      <c r="AX20" s="42">
        <v>9.9600000000000009</v>
      </c>
      <c r="AY20" s="42" t="s">
        <v>198</v>
      </c>
      <c r="AZ20" s="42">
        <v>5.4</v>
      </c>
      <c r="BA20" s="42" t="s">
        <v>198</v>
      </c>
      <c r="BB20" s="42">
        <v>228.3</v>
      </c>
      <c r="BC20" s="42" t="s">
        <v>198</v>
      </c>
      <c r="BD20" s="42" t="s">
        <v>198</v>
      </c>
      <c r="BE20" s="42" t="s">
        <v>861</v>
      </c>
      <c r="BF20" s="42" t="s">
        <v>198</v>
      </c>
      <c r="BG20" s="42" t="s">
        <v>198</v>
      </c>
      <c r="BH20" s="42" t="s">
        <v>198</v>
      </c>
      <c r="BI20" s="42" t="s">
        <v>198</v>
      </c>
      <c r="BJ20" s="42">
        <v>-36.5</v>
      </c>
      <c r="BK20" s="54">
        <v>-21.35</v>
      </c>
      <c r="BL20" s="53" t="s">
        <v>198</v>
      </c>
      <c r="BM20" s="53" t="s">
        <v>198</v>
      </c>
      <c r="BN20" s="53" t="s">
        <v>198</v>
      </c>
    </row>
    <row r="21" spans="2:66" x14ac:dyDescent="0.3">
      <c r="B21" s="42">
        <v>12</v>
      </c>
      <c r="C21" s="42">
        <v>5</v>
      </c>
      <c r="D21" s="42" t="s">
        <v>366</v>
      </c>
      <c r="E21" s="54" t="s">
        <v>927</v>
      </c>
      <c r="F21" s="42">
        <v>4</v>
      </c>
      <c r="G21" s="42" t="s">
        <v>901</v>
      </c>
      <c r="H21" s="42" t="s">
        <v>635</v>
      </c>
      <c r="I21" s="42"/>
      <c r="J21" s="42" t="s">
        <v>902</v>
      </c>
      <c r="K21" s="42" t="s">
        <v>694</v>
      </c>
      <c r="L21" s="42">
        <v>550</v>
      </c>
      <c r="M21" s="42">
        <v>40</v>
      </c>
      <c r="N21" s="42">
        <f t="shared" si="2"/>
        <v>7.5</v>
      </c>
      <c r="O21" s="54" t="s">
        <v>906</v>
      </c>
      <c r="P21" s="67">
        <v>0.441</v>
      </c>
      <c r="Q21" s="67">
        <v>0.24299999999999999</v>
      </c>
      <c r="R21" s="67">
        <v>0.316</v>
      </c>
      <c r="S21" s="68">
        <f t="shared" si="3"/>
        <v>7.5507999999999992E-2</v>
      </c>
      <c r="T21" s="42" t="s">
        <v>198</v>
      </c>
      <c r="U21" s="44">
        <v>0.7</v>
      </c>
      <c r="V21" s="54">
        <v>5.65</v>
      </c>
      <c r="W21" s="54" t="s">
        <v>198</v>
      </c>
      <c r="X21" s="54" t="s">
        <v>944</v>
      </c>
      <c r="Y21" s="54" t="s">
        <v>978</v>
      </c>
      <c r="Z21" s="42" t="s">
        <v>696</v>
      </c>
      <c r="AA21" s="42" t="s">
        <v>454</v>
      </c>
      <c r="AB21" s="42">
        <v>40</v>
      </c>
      <c r="AC21" s="42">
        <v>730</v>
      </c>
      <c r="AD21" s="51">
        <v>0.02</v>
      </c>
      <c r="AE21" s="42" t="s">
        <v>888</v>
      </c>
      <c r="AF21" s="42" t="s">
        <v>908</v>
      </c>
      <c r="AG21" s="42" t="s">
        <v>198</v>
      </c>
      <c r="AH21" s="42" t="s">
        <v>451</v>
      </c>
      <c r="AI21" s="43">
        <v>7.0000000000000007E-2</v>
      </c>
      <c r="AJ21" s="43">
        <v>7.0000000000000007E-2</v>
      </c>
      <c r="AK21" s="49">
        <f t="shared" si="4"/>
        <v>0.73199999999999998</v>
      </c>
      <c r="AL21" s="45">
        <v>0.73199999999999998</v>
      </c>
      <c r="AM21" s="51">
        <f t="shared" si="5"/>
        <v>3.0097500661909797E-2</v>
      </c>
      <c r="AN21" s="51">
        <v>6.1999999999999998E-3</v>
      </c>
      <c r="AO21" s="42" t="s">
        <v>198</v>
      </c>
      <c r="AP21" s="51">
        <f t="shared" si="6"/>
        <v>0.16170249933809014</v>
      </c>
      <c r="AQ21" s="42" t="s">
        <v>198</v>
      </c>
      <c r="AR21" s="42" t="s">
        <v>198</v>
      </c>
      <c r="AS21" s="42" t="s">
        <v>198</v>
      </c>
      <c r="AT21" s="42">
        <v>0.49</v>
      </c>
      <c r="AU21" s="42">
        <v>0.49</v>
      </c>
      <c r="AV21" s="47">
        <f t="shared" si="0"/>
        <v>0.16583688536544455</v>
      </c>
      <c r="AW21" s="55">
        <f t="shared" si="1"/>
        <v>137.68508563734972</v>
      </c>
      <c r="AX21" s="42">
        <v>9.9600000000000009</v>
      </c>
      <c r="AY21" s="42" t="s">
        <v>198</v>
      </c>
      <c r="AZ21" s="42">
        <v>5.4</v>
      </c>
      <c r="BA21" s="42" t="s">
        <v>198</v>
      </c>
      <c r="BB21" s="42">
        <v>228.3</v>
      </c>
      <c r="BC21" s="42" t="s">
        <v>198</v>
      </c>
      <c r="BD21" s="42" t="s">
        <v>198</v>
      </c>
      <c r="BE21" s="42" t="s">
        <v>861</v>
      </c>
      <c r="BF21" s="42" t="s">
        <v>198</v>
      </c>
      <c r="BG21" s="42" t="s">
        <v>198</v>
      </c>
      <c r="BH21" s="42" t="s">
        <v>198</v>
      </c>
      <c r="BI21" s="42" t="s">
        <v>198</v>
      </c>
      <c r="BJ21" s="42">
        <v>-36.5</v>
      </c>
      <c r="BK21" s="54">
        <v>-21.35</v>
      </c>
      <c r="BL21" s="53" t="s">
        <v>198</v>
      </c>
      <c r="BM21" s="53" t="s">
        <v>198</v>
      </c>
      <c r="BN21" s="53" t="s">
        <v>198</v>
      </c>
    </row>
    <row r="22" spans="2:66" x14ac:dyDescent="0.3">
      <c r="B22" s="42">
        <v>13</v>
      </c>
      <c r="C22" s="42">
        <v>5</v>
      </c>
      <c r="D22" s="42" t="s">
        <v>366</v>
      </c>
      <c r="E22" s="54" t="s">
        <v>928</v>
      </c>
      <c r="F22" s="42">
        <v>4</v>
      </c>
      <c r="G22" s="42" t="s">
        <v>901</v>
      </c>
      <c r="H22" s="42" t="s">
        <v>635</v>
      </c>
      <c r="I22" s="42"/>
      <c r="J22" s="42" t="s">
        <v>902</v>
      </c>
      <c r="K22" s="42" t="s">
        <v>694</v>
      </c>
      <c r="L22" s="42">
        <v>550</v>
      </c>
      <c r="M22" s="42">
        <v>40</v>
      </c>
      <c r="N22" s="42">
        <f t="shared" si="2"/>
        <v>7.5</v>
      </c>
      <c r="O22" s="54" t="s">
        <v>906</v>
      </c>
      <c r="P22" s="67">
        <v>0.441</v>
      </c>
      <c r="Q22" s="67">
        <v>0.24299999999999999</v>
      </c>
      <c r="R22" s="67">
        <v>0.316</v>
      </c>
      <c r="S22" s="68">
        <f t="shared" si="3"/>
        <v>7.5507999999999992E-2</v>
      </c>
      <c r="T22" s="42" t="s">
        <v>198</v>
      </c>
      <c r="U22" s="44">
        <v>0.7</v>
      </c>
      <c r="V22" s="54">
        <v>5.65</v>
      </c>
      <c r="W22" s="54" t="s">
        <v>198</v>
      </c>
      <c r="X22" s="54" t="s">
        <v>944</v>
      </c>
      <c r="Y22" s="54" t="s">
        <v>978</v>
      </c>
      <c r="Z22" s="42" t="s">
        <v>696</v>
      </c>
      <c r="AA22" s="42" t="s">
        <v>454</v>
      </c>
      <c r="AB22" s="42">
        <v>60</v>
      </c>
      <c r="AC22" s="42">
        <v>730</v>
      </c>
      <c r="AD22" s="51">
        <v>0.02</v>
      </c>
      <c r="AE22" s="42" t="s">
        <v>888</v>
      </c>
      <c r="AF22" s="42" t="s">
        <v>908</v>
      </c>
      <c r="AG22" s="42" t="s">
        <v>198</v>
      </c>
      <c r="AH22" s="42" t="s">
        <v>451</v>
      </c>
      <c r="AI22" s="43">
        <v>7.0000000000000007E-2</v>
      </c>
      <c r="AJ22" s="43">
        <v>7.0000000000000007E-2</v>
      </c>
      <c r="AK22" s="49">
        <f t="shared" si="4"/>
        <v>0.73199999999999998</v>
      </c>
      <c r="AL22" s="45">
        <v>0.73199999999999998</v>
      </c>
      <c r="AM22" s="51">
        <f t="shared" si="5"/>
        <v>3.0097500661909797E-2</v>
      </c>
      <c r="AN22" s="51">
        <v>6.1999999999999998E-3</v>
      </c>
      <c r="AO22" s="42" t="s">
        <v>198</v>
      </c>
      <c r="AP22" s="51">
        <f t="shared" si="6"/>
        <v>0.16170249933809014</v>
      </c>
      <c r="AQ22" s="42" t="s">
        <v>198</v>
      </c>
      <c r="AR22" s="42" t="s">
        <v>198</v>
      </c>
      <c r="AS22" s="42" t="s">
        <v>198</v>
      </c>
      <c r="AT22" s="42">
        <v>0.49</v>
      </c>
      <c r="AU22" s="42">
        <v>0.49</v>
      </c>
      <c r="AV22" s="47">
        <f t="shared" si="0"/>
        <v>0.16583688536544455</v>
      </c>
      <c r="AW22" s="55">
        <f t="shared" si="1"/>
        <v>137.68508563734972</v>
      </c>
      <c r="AX22" s="42">
        <v>9.9600000000000009</v>
      </c>
      <c r="AY22" s="42" t="s">
        <v>198</v>
      </c>
      <c r="AZ22" s="42">
        <v>5.4</v>
      </c>
      <c r="BA22" s="42" t="s">
        <v>198</v>
      </c>
      <c r="BB22" s="42">
        <v>228.3</v>
      </c>
      <c r="BC22" s="42" t="s">
        <v>198</v>
      </c>
      <c r="BD22" s="42" t="s">
        <v>198</v>
      </c>
      <c r="BE22" s="42" t="s">
        <v>861</v>
      </c>
      <c r="BF22" s="42" t="s">
        <v>198</v>
      </c>
      <c r="BG22" s="42" t="s">
        <v>198</v>
      </c>
      <c r="BH22" s="42" t="s">
        <v>198</v>
      </c>
      <c r="BI22" s="42" t="s">
        <v>198</v>
      </c>
      <c r="BJ22" s="42">
        <v>-36.5</v>
      </c>
      <c r="BK22" s="54">
        <v>-21.35</v>
      </c>
      <c r="BL22" s="53" t="s">
        <v>198</v>
      </c>
      <c r="BM22" s="53" t="s">
        <v>198</v>
      </c>
      <c r="BN22" s="53" t="s">
        <v>198</v>
      </c>
    </row>
    <row r="23" spans="2:66" x14ac:dyDescent="0.3">
      <c r="B23" s="42">
        <v>14</v>
      </c>
      <c r="C23" s="42">
        <v>5</v>
      </c>
      <c r="D23" s="42" t="s">
        <v>366</v>
      </c>
      <c r="E23" s="54" t="s">
        <v>1181</v>
      </c>
      <c r="F23" s="42">
        <v>4</v>
      </c>
      <c r="G23" s="42" t="s">
        <v>901</v>
      </c>
      <c r="H23" s="42" t="s">
        <v>635</v>
      </c>
      <c r="I23" s="42"/>
      <c r="J23" s="42" t="s">
        <v>902</v>
      </c>
      <c r="K23" s="42" t="s">
        <v>694</v>
      </c>
      <c r="L23" s="42">
        <v>450</v>
      </c>
      <c r="M23" s="42">
        <v>40</v>
      </c>
      <c r="N23" s="42">
        <f t="shared" si="2"/>
        <v>7.5</v>
      </c>
      <c r="O23" s="54" t="s">
        <v>906</v>
      </c>
      <c r="P23" s="67">
        <v>0.441</v>
      </c>
      <c r="Q23" s="67">
        <v>0.24299999999999999</v>
      </c>
      <c r="R23" s="67">
        <v>0.316</v>
      </c>
      <c r="S23" s="68">
        <f t="shared" si="3"/>
        <v>7.5507999999999992E-2</v>
      </c>
      <c r="T23" s="42" t="s">
        <v>198</v>
      </c>
      <c r="U23" s="44">
        <v>0.7</v>
      </c>
      <c r="V23" s="54">
        <v>5.65</v>
      </c>
      <c r="W23" s="54" t="s">
        <v>198</v>
      </c>
      <c r="X23" s="54" t="s">
        <v>944</v>
      </c>
      <c r="Y23" s="54" t="s">
        <v>978</v>
      </c>
      <c r="Z23" s="42" t="s">
        <v>696</v>
      </c>
      <c r="AA23" s="42" t="s">
        <v>454</v>
      </c>
      <c r="AB23" s="42">
        <v>20</v>
      </c>
      <c r="AC23" s="42">
        <v>730</v>
      </c>
      <c r="AD23" s="51">
        <v>0.05</v>
      </c>
      <c r="AE23" s="42" t="s">
        <v>888</v>
      </c>
      <c r="AF23" s="42" t="s">
        <v>908</v>
      </c>
      <c r="AG23" s="42" t="s">
        <v>198</v>
      </c>
      <c r="AH23" s="42" t="s">
        <v>451</v>
      </c>
      <c r="AI23" s="43">
        <v>0.03</v>
      </c>
      <c r="AJ23" s="43">
        <v>0.03</v>
      </c>
      <c r="AK23" s="49">
        <f t="shared" si="4"/>
        <v>0.67400000000000004</v>
      </c>
      <c r="AL23" s="45">
        <v>0.67400000000000004</v>
      </c>
      <c r="AM23" s="51">
        <f t="shared" si="5"/>
        <v>3.5065081901970746E-2</v>
      </c>
      <c r="AN23" s="51">
        <v>5.1999999999999998E-3</v>
      </c>
      <c r="AO23" s="42" t="s">
        <v>198</v>
      </c>
      <c r="AP23" s="51">
        <f t="shared" si="6"/>
        <v>0.25573491809802917</v>
      </c>
      <c r="AQ23" s="42" t="s">
        <v>198</v>
      </c>
      <c r="AR23" s="42" t="s">
        <v>198</v>
      </c>
      <c r="AS23" s="42" t="s">
        <v>198</v>
      </c>
      <c r="AT23" s="42">
        <v>0.62</v>
      </c>
      <c r="AU23" s="42">
        <v>0.62</v>
      </c>
      <c r="AV23" s="47">
        <f t="shared" si="0"/>
        <v>0.28484304200763277</v>
      </c>
      <c r="AW23" s="55">
        <f t="shared" si="1"/>
        <v>151.15553695390844</v>
      </c>
      <c r="AX23" s="42">
        <v>8.64</v>
      </c>
      <c r="AY23" s="42" t="s">
        <v>198</v>
      </c>
      <c r="AZ23" s="42">
        <v>1.1399999999999999</v>
      </c>
      <c r="BA23" s="42" t="s">
        <v>198</v>
      </c>
      <c r="BB23" s="42">
        <v>191</v>
      </c>
      <c r="BC23" s="42" t="s">
        <v>198</v>
      </c>
      <c r="BD23" s="42" t="s">
        <v>198</v>
      </c>
      <c r="BE23" s="42" t="s">
        <v>861</v>
      </c>
      <c r="BF23" s="42" t="s">
        <v>198</v>
      </c>
      <c r="BG23" s="42" t="s">
        <v>198</v>
      </c>
      <c r="BH23" s="42" t="s">
        <v>198</v>
      </c>
      <c r="BI23" s="42" t="s">
        <v>198</v>
      </c>
      <c r="BJ23" s="42">
        <v>-36.299999999999997</v>
      </c>
      <c r="BK23" s="54">
        <v>-21.35</v>
      </c>
      <c r="BL23" s="53" t="s">
        <v>198</v>
      </c>
      <c r="BM23" s="53" t="s">
        <v>198</v>
      </c>
      <c r="BN23" s="53" t="s">
        <v>198</v>
      </c>
    </row>
    <row r="24" spans="2:66" x14ac:dyDescent="0.3">
      <c r="B24" s="42">
        <v>15</v>
      </c>
      <c r="C24" s="42">
        <v>5</v>
      </c>
      <c r="D24" s="42" t="s">
        <v>366</v>
      </c>
      <c r="E24" s="54" t="s">
        <v>1182</v>
      </c>
      <c r="F24" s="42">
        <v>4</v>
      </c>
      <c r="G24" s="42" t="s">
        <v>901</v>
      </c>
      <c r="H24" s="42" t="s">
        <v>635</v>
      </c>
      <c r="I24" s="42"/>
      <c r="J24" s="42" t="s">
        <v>902</v>
      </c>
      <c r="K24" s="42" t="s">
        <v>694</v>
      </c>
      <c r="L24" s="42">
        <v>450</v>
      </c>
      <c r="M24" s="42">
        <v>40</v>
      </c>
      <c r="N24" s="42">
        <f t="shared" si="2"/>
        <v>7.5</v>
      </c>
      <c r="O24" s="54" t="s">
        <v>906</v>
      </c>
      <c r="P24" s="67">
        <v>0.441</v>
      </c>
      <c r="Q24" s="67">
        <v>0.24299999999999999</v>
      </c>
      <c r="R24" s="67">
        <v>0.316</v>
      </c>
      <c r="S24" s="68">
        <f t="shared" si="3"/>
        <v>7.5507999999999992E-2</v>
      </c>
      <c r="T24" s="42" t="s">
        <v>198</v>
      </c>
      <c r="U24" s="44">
        <v>0.7</v>
      </c>
      <c r="V24" s="54">
        <v>5.65</v>
      </c>
      <c r="W24" s="54" t="s">
        <v>198</v>
      </c>
      <c r="X24" s="54" t="s">
        <v>944</v>
      </c>
      <c r="Y24" s="54" t="s">
        <v>978</v>
      </c>
      <c r="Z24" s="42" t="s">
        <v>696</v>
      </c>
      <c r="AA24" s="42" t="s">
        <v>454</v>
      </c>
      <c r="AB24" s="42">
        <v>40</v>
      </c>
      <c r="AC24" s="42">
        <v>730</v>
      </c>
      <c r="AD24" s="51">
        <v>0.05</v>
      </c>
      <c r="AE24" s="42" t="s">
        <v>888</v>
      </c>
      <c r="AF24" s="42" t="s">
        <v>908</v>
      </c>
      <c r="AG24" s="42" t="s">
        <v>198</v>
      </c>
      <c r="AH24" s="42" t="s">
        <v>451</v>
      </c>
      <c r="AI24" s="43">
        <v>0.03</v>
      </c>
      <c r="AJ24" s="43">
        <v>0.03</v>
      </c>
      <c r="AK24" s="49">
        <f t="shared" si="4"/>
        <v>0.67400000000000004</v>
      </c>
      <c r="AL24" s="45">
        <v>0.67400000000000004</v>
      </c>
      <c r="AM24" s="51">
        <f t="shared" si="5"/>
        <v>3.5065081901970746E-2</v>
      </c>
      <c r="AN24" s="51">
        <v>5.1999999999999998E-3</v>
      </c>
      <c r="AO24" s="42" t="s">
        <v>198</v>
      </c>
      <c r="AP24" s="51">
        <f t="shared" si="6"/>
        <v>0.25573491809802917</v>
      </c>
      <c r="AQ24" s="42" t="s">
        <v>198</v>
      </c>
      <c r="AR24" s="42" t="s">
        <v>198</v>
      </c>
      <c r="AS24" s="42" t="s">
        <v>198</v>
      </c>
      <c r="AT24" s="42">
        <v>0.62</v>
      </c>
      <c r="AU24" s="42">
        <v>0.62</v>
      </c>
      <c r="AV24" s="47">
        <f t="shared" si="0"/>
        <v>0.28484304200763277</v>
      </c>
      <c r="AW24" s="55">
        <f t="shared" si="1"/>
        <v>151.15553695390844</v>
      </c>
      <c r="AX24" s="42">
        <v>8.64</v>
      </c>
      <c r="AY24" s="42" t="s">
        <v>198</v>
      </c>
      <c r="AZ24" s="42">
        <v>1.1399999999999999</v>
      </c>
      <c r="BA24" s="42" t="s">
        <v>198</v>
      </c>
      <c r="BB24" s="42">
        <v>191</v>
      </c>
      <c r="BC24" s="42" t="s">
        <v>198</v>
      </c>
      <c r="BD24" s="42" t="s">
        <v>198</v>
      </c>
      <c r="BE24" s="42" t="s">
        <v>861</v>
      </c>
      <c r="BF24" s="42" t="s">
        <v>198</v>
      </c>
      <c r="BG24" s="42" t="s">
        <v>198</v>
      </c>
      <c r="BH24" s="42" t="s">
        <v>198</v>
      </c>
      <c r="BI24" s="42" t="s">
        <v>198</v>
      </c>
      <c r="BJ24" s="42">
        <v>-36.299999999999997</v>
      </c>
      <c r="BK24" s="54">
        <v>-21.35</v>
      </c>
      <c r="BL24" s="53" t="s">
        <v>198</v>
      </c>
      <c r="BM24" s="53" t="s">
        <v>198</v>
      </c>
      <c r="BN24" s="53" t="s">
        <v>198</v>
      </c>
    </row>
    <row r="25" spans="2:66" x14ac:dyDescent="0.3">
      <c r="B25" s="42">
        <v>16</v>
      </c>
      <c r="C25" s="42">
        <v>5</v>
      </c>
      <c r="D25" s="42" t="s">
        <v>366</v>
      </c>
      <c r="E25" s="54" t="s">
        <v>1183</v>
      </c>
      <c r="F25" s="42">
        <v>4</v>
      </c>
      <c r="G25" s="42" t="s">
        <v>901</v>
      </c>
      <c r="H25" s="42" t="s">
        <v>635</v>
      </c>
      <c r="I25" s="42"/>
      <c r="J25" s="42" t="s">
        <v>902</v>
      </c>
      <c r="K25" s="42" t="s">
        <v>694</v>
      </c>
      <c r="L25" s="42">
        <v>450</v>
      </c>
      <c r="M25" s="42">
        <v>40</v>
      </c>
      <c r="N25" s="42">
        <f t="shared" si="2"/>
        <v>7.5</v>
      </c>
      <c r="O25" s="54" t="s">
        <v>906</v>
      </c>
      <c r="P25" s="67">
        <v>0.441</v>
      </c>
      <c r="Q25" s="67">
        <v>0.24299999999999999</v>
      </c>
      <c r="R25" s="67">
        <v>0.316</v>
      </c>
      <c r="S25" s="68">
        <f t="shared" si="3"/>
        <v>7.5507999999999992E-2</v>
      </c>
      <c r="T25" s="42" t="s">
        <v>198</v>
      </c>
      <c r="U25" s="44">
        <v>0.7</v>
      </c>
      <c r="V25" s="54">
        <v>5.65</v>
      </c>
      <c r="W25" s="54" t="s">
        <v>198</v>
      </c>
      <c r="X25" s="54" t="s">
        <v>944</v>
      </c>
      <c r="Y25" s="54" t="s">
        <v>978</v>
      </c>
      <c r="Z25" s="42" t="s">
        <v>696</v>
      </c>
      <c r="AA25" s="42" t="s">
        <v>454</v>
      </c>
      <c r="AB25" s="42">
        <v>60</v>
      </c>
      <c r="AC25" s="42">
        <v>730</v>
      </c>
      <c r="AD25" s="51">
        <v>0.05</v>
      </c>
      <c r="AE25" s="42" t="s">
        <v>888</v>
      </c>
      <c r="AF25" s="42" t="s">
        <v>908</v>
      </c>
      <c r="AG25" s="42" t="s">
        <v>198</v>
      </c>
      <c r="AH25" s="42" t="s">
        <v>451</v>
      </c>
      <c r="AI25" s="43">
        <v>0.03</v>
      </c>
      <c r="AJ25" s="43">
        <v>0.03</v>
      </c>
      <c r="AK25" s="49">
        <f t="shared" si="4"/>
        <v>0.67400000000000004</v>
      </c>
      <c r="AL25" s="45">
        <v>0.67400000000000004</v>
      </c>
      <c r="AM25" s="51">
        <f t="shared" si="5"/>
        <v>3.5065081901970746E-2</v>
      </c>
      <c r="AN25" s="51">
        <v>5.1999999999999998E-3</v>
      </c>
      <c r="AO25" s="42" t="s">
        <v>198</v>
      </c>
      <c r="AP25" s="51">
        <f t="shared" si="6"/>
        <v>0.25573491809802917</v>
      </c>
      <c r="AQ25" s="42" t="s">
        <v>198</v>
      </c>
      <c r="AR25" s="42" t="s">
        <v>198</v>
      </c>
      <c r="AS25" s="42" t="s">
        <v>198</v>
      </c>
      <c r="AT25" s="42">
        <v>0.62</v>
      </c>
      <c r="AU25" s="42">
        <v>0.62</v>
      </c>
      <c r="AV25" s="47">
        <f t="shared" si="0"/>
        <v>0.28484304200763277</v>
      </c>
      <c r="AW25" s="55">
        <f t="shared" si="1"/>
        <v>151.15553695390844</v>
      </c>
      <c r="AX25" s="42">
        <v>8.64</v>
      </c>
      <c r="AY25" s="42" t="s">
        <v>198</v>
      </c>
      <c r="AZ25" s="42">
        <v>1.1399999999999999</v>
      </c>
      <c r="BA25" s="42" t="s">
        <v>198</v>
      </c>
      <c r="BB25" s="42">
        <v>191</v>
      </c>
      <c r="BC25" s="42" t="s">
        <v>198</v>
      </c>
      <c r="BD25" s="42" t="s">
        <v>198</v>
      </c>
      <c r="BE25" s="42" t="s">
        <v>861</v>
      </c>
      <c r="BF25" s="42" t="s">
        <v>198</v>
      </c>
      <c r="BG25" s="42" t="s">
        <v>198</v>
      </c>
      <c r="BH25" s="42" t="s">
        <v>198</v>
      </c>
      <c r="BI25" s="42" t="s">
        <v>198</v>
      </c>
      <c r="BJ25" s="42">
        <v>-36.299999999999997</v>
      </c>
      <c r="BK25" s="54">
        <v>-21.35</v>
      </c>
      <c r="BL25" s="53" t="s">
        <v>198</v>
      </c>
      <c r="BM25" s="53" t="s">
        <v>198</v>
      </c>
      <c r="BN25" s="53" t="s">
        <v>198</v>
      </c>
    </row>
    <row r="26" spans="2:66" x14ac:dyDescent="0.3">
      <c r="B26" s="42">
        <v>17</v>
      </c>
      <c r="C26" s="42">
        <v>5</v>
      </c>
      <c r="D26" s="42" t="s">
        <v>366</v>
      </c>
      <c r="E26" s="54" t="s">
        <v>1184</v>
      </c>
      <c r="F26" s="42">
        <v>4</v>
      </c>
      <c r="G26" s="42" t="s">
        <v>901</v>
      </c>
      <c r="H26" s="42" t="s">
        <v>635</v>
      </c>
      <c r="I26" s="42"/>
      <c r="J26" s="42" t="s">
        <v>902</v>
      </c>
      <c r="K26" s="42" t="s">
        <v>694</v>
      </c>
      <c r="L26" s="42">
        <v>550</v>
      </c>
      <c r="M26" s="42">
        <v>40</v>
      </c>
      <c r="N26" s="42">
        <f t="shared" si="2"/>
        <v>7.5</v>
      </c>
      <c r="O26" s="54" t="s">
        <v>906</v>
      </c>
      <c r="P26" s="67">
        <v>0.441</v>
      </c>
      <c r="Q26" s="67">
        <v>0.24299999999999999</v>
      </c>
      <c r="R26" s="67">
        <v>0.316</v>
      </c>
      <c r="S26" s="68">
        <f t="shared" si="3"/>
        <v>7.5507999999999992E-2</v>
      </c>
      <c r="T26" s="42" t="s">
        <v>198</v>
      </c>
      <c r="U26" s="44">
        <v>0.7</v>
      </c>
      <c r="V26" s="54">
        <v>5.65</v>
      </c>
      <c r="W26" s="54" t="s">
        <v>198</v>
      </c>
      <c r="X26" s="54" t="s">
        <v>944</v>
      </c>
      <c r="Y26" s="54" t="s">
        <v>978</v>
      </c>
      <c r="Z26" s="42" t="s">
        <v>696</v>
      </c>
      <c r="AA26" s="42" t="s">
        <v>454</v>
      </c>
      <c r="AB26" s="42">
        <v>20</v>
      </c>
      <c r="AC26" s="42">
        <v>730</v>
      </c>
      <c r="AD26" s="51">
        <v>0.05</v>
      </c>
      <c r="AE26" s="42" t="s">
        <v>888</v>
      </c>
      <c r="AF26" s="42" t="s">
        <v>908</v>
      </c>
      <c r="AG26" s="42" t="s">
        <v>198</v>
      </c>
      <c r="AH26" s="42" t="s">
        <v>451</v>
      </c>
      <c r="AI26" s="43">
        <v>7.0000000000000007E-2</v>
      </c>
      <c r="AJ26" s="43">
        <v>7.0000000000000007E-2</v>
      </c>
      <c r="AK26" s="49">
        <f t="shared" si="4"/>
        <v>0.73199999999999998</v>
      </c>
      <c r="AL26" s="45">
        <v>0.73199999999999998</v>
      </c>
      <c r="AM26" s="51">
        <f t="shared" si="5"/>
        <v>3.0097500661909797E-2</v>
      </c>
      <c r="AN26" s="51">
        <v>6.1999999999999998E-3</v>
      </c>
      <c r="AO26" s="42" t="s">
        <v>198</v>
      </c>
      <c r="AP26" s="51">
        <f t="shared" si="6"/>
        <v>0.16170249933809014</v>
      </c>
      <c r="AQ26" s="42" t="s">
        <v>198</v>
      </c>
      <c r="AR26" s="42" t="s">
        <v>198</v>
      </c>
      <c r="AS26" s="42" t="s">
        <v>198</v>
      </c>
      <c r="AT26" s="42">
        <v>0.49</v>
      </c>
      <c r="AU26" s="42">
        <v>0.49</v>
      </c>
      <c r="AV26" s="47">
        <f t="shared" si="0"/>
        <v>0.16583688536544455</v>
      </c>
      <c r="AW26" s="55">
        <f t="shared" si="1"/>
        <v>137.68508563734972</v>
      </c>
      <c r="AX26" s="42">
        <v>9.9600000000000009</v>
      </c>
      <c r="AY26" s="42" t="s">
        <v>198</v>
      </c>
      <c r="AZ26" s="42">
        <v>5.4</v>
      </c>
      <c r="BA26" s="42" t="s">
        <v>198</v>
      </c>
      <c r="BB26" s="42">
        <v>228.3</v>
      </c>
      <c r="BC26" s="42" t="s">
        <v>198</v>
      </c>
      <c r="BD26" s="42" t="s">
        <v>198</v>
      </c>
      <c r="BE26" s="42" t="s">
        <v>861</v>
      </c>
      <c r="BF26" s="42" t="s">
        <v>198</v>
      </c>
      <c r="BG26" s="42" t="s">
        <v>198</v>
      </c>
      <c r="BH26" s="42" t="s">
        <v>198</v>
      </c>
      <c r="BI26" s="42" t="s">
        <v>198</v>
      </c>
      <c r="BJ26" s="42">
        <v>-36.5</v>
      </c>
      <c r="BK26" s="54">
        <v>-21.35</v>
      </c>
      <c r="BL26" s="53" t="s">
        <v>198</v>
      </c>
      <c r="BM26" s="53" t="s">
        <v>198</v>
      </c>
      <c r="BN26" s="53" t="s">
        <v>198</v>
      </c>
    </row>
    <row r="27" spans="2:66" x14ac:dyDescent="0.3">
      <c r="B27" s="42">
        <v>18</v>
      </c>
      <c r="C27" s="42">
        <v>5</v>
      </c>
      <c r="D27" s="42" t="s">
        <v>366</v>
      </c>
      <c r="E27" s="54" t="s">
        <v>1185</v>
      </c>
      <c r="F27" s="42">
        <v>4</v>
      </c>
      <c r="G27" s="42" t="s">
        <v>901</v>
      </c>
      <c r="H27" s="42" t="s">
        <v>635</v>
      </c>
      <c r="I27" s="42"/>
      <c r="J27" s="42" t="s">
        <v>902</v>
      </c>
      <c r="K27" s="42" t="s">
        <v>694</v>
      </c>
      <c r="L27" s="42">
        <v>550</v>
      </c>
      <c r="M27" s="42">
        <v>40</v>
      </c>
      <c r="N27" s="42">
        <f t="shared" si="2"/>
        <v>7.5</v>
      </c>
      <c r="O27" s="54" t="s">
        <v>906</v>
      </c>
      <c r="P27" s="67">
        <v>0.441</v>
      </c>
      <c r="Q27" s="67">
        <v>0.24299999999999999</v>
      </c>
      <c r="R27" s="67">
        <v>0.316</v>
      </c>
      <c r="S27" s="68">
        <f t="shared" si="3"/>
        <v>7.5507999999999992E-2</v>
      </c>
      <c r="T27" s="42" t="s">
        <v>198</v>
      </c>
      <c r="U27" s="44">
        <v>0.7</v>
      </c>
      <c r="V27" s="54">
        <v>5.65</v>
      </c>
      <c r="W27" s="54" t="s">
        <v>198</v>
      </c>
      <c r="X27" s="54" t="s">
        <v>944</v>
      </c>
      <c r="Y27" s="54" t="s">
        <v>978</v>
      </c>
      <c r="Z27" s="42" t="s">
        <v>696</v>
      </c>
      <c r="AA27" s="42" t="s">
        <v>454</v>
      </c>
      <c r="AB27" s="42">
        <v>40</v>
      </c>
      <c r="AC27" s="42">
        <v>730</v>
      </c>
      <c r="AD27" s="51">
        <v>0.05</v>
      </c>
      <c r="AE27" s="42" t="s">
        <v>888</v>
      </c>
      <c r="AF27" s="42" t="s">
        <v>908</v>
      </c>
      <c r="AG27" s="42" t="s">
        <v>198</v>
      </c>
      <c r="AH27" s="42" t="s">
        <v>451</v>
      </c>
      <c r="AI27" s="43">
        <v>7.0000000000000007E-2</v>
      </c>
      <c r="AJ27" s="43">
        <v>7.0000000000000007E-2</v>
      </c>
      <c r="AK27" s="49">
        <f t="shared" si="4"/>
        <v>0.73199999999999998</v>
      </c>
      <c r="AL27" s="45">
        <v>0.73199999999999998</v>
      </c>
      <c r="AM27" s="51">
        <f t="shared" si="5"/>
        <v>3.0097500661909797E-2</v>
      </c>
      <c r="AN27" s="51">
        <v>6.1999999999999998E-3</v>
      </c>
      <c r="AO27" s="42" t="s">
        <v>198</v>
      </c>
      <c r="AP27" s="51">
        <f t="shared" si="6"/>
        <v>0.16170249933809014</v>
      </c>
      <c r="AQ27" s="42" t="s">
        <v>198</v>
      </c>
      <c r="AR27" s="42" t="s">
        <v>198</v>
      </c>
      <c r="AS27" s="42" t="s">
        <v>198</v>
      </c>
      <c r="AT27" s="42">
        <v>0.49</v>
      </c>
      <c r="AU27" s="42">
        <v>0.49</v>
      </c>
      <c r="AV27" s="47">
        <f t="shared" si="0"/>
        <v>0.16583688536544455</v>
      </c>
      <c r="AW27" s="55">
        <f t="shared" si="1"/>
        <v>137.68508563734972</v>
      </c>
      <c r="AX27" s="42">
        <v>9.9600000000000009</v>
      </c>
      <c r="AY27" s="42" t="s">
        <v>198</v>
      </c>
      <c r="AZ27" s="42">
        <v>5.4</v>
      </c>
      <c r="BA27" s="42" t="s">
        <v>198</v>
      </c>
      <c r="BB27" s="42">
        <v>228.3</v>
      </c>
      <c r="BC27" s="42" t="s">
        <v>198</v>
      </c>
      <c r="BD27" s="42" t="s">
        <v>198</v>
      </c>
      <c r="BE27" s="42" t="s">
        <v>861</v>
      </c>
      <c r="BF27" s="42" t="s">
        <v>198</v>
      </c>
      <c r="BG27" s="42" t="s">
        <v>198</v>
      </c>
      <c r="BH27" s="42" t="s">
        <v>198</v>
      </c>
      <c r="BI27" s="42" t="s">
        <v>198</v>
      </c>
      <c r="BJ27" s="42">
        <v>-36.5</v>
      </c>
      <c r="BK27" s="54">
        <v>-21.35</v>
      </c>
      <c r="BL27" s="53" t="s">
        <v>198</v>
      </c>
      <c r="BM27" s="53" t="s">
        <v>198</v>
      </c>
      <c r="BN27" s="53" t="s">
        <v>198</v>
      </c>
    </row>
    <row r="28" spans="2:66" x14ac:dyDescent="0.3">
      <c r="B28" s="42">
        <v>19</v>
      </c>
      <c r="C28" s="42">
        <v>5</v>
      </c>
      <c r="D28" s="42" t="s">
        <v>366</v>
      </c>
      <c r="E28" s="54" t="s">
        <v>1186</v>
      </c>
      <c r="F28" s="42">
        <v>4</v>
      </c>
      <c r="G28" s="42" t="s">
        <v>901</v>
      </c>
      <c r="H28" s="42" t="s">
        <v>635</v>
      </c>
      <c r="I28" s="42"/>
      <c r="J28" s="42" t="s">
        <v>902</v>
      </c>
      <c r="K28" s="42" t="s">
        <v>694</v>
      </c>
      <c r="L28" s="42">
        <v>550</v>
      </c>
      <c r="M28" s="42">
        <v>40</v>
      </c>
      <c r="N28" s="42">
        <f t="shared" si="2"/>
        <v>7.5</v>
      </c>
      <c r="O28" s="54" t="s">
        <v>906</v>
      </c>
      <c r="P28" s="67">
        <v>0.441</v>
      </c>
      <c r="Q28" s="67">
        <v>0.24299999999999999</v>
      </c>
      <c r="R28" s="67">
        <v>0.316</v>
      </c>
      <c r="S28" s="68">
        <f t="shared" si="3"/>
        <v>7.5507999999999992E-2</v>
      </c>
      <c r="T28" s="42" t="s">
        <v>198</v>
      </c>
      <c r="U28" s="44">
        <v>0.7</v>
      </c>
      <c r="V28" s="54">
        <v>5.65</v>
      </c>
      <c r="W28" s="54" t="s">
        <v>198</v>
      </c>
      <c r="X28" s="54" t="s">
        <v>944</v>
      </c>
      <c r="Y28" s="54" t="s">
        <v>978</v>
      </c>
      <c r="Z28" s="42" t="s">
        <v>696</v>
      </c>
      <c r="AA28" s="42" t="s">
        <v>454</v>
      </c>
      <c r="AB28" s="42">
        <v>60</v>
      </c>
      <c r="AC28" s="42">
        <v>730</v>
      </c>
      <c r="AD28" s="51">
        <v>0.05</v>
      </c>
      <c r="AE28" s="42" t="s">
        <v>888</v>
      </c>
      <c r="AF28" s="42" t="s">
        <v>908</v>
      </c>
      <c r="AG28" s="42" t="s">
        <v>198</v>
      </c>
      <c r="AH28" s="42" t="s">
        <v>451</v>
      </c>
      <c r="AI28" s="43">
        <v>7.0000000000000007E-2</v>
      </c>
      <c r="AJ28" s="43">
        <v>7.0000000000000007E-2</v>
      </c>
      <c r="AK28" s="49">
        <f t="shared" si="4"/>
        <v>0.73199999999999998</v>
      </c>
      <c r="AL28" s="45">
        <v>0.73199999999999998</v>
      </c>
      <c r="AM28" s="51">
        <f t="shared" si="5"/>
        <v>3.0097500661909797E-2</v>
      </c>
      <c r="AN28" s="51">
        <v>6.1999999999999998E-3</v>
      </c>
      <c r="AO28" s="42" t="s">
        <v>198</v>
      </c>
      <c r="AP28" s="51">
        <f t="shared" si="6"/>
        <v>0.16170249933809014</v>
      </c>
      <c r="AQ28" s="42" t="s">
        <v>198</v>
      </c>
      <c r="AR28" s="42" t="s">
        <v>198</v>
      </c>
      <c r="AS28" s="42" t="s">
        <v>198</v>
      </c>
      <c r="AT28" s="42">
        <v>0.49</v>
      </c>
      <c r="AU28" s="42">
        <v>0.49</v>
      </c>
      <c r="AV28" s="47">
        <f t="shared" si="0"/>
        <v>0.16583688536544455</v>
      </c>
      <c r="AW28" s="55">
        <f t="shared" si="1"/>
        <v>137.68508563734972</v>
      </c>
      <c r="AX28" s="42">
        <v>9.9600000000000009</v>
      </c>
      <c r="AY28" s="42" t="s">
        <v>198</v>
      </c>
      <c r="AZ28" s="42">
        <v>5.4</v>
      </c>
      <c r="BA28" s="42" t="s">
        <v>198</v>
      </c>
      <c r="BB28" s="42">
        <v>228.3</v>
      </c>
      <c r="BC28" s="42" t="s">
        <v>198</v>
      </c>
      <c r="BD28" s="42" t="s">
        <v>198</v>
      </c>
      <c r="BE28" s="42" t="s">
        <v>861</v>
      </c>
      <c r="BF28" s="42" t="s">
        <v>198</v>
      </c>
      <c r="BG28" s="42" t="s">
        <v>198</v>
      </c>
      <c r="BH28" s="42" t="s">
        <v>198</v>
      </c>
      <c r="BI28" s="42" t="s">
        <v>198</v>
      </c>
      <c r="BJ28" s="42">
        <v>-36.5</v>
      </c>
      <c r="BK28" s="54">
        <v>-21.35</v>
      </c>
      <c r="BL28" s="53" t="s">
        <v>198</v>
      </c>
      <c r="BM28" s="53" t="s">
        <v>198</v>
      </c>
      <c r="BN28" s="53" t="s">
        <v>198</v>
      </c>
    </row>
    <row r="29" spans="2:66" x14ac:dyDescent="0.3">
      <c r="B29" s="42">
        <v>20</v>
      </c>
      <c r="C29" s="42">
        <v>5</v>
      </c>
      <c r="D29" s="42" t="s">
        <v>366</v>
      </c>
      <c r="E29" s="54" t="s">
        <v>918</v>
      </c>
      <c r="F29" s="42">
        <v>4</v>
      </c>
      <c r="G29" s="42" t="s">
        <v>901</v>
      </c>
      <c r="H29" s="42" t="s">
        <v>635</v>
      </c>
      <c r="I29" s="42"/>
      <c r="J29" s="42" t="s">
        <v>902</v>
      </c>
      <c r="K29" s="42" t="s">
        <v>694</v>
      </c>
      <c r="L29" s="42">
        <v>450</v>
      </c>
      <c r="M29" s="42">
        <v>40</v>
      </c>
      <c r="N29" s="42">
        <f t="shared" si="2"/>
        <v>7.5</v>
      </c>
      <c r="O29" s="54" t="s">
        <v>907</v>
      </c>
      <c r="P29" s="67">
        <v>0.442</v>
      </c>
      <c r="Q29" s="67">
        <v>0.27300000000000002</v>
      </c>
      <c r="R29" s="67">
        <v>0.28499999999999998</v>
      </c>
      <c r="S29" s="68">
        <f t="shared" ref="S29:S34" si="7">2.25%*1.72</f>
        <v>3.8699999999999998E-2</v>
      </c>
      <c r="T29" s="42" t="s">
        <v>198</v>
      </c>
      <c r="U29" s="44">
        <v>0.7</v>
      </c>
      <c r="V29" s="54">
        <v>7.89</v>
      </c>
      <c r="W29" s="54" t="s">
        <v>198</v>
      </c>
      <c r="X29" s="54" t="s">
        <v>945</v>
      </c>
      <c r="Y29" s="54" t="s">
        <v>979</v>
      </c>
      <c r="Z29" s="42" t="s">
        <v>696</v>
      </c>
      <c r="AA29" s="42" t="s">
        <v>454</v>
      </c>
      <c r="AB29" s="42">
        <v>20</v>
      </c>
      <c r="AC29" s="42">
        <v>730</v>
      </c>
      <c r="AD29" s="51">
        <v>0.02</v>
      </c>
      <c r="AE29" s="42" t="s">
        <v>888</v>
      </c>
      <c r="AF29" s="42" t="s">
        <v>908</v>
      </c>
      <c r="AG29" s="42" t="s">
        <v>198</v>
      </c>
      <c r="AH29" s="42" t="s">
        <v>451</v>
      </c>
      <c r="AI29" s="43">
        <v>0.03</v>
      </c>
      <c r="AJ29" s="43">
        <v>0.03</v>
      </c>
      <c r="AK29" s="49">
        <f t="shared" si="4"/>
        <v>0.67400000000000004</v>
      </c>
      <c r="AL29" s="45">
        <v>0.67400000000000004</v>
      </c>
      <c r="AM29" s="51">
        <f t="shared" si="5"/>
        <v>3.5065081901970746E-2</v>
      </c>
      <c r="AN29" s="51">
        <v>5.1999999999999998E-3</v>
      </c>
      <c r="AO29" s="42" t="s">
        <v>198</v>
      </c>
      <c r="AP29" s="51">
        <f t="shared" si="6"/>
        <v>0.25573491809802917</v>
      </c>
      <c r="AQ29" s="42" t="s">
        <v>198</v>
      </c>
      <c r="AR29" s="42" t="s">
        <v>198</v>
      </c>
      <c r="AS29" s="42" t="s">
        <v>198</v>
      </c>
      <c r="AT29" s="42">
        <v>0.62</v>
      </c>
      <c r="AU29" s="42">
        <v>0.62</v>
      </c>
      <c r="AV29" s="47">
        <f t="shared" si="0"/>
        <v>0.28484304200763277</v>
      </c>
      <c r="AW29" s="55">
        <f t="shared" si="1"/>
        <v>151.15553695390844</v>
      </c>
      <c r="AX29" s="42">
        <v>8.64</v>
      </c>
      <c r="AY29" s="42" t="s">
        <v>198</v>
      </c>
      <c r="AZ29" s="42">
        <v>1.1399999999999999</v>
      </c>
      <c r="BA29" s="42" t="s">
        <v>198</v>
      </c>
      <c r="BB29" s="42">
        <v>191</v>
      </c>
      <c r="BC29" s="42" t="s">
        <v>198</v>
      </c>
      <c r="BD29" s="42" t="s">
        <v>198</v>
      </c>
      <c r="BE29" s="42" t="s">
        <v>861</v>
      </c>
      <c r="BF29" s="42" t="s">
        <v>198</v>
      </c>
      <c r="BG29" s="42" t="s">
        <v>198</v>
      </c>
      <c r="BH29" s="42" t="s">
        <v>198</v>
      </c>
      <c r="BI29" s="42" t="s">
        <v>198</v>
      </c>
      <c r="BJ29" s="42">
        <v>-36.299999999999997</v>
      </c>
      <c r="BK29" s="54">
        <v>-17.32</v>
      </c>
      <c r="BL29" s="53" t="s">
        <v>198</v>
      </c>
      <c r="BM29" s="53" t="s">
        <v>198</v>
      </c>
      <c r="BN29" s="53" t="s">
        <v>198</v>
      </c>
    </row>
    <row r="30" spans="2:66" x14ac:dyDescent="0.3">
      <c r="B30" s="42">
        <v>21</v>
      </c>
      <c r="C30" s="42">
        <v>5</v>
      </c>
      <c r="D30" s="42" t="s">
        <v>366</v>
      </c>
      <c r="E30" s="54" t="s">
        <v>912</v>
      </c>
      <c r="F30" s="42">
        <v>4</v>
      </c>
      <c r="G30" s="42" t="s">
        <v>901</v>
      </c>
      <c r="H30" s="42" t="s">
        <v>635</v>
      </c>
      <c r="I30" s="42"/>
      <c r="J30" s="42" t="s">
        <v>902</v>
      </c>
      <c r="K30" s="42" t="s">
        <v>694</v>
      </c>
      <c r="L30" s="42">
        <v>450</v>
      </c>
      <c r="M30" s="42">
        <v>40</v>
      </c>
      <c r="N30" s="42">
        <f t="shared" si="2"/>
        <v>7.5</v>
      </c>
      <c r="O30" s="54" t="s">
        <v>907</v>
      </c>
      <c r="P30" s="67">
        <v>0.442</v>
      </c>
      <c r="Q30" s="67">
        <v>0.27300000000000002</v>
      </c>
      <c r="R30" s="67">
        <v>0.28499999999999998</v>
      </c>
      <c r="S30" s="68">
        <f t="shared" si="7"/>
        <v>3.8699999999999998E-2</v>
      </c>
      <c r="T30" s="42" t="s">
        <v>198</v>
      </c>
      <c r="U30" s="44">
        <v>0.7</v>
      </c>
      <c r="V30" s="54">
        <v>7.89</v>
      </c>
      <c r="W30" s="54" t="s">
        <v>198</v>
      </c>
      <c r="X30" s="54" t="s">
        <v>945</v>
      </c>
      <c r="Y30" s="54" t="s">
        <v>979</v>
      </c>
      <c r="Z30" s="42" t="s">
        <v>696</v>
      </c>
      <c r="AA30" s="42" t="s">
        <v>454</v>
      </c>
      <c r="AB30" s="42">
        <v>40</v>
      </c>
      <c r="AC30" s="42">
        <v>730</v>
      </c>
      <c r="AD30" s="51">
        <v>0.02</v>
      </c>
      <c r="AE30" s="42" t="s">
        <v>888</v>
      </c>
      <c r="AF30" s="42" t="s">
        <v>908</v>
      </c>
      <c r="AG30" s="42" t="s">
        <v>198</v>
      </c>
      <c r="AH30" s="42" t="s">
        <v>451</v>
      </c>
      <c r="AI30" s="43">
        <v>0.03</v>
      </c>
      <c r="AJ30" s="43">
        <v>0.03</v>
      </c>
      <c r="AK30" s="49">
        <f t="shared" si="4"/>
        <v>0.67400000000000004</v>
      </c>
      <c r="AL30" s="45">
        <v>0.67400000000000004</v>
      </c>
      <c r="AM30" s="51">
        <f t="shared" si="5"/>
        <v>3.5065081901970746E-2</v>
      </c>
      <c r="AN30" s="51">
        <v>5.1999999999999998E-3</v>
      </c>
      <c r="AO30" s="42" t="s">
        <v>198</v>
      </c>
      <c r="AP30" s="51">
        <f t="shared" si="6"/>
        <v>0.25573491809802917</v>
      </c>
      <c r="AQ30" s="42" t="s">
        <v>198</v>
      </c>
      <c r="AR30" s="42" t="s">
        <v>198</v>
      </c>
      <c r="AS30" s="42" t="s">
        <v>198</v>
      </c>
      <c r="AT30" s="42">
        <v>0.62</v>
      </c>
      <c r="AU30" s="42">
        <v>0.62</v>
      </c>
      <c r="AV30" s="47">
        <f t="shared" si="0"/>
        <v>0.28484304200763277</v>
      </c>
      <c r="AW30" s="55">
        <f t="shared" si="1"/>
        <v>151.15553695390844</v>
      </c>
      <c r="AX30" s="42">
        <v>8.64</v>
      </c>
      <c r="AY30" s="42" t="s">
        <v>198</v>
      </c>
      <c r="AZ30" s="42">
        <v>1.1399999999999999</v>
      </c>
      <c r="BA30" s="42" t="s">
        <v>198</v>
      </c>
      <c r="BB30" s="42">
        <v>191</v>
      </c>
      <c r="BC30" s="42" t="s">
        <v>198</v>
      </c>
      <c r="BD30" s="42" t="s">
        <v>198</v>
      </c>
      <c r="BE30" s="42" t="s">
        <v>861</v>
      </c>
      <c r="BF30" s="42" t="s">
        <v>198</v>
      </c>
      <c r="BG30" s="42" t="s">
        <v>198</v>
      </c>
      <c r="BH30" s="42" t="s">
        <v>198</v>
      </c>
      <c r="BI30" s="42" t="s">
        <v>198</v>
      </c>
      <c r="BJ30" s="42">
        <v>-36.299999999999997</v>
      </c>
      <c r="BK30" s="54">
        <v>-17.32</v>
      </c>
      <c r="BL30" s="53" t="s">
        <v>198</v>
      </c>
      <c r="BM30" s="53" t="s">
        <v>198</v>
      </c>
      <c r="BN30" s="53" t="s">
        <v>198</v>
      </c>
    </row>
    <row r="31" spans="2:66" x14ac:dyDescent="0.3">
      <c r="B31" s="42">
        <v>22</v>
      </c>
      <c r="C31" s="42">
        <v>5</v>
      </c>
      <c r="D31" s="42" t="s">
        <v>366</v>
      </c>
      <c r="E31" s="54" t="s">
        <v>919</v>
      </c>
      <c r="F31" s="42">
        <v>4</v>
      </c>
      <c r="G31" s="42" t="s">
        <v>901</v>
      </c>
      <c r="H31" s="42" t="s">
        <v>635</v>
      </c>
      <c r="I31" s="42"/>
      <c r="J31" s="42" t="s">
        <v>902</v>
      </c>
      <c r="K31" s="42" t="s">
        <v>694</v>
      </c>
      <c r="L31" s="42">
        <v>450</v>
      </c>
      <c r="M31" s="42">
        <v>40</v>
      </c>
      <c r="N31" s="42">
        <f t="shared" si="2"/>
        <v>7.5</v>
      </c>
      <c r="O31" s="54" t="s">
        <v>907</v>
      </c>
      <c r="P31" s="67">
        <v>0.442</v>
      </c>
      <c r="Q31" s="67">
        <v>0.27300000000000002</v>
      </c>
      <c r="R31" s="67">
        <v>0.28499999999999998</v>
      </c>
      <c r="S31" s="68">
        <f t="shared" si="7"/>
        <v>3.8699999999999998E-2</v>
      </c>
      <c r="T31" s="42" t="s">
        <v>198</v>
      </c>
      <c r="U31" s="44">
        <v>0.7</v>
      </c>
      <c r="V31" s="54">
        <v>7.89</v>
      </c>
      <c r="W31" s="54" t="s">
        <v>198</v>
      </c>
      <c r="X31" s="54" t="s">
        <v>945</v>
      </c>
      <c r="Y31" s="54" t="s">
        <v>979</v>
      </c>
      <c r="Z31" s="42" t="s">
        <v>696</v>
      </c>
      <c r="AA31" s="42" t="s">
        <v>454</v>
      </c>
      <c r="AB31" s="42">
        <v>60</v>
      </c>
      <c r="AC31" s="42">
        <v>730</v>
      </c>
      <c r="AD31" s="51">
        <v>0.02</v>
      </c>
      <c r="AE31" s="42" t="s">
        <v>888</v>
      </c>
      <c r="AF31" s="42" t="s">
        <v>908</v>
      </c>
      <c r="AG31" s="42" t="s">
        <v>198</v>
      </c>
      <c r="AH31" s="42" t="s">
        <v>451</v>
      </c>
      <c r="AI31" s="43">
        <v>0.03</v>
      </c>
      <c r="AJ31" s="43">
        <v>0.03</v>
      </c>
      <c r="AK31" s="49">
        <f t="shared" si="4"/>
        <v>0.67400000000000004</v>
      </c>
      <c r="AL31" s="45">
        <v>0.67400000000000004</v>
      </c>
      <c r="AM31" s="51">
        <f t="shared" si="5"/>
        <v>3.5065081901970746E-2</v>
      </c>
      <c r="AN31" s="51">
        <v>5.1999999999999998E-3</v>
      </c>
      <c r="AO31" s="42" t="s">
        <v>198</v>
      </c>
      <c r="AP31" s="51">
        <f t="shared" si="6"/>
        <v>0.25573491809802917</v>
      </c>
      <c r="AQ31" s="42" t="s">
        <v>198</v>
      </c>
      <c r="AR31" s="42" t="s">
        <v>198</v>
      </c>
      <c r="AS31" s="42" t="s">
        <v>198</v>
      </c>
      <c r="AT31" s="42">
        <v>0.62</v>
      </c>
      <c r="AU31" s="42">
        <v>0.62</v>
      </c>
      <c r="AV31" s="47">
        <f t="shared" si="0"/>
        <v>0.28484304200763277</v>
      </c>
      <c r="AW31" s="55">
        <f t="shared" si="1"/>
        <v>151.15553695390844</v>
      </c>
      <c r="AX31" s="42">
        <v>8.64</v>
      </c>
      <c r="AY31" s="42" t="s">
        <v>198</v>
      </c>
      <c r="AZ31" s="42">
        <v>1.1399999999999999</v>
      </c>
      <c r="BA31" s="42" t="s">
        <v>198</v>
      </c>
      <c r="BB31" s="42">
        <v>191</v>
      </c>
      <c r="BC31" s="42" t="s">
        <v>198</v>
      </c>
      <c r="BD31" s="42" t="s">
        <v>198</v>
      </c>
      <c r="BE31" s="42" t="s">
        <v>861</v>
      </c>
      <c r="BF31" s="42" t="s">
        <v>198</v>
      </c>
      <c r="BG31" s="42" t="s">
        <v>198</v>
      </c>
      <c r="BH31" s="42" t="s">
        <v>198</v>
      </c>
      <c r="BI31" s="42" t="s">
        <v>198</v>
      </c>
      <c r="BJ31" s="42">
        <v>-36.299999999999997</v>
      </c>
      <c r="BK31" s="54">
        <v>-17.32</v>
      </c>
      <c r="BL31" s="53" t="s">
        <v>198</v>
      </c>
      <c r="BM31" s="53" t="s">
        <v>198</v>
      </c>
      <c r="BN31" s="53" t="s">
        <v>198</v>
      </c>
    </row>
    <row r="32" spans="2:66" x14ac:dyDescent="0.3">
      <c r="B32" s="42">
        <v>23</v>
      </c>
      <c r="C32" s="42">
        <v>5</v>
      </c>
      <c r="D32" s="42" t="s">
        <v>366</v>
      </c>
      <c r="E32" s="54" t="s">
        <v>929</v>
      </c>
      <c r="F32" s="42">
        <v>4</v>
      </c>
      <c r="G32" s="42" t="s">
        <v>901</v>
      </c>
      <c r="H32" s="42" t="s">
        <v>635</v>
      </c>
      <c r="I32" s="42"/>
      <c r="J32" s="42" t="s">
        <v>902</v>
      </c>
      <c r="K32" s="42" t="s">
        <v>694</v>
      </c>
      <c r="L32" s="42">
        <v>550</v>
      </c>
      <c r="M32" s="42">
        <v>40</v>
      </c>
      <c r="N32" s="42">
        <f t="shared" si="2"/>
        <v>7.5</v>
      </c>
      <c r="O32" s="54" t="s">
        <v>907</v>
      </c>
      <c r="P32" s="67">
        <v>0.442</v>
      </c>
      <c r="Q32" s="67">
        <v>0.27300000000000002</v>
      </c>
      <c r="R32" s="67">
        <v>0.28499999999999998</v>
      </c>
      <c r="S32" s="68">
        <f t="shared" si="7"/>
        <v>3.8699999999999998E-2</v>
      </c>
      <c r="T32" s="42" t="s">
        <v>198</v>
      </c>
      <c r="U32" s="44">
        <v>0.7</v>
      </c>
      <c r="V32" s="54">
        <v>7.89</v>
      </c>
      <c r="W32" s="54" t="s">
        <v>198</v>
      </c>
      <c r="X32" s="54" t="s">
        <v>945</v>
      </c>
      <c r="Y32" s="54" t="s">
        <v>979</v>
      </c>
      <c r="Z32" s="42" t="s">
        <v>696</v>
      </c>
      <c r="AA32" s="42" t="s">
        <v>454</v>
      </c>
      <c r="AB32" s="42">
        <v>20</v>
      </c>
      <c r="AC32" s="42">
        <v>730</v>
      </c>
      <c r="AD32" s="51">
        <v>0.02</v>
      </c>
      <c r="AE32" s="42" t="s">
        <v>888</v>
      </c>
      <c r="AF32" s="42" t="s">
        <v>908</v>
      </c>
      <c r="AG32" s="42" t="s">
        <v>198</v>
      </c>
      <c r="AH32" s="42" t="s">
        <v>451</v>
      </c>
      <c r="AI32" s="43">
        <v>7.0000000000000007E-2</v>
      </c>
      <c r="AJ32" s="43">
        <v>7.0000000000000007E-2</v>
      </c>
      <c r="AK32" s="49">
        <f t="shared" si="4"/>
        <v>0.73199999999999998</v>
      </c>
      <c r="AL32" s="45">
        <v>0.73199999999999998</v>
      </c>
      <c r="AM32" s="51">
        <f t="shared" si="5"/>
        <v>3.0097500661909797E-2</v>
      </c>
      <c r="AN32" s="51">
        <v>6.1999999999999998E-3</v>
      </c>
      <c r="AO32" s="42" t="s">
        <v>198</v>
      </c>
      <c r="AP32" s="51">
        <f t="shared" si="6"/>
        <v>0.16170249933809014</v>
      </c>
      <c r="AQ32" s="42" t="s">
        <v>198</v>
      </c>
      <c r="AR32" s="42" t="s">
        <v>198</v>
      </c>
      <c r="AS32" s="42" t="s">
        <v>198</v>
      </c>
      <c r="AT32" s="42">
        <v>0.49</v>
      </c>
      <c r="AU32" s="42">
        <v>0.49</v>
      </c>
      <c r="AV32" s="47">
        <f t="shared" si="0"/>
        <v>0.16583688536544455</v>
      </c>
      <c r="AW32" s="55">
        <f t="shared" si="1"/>
        <v>137.68508563734972</v>
      </c>
      <c r="AX32" s="42">
        <v>9.9600000000000009</v>
      </c>
      <c r="AY32" s="42" t="s">
        <v>198</v>
      </c>
      <c r="AZ32" s="42">
        <v>5.4</v>
      </c>
      <c r="BA32" s="42" t="s">
        <v>198</v>
      </c>
      <c r="BB32" s="42">
        <v>228.3</v>
      </c>
      <c r="BC32" s="42" t="s">
        <v>198</v>
      </c>
      <c r="BD32" s="42" t="s">
        <v>198</v>
      </c>
      <c r="BE32" s="42" t="s">
        <v>861</v>
      </c>
      <c r="BF32" s="42" t="s">
        <v>198</v>
      </c>
      <c r="BG32" s="42" t="s">
        <v>198</v>
      </c>
      <c r="BH32" s="42" t="s">
        <v>198</v>
      </c>
      <c r="BI32" s="42" t="s">
        <v>198</v>
      </c>
      <c r="BJ32" s="42">
        <v>-36.5</v>
      </c>
      <c r="BK32" s="54">
        <v>-17.32</v>
      </c>
      <c r="BL32" s="53" t="s">
        <v>198</v>
      </c>
      <c r="BM32" s="53" t="s">
        <v>198</v>
      </c>
      <c r="BN32" s="53" t="s">
        <v>198</v>
      </c>
    </row>
    <row r="33" spans="2:66" x14ac:dyDescent="0.3">
      <c r="B33" s="42">
        <v>24</v>
      </c>
      <c r="C33" s="42">
        <v>5</v>
      </c>
      <c r="D33" s="42" t="s">
        <v>366</v>
      </c>
      <c r="E33" s="54" t="s">
        <v>930</v>
      </c>
      <c r="F33" s="42">
        <v>4</v>
      </c>
      <c r="G33" s="42" t="s">
        <v>901</v>
      </c>
      <c r="H33" s="42" t="s">
        <v>635</v>
      </c>
      <c r="I33" s="42"/>
      <c r="J33" s="42" t="s">
        <v>902</v>
      </c>
      <c r="K33" s="42" t="s">
        <v>694</v>
      </c>
      <c r="L33" s="42">
        <v>550</v>
      </c>
      <c r="M33" s="42">
        <v>40</v>
      </c>
      <c r="N33" s="42">
        <f t="shared" si="2"/>
        <v>7.5</v>
      </c>
      <c r="O33" s="54" t="s">
        <v>907</v>
      </c>
      <c r="P33" s="67">
        <v>0.442</v>
      </c>
      <c r="Q33" s="67">
        <v>0.27300000000000002</v>
      </c>
      <c r="R33" s="67">
        <v>0.28499999999999998</v>
      </c>
      <c r="S33" s="68">
        <f t="shared" si="7"/>
        <v>3.8699999999999998E-2</v>
      </c>
      <c r="T33" s="42" t="s">
        <v>198</v>
      </c>
      <c r="U33" s="44">
        <v>0.7</v>
      </c>
      <c r="V33" s="54">
        <v>7.89</v>
      </c>
      <c r="W33" s="54" t="s">
        <v>198</v>
      </c>
      <c r="X33" s="54" t="s">
        <v>945</v>
      </c>
      <c r="Y33" s="54" t="s">
        <v>979</v>
      </c>
      <c r="Z33" s="42" t="s">
        <v>696</v>
      </c>
      <c r="AA33" s="42" t="s">
        <v>454</v>
      </c>
      <c r="AB33" s="42">
        <v>40</v>
      </c>
      <c r="AC33" s="42">
        <v>730</v>
      </c>
      <c r="AD33" s="51">
        <v>0.02</v>
      </c>
      <c r="AE33" s="42" t="s">
        <v>888</v>
      </c>
      <c r="AF33" s="42" t="s">
        <v>908</v>
      </c>
      <c r="AG33" s="42" t="s">
        <v>198</v>
      </c>
      <c r="AH33" s="42" t="s">
        <v>451</v>
      </c>
      <c r="AI33" s="43">
        <v>7.0000000000000007E-2</v>
      </c>
      <c r="AJ33" s="43">
        <v>7.0000000000000007E-2</v>
      </c>
      <c r="AK33" s="49">
        <f t="shared" si="4"/>
        <v>0.73199999999999998</v>
      </c>
      <c r="AL33" s="45">
        <v>0.73199999999999998</v>
      </c>
      <c r="AM33" s="51">
        <f t="shared" si="5"/>
        <v>3.0097500661909797E-2</v>
      </c>
      <c r="AN33" s="51">
        <v>6.1999999999999998E-3</v>
      </c>
      <c r="AO33" s="42" t="s">
        <v>198</v>
      </c>
      <c r="AP33" s="51">
        <f t="shared" si="6"/>
        <v>0.16170249933809014</v>
      </c>
      <c r="AQ33" s="42" t="s">
        <v>198</v>
      </c>
      <c r="AR33" s="42" t="s">
        <v>198</v>
      </c>
      <c r="AS33" s="42" t="s">
        <v>198</v>
      </c>
      <c r="AT33" s="42">
        <v>0.49</v>
      </c>
      <c r="AU33" s="42">
        <v>0.49</v>
      </c>
      <c r="AV33" s="47">
        <f t="shared" si="0"/>
        <v>0.16583688536544455</v>
      </c>
      <c r="AW33" s="55">
        <f t="shared" si="1"/>
        <v>137.68508563734972</v>
      </c>
      <c r="AX33" s="42">
        <v>9.9600000000000009</v>
      </c>
      <c r="AY33" s="42" t="s">
        <v>198</v>
      </c>
      <c r="AZ33" s="42">
        <v>5.4</v>
      </c>
      <c r="BA33" s="42" t="s">
        <v>198</v>
      </c>
      <c r="BB33" s="42">
        <v>228.3</v>
      </c>
      <c r="BC33" s="42" t="s">
        <v>198</v>
      </c>
      <c r="BD33" s="42" t="s">
        <v>198</v>
      </c>
      <c r="BE33" s="42" t="s">
        <v>861</v>
      </c>
      <c r="BF33" s="42" t="s">
        <v>198</v>
      </c>
      <c r="BG33" s="42" t="s">
        <v>198</v>
      </c>
      <c r="BH33" s="42" t="s">
        <v>198</v>
      </c>
      <c r="BI33" s="42" t="s">
        <v>198</v>
      </c>
      <c r="BJ33" s="42">
        <v>-36.5</v>
      </c>
      <c r="BK33" s="54">
        <v>-17.32</v>
      </c>
      <c r="BL33" s="53" t="s">
        <v>198</v>
      </c>
      <c r="BM33" s="53" t="s">
        <v>198</v>
      </c>
      <c r="BN33" s="53" t="s">
        <v>198</v>
      </c>
    </row>
    <row r="34" spans="2:66" x14ac:dyDescent="0.3">
      <c r="B34" s="42">
        <v>25</v>
      </c>
      <c r="C34" s="42">
        <v>5</v>
      </c>
      <c r="D34" s="42" t="s">
        <v>366</v>
      </c>
      <c r="E34" s="54" t="s">
        <v>931</v>
      </c>
      <c r="F34" s="42">
        <v>4</v>
      </c>
      <c r="G34" s="42" t="s">
        <v>901</v>
      </c>
      <c r="H34" s="42" t="s">
        <v>635</v>
      </c>
      <c r="I34" s="42"/>
      <c r="J34" s="42" t="s">
        <v>902</v>
      </c>
      <c r="K34" s="42" t="s">
        <v>694</v>
      </c>
      <c r="L34" s="42">
        <v>550</v>
      </c>
      <c r="M34" s="42">
        <v>40</v>
      </c>
      <c r="N34" s="42">
        <f t="shared" si="2"/>
        <v>7.5</v>
      </c>
      <c r="O34" s="54" t="s">
        <v>907</v>
      </c>
      <c r="P34" s="67">
        <v>0.442</v>
      </c>
      <c r="Q34" s="67">
        <v>0.27300000000000002</v>
      </c>
      <c r="R34" s="67">
        <v>0.28499999999999998</v>
      </c>
      <c r="S34" s="68">
        <f t="shared" si="7"/>
        <v>3.8699999999999998E-2</v>
      </c>
      <c r="T34" s="42" t="s">
        <v>198</v>
      </c>
      <c r="U34" s="44">
        <v>0.7</v>
      </c>
      <c r="V34" s="54">
        <v>7.89</v>
      </c>
      <c r="W34" s="54" t="s">
        <v>198</v>
      </c>
      <c r="X34" s="54" t="s">
        <v>945</v>
      </c>
      <c r="Y34" s="54" t="s">
        <v>979</v>
      </c>
      <c r="Z34" s="42" t="s">
        <v>696</v>
      </c>
      <c r="AA34" s="42" t="s">
        <v>454</v>
      </c>
      <c r="AB34" s="42">
        <v>60</v>
      </c>
      <c r="AC34" s="42">
        <v>730</v>
      </c>
      <c r="AD34" s="51">
        <v>0.02</v>
      </c>
      <c r="AE34" s="42" t="s">
        <v>888</v>
      </c>
      <c r="AF34" s="42" t="s">
        <v>908</v>
      </c>
      <c r="AG34" s="42" t="s">
        <v>198</v>
      </c>
      <c r="AH34" s="42" t="s">
        <v>451</v>
      </c>
      <c r="AI34" s="43">
        <v>7.0000000000000007E-2</v>
      </c>
      <c r="AJ34" s="43">
        <v>7.0000000000000007E-2</v>
      </c>
      <c r="AK34" s="49">
        <f t="shared" si="4"/>
        <v>0.73199999999999998</v>
      </c>
      <c r="AL34" s="45">
        <v>0.73199999999999998</v>
      </c>
      <c r="AM34" s="51">
        <f t="shared" si="5"/>
        <v>3.0097500661909797E-2</v>
      </c>
      <c r="AN34" s="51">
        <v>6.1999999999999998E-3</v>
      </c>
      <c r="AO34" s="42" t="s">
        <v>198</v>
      </c>
      <c r="AP34" s="51">
        <f t="shared" si="6"/>
        <v>0.16170249933809014</v>
      </c>
      <c r="AQ34" s="42" t="s">
        <v>198</v>
      </c>
      <c r="AR34" s="42" t="s">
        <v>198</v>
      </c>
      <c r="AS34" s="42" t="s">
        <v>198</v>
      </c>
      <c r="AT34" s="42">
        <v>0.49</v>
      </c>
      <c r="AU34" s="42">
        <v>0.49</v>
      </c>
      <c r="AV34" s="47">
        <f t="shared" si="0"/>
        <v>0.16583688536544455</v>
      </c>
      <c r="AW34" s="55">
        <f t="shared" si="1"/>
        <v>137.68508563734972</v>
      </c>
      <c r="AX34" s="42">
        <v>9.9600000000000009</v>
      </c>
      <c r="AY34" s="42" t="s">
        <v>198</v>
      </c>
      <c r="AZ34" s="42">
        <v>5.4</v>
      </c>
      <c r="BA34" s="42" t="s">
        <v>198</v>
      </c>
      <c r="BB34" s="42">
        <v>228.3</v>
      </c>
      <c r="BC34" s="42" t="s">
        <v>198</v>
      </c>
      <c r="BD34" s="42" t="s">
        <v>198</v>
      </c>
      <c r="BE34" s="42" t="s">
        <v>861</v>
      </c>
      <c r="BF34" s="42" t="s">
        <v>198</v>
      </c>
      <c r="BG34" s="42" t="s">
        <v>198</v>
      </c>
      <c r="BH34" s="42" t="s">
        <v>198</v>
      </c>
      <c r="BI34" s="42" t="s">
        <v>198</v>
      </c>
      <c r="BJ34" s="42">
        <v>-36.5</v>
      </c>
      <c r="BK34" s="54">
        <v>-17.32</v>
      </c>
      <c r="BL34" s="53" t="s">
        <v>198</v>
      </c>
      <c r="BM34" s="53" t="s">
        <v>198</v>
      </c>
      <c r="BN34" s="53" t="s">
        <v>198</v>
      </c>
    </row>
    <row r="35" spans="2:66" x14ac:dyDescent="0.3">
      <c r="B35" s="42">
        <v>26</v>
      </c>
      <c r="C35" s="42">
        <v>5</v>
      </c>
      <c r="D35" s="42" t="s">
        <v>366</v>
      </c>
      <c r="E35" s="54" t="s">
        <v>914</v>
      </c>
      <c r="F35" s="42">
        <v>4</v>
      </c>
      <c r="G35" s="42" t="s">
        <v>901</v>
      </c>
      <c r="H35" s="42" t="s">
        <v>635</v>
      </c>
      <c r="I35" s="42"/>
      <c r="J35" s="42" t="s">
        <v>902</v>
      </c>
      <c r="K35" s="42" t="s">
        <v>694</v>
      </c>
      <c r="L35" s="42">
        <v>450</v>
      </c>
      <c r="M35" s="42">
        <v>40</v>
      </c>
      <c r="N35" s="42">
        <f t="shared" si="2"/>
        <v>7.5</v>
      </c>
      <c r="O35" s="54" t="s">
        <v>905</v>
      </c>
      <c r="P35" s="67">
        <v>0.215</v>
      </c>
      <c r="Q35" s="67">
        <v>0.66300000000000003</v>
      </c>
      <c r="R35" s="67">
        <v>0.122</v>
      </c>
      <c r="S35" s="68">
        <f t="shared" ref="S35:S40" si="8">2.53%*1.72</f>
        <v>4.3515999999999999E-2</v>
      </c>
      <c r="T35" s="42" t="s">
        <v>198</v>
      </c>
      <c r="U35" s="44">
        <v>0.7</v>
      </c>
      <c r="V35" s="54">
        <v>8.77</v>
      </c>
      <c r="W35" s="54" t="s">
        <v>198</v>
      </c>
      <c r="X35" s="54" t="s">
        <v>943</v>
      </c>
      <c r="Y35" s="54" t="s">
        <v>977</v>
      </c>
      <c r="Z35" s="42" t="s">
        <v>696</v>
      </c>
      <c r="AA35" s="42" t="s">
        <v>454</v>
      </c>
      <c r="AB35" s="42">
        <v>20</v>
      </c>
      <c r="AC35" s="42">
        <v>730</v>
      </c>
      <c r="AD35" s="51">
        <v>0.02</v>
      </c>
      <c r="AE35" s="42" t="s">
        <v>888</v>
      </c>
      <c r="AF35" s="42" t="s">
        <v>908</v>
      </c>
      <c r="AG35" s="42" t="s">
        <v>198</v>
      </c>
      <c r="AH35" s="42" t="s">
        <v>451</v>
      </c>
      <c r="AI35" s="43">
        <v>0.03</v>
      </c>
      <c r="AJ35" s="43">
        <v>0.03</v>
      </c>
      <c r="AK35" s="49">
        <f t="shared" si="4"/>
        <v>0.67400000000000004</v>
      </c>
      <c r="AL35" s="45">
        <v>0.67400000000000004</v>
      </c>
      <c r="AM35" s="51">
        <f t="shared" si="5"/>
        <v>3.5065081901970746E-2</v>
      </c>
      <c r="AN35" s="51">
        <v>5.1999999999999998E-3</v>
      </c>
      <c r="AO35" s="42" t="s">
        <v>198</v>
      </c>
      <c r="AP35" s="51">
        <f t="shared" si="6"/>
        <v>0.25573491809802917</v>
      </c>
      <c r="AQ35" s="42" t="s">
        <v>198</v>
      </c>
      <c r="AR35" s="42" t="s">
        <v>198</v>
      </c>
      <c r="AS35" s="42" t="s">
        <v>198</v>
      </c>
      <c r="AT35" s="42">
        <v>0.62</v>
      </c>
      <c r="AU35" s="42">
        <v>0.62</v>
      </c>
      <c r="AV35" s="47">
        <f t="shared" si="0"/>
        <v>0.28484304200763277</v>
      </c>
      <c r="AW35" s="55">
        <f t="shared" si="1"/>
        <v>151.15553695390844</v>
      </c>
      <c r="AX35" s="42">
        <v>8.64</v>
      </c>
      <c r="AY35" s="42" t="s">
        <v>198</v>
      </c>
      <c r="AZ35" s="42">
        <v>1.1399999999999999</v>
      </c>
      <c r="BA35" s="42" t="s">
        <v>198</v>
      </c>
      <c r="BB35" s="42">
        <v>191</v>
      </c>
      <c r="BC35" s="42" t="s">
        <v>198</v>
      </c>
      <c r="BD35" s="42" t="s">
        <v>198</v>
      </c>
      <c r="BE35" s="42" t="s">
        <v>861</v>
      </c>
      <c r="BF35" s="42" t="s">
        <v>198</v>
      </c>
      <c r="BG35" s="42" t="s">
        <v>198</v>
      </c>
      <c r="BH35" s="42" t="s">
        <v>198</v>
      </c>
      <c r="BI35" s="42" t="s">
        <v>198</v>
      </c>
      <c r="BJ35" s="42">
        <v>-36.299999999999997</v>
      </c>
      <c r="BK35" s="54">
        <v>-14.08</v>
      </c>
      <c r="BL35" s="53" t="s">
        <v>198</v>
      </c>
      <c r="BM35" s="53" t="s">
        <v>198</v>
      </c>
      <c r="BN35" s="53" t="s">
        <v>198</v>
      </c>
    </row>
    <row r="36" spans="2:66" x14ac:dyDescent="0.3">
      <c r="B36" s="42">
        <v>27</v>
      </c>
      <c r="C36" s="42">
        <v>5</v>
      </c>
      <c r="D36" s="42" t="s">
        <v>366</v>
      </c>
      <c r="E36" s="54" t="s">
        <v>910</v>
      </c>
      <c r="F36" s="42">
        <v>4</v>
      </c>
      <c r="G36" s="42" t="s">
        <v>901</v>
      </c>
      <c r="H36" s="42" t="s">
        <v>635</v>
      </c>
      <c r="I36" s="42"/>
      <c r="J36" s="42" t="s">
        <v>902</v>
      </c>
      <c r="K36" s="42" t="s">
        <v>694</v>
      </c>
      <c r="L36" s="42">
        <v>450</v>
      </c>
      <c r="M36" s="42">
        <v>40</v>
      </c>
      <c r="N36" s="42">
        <f t="shared" si="2"/>
        <v>7.5</v>
      </c>
      <c r="O36" s="54" t="s">
        <v>905</v>
      </c>
      <c r="P36" s="67">
        <v>0.215</v>
      </c>
      <c r="Q36" s="67">
        <v>0.66300000000000003</v>
      </c>
      <c r="R36" s="67">
        <v>0.122</v>
      </c>
      <c r="S36" s="68">
        <f t="shared" si="8"/>
        <v>4.3515999999999999E-2</v>
      </c>
      <c r="T36" s="42" t="s">
        <v>198</v>
      </c>
      <c r="U36" s="44">
        <v>0.7</v>
      </c>
      <c r="V36" s="54">
        <v>8.77</v>
      </c>
      <c r="W36" s="54" t="s">
        <v>198</v>
      </c>
      <c r="X36" s="54" t="s">
        <v>943</v>
      </c>
      <c r="Y36" s="54" t="s">
        <v>977</v>
      </c>
      <c r="Z36" s="42" t="s">
        <v>696</v>
      </c>
      <c r="AA36" s="42" t="s">
        <v>454</v>
      </c>
      <c r="AB36" s="42">
        <v>40</v>
      </c>
      <c r="AC36" s="42">
        <v>730</v>
      </c>
      <c r="AD36" s="51">
        <v>0.02</v>
      </c>
      <c r="AE36" s="42" t="s">
        <v>888</v>
      </c>
      <c r="AF36" s="42" t="s">
        <v>908</v>
      </c>
      <c r="AG36" s="42" t="s">
        <v>198</v>
      </c>
      <c r="AH36" s="42" t="s">
        <v>451</v>
      </c>
      <c r="AI36" s="43">
        <v>0.03</v>
      </c>
      <c r="AJ36" s="43">
        <v>0.03</v>
      </c>
      <c r="AK36" s="49">
        <f t="shared" si="4"/>
        <v>0.67400000000000004</v>
      </c>
      <c r="AL36" s="45">
        <v>0.67400000000000004</v>
      </c>
      <c r="AM36" s="51">
        <f t="shared" si="5"/>
        <v>3.5065081901970746E-2</v>
      </c>
      <c r="AN36" s="51">
        <v>5.1999999999999998E-3</v>
      </c>
      <c r="AO36" s="42" t="s">
        <v>198</v>
      </c>
      <c r="AP36" s="51">
        <f t="shared" si="6"/>
        <v>0.25573491809802917</v>
      </c>
      <c r="AQ36" s="42" t="s">
        <v>198</v>
      </c>
      <c r="AR36" s="42" t="s">
        <v>198</v>
      </c>
      <c r="AS36" s="42" t="s">
        <v>198</v>
      </c>
      <c r="AT36" s="42">
        <v>0.62</v>
      </c>
      <c r="AU36" s="42">
        <v>0.62</v>
      </c>
      <c r="AV36" s="47">
        <f t="shared" si="0"/>
        <v>0.28484304200763277</v>
      </c>
      <c r="AW36" s="55">
        <f t="shared" si="1"/>
        <v>151.15553695390844</v>
      </c>
      <c r="AX36" s="42">
        <v>8.64</v>
      </c>
      <c r="AY36" s="42" t="s">
        <v>198</v>
      </c>
      <c r="AZ36" s="42">
        <v>1.1399999999999999</v>
      </c>
      <c r="BA36" s="42" t="s">
        <v>198</v>
      </c>
      <c r="BB36" s="42">
        <v>191</v>
      </c>
      <c r="BC36" s="42" t="s">
        <v>198</v>
      </c>
      <c r="BD36" s="42" t="s">
        <v>198</v>
      </c>
      <c r="BE36" s="42" t="s">
        <v>861</v>
      </c>
      <c r="BF36" s="42" t="s">
        <v>198</v>
      </c>
      <c r="BG36" s="42" t="s">
        <v>198</v>
      </c>
      <c r="BH36" s="42" t="s">
        <v>198</v>
      </c>
      <c r="BI36" s="42" t="s">
        <v>198</v>
      </c>
      <c r="BJ36" s="42">
        <v>-36.299999999999997</v>
      </c>
      <c r="BK36" s="54">
        <v>-14.08</v>
      </c>
      <c r="BL36" s="53" t="s">
        <v>198</v>
      </c>
      <c r="BM36" s="53" t="s">
        <v>198</v>
      </c>
      <c r="BN36" s="53" t="s">
        <v>198</v>
      </c>
    </row>
    <row r="37" spans="2:66" x14ac:dyDescent="0.3">
      <c r="B37" s="42">
        <v>28</v>
      </c>
      <c r="C37" s="42">
        <v>5</v>
      </c>
      <c r="D37" s="42" t="s">
        <v>366</v>
      </c>
      <c r="E37" s="54" t="s">
        <v>915</v>
      </c>
      <c r="F37" s="42">
        <v>4</v>
      </c>
      <c r="G37" s="42" t="s">
        <v>901</v>
      </c>
      <c r="H37" s="42" t="s">
        <v>635</v>
      </c>
      <c r="I37" s="42"/>
      <c r="J37" s="42" t="s">
        <v>902</v>
      </c>
      <c r="K37" s="42" t="s">
        <v>694</v>
      </c>
      <c r="L37" s="42">
        <v>450</v>
      </c>
      <c r="M37" s="42">
        <v>40</v>
      </c>
      <c r="N37" s="42">
        <f t="shared" si="2"/>
        <v>7.5</v>
      </c>
      <c r="O37" s="54" t="s">
        <v>905</v>
      </c>
      <c r="P37" s="67">
        <v>0.215</v>
      </c>
      <c r="Q37" s="67">
        <v>0.66300000000000003</v>
      </c>
      <c r="R37" s="67">
        <v>0.122</v>
      </c>
      <c r="S37" s="68">
        <f t="shared" si="8"/>
        <v>4.3515999999999999E-2</v>
      </c>
      <c r="T37" s="42" t="s">
        <v>198</v>
      </c>
      <c r="U37" s="44">
        <v>0.7</v>
      </c>
      <c r="V37" s="54">
        <v>8.77</v>
      </c>
      <c r="W37" s="54" t="s">
        <v>198</v>
      </c>
      <c r="X37" s="54" t="s">
        <v>943</v>
      </c>
      <c r="Y37" s="54" t="s">
        <v>977</v>
      </c>
      <c r="Z37" s="42" t="s">
        <v>696</v>
      </c>
      <c r="AA37" s="42" t="s">
        <v>454</v>
      </c>
      <c r="AB37" s="42">
        <v>60</v>
      </c>
      <c r="AC37" s="42">
        <v>730</v>
      </c>
      <c r="AD37" s="51">
        <v>0.02</v>
      </c>
      <c r="AE37" s="42" t="s">
        <v>888</v>
      </c>
      <c r="AF37" s="42" t="s">
        <v>908</v>
      </c>
      <c r="AG37" s="42" t="s">
        <v>198</v>
      </c>
      <c r="AH37" s="42" t="s">
        <v>451</v>
      </c>
      <c r="AI37" s="43">
        <v>0.03</v>
      </c>
      <c r="AJ37" s="43">
        <v>0.03</v>
      </c>
      <c r="AK37" s="49">
        <f t="shared" si="4"/>
        <v>0.67400000000000004</v>
      </c>
      <c r="AL37" s="45">
        <v>0.67400000000000004</v>
      </c>
      <c r="AM37" s="51">
        <f t="shared" si="5"/>
        <v>3.5065081901970746E-2</v>
      </c>
      <c r="AN37" s="51">
        <v>5.1999999999999998E-3</v>
      </c>
      <c r="AO37" s="42" t="s">
        <v>198</v>
      </c>
      <c r="AP37" s="51">
        <f t="shared" si="6"/>
        <v>0.25573491809802917</v>
      </c>
      <c r="AQ37" s="42" t="s">
        <v>198</v>
      </c>
      <c r="AR37" s="42" t="s">
        <v>198</v>
      </c>
      <c r="AS37" s="42" t="s">
        <v>198</v>
      </c>
      <c r="AT37" s="42">
        <v>0.62</v>
      </c>
      <c r="AU37" s="42">
        <v>0.62</v>
      </c>
      <c r="AV37" s="47">
        <f t="shared" si="0"/>
        <v>0.28484304200763277</v>
      </c>
      <c r="AW37" s="55">
        <f t="shared" si="1"/>
        <v>151.15553695390844</v>
      </c>
      <c r="AX37" s="42">
        <v>8.64</v>
      </c>
      <c r="AY37" s="42" t="s">
        <v>198</v>
      </c>
      <c r="AZ37" s="42">
        <v>1.1399999999999999</v>
      </c>
      <c r="BA37" s="42" t="s">
        <v>198</v>
      </c>
      <c r="BB37" s="42">
        <v>191</v>
      </c>
      <c r="BC37" s="42" t="s">
        <v>198</v>
      </c>
      <c r="BD37" s="42" t="s">
        <v>198</v>
      </c>
      <c r="BE37" s="42" t="s">
        <v>861</v>
      </c>
      <c r="BF37" s="42" t="s">
        <v>198</v>
      </c>
      <c r="BG37" s="42" t="s">
        <v>198</v>
      </c>
      <c r="BH37" s="42" t="s">
        <v>198</v>
      </c>
      <c r="BI37" s="42" t="s">
        <v>198</v>
      </c>
      <c r="BJ37" s="42">
        <v>-36.299999999999997</v>
      </c>
      <c r="BK37" s="54">
        <v>-14.08</v>
      </c>
      <c r="BL37" s="53" t="s">
        <v>198</v>
      </c>
      <c r="BM37" s="53" t="s">
        <v>198</v>
      </c>
      <c r="BN37" s="53" t="s">
        <v>198</v>
      </c>
    </row>
    <row r="38" spans="2:66" x14ac:dyDescent="0.3">
      <c r="B38" s="42">
        <v>29</v>
      </c>
      <c r="C38" s="42">
        <v>5</v>
      </c>
      <c r="D38" s="42" t="s">
        <v>366</v>
      </c>
      <c r="E38" s="54" t="s">
        <v>923</v>
      </c>
      <c r="F38" s="42">
        <v>4</v>
      </c>
      <c r="G38" s="42" t="s">
        <v>901</v>
      </c>
      <c r="H38" s="42" t="s">
        <v>635</v>
      </c>
      <c r="I38" s="42"/>
      <c r="J38" s="42" t="s">
        <v>902</v>
      </c>
      <c r="K38" s="42" t="s">
        <v>694</v>
      </c>
      <c r="L38" s="42">
        <v>550</v>
      </c>
      <c r="M38" s="42">
        <v>40</v>
      </c>
      <c r="N38" s="42">
        <f t="shared" si="2"/>
        <v>7.5</v>
      </c>
      <c r="O38" s="54" t="s">
        <v>905</v>
      </c>
      <c r="P38" s="67">
        <v>0.215</v>
      </c>
      <c r="Q38" s="67">
        <v>0.66300000000000003</v>
      </c>
      <c r="R38" s="67">
        <v>0.122</v>
      </c>
      <c r="S38" s="68">
        <f t="shared" si="8"/>
        <v>4.3515999999999999E-2</v>
      </c>
      <c r="T38" s="42" t="s">
        <v>198</v>
      </c>
      <c r="U38" s="44">
        <v>0.7</v>
      </c>
      <c r="V38" s="54">
        <v>8.77</v>
      </c>
      <c r="W38" s="54" t="s">
        <v>198</v>
      </c>
      <c r="X38" s="54" t="s">
        <v>943</v>
      </c>
      <c r="Y38" s="54" t="s">
        <v>977</v>
      </c>
      <c r="Z38" s="42" t="s">
        <v>696</v>
      </c>
      <c r="AA38" s="42" t="s">
        <v>454</v>
      </c>
      <c r="AB38" s="42">
        <v>20</v>
      </c>
      <c r="AC38" s="42">
        <v>730</v>
      </c>
      <c r="AD38" s="51">
        <v>0.02</v>
      </c>
      <c r="AE38" s="42" t="s">
        <v>888</v>
      </c>
      <c r="AF38" s="42" t="s">
        <v>908</v>
      </c>
      <c r="AG38" s="42" t="s">
        <v>198</v>
      </c>
      <c r="AH38" s="42" t="s">
        <v>451</v>
      </c>
      <c r="AI38" s="43">
        <v>7.0000000000000007E-2</v>
      </c>
      <c r="AJ38" s="43">
        <v>7.0000000000000007E-2</v>
      </c>
      <c r="AK38" s="49">
        <f t="shared" si="4"/>
        <v>0.73199999999999998</v>
      </c>
      <c r="AL38" s="45">
        <v>0.73199999999999998</v>
      </c>
      <c r="AM38" s="51">
        <f t="shared" si="5"/>
        <v>3.0097500661909797E-2</v>
      </c>
      <c r="AN38" s="51">
        <v>6.1999999999999998E-3</v>
      </c>
      <c r="AO38" s="42" t="s">
        <v>198</v>
      </c>
      <c r="AP38" s="51">
        <f t="shared" si="6"/>
        <v>0.16170249933809014</v>
      </c>
      <c r="AQ38" s="42" t="s">
        <v>198</v>
      </c>
      <c r="AR38" s="42" t="s">
        <v>198</v>
      </c>
      <c r="AS38" s="42" t="s">
        <v>198</v>
      </c>
      <c r="AT38" s="42">
        <v>0.49</v>
      </c>
      <c r="AU38" s="42">
        <v>0.49</v>
      </c>
      <c r="AV38" s="47">
        <f t="shared" si="0"/>
        <v>0.16583688536544455</v>
      </c>
      <c r="AW38" s="55">
        <f t="shared" si="1"/>
        <v>137.68508563734972</v>
      </c>
      <c r="AX38" s="42">
        <v>9.9600000000000009</v>
      </c>
      <c r="AY38" s="42" t="s">
        <v>198</v>
      </c>
      <c r="AZ38" s="42">
        <v>5.4</v>
      </c>
      <c r="BA38" s="42" t="s">
        <v>198</v>
      </c>
      <c r="BB38" s="42">
        <v>228.3</v>
      </c>
      <c r="BC38" s="42" t="s">
        <v>198</v>
      </c>
      <c r="BD38" s="42" t="s">
        <v>198</v>
      </c>
      <c r="BE38" s="42" t="s">
        <v>861</v>
      </c>
      <c r="BF38" s="42" t="s">
        <v>198</v>
      </c>
      <c r="BG38" s="42" t="s">
        <v>198</v>
      </c>
      <c r="BH38" s="42" t="s">
        <v>198</v>
      </c>
      <c r="BI38" s="42" t="s">
        <v>198</v>
      </c>
      <c r="BJ38" s="42">
        <v>-36.5</v>
      </c>
      <c r="BK38" s="54">
        <v>-14.08</v>
      </c>
      <c r="BL38" s="53" t="s">
        <v>198</v>
      </c>
      <c r="BM38" s="53" t="s">
        <v>198</v>
      </c>
      <c r="BN38" s="53" t="s">
        <v>198</v>
      </c>
    </row>
    <row r="39" spans="2:66" x14ac:dyDescent="0.3">
      <c r="B39" s="42">
        <v>30</v>
      </c>
      <c r="C39" s="42">
        <v>5</v>
      </c>
      <c r="D39" s="42" t="s">
        <v>366</v>
      </c>
      <c r="E39" s="54" t="s">
        <v>924</v>
      </c>
      <c r="F39" s="42">
        <v>4</v>
      </c>
      <c r="G39" s="42" t="s">
        <v>901</v>
      </c>
      <c r="H39" s="42" t="s">
        <v>635</v>
      </c>
      <c r="I39" s="42"/>
      <c r="J39" s="42" t="s">
        <v>902</v>
      </c>
      <c r="K39" s="42" t="s">
        <v>694</v>
      </c>
      <c r="L39" s="42">
        <v>550</v>
      </c>
      <c r="M39" s="42">
        <v>40</v>
      </c>
      <c r="N39" s="42">
        <f t="shared" si="2"/>
        <v>7.5</v>
      </c>
      <c r="O39" s="54" t="s">
        <v>905</v>
      </c>
      <c r="P39" s="67">
        <v>0.215</v>
      </c>
      <c r="Q39" s="67">
        <v>0.66300000000000003</v>
      </c>
      <c r="R39" s="67">
        <v>0.122</v>
      </c>
      <c r="S39" s="68">
        <f t="shared" si="8"/>
        <v>4.3515999999999999E-2</v>
      </c>
      <c r="T39" s="42" t="s">
        <v>198</v>
      </c>
      <c r="U39" s="44">
        <v>0.7</v>
      </c>
      <c r="V39" s="54">
        <v>8.77</v>
      </c>
      <c r="W39" s="54" t="s">
        <v>198</v>
      </c>
      <c r="X39" s="54" t="s">
        <v>943</v>
      </c>
      <c r="Y39" s="54" t="s">
        <v>977</v>
      </c>
      <c r="Z39" s="42" t="s">
        <v>696</v>
      </c>
      <c r="AA39" s="42" t="s">
        <v>454</v>
      </c>
      <c r="AB39" s="42">
        <v>40</v>
      </c>
      <c r="AC39" s="42">
        <v>730</v>
      </c>
      <c r="AD39" s="51">
        <v>0.02</v>
      </c>
      <c r="AE39" s="42" t="s">
        <v>888</v>
      </c>
      <c r="AF39" s="42" t="s">
        <v>908</v>
      </c>
      <c r="AG39" s="42" t="s">
        <v>198</v>
      </c>
      <c r="AH39" s="42" t="s">
        <v>451</v>
      </c>
      <c r="AI39" s="43">
        <v>7.0000000000000007E-2</v>
      </c>
      <c r="AJ39" s="43">
        <v>7.0000000000000007E-2</v>
      </c>
      <c r="AK39" s="49">
        <f t="shared" si="4"/>
        <v>0.73199999999999998</v>
      </c>
      <c r="AL39" s="45">
        <v>0.73199999999999998</v>
      </c>
      <c r="AM39" s="51">
        <f t="shared" si="5"/>
        <v>3.0097500661909797E-2</v>
      </c>
      <c r="AN39" s="51">
        <v>6.1999999999999998E-3</v>
      </c>
      <c r="AO39" s="42" t="s">
        <v>198</v>
      </c>
      <c r="AP39" s="51">
        <f t="shared" si="6"/>
        <v>0.16170249933809014</v>
      </c>
      <c r="AQ39" s="42" t="s">
        <v>198</v>
      </c>
      <c r="AR39" s="42" t="s">
        <v>198</v>
      </c>
      <c r="AS39" s="42" t="s">
        <v>198</v>
      </c>
      <c r="AT39" s="42">
        <v>0.49</v>
      </c>
      <c r="AU39" s="42">
        <v>0.49</v>
      </c>
      <c r="AV39" s="47">
        <f t="shared" si="0"/>
        <v>0.16583688536544455</v>
      </c>
      <c r="AW39" s="55">
        <f t="shared" si="1"/>
        <v>137.68508563734972</v>
      </c>
      <c r="AX39" s="42">
        <v>9.9600000000000009</v>
      </c>
      <c r="AY39" s="42" t="s">
        <v>198</v>
      </c>
      <c r="AZ39" s="42">
        <v>5.4</v>
      </c>
      <c r="BA39" s="42" t="s">
        <v>198</v>
      </c>
      <c r="BB39" s="42">
        <v>228.3</v>
      </c>
      <c r="BC39" s="42" t="s">
        <v>198</v>
      </c>
      <c r="BD39" s="42" t="s">
        <v>198</v>
      </c>
      <c r="BE39" s="42" t="s">
        <v>861</v>
      </c>
      <c r="BF39" s="42" t="s">
        <v>198</v>
      </c>
      <c r="BG39" s="42" t="s">
        <v>198</v>
      </c>
      <c r="BH39" s="42" t="s">
        <v>198</v>
      </c>
      <c r="BI39" s="42" t="s">
        <v>198</v>
      </c>
      <c r="BJ39" s="42">
        <v>-36.5</v>
      </c>
      <c r="BK39" s="54">
        <v>-14.08</v>
      </c>
      <c r="BL39" s="53" t="s">
        <v>198</v>
      </c>
      <c r="BM39" s="53" t="s">
        <v>198</v>
      </c>
      <c r="BN39" s="53" t="s">
        <v>198</v>
      </c>
    </row>
    <row r="40" spans="2:66" x14ac:dyDescent="0.3">
      <c r="B40" s="42">
        <v>31</v>
      </c>
      <c r="C40" s="42">
        <v>5</v>
      </c>
      <c r="D40" s="42" t="s">
        <v>366</v>
      </c>
      <c r="E40" s="54" t="s">
        <v>925</v>
      </c>
      <c r="F40" s="42">
        <v>4</v>
      </c>
      <c r="G40" s="42" t="s">
        <v>901</v>
      </c>
      <c r="H40" s="42" t="s">
        <v>635</v>
      </c>
      <c r="I40" s="42"/>
      <c r="J40" s="42" t="s">
        <v>902</v>
      </c>
      <c r="K40" s="42" t="s">
        <v>694</v>
      </c>
      <c r="L40" s="42">
        <v>550</v>
      </c>
      <c r="M40" s="42">
        <v>40</v>
      </c>
      <c r="N40" s="42">
        <f t="shared" si="2"/>
        <v>7.5</v>
      </c>
      <c r="O40" s="54" t="s">
        <v>905</v>
      </c>
      <c r="P40" s="67">
        <v>0.215</v>
      </c>
      <c r="Q40" s="67">
        <v>0.66300000000000003</v>
      </c>
      <c r="R40" s="67">
        <v>0.122</v>
      </c>
      <c r="S40" s="68">
        <f t="shared" si="8"/>
        <v>4.3515999999999999E-2</v>
      </c>
      <c r="T40" s="42" t="s">
        <v>198</v>
      </c>
      <c r="U40" s="44">
        <v>0.7</v>
      </c>
      <c r="V40" s="54">
        <v>8.77</v>
      </c>
      <c r="W40" s="54" t="s">
        <v>198</v>
      </c>
      <c r="X40" s="54" t="s">
        <v>943</v>
      </c>
      <c r="Y40" s="54" t="s">
        <v>977</v>
      </c>
      <c r="Z40" s="42" t="s">
        <v>696</v>
      </c>
      <c r="AA40" s="42" t="s">
        <v>454</v>
      </c>
      <c r="AB40" s="42">
        <v>60</v>
      </c>
      <c r="AC40" s="42">
        <v>730</v>
      </c>
      <c r="AD40" s="51">
        <v>0.02</v>
      </c>
      <c r="AE40" s="42" t="s">
        <v>888</v>
      </c>
      <c r="AF40" s="42" t="s">
        <v>908</v>
      </c>
      <c r="AG40" s="42" t="s">
        <v>198</v>
      </c>
      <c r="AH40" s="42" t="s">
        <v>451</v>
      </c>
      <c r="AI40" s="43">
        <v>7.0000000000000007E-2</v>
      </c>
      <c r="AJ40" s="43">
        <v>7.0000000000000007E-2</v>
      </c>
      <c r="AK40" s="49">
        <f t="shared" si="4"/>
        <v>0.73199999999999998</v>
      </c>
      <c r="AL40" s="45">
        <v>0.73199999999999998</v>
      </c>
      <c r="AM40" s="51">
        <f t="shared" si="5"/>
        <v>3.0097500661909797E-2</v>
      </c>
      <c r="AN40" s="51">
        <v>6.1999999999999998E-3</v>
      </c>
      <c r="AO40" s="42" t="s">
        <v>198</v>
      </c>
      <c r="AP40" s="51">
        <f t="shared" si="6"/>
        <v>0.16170249933809014</v>
      </c>
      <c r="AQ40" s="42" t="s">
        <v>198</v>
      </c>
      <c r="AR40" s="42" t="s">
        <v>198</v>
      </c>
      <c r="AS40" s="42" t="s">
        <v>198</v>
      </c>
      <c r="AT40" s="42">
        <v>0.49</v>
      </c>
      <c r="AU40" s="42">
        <v>0.49</v>
      </c>
      <c r="AV40" s="47">
        <f t="shared" si="0"/>
        <v>0.16583688536544455</v>
      </c>
      <c r="AW40" s="55">
        <f t="shared" si="1"/>
        <v>137.68508563734972</v>
      </c>
      <c r="AX40" s="42">
        <v>9.9600000000000009</v>
      </c>
      <c r="AY40" s="42" t="s">
        <v>198</v>
      </c>
      <c r="AZ40" s="42">
        <v>5.4</v>
      </c>
      <c r="BA40" s="42" t="s">
        <v>198</v>
      </c>
      <c r="BB40" s="42">
        <v>228.3</v>
      </c>
      <c r="BC40" s="42" t="s">
        <v>198</v>
      </c>
      <c r="BD40" s="42" t="s">
        <v>198</v>
      </c>
      <c r="BE40" s="42" t="s">
        <v>861</v>
      </c>
      <c r="BF40" s="42" t="s">
        <v>198</v>
      </c>
      <c r="BG40" s="42" t="s">
        <v>198</v>
      </c>
      <c r="BH40" s="42" t="s">
        <v>198</v>
      </c>
      <c r="BI40" s="42" t="s">
        <v>198</v>
      </c>
      <c r="BJ40" s="42">
        <v>-36.5</v>
      </c>
      <c r="BK40" s="54">
        <v>-14.08</v>
      </c>
      <c r="BL40" s="53" t="s">
        <v>198</v>
      </c>
      <c r="BM40" s="53" t="s">
        <v>198</v>
      </c>
      <c r="BN40" s="53" t="s">
        <v>198</v>
      </c>
    </row>
    <row r="41" spans="2:66" x14ac:dyDescent="0.3">
      <c r="B41" s="42">
        <v>32</v>
      </c>
      <c r="C41" s="42">
        <v>5</v>
      </c>
      <c r="D41" s="42" t="s">
        <v>366</v>
      </c>
      <c r="E41" s="54" t="s">
        <v>903</v>
      </c>
      <c r="F41" s="42">
        <v>4</v>
      </c>
      <c r="G41" s="42" t="s">
        <v>901</v>
      </c>
      <c r="H41" s="42" t="s">
        <v>635</v>
      </c>
      <c r="I41" s="42"/>
      <c r="J41" s="42" t="s">
        <v>902</v>
      </c>
      <c r="K41" s="42" t="s">
        <v>694</v>
      </c>
      <c r="L41" s="42">
        <v>450</v>
      </c>
      <c r="M41" s="42">
        <v>40</v>
      </c>
      <c r="N41" s="42">
        <f t="shared" si="2"/>
        <v>7.5</v>
      </c>
      <c r="O41" s="54" t="s">
        <v>904</v>
      </c>
      <c r="P41" s="67">
        <v>1.2999999999999999E-2</v>
      </c>
      <c r="Q41" s="67">
        <v>0.97499999999999998</v>
      </c>
      <c r="R41" s="69">
        <v>1.2E-2</v>
      </c>
      <c r="S41" s="68">
        <f t="shared" ref="S41:S46" si="9">0.95%*1.72</f>
        <v>1.634E-2</v>
      </c>
      <c r="T41" s="42" t="s">
        <v>198</v>
      </c>
      <c r="U41" s="44">
        <v>0.7</v>
      </c>
      <c r="V41" s="54">
        <v>5.7</v>
      </c>
      <c r="W41" s="54" t="s">
        <v>198</v>
      </c>
      <c r="X41" s="54" t="s">
        <v>942</v>
      </c>
      <c r="Y41" s="54" t="s">
        <v>976</v>
      </c>
      <c r="Z41" s="42" t="s">
        <v>696</v>
      </c>
      <c r="AA41" s="42" t="s">
        <v>454</v>
      </c>
      <c r="AB41" s="42">
        <v>20</v>
      </c>
      <c r="AC41" s="42">
        <v>730</v>
      </c>
      <c r="AD41" s="51">
        <v>0.02</v>
      </c>
      <c r="AE41" s="42" t="s">
        <v>888</v>
      </c>
      <c r="AF41" s="42" t="s">
        <v>908</v>
      </c>
      <c r="AG41" s="42" t="s">
        <v>198</v>
      </c>
      <c r="AH41" s="42" t="s">
        <v>451</v>
      </c>
      <c r="AI41" s="43">
        <v>0.03</v>
      </c>
      <c r="AJ41" s="43">
        <v>0.03</v>
      </c>
      <c r="AK41" s="49">
        <f t="shared" si="4"/>
        <v>0.67400000000000004</v>
      </c>
      <c r="AL41" s="45">
        <v>0.67400000000000004</v>
      </c>
      <c r="AM41" s="51">
        <f t="shared" si="5"/>
        <v>3.5065081901970746E-2</v>
      </c>
      <c r="AN41" s="51">
        <v>5.1999999999999998E-3</v>
      </c>
      <c r="AO41" s="42" t="s">
        <v>198</v>
      </c>
      <c r="AP41" s="51">
        <f t="shared" si="6"/>
        <v>0.25573491809802917</v>
      </c>
      <c r="AQ41" s="42" t="s">
        <v>198</v>
      </c>
      <c r="AR41" s="42" t="s">
        <v>198</v>
      </c>
      <c r="AS41" s="42" t="s">
        <v>198</v>
      </c>
      <c r="AT41" s="42">
        <v>0.62</v>
      </c>
      <c r="AU41" s="42">
        <v>0.62</v>
      </c>
      <c r="AV41" s="47">
        <f t="shared" si="0"/>
        <v>0.28484304200763277</v>
      </c>
      <c r="AW41" s="55">
        <f t="shared" si="1"/>
        <v>151.15553695390844</v>
      </c>
      <c r="AX41" s="42">
        <v>8.64</v>
      </c>
      <c r="AY41" s="42" t="s">
        <v>198</v>
      </c>
      <c r="AZ41" s="42">
        <v>1.1399999999999999</v>
      </c>
      <c r="BA41" s="42" t="s">
        <v>198</v>
      </c>
      <c r="BB41" s="42">
        <v>191</v>
      </c>
      <c r="BC41" s="42" t="s">
        <v>198</v>
      </c>
      <c r="BD41" s="42" t="s">
        <v>198</v>
      </c>
      <c r="BE41" s="42" t="s">
        <v>861</v>
      </c>
      <c r="BF41" s="42" t="s">
        <v>198</v>
      </c>
      <c r="BG41" s="42" t="s">
        <v>198</v>
      </c>
      <c r="BH41" s="42" t="s">
        <v>198</v>
      </c>
      <c r="BI41" s="42" t="s">
        <v>198</v>
      </c>
      <c r="BJ41" s="42">
        <v>-36.299999999999997</v>
      </c>
      <c r="BK41" s="54">
        <v>-28.17</v>
      </c>
      <c r="BL41" s="53" t="s">
        <v>198</v>
      </c>
      <c r="BM41" s="53" t="s">
        <v>198</v>
      </c>
      <c r="BN41" s="53" t="s">
        <v>198</v>
      </c>
    </row>
    <row r="42" spans="2:66" x14ac:dyDescent="0.3">
      <c r="B42" s="42">
        <v>33</v>
      </c>
      <c r="C42" s="42">
        <v>5</v>
      </c>
      <c r="D42" s="42" t="s">
        <v>366</v>
      </c>
      <c r="E42" s="54" t="s">
        <v>909</v>
      </c>
      <c r="F42" s="42">
        <v>4</v>
      </c>
      <c r="G42" s="42" t="s">
        <v>901</v>
      </c>
      <c r="H42" s="42" t="s">
        <v>635</v>
      </c>
      <c r="I42" s="42"/>
      <c r="J42" s="42" t="s">
        <v>902</v>
      </c>
      <c r="K42" s="42" t="s">
        <v>694</v>
      </c>
      <c r="L42" s="42">
        <v>450</v>
      </c>
      <c r="M42" s="42">
        <v>40</v>
      </c>
      <c r="N42" s="42">
        <f t="shared" si="2"/>
        <v>7.5</v>
      </c>
      <c r="O42" s="54" t="s">
        <v>904</v>
      </c>
      <c r="P42" s="67">
        <v>1.2999999999999999E-2</v>
      </c>
      <c r="Q42" s="67">
        <v>0.97499999999999998</v>
      </c>
      <c r="R42" s="69">
        <v>1.2E-2</v>
      </c>
      <c r="S42" s="68">
        <f t="shared" si="9"/>
        <v>1.634E-2</v>
      </c>
      <c r="T42" s="42" t="s">
        <v>198</v>
      </c>
      <c r="U42" s="44">
        <v>0.7</v>
      </c>
      <c r="V42" s="54">
        <v>5.7</v>
      </c>
      <c r="W42" s="54" t="s">
        <v>198</v>
      </c>
      <c r="X42" s="54" t="s">
        <v>942</v>
      </c>
      <c r="Y42" s="54" t="s">
        <v>976</v>
      </c>
      <c r="Z42" s="42" t="s">
        <v>696</v>
      </c>
      <c r="AA42" s="42" t="s">
        <v>454</v>
      </c>
      <c r="AB42" s="42">
        <v>40</v>
      </c>
      <c r="AC42" s="42">
        <v>730</v>
      </c>
      <c r="AD42" s="51">
        <v>0.02</v>
      </c>
      <c r="AE42" s="42" t="s">
        <v>888</v>
      </c>
      <c r="AF42" s="42" t="s">
        <v>908</v>
      </c>
      <c r="AG42" s="42" t="s">
        <v>198</v>
      </c>
      <c r="AH42" s="42" t="s">
        <v>451</v>
      </c>
      <c r="AI42" s="43">
        <v>0.03</v>
      </c>
      <c r="AJ42" s="43">
        <v>0.03</v>
      </c>
      <c r="AK42" s="49">
        <f t="shared" si="4"/>
        <v>0.67400000000000004</v>
      </c>
      <c r="AL42" s="45">
        <v>0.67400000000000004</v>
      </c>
      <c r="AM42" s="51">
        <f t="shared" si="5"/>
        <v>3.5065081901970746E-2</v>
      </c>
      <c r="AN42" s="51">
        <v>5.1999999999999998E-3</v>
      </c>
      <c r="AO42" s="42" t="s">
        <v>198</v>
      </c>
      <c r="AP42" s="51">
        <f t="shared" si="6"/>
        <v>0.25573491809802917</v>
      </c>
      <c r="AQ42" s="42" t="s">
        <v>198</v>
      </c>
      <c r="AR42" s="42" t="s">
        <v>198</v>
      </c>
      <c r="AS42" s="42" t="s">
        <v>198</v>
      </c>
      <c r="AT42" s="42">
        <v>0.62</v>
      </c>
      <c r="AU42" s="42">
        <v>0.62</v>
      </c>
      <c r="AV42" s="47">
        <f t="shared" si="0"/>
        <v>0.28484304200763277</v>
      </c>
      <c r="AW42" s="55">
        <f t="shared" si="1"/>
        <v>151.15553695390844</v>
      </c>
      <c r="AX42" s="42">
        <v>8.64</v>
      </c>
      <c r="AY42" s="42" t="s">
        <v>198</v>
      </c>
      <c r="AZ42" s="42">
        <v>1.1399999999999999</v>
      </c>
      <c r="BA42" s="42" t="s">
        <v>198</v>
      </c>
      <c r="BB42" s="42">
        <v>191</v>
      </c>
      <c r="BC42" s="42" t="s">
        <v>198</v>
      </c>
      <c r="BD42" s="42" t="s">
        <v>198</v>
      </c>
      <c r="BE42" s="42" t="s">
        <v>861</v>
      </c>
      <c r="BF42" s="42" t="s">
        <v>198</v>
      </c>
      <c r="BG42" s="42" t="s">
        <v>198</v>
      </c>
      <c r="BH42" s="42" t="s">
        <v>198</v>
      </c>
      <c r="BI42" s="42" t="s">
        <v>198</v>
      </c>
      <c r="BJ42" s="42">
        <v>-36.299999999999997</v>
      </c>
      <c r="BK42" s="54">
        <v>-28.17</v>
      </c>
      <c r="BL42" s="53" t="s">
        <v>198</v>
      </c>
      <c r="BM42" s="53" t="s">
        <v>198</v>
      </c>
      <c r="BN42" s="53" t="s">
        <v>198</v>
      </c>
    </row>
    <row r="43" spans="2:66" x14ac:dyDescent="0.3">
      <c r="B43" s="42">
        <v>34</v>
      </c>
      <c r="C43" s="42">
        <v>5</v>
      </c>
      <c r="D43" s="42" t="s">
        <v>366</v>
      </c>
      <c r="E43" s="54" t="s">
        <v>913</v>
      </c>
      <c r="F43" s="42">
        <v>4</v>
      </c>
      <c r="G43" s="42" t="s">
        <v>901</v>
      </c>
      <c r="H43" s="42" t="s">
        <v>635</v>
      </c>
      <c r="I43" s="42"/>
      <c r="J43" s="42" t="s">
        <v>902</v>
      </c>
      <c r="K43" s="42" t="s">
        <v>694</v>
      </c>
      <c r="L43" s="42">
        <v>450</v>
      </c>
      <c r="M43" s="42">
        <v>40</v>
      </c>
      <c r="N43" s="42">
        <f t="shared" si="2"/>
        <v>7.5</v>
      </c>
      <c r="O43" s="54" t="s">
        <v>904</v>
      </c>
      <c r="P43" s="67">
        <v>1.2999999999999999E-2</v>
      </c>
      <c r="Q43" s="67">
        <v>0.97499999999999998</v>
      </c>
      <c r="R43" s="69">
        <v>1.2E-2</v>
      </c>
      <c r="S43" s="68">
        <f t="shared" si="9"/>
        <v>1.634E-2</v>
      </c>
      <c r="T43" s="42" t="s">
        <v>198</v>
      </c>
      <c r="U43" s="44">
        <v>0.7</v>
      </c>
      <c r="V43" s="54">
        <v>5.7</v>
      </c>
      <c r="W43" s="54" t="s">
        <v>198</v>
      </c>
      <c r="X43" s="54" t="s">
        <v>942</v>
      </c>
      <c r="Y43" s="54" t="s">
        <v>976</v>
      </c>
      <c r="Z43" s="42" t="s">
        <v>696</v>
      </c>
      <c r="AA43" s="42" t="s">
        <v>454</v>
      </c>
      <c r="AB43" s="42">
        <v>60</v>
      </c>
      <c r="AC43" s="42">
        <v>730</v>
      </c>
      <c r="AD43" s="51">
        <v>0.02</v>
      </c>
      <c r="AE43" s="42" t="s">
        <v>888</v>
      </c>
      <c r="AF43" s="42" t="s">
        <v>908</v>
      </c>
      <c r="AG43" s="42" t="s">
        <v>198</v>
      </c>
      <c r="AH43" s="42" t="s">
        <v>451</v>
      </c>
      <c r="AI43" s="43">
        <v>0.03</v>
      </c>
      <c r="AJ43" s="43">
        <v>0.03</v>
      </c>
      <c r="AK43" s="49">
        <f t="shared" si="4"/>
        <v>0.67400000000000004</v>
      </c>
      <c r="AL43" s="45">
        <v>0.67400000000000004</v>
      </c>
      <c r="AM43" s="51">
        <f t="shared" si="5"/>
        <v>3.5065081901970746E-2</v>
      </c>
      <c r="AN43" s="51">
        <v>5.1999999999999998E-3</v>
      </c>
      <c r="AO43" s="42" t="s">
        <v>198</v>
      </c>
      <c r="AP43" s="51">
        <f t="shared" si="6"/>
        <v>0.25573491809802917</v>
      </c>
      <c r="AQ43" s="42" t="s">
        <v>198</v>
      </c>
      <c r="AR43" s="42" t="s">
        <v>198</v>
      </c>
      <c r="AS43" s="42" t="s">
        <v>198</v>
      </c>
      <c r="AT43" s="42">
        <v>0.62</v>
      </c>
      <c r="AU43" s="42">
        <v>0.62</v>
      </c>
      <c r="AV43" s="47">
        <f t="shared" si="0"/>
        <v>0.28484304200763277</v>
      </c>
      <c r="AW43" s="55">
        <f t="shared" si="1"/>
        <v>151.15553695390844</v>
      </c>
      <c r="AX43" s="42">
        <v>8.64</v>
      </c>
      <c r="AY43" s="42" t="s">
        <v>198</v>
      </c>
      <c r="AZ43" s="42">
        <v>1.1399999999999999</v>
      </c>
      <c r="BA43" s="42" t="s">
        <v>198</v>
      </c>
      <c r="BB43" s="42">
        <v>191</v>
      </c>
      <c r="BC43" s="42" t="s">
        <v>198</v>
      </c>
      <c r="BD43" s="42" t="s">
        <v>198</v>
      </c>
      <c r="BE43" s="42" t="s">
        <v>861</v>
      </c>
      <c r="BF43" s="42" t="s">
        <v>198</v>
      </c>
      <c r="BG43" s="42" t="s">
        <v>198</v>
      </c>
      <c r="BH43" s="42" t="s">
        <v>198</v>
      </c>
      <c r="BI43" s="42" t="s">
        <v>198</v>
      </c>
      <c r="BJ43" s="42">
        <v>-36.299999999999997</v>
      </c>
      <c r="BK43" s="54">
        <v>-28.17</v>
      </c>
      <c r="BL43" s="53" t="s">
        <v>198</v>
      </c>
      <c r="BM43" s="53" t="s">
        <v>198</v>
      </c>
      <c r="BN43" s="53" t="s">
        <v>198</v>
      </c>
    </row>
    <row r="44" spans="2:66" x14ac:dyDescent="0.3">
      <c r="B44" s="42">
        <v>35</v>
      </c>
      <c r="C44" s="42">
        <v>5</v>
      </c>
      <c r="D44" s="42" t="s">
        <v>366</v>
      </c>
      <c r="E44" s="54" t="s">
        <v>920</v>
      </c>
      <c r="F44" s="42">
        <v>4</v>
      </c>
      <c r="G44" s="42" t="s">
        <v>901</v>
      </c>
      <c r="H44" s="42" t="s">
        <v>635</v>
      </c>
      <c r="I44" s="42"/>
      <c r="J44" s="42" t="s">
        <v>902</v>
      </c>
      <c r="K44" s="42" t="s">
        <v>694</v>
      </c>
      <c r="L44" s="42">
        <v>550</v>
      </c>
      <c r="M44" s="42">
        <v>40</v>
      </c>
      <c r="N44" s="42">
        <f t="shared" si="2"/>
        <v>7.5</v>
      </c>
      <c r="O44" s="54" t="s">
        <v>904</v>
      </c>
      <c r="P44" s="67">
        <v>1.2999999999999999E-2</v>
      </c>
      <c r="Q44" s="67">
        <v>0.97499999999999998</v>
      </c>
      <c r="R44" s="69">
        <v>1.2E-2</v>
      </c>
      <c r="S44" s="68">
        <f t="shared" si="9"/>
        <v>1.634E-2</v>
      </c>
      <c r="T44" s="42" t="s">
        <v>198</v>
      </c>
      <c r="U44" s="44">
        <v>0.7</v>
      </c>
      <c r="V44" s="54">
        <v>5.7</v>
      </c>
      <c r="W44" s="54" t="s">
        <v>198</v>
      </c>
      <c r="X44" s="54" t="s">
        <v>942</v>
      </c>
      <c r="Y44" s="54" t="s">
        <v>976</v>
      </c>
      <c r="Z44" s="42" t="s">
        <v>696</v>
      </c>
      <c r="AA44" s="42" t="s">
        <v>454</v>
      </c>
      <c r="AB44" s="42">
        <v>20</v>
      </c>
      <c r="AC44" s="42">
        <v>730</v>
      </c>
      <c r="AD44" s="51">
        <v>0.02</v>
      </c>
      <c r="AE44" s="42" t="s">
        <v>888</v>
      </c>
      <c r="AF44" s="42" t="s">
        <v>908</v>
      </c>
      <c r="AG44" s="42" t="s">
        <v>198</v>
      </c>
      <c r="AH44" s="42" t="s">
        <v>451</v>
      </c>
      <c r="AI44" s="43">
        <v>7.0000000000000007E-2</v>
      </c>
      <c r="AJ44" s="43">
        <v>7.0000000000000007E-2</v>
      </c>
      <c r="AK44" s="49">
        <f t="shared" si="4"/>
        <v>0.73199999999999998</v>
      </c>
      <c r="AL44" s="45">
        <v>0.73199999999999998</v>
      </c>
      <c r="AM44" s="51">
        <f t="shared" si="5"/>
        <v>3.0097500661909797E-2</v>
      </c>
      <c r="AN44" s="51">
        <v>6.1999999999999998E-3</v>
      </c>
      <c r="AO44" s="42" t="s">
        <v>198</v>
      </c>
      <c r="AP44" s="51">
        <f t="shared" si="6"/>
        <v>0.16170249933809014</v>
      </c>
      <c r="AQ44" s="42" t="s">
        <v>198</v>
      </c>
      <c r="AR44" s="42" t="s">
        <v>198</v>
      </c>
      <c r="AS44" s="42" t="s">
        <v>198</v>
      </c>
      <c r="AT44" s="42">
        <v>0.49</v>
      </c>
      <c r="AU44" s="42">
        <v>0.49</v>
      </c>
      <c r="AV44" s="47">
        <f t="shared" si="0"/>
        <v>0.16583688536544455</v>
      </c>
      <c r="AW44" s="55">
        <f t="shared" si="1"/>
        <v>137.68508563734972</v>
      </c>
      <c r="AX44" s="42">
        <v>9.9600000000000009</v>
      </c>
      <c r="AY44" s="42" t="s">
        <v>198</v>
      </c>
      <c r="AZ44" s="42">
        <v>5.4</v>
      </c>
      <c r="BA44" s="42" t="s">
        <v>198</v>
      </c>
      <c r="BB44" s="42">
        <v>228.3</v>
      </c>
      <c r="BC44" s="42" t="s">
        <v>198</v>
      </c>
      <c r="BD44" s="42" t="s">
        <v>198</v>
      </c>
      <c r="BE44" s="42" t="s">
        <v>861</v>
      </c>
      <c r="BF44" s="42" t="s">
        <v>198</v>
      </c>
      <c r="BG44" s="42" t="s">
        <v>198</v>
      </c>
      <c r="BH44" s="42" t="s">
        <v>198</v>
      </c>
      <c r="BI44" s="42" t="s">
        <v>198</v>
      </c>
      <c r="BJ44" s="42">
        <v>-36.5</v>
      </c>
      <c r="BK44" s="54">
        <v>-28.17</v>
      </c>
      <c r="BL44" s="53" t="s">
        <v>198</v>
      </c>
      <c r="BM44" s="53" t="s">
        <v>198</v>
      </c>
      <c r="BN44" s="53" t="s">
        <v>198</v>
      </c>
    </row>
    <row r="45" spans="2:66" x14ac:dyDescent="0.3">
      <c r="B45" s="42">
        <v>36</v>
      </c>
      <c r="C45" s="42">
        <v>5</v>
      </c>
      <c r="D45" s="42" t="s">
        <v>366</v>
      </c>
      <c r="E45" s="54" t="s">
        <v>921</v>
      </c>
      <c r="F45" s="42">
        <v>4</v>
      </c>
      <c r="G45" s="42" t="s">
        <v>901</v>
      </c>
      <c r="H45" s="42" t="s">
        <v>635</v>
      </c>
      <c r="I45" s="42"/>
      <c r="J45" s="42" t="s">
        <v>902</v>
      </c>
      <c r="K45" s="42" t="s">
        <v>694</v>
      </c>
      <c r="L45" s="42">
        <v>550</v>
      </c>
      <c r="M45" s="42">
        <v>40</v>
      </c>
      <c r="N45" s="42">
        <f t="shared" si="2"/>
        <v>7.5</v>
      </c>
      <c r="O45" s="54" t="s">
        <v>904</v>
      </c>
      <c r="P45" s="67">
        <v>1.2999999999999999E-2</v>
      </c>
      <c r="Q45" s="67">
        <v>0.97499999999999998</v>
      </c>
      <c r="R45" s="69">
        <v>1.2E-2</v>
      </c>
      <c r="S45" s="68">
        <f t="shared" si="9"/>
        <v>1.634E-2</v>
      </c>
      <c r="T45" s="42" t="s">
        <v>198</v>
      </c>
      <c r="U45" s="44">
        <v>0.7</v>
      </c>
      <c r="V45" s="54">
        <v>5.7</v>
      </c>
      <c r="W45" s="54" t="s">
        <v>198</v>
      </c>
      <c r="X45" s="54" t="s">
        <v>942</v>
      </c>
      <c r="Y45" s="54" t="s">
        <v>976</v>
      </c>
      <c r="Z45" s="42" t="s">
        <v>696</v>
      </c>
      <c r="AA45" s="42" t="s">
        <v>454</v>
      </c>
      <c r="AB45" s="42">
        <v>40</v>
      </c>
      <c r="AC45" s="42">
        <v>730</v>
      </c>
      <c r="AD45" s="51">
        <v>0.02</v>
      </c>
      <c r="AE45" s="42" t="s">
        <v>888</v>
      </c>
      <c r="AF45" s="42" t="s">
        <v>908</v>
      </c>
      <c r="AG45" s="42" t="s">
        <v>198</v>
      </c>
      <c r="AH45" s="42" t="s">
        <v>451</v>
      </c>
      <c r="AI45" s="43">
        <v>7.0000000000000007E-2</v>
      </c>
      <c r="AJ45" s="43">
        <v>7.0000000000000007E-2</v>
      </c>
      <c r="AK45" s="49">
        <f t="shared" si="4"/>
        <v>0.73199999999999998</v>
      </c>
      <c r="AL45" s="45">
        <v>0.73199999999999998</v>
      </c>
      <c r="AM45" s="51">
        <f t="shared" si="5"/>
        <v>3.0097500661909797E-2</v>
      </c>
      <c r="AN45" s="51">
        <v>6.1999999999999998E-3</v>
      </c>
      <c r="AO45" s="42" t="s">
        <v>198</v>
      </c>
      <c r="AP45" s="51">
        <f t="shared" si="6"/>
        <v>0.16170249933809014</v>
      </c>
      <c r="AQ45" s="42" t="s">
        <v>198</v>
      </c>
      <c r="AR45" s="42" t="s">
        <v>198</v>
      </c>
      <c r="AS45" s="42" t="s">
        <v>198</v>
      </c>
      <c r="AT45" s="42">
        <v>0.49</v>
      </c>
      <c r="AU45" s="42">
        <v>0.49</v>
      </c>
      <c r="AV45" s="47">
        <f t="shared" si="0"/>
        <v>0.16583688536544455</v>
      </c>
      <c r="AW45" s="55">
        <f t="shared" si="1"/>
        <v>137.68508563734972</v>
      </c>
      <c r="AX45" s="42">
        <v>9.9600000000000009</v>
      </c>
      <c r="AY45" s="42" t="s">
        <v>198</v>
      </c>
      <c r="AZ45" s="42">
        <v>5.4</v>
      </c>
      <c r="BA45" s="42" t="s">
        <v>198</v>
      </c>
      <c r="BB45" s="42">
        <v>228.3</v>
      </c>
      <c r="BC45" s="42" t="s">
        <v>198</v>
      </c>
      <c r="BD45" s="42" t="s">
        <v>198</v>
      </c>
      <c r="BE45" s="42" t="s">
        <v>861</v>
      </c>
      <c r="BF45" s="42" t="s">
        <v>198</v>
      </c>
      <c r="BG45" s="42" t="s">
        <v>198</v>
      </c>
      <c r="BH45" s="42" t="s">
        <v>198</v>
      </c>
      <c r="BI45" s="42" t="s">
        <v>198</v>
      </c>
      <c r="BJ45" s="42">
        <v>-36.5</v>
      </c>
      <c r="BK45" s="54">
        <v>-28.17</v>
      </c>
      <c r="BL45" s="53" t="s">
        <v>198</v>
      </c>
      <c r="BM45" s="53" t="s">
        <v>198</v>
      </c>
      <c r="BN45" s="53" t="s">
        <v>198</v>
      </c>
    </row>
    <row r="46" spans="2:66" x14ac:dyDescent="0.3">
      <c r="B46" s="42">
        <v>37</v>
      </c>
      <c r="C46" s="42">
        <v>5</v>
      </c>
      <c r="D46" s="42" t="s">
        <v>366</v>
      </c>
      <c r="E46" s="54" t="s">
        <v>922</v>
      </c>
      <c r="F46" s="42">
        <v>4</v>
      </c>
      <c r="G46" s="42" t="s">
        <v>901</v>
      </c>
      <c r="H46" s="42" t="s">
        <v>635</v>
      </c>
      <c r="I46" s="42"/>
      <c r="J46" s="42" t="s">
        <v>902</v>
      </c>
      <c r="K46" s="42" t="s">
        <v>694</v>
      </c>
      <c r="L46" s="42">
        <v>550</v>
      </c>
      <c r="M46" s="42">
        <v>40</v>
      </c>
      <c r="N46" s="42">
        <f t="shared" si="2"/>
        <v>7.5</v>
      </c>
      <c r="O46" s="54" t="s">
        <v>904</v>
      </c>
      <c r="P46" s="67">
        <v>1.2999999999999999E-2</v>
      </c>
      <c r="Q46" s="67">
        <v>0.97499999999999998</v>
      </c>
      <c r="R46" s="69">
        <v>1.2E-2</v>
      </c>
      <c r="S46" s="68">
        <f t="shared" si="9"/>
        <v>1.634E-2</v>
      </c>
      <c r="T46" s="42" t="s">
        <v>198</v>
      </c>
      <c r="U46" s="44">
        <v>0.7</v>
      </c>
      <c r="V46" s="54">
        <v>5.7</v>
      </c>
      <c r="W46" s="54" t="s">
        <v>198</v>
      </c>
      <c r="X46" s="54" t="s">
        <v>942</v>
      </c>
      <c r="Y46" s="54" t="s">
        <v>976</v>
      </c>
      <c r="Z46" s="42" t="s">
        <v>696</v>
      </c>
      <c r="AA46" s="42" t="s">
        <v>454</v>
      </c>
      <c r="AB46" s="42">
        <v>60</v>
      </c>
      <c r="AC46" s="42">
        <v>730</v>
      </c>
      <c r="AD46" s="51">
        <v>0.02</v>
      </c>
      <c r="AE46" s="42" t="s">
        <v>888</v>
      </c>
      <c r="AF46" s="42" t="s">
        <v>908</v>
      </c>
      <c r="AG46" s="42" t="s">
        <v>198</v>
      </c>
      <c r="AH46" s="42" t="s">
        <v>451</v>
      </c>
      <c r="AI46" s="43">
        <v>7.0000000000000007E-2</v>
      </c>
      <c r="AJ46" s="43">
        <v>7.0000000000000007E-2</v>
      </c>
      <c r="AK46" s="49">
        <f t="shared" si="4"/>
        <v>0.73199999999999998</v>
      </c>
      <c r="AL46" s="45">
        <v>0.73199999999999998</v>
      </c>
      <c r="AM46" s="51">
        <f t="shared" si="5"/>
        <v>3.0097500661909797E-2</v>
      </c>
      <c r="AN46" s="51">
        <v>6.1999999999999998E-3</v>
      </c>
      <c r="AO46" s="42" t="s">
        <v>198</v>
      </c>
      <c r="AP46" s="51">
        <f t="shared" si="6"/>
        <v>0.16170249933809014</v>
      </c>
      <c r="AQ46" s="42" t="s">
        <v>198</v>
      </c>
      <c r="AR46" s="42" t="s">
        <v>198</v>
      </c>
      <c r="AS46" s="42" t="s">
        <v>198</v>
      </c>
      <c r="AT46" s="42">
        <v>0.49</v>
      </c>
      <c r="AU46" s="42">
        <v>0.49</v>
      </c>
      <c r="AV46" s="47">
        <f t="shared" si="0"/>
        <v>0.16583688536544455</v>
      </c>
      <c r="AW46" s="55">
        <f t="shared" si="1"/>
        <v>137.68508563734972</v>
      </c>
      <c r="AX46" s="42">
        <v>9.9600000000000009</v>
      </c>
      <c r="AY46" s="42" t="s">
        <v>198</v>
      </c>
      <c r="AZ46" s="42">
        <v>5.4</v>
      </c>
      <c r="BA46" s="42" t="s">
        <v>198</v>
      </c>
      <c r="BB46" s="42">
        <v>228.3</v>
      </c>
      <c r="BC46" s="42" t="s">
        <v>198</v>
      </c>
      <c r="BD46" s="42" t="s">
        <v>198</v>
      </c>
      <c r="BE46" s="42" t="s">
        <v>861</v>
      </c>
      <c r="BF46" s="42" t="s">
        <v>198</v>
      </c>
      <c r="BG46" s="42" t="s">
        <v>198</v>
      </c>
      <c r="BH46" s="42" t="s">
        <v>198</v>
      </c>
      <c r="BI46" s="42" t="s">
        <v>198</v>
      </c>
      <c r="BJ46" s="42">
        <v>-36.5</v>
      </c>
      <c r="BK46" s="54">
        <v>-28.17</v>
      </c>
      <c r="BL46" s="53" t="s">
        <v>198</v>
      </c>
      <c r="BM46" s="53" t="s">
        <v>198</v>
      </c>
      <c r="BN46" s="53" t="s">
        <v>198</v>
      </c>
    </row>
    <row r="47" spans="2:66" x14ac:dyDescent="0.3">
      <c r="B47" s="42">
        <v>39</v>
      </c>
      <c r="C47" s="42">
        <v>7</v>
      </c>
      <c r="D47" s="42" t="s">
        <v>368</v>
      </c>
      <c r="E47" s="42" t="s">
        <v>1022</v>
      </c>
      <c r="F47" s="42">
        <v>3</v>
      </c>
      <c r="G47" s="42" t="s">
        <v>624</v>
      </c>
      <c r="H47" s="42" t="s">
        <v>635</v>
      </c>
      <c r="I47" s="42"/>
      <c r="J47" s="42" t="s">
        <v>1021</v>
      </c>
      <c r="K47" s="42" t="s">
        <v>694</v>
      </c>
      <c r="L47" s="42">
        <v>500</v>
      </c>
      <c r="M47" s="42">
        <v>2880</v>
      </c>
      <c r="N47" s="42" t="s">
        <v>198</v>
      </c>
      <c r="O47" s="42" t="s">
        <v>1018</v>
      </c>
      <c r="P47" s="44">
        <v>0.3</v>
      </c>
      <c r="Q47" s="44">
        <v>0.55500000000000005</v>
      </c>
      <c r="R47" s="44">
        <f>1-Q47-P47</f>
        <v>0.14499999999999996</v>
      </c>
      <c r="S47" s="45">
        <f>20/1000*1.72</f>
        <v>3.44E-2</v>
      </c>
      <c r="T47" s="42" t="s">
        <v>198</v>
      </c>
      <c r="U47" s="44">
        <v>0.55000000000000004</v>
      </c>
      <c r="V47" s="42">
        <v>3.9</v>
      </c>
      <c r="W47" s="42" t="s">
        <v>198</v>
      </c>
      <c r="X47" s="42" t="s">
        <v>621</v>
      </c>
      <c r="Y47" s="42" t="s">
        <v>622</v>
      </c>
      <c r="Z47" s="42" t="s">
        <v>696</v>
      </c>
      <c r="AA47" s="42" t="s">
        <v>454</v>
      </c>
      <c r="AB47" s="42">
        <v>30</v>
      </c>
      <c r="AC47" s="42">
        <v>2596</v>
      </c>
      <c r="AD47" s="46">
        <f>2/98</f>
        <v>2.0408163265306121E-2</v>
      </c>
      <c r="AE47" s="42" t="s">
        <v>1013</v>
      </c>
      <c r="AF47" s="42" t="s">
        <v>661</v>
      </c>
      <c r="AG47" s="42" t="s">
        <v>1026</v>
      </c>
      <c r="AH47" s="42" t="s">
        <v>451</v>
      </c>
      <c r="AI47" s="44">
        <v>0.08</v>
      </c>
      <c r="AJ47" s="42" t="s">
        <v>198</v>
      </c>
      <c r="AK47" s="51">
        <v>0.71699999999999997</v>
      </c>
      <c r="AL47" s="51">
        <v>0.71699999999999997</v>
      </c>
      <c r="AM47" s="51">
        <f t="shared" si="5"/>
        <v>1.56428461954757E-2</v>
      </c>
      <c r="AN47" s="51">
        <v>2.5999999999999999E-3</v>
      </c>
      <c r="AO47" s="42" t="s">
        <v>198</v>
      </c>
      <c r="AP47" s="51">
        <f t="shared" si="6"/>
        <v>0.18475715380452437</v>
      </c>
      <c r="AQ47" s="42">
        <v>291</v>
      </c>
      <c r="AR47" s="42">
        <f>3.3*1000</f>
        <v>3300</v>
      </c>
      <c r="AS47" s="42">
        <v>259</v>
      </c>
      <c r="AT47" s="42">
        <v>0.26</v>
      </c>
      <c r="AU47" s="42">
        <v>0.26</v>
      </c>
      <c r="AV47" s="47">
        <f>AP47/AL47*12/16</f>
        <v>0.19326062113443973</v>
      </c>
      <c r="AW47" s="55">
        <f t="shared" si="1"/>
        <v>321.5979821838348</v>
      </c>
      <c r="AX47" s="42">
        <v>10.1</v>
      </c>
      <c r="AY47" s="42" t="s">
        <v>198</v>
      </c>
      <c r="AZ47" s="42">
        <f>235/10</f>
        <v>23.5</v>
      </c>
      <c r="BA47" s="42" t="s">
        <v>198</v>
      </c>
      <c r="BB47" s="42" t="s">
        <v>198</v>
      </c>
      <c r="BC47" s="42" t="s">
        <v>198</v>
      </c>
      <c r="BD47" s="42" t="s">
        <v>198</v>
      </c>
      <c r="BE47" s="42" t="s">
        <v>1025</v>
      </c>
      <c r="BF47" s="42"/>
      <c r="BG47" s="42"/>
      <c r="BH47" s="42"/>
      <c r="BI47" s="42" t="s">
        <v>198</v>
      </c>
      <c r="BJ47" s="42">
        <v>-28.86</v>
      </c>
      <c r="BK47" s="42" t="s">
        <v>1019</v>
      </c>
      <c r="BL47" s="42" t="s">
        <v>1103</v>
      </c>
      <c r="BM47" s="42" t="s">
        <v>1125</v>
      </c>
      <c r="BN47" s="42" t="s">
        <v>1080</v>
      </c>
    </row>
    <row r="48" spans="2:66" x14ac:dyDescent="0.3">
      <c r="B48" s="42">
        <v>40</v>
      </c>
      <c r="C48" s="42">
        <v>6</v>
      </c>
      <c r="D48" s="42" t="s">
        <v>367</v>
      </c>
      <c r="E48" s="42" t="s">
        <v>1016</v>
      </c>
      <c r="F48" s="42">
        <v>8</v>
      </c>
      <c r="G48" s="42" t="s">
        <v>1002</v>
      </c>
      <c r="H48" s="42" t="s">
        <v>692</v>
      </c>
      <c r="I48" s="42"/>
      <c r="J48" s="42" t="s">
        <v>754</v>
      </c>
      <c r="K48" s="42" t="s">
        <v>694</v>
      </c>
      <c r="L48" s="42">
        <v>400</v>
      </c>
      <c r="M48" s="42">
        <f>13*60</f>
        <v>780</v>
      </c>
      <c r="N48" s="55">
        <f>(400-20)/(60*4.5)</f>
        <v>1.4074074074074074</v>
      </c>
      <c r="O48" s="42" t="s">
        <v>1005</v>
      </c>
      <c r="P48" s="44">
        <v>0.23</v>
      </c>
      <c r="Q48" s="51">
        <v>4.3999999999999997E-2</v>
      </c>
      <c r="R48" s="44">
        <v>0.73</v>
      </c>
      <c r="S48" s="46">
        <f>1.2%*1.72</f>
        <v>2.0639999999999999E-2</v>
      </c>
      <c r="T48" s="42" t="s">
        <v>198</v>
      </c>
      <c r="U48" s="44">
        <v>0.7</v>
      </c>
      <c r="V48" s="55">
        <v>6</v>
      </c>
      <c r="W48" s="42" t="s">
        <v>198</v>
      </c>
      <c r="X48" s="42" t="s">
        <v>1403</v>
      </c>
      <c r="Y48" s="42" t="s">
        <v>1404</v>
      </c>
      <c r="Z48" s="42" t="s">
        <v>696</v>
      </c>
      <c r="AA48" s="42" t="s">
        <v>454</v>
      </c>
      <c r="AB48" s="42">
        <v>20</v>
      </c>
      <c r="AC48" s="42">
        <v>3102</v>
      </c>
      <c r="AD48" s="46">
        <f>0.108/45</f>
        <v>2.3999999999999998E-3</v>
      </c>
      <c r="AE48" s="42" t="s">
        <v>1013</v>
      </c>
      <c r="AF48" s="42" t="s">
        <v>1008</v>
      </c>
      <c r="AG48" s="42" t="s">
        <v>1009</v>
      </c>
      <c r="AH48" s="42" t="s">
        <v>451</v>
      </c>
      <c r="AI48" s="42"/>
      <c r="AJ48" s="42"/>
      <c r="AK48" s="44">
        <v>0.55000000000000004</v>
      </c>
      <c r="AL48" s="42" t="s">
        <v>198</v>
      </c>
      <c r="AM48" s="42" t="s">
        <v>198</v>
      </c>
      <c r="AN48" s="51">
        <v>2.5000000000000001E-2</v>
      </c>
      <c r="AO48" s="42" t="s">
        <v>198</v>
      </c>
      <c r="AP48" s="42" t="s">
        <v>198</v>
      </c>
      <c r="AQ48" s="42" t="s">
        <v>198</v>
      </c>
      <c r="AR48" s="42" t="s">
        <v>198</v>
      </c>
      <c r="AS48" s="42" t="s">
        <v>198</v>
      </c>
      <c r="AT48" s="42" t="s">
        <v>198</v>
      </c>
      <c r="AU48" s="42" t="s">
        <v>198</v>
      </c>
      <c r="AV48" s="42" t="s">
        <v>198</v>
      </c>
      <c r="AW48" s="55">
        <f t="shared" si="1"/>
        <v>25.656073334609975</v>
      </c>
      <c r="AX48" s="42"/>
      <c r="AY48" s="42"/>
      <c r="AZ48" s="42"/>
      <c r="BA48" s="42"/>
      <c r="BB48" s="42"/>
      <c r="BC48" s="42"/>
      <c r="BD48" s="42"/>
      <c r="BE48" s="42"/>
      <c r="BF48" s="42"/>
      <c r="BG48" s="42"/>
      <c r="BH48" s="42"/>
      <c r="BI48" s="42" t="s">
        <v>198</v>
      </c>
      <c r="BJ48" s="42"/>
      <c r="BK48" s="42"/>
      <c r="BL48" s="42" t="s">
        <v>1102</v>
      </c>
      <c r="BM48" s="42" t="s">
        <v>1130</v>
      </c>
      <c r="BN48" s="42" t="s">
        <v>1079</v>
      </c>
    </row>
    <row r="49" spans="2:66" x14ac:dyDescent="0.3">
      <c r="B49" s="42">
        <v>41</v>
      </c>
      <c r="C49" s="42">
        <v>6</v>
      </c>
      <c r="D49" s="42" t="s">
        <v>367</v>
      </c>
      <c r="E49" s="42" t="s">
        <v>1017</v>
      </c>
      <c r="F49" s="42">
        <v>8</v>
      </c>
      <c r="G49" s="42" t="s">
        <v>1002</v>
      </c>
      <c r="H49" s="42" t="s">
        <v>692</v>
      </c>
      <c r="I49" s="42"/>
      <c r="J49" s="42" t="s">
        <v>754</v>
      </c>
      <c r="K49" s="42" t="s">
        <v>694</v>
      </c>
      <c r="L49" s="42">
        <v>400</v>
      </c>
      <c r="M49" s="42">
        <f>13*60</f>
        <v>780</v>
      </c>
      <c r="N49" s="55">
        <f>(400-20)/(60*4.5)</f>
        <v>1.4074074074074074</v>
      </c>
      <c r="O49" s="42" t="s">
        <v>1006</v>
      </c>
      <c r="P49" s="42" t="s">
        <v>198</v>
      </c>
      <c r="Q49" s="42" t="s">
        <v>198</v>
      </c>
      <c r="R49" s="42" t="s">
        <v>198</v>
      </c>
      <c r="S49" s="44">
        <v>0</v>
      </c>
      <c r="T49" s="42" t="s">
        <v>198</v>
      </c>
      <c r="U49" s="44">
        <v>0.7</v>
      </c>
      <c r="V49" s="42" t="s">
        <v>198</v>
      </c>
      <c r="W49" s="42" t="s">
        <v>198</v>
      </c>
      <c r="X49" s="42" t="s">
        <v>1007</v>
      </c>
      <c r="Y49" s="42" t="s">
        <v>1402</v>
      </c>
      <c r="Z49" s="42" t="s">
        <v>696</v>
      </c>
      <c r="AA49" s="42" t="s">
        <v>454</v>
      </c>
      <c r="AB49" s="42">
        <v>20</v>
      </c>
      <c r="AC49" s="42">
        <v>3102</v>
      </c>
      <c r="AD49" s="46">
        <f>0.108/45</f>
        <v>2.3999999999999998E-3</v>
      </c>
      <c r="AE49" s="42" t="s">
        <v>1013</v>
      </c>
      <c r="AF49" s="42" t="s">
        <v>1008</v>
      </c>
      <c r="AG49" s="42" t="s">
        <v>1009</v>
      </c>
      <c r="AH49" s="42" t="s">
        <v>451</v>
      </c>
      <c r="AI49" s="42"/>
      <c r="AJ49" s="42"/>
      <c r="AK49" s="44">
        <v>0.55000000000000004</v>
      </c>
      <c r="AL49" s="42" t="s">
        <v>198</v>
      </c>
      <c r="AM49" s="42" t="s">
        <v>198</v>
      </c>
      <c r="AN49" s="51">
        <v>2.5000000000000001E-2</v>
      </c>
      <c r="AO49" s="42" t="s">
        <v>198</v>
      </c>
      <c r="AP49" s="42" t="s">
        <v>198</v>
      </c>
      <c r="AQ49" s="42" t="s">
        <v>198</v>
      </c>
      <c r="AR49" s="42" t="s">
        <v>198</v>
      </c>
      <c r="AS49" s="42" t="s">
        <v>198</v>
      </c>
      <c r="AT49" s="42" t="s">
        <v>198</v>
      </c>
      <c r="AU49" s="42" t="s">
        <v>198</v>
      </c>
      <c r="AV49" s="42" t="s">
        <v>198</v>
      </c>
      <c r="AW49" s="55">
        <f t="shared" si="1"/>
        <v>25.656073334609975</v>
      </c>
      <c r="AX49" s="42"/>
      <c r="AY49" s="42"/>
      <c r="AZ49" s="42"/>
      <c r="BA49" s="42"/>
      <c r="BB49" s="42"/>
      <c r="BC49" s="42"/>
      <c r="BD49" s="42"/>
      <c r="BE49" s="42"/>
      <c r="BF49" s="42"/>
      <c r="BG49" s="42"/>
      <c r="BH49" s="42"/>
      <c r="BI49" s="42" t="s">
        <v>198</v>
      </c>
      <c r="BJ49" s="42"/>
      <c r="BK49" s="42"/>
      <c r="BL49" s="42" t="s">
        <v>1102</v>
      </c>
      <c r="BM49" s="42" t="s">
        <v>1131</v>
      </c>
      <c r="BN49" s="42" t="s">
        <v>1079</v>
      </c>
    </row>
    <row r="50" spans="2:66" x14ac:dyDescent="0.3">
      <c r="B50" s="42">
        <v>42</v>
      </c>
      <c r="C50" s="42">
        <v>8</v>
      </c>
      <c r="D50" s="42" t="s">
        <v>369</v>
      </c>
      <c r="E50" s="42" t="s">
        <v>1191</v>
      </c>
      <c r="F50" s="42">
        <v>3</v>
      </c>
      <c r="G50" s="42" t="s">
        <v>1028</v>
      </c>
      <c r="H50" s="42" t="s">
        <v>693</v>
      </c>
      <c r="I50" s="42"/>
      <c r="J50" s="42" t="s">
        <v>1239</v>
      </c>
      <c r="K50" s="42" t="s">
        <v>694</v>
      </c>
      <c r="L50" s="42">
        <v>350</v>
      </c>
      <c r="M50" s="42">
        <v>0</v>
      </c>
      <c r="N50" s="55">
        <v>36</v>
      </c>
      <c r="O50" s="42" t="s">
        <v>1428</v>
      </c>
      <c r="P50" s="49">
        <v>0.22800000000000001</v>
      </c>
      <c r="Q50" s="49">
        <v>8.5000000000000006E-2</v>
      </c>
      <c r="R50" s="45">
        <v>0.68700000000000006</v>
      </c>
      <c r="S50" s="45">
        <f>42.7/1000*1.72</f>
        <v>7.3443999999999995E-2</v>
      </c>
      <c r="T50" s="42" t="s">
        <v>198</v>
      </c>
      <c r="U50" s="44">
        <v>0.7</v>
      </c>
      <c r="V50" s="42">
        <v>5.7</v>
      </c>
      <c r="W50" s="42" t="s">
        <v>198</v>
      </c>
      <c r="X50" s="42" t="s">
        <v>1405</v>
      </c>
      <c r="Y50" s="42" t="s">
        <v>1407</v>
      </c>
      <c r="Z50" s="42" t="s">
        <v>696</v>
      </c>
      <c r="AA50" s="42" t="s">
        <v>454</v>
      </c>
      <c r="AB50" s="42">
        <v>18.600000000000001</v>
      </c>
      <c r="AC50" s="42">
        <v>510</v>
      </c>
      <c r="AD50" s="46">
        <v>8.8188976377952758E-3</v>
      </c>
      <c r="AE50" s="42" t="s">
        <v>1430</v>
      </c>
      <c r="AF50" s="42" t="s">
        <v>661</v>
      </c>
      <c r="AG50" s="42"/>
      <c r="AH50" s="42" t="s">
        <v>451</v>
      </c>
      <c r="AI50" s="45">
        <v>9.8000000000000004E-2</v>
      </c>
      <c r="AJ50" s="42" t="s">
        <v>198</v>
      </c>
      <c r="AK50" s="51">
        <v>0.63500000000000001</v>
      </c>
      <c r="AL50" s="42"/>
      <c r="AM50" s="51">
        <v>3.7699999999999997E-2</v>
      </c>
      <c r="AN50" s="51">
        <v>7.1000000000000004E-3</v>
      </c>
      <c r="AO50" s="51">
        <v>4.4000000000000003E-3</v>
      </c>
      <c r="AP50" s="51">
        <v>0.2162</v>
      </c>
      <c r="AQ50" s="42" t="s">
        <v>198</v>
      </c>
      <c r="AR50" s="42" t="s">
        <v>198</v>
      </c>
      <c r="AS50" s="42" t="s">
        <v>198</v>
      </c>
      <c r="AT50" s="53">
        <v>0.68</v>
      </c>
      <c r="AU50" s="47">
        <f>AM50/AK50*12.0107/1.00784</f>
        <v>0.70752917598468934</v>
      </c>
      <c r="AV50" s="53">
        <v>0.26</v>
      </c>
      <c r="AW50" s="55">
        <f t="shared" si="1"/>
        <v>104.2996579223901</v>
      </c>
      <c r="AX50" s="42" t="s">
        <v>198</v>
      </c>
      <c r="AY50" s="42" t="s">
        <v>198</v>
      </c>
      <c r="AZ50" s="42" t="s">
        <v>198</v>
      </c>
      <c r="BA50" s="42" t="s">
        <v>198</v>
      </c>
      <c r="BB50" s="42" t="s">
        <v>198</v>
      </c>
      <c r="BC50" s="51">
        <v>0.57199999999999995</v>
      </c>
      <c r="BD50" s="51">
        <v>0.312</v>
      </c>
      <c r="BE50" s="42" t="s">
        <v>198</v>
      </c>
      <c r="BF50" s="42" t="s">
        <v>198</v>
      </c>
      <c r="BG50" s="42" t="s">
        <v>198</v>
      </c>
      <c r="BH50" s="51">
        <v>0.22</v>
      </c>
      <c r="BI50" s="48">
        <v>35</v>
      </c>
      <c r="BJ50" s="42">
        <v>-13.13</v>
      </c>
      <c r="BK50" s="42">
        <v>-28.8</v>
      </c>
      <c r="BL50" s="42" t="s">
        <v>1105</v>
      </c>
      <c r="BM50" s="42" t="s">
        <v>1127</v>
      </c>
      <c r="BN50" s="42" t="s">
        <v>1082</v>
      </c>
    </row>
    <row r="51" spans="2:66" x14ac:dyDescent="0.3">
      <c r="B51" s="42">
        <v>43</v>
      </c>
      <c r="C51" s="42">
        <v>8</v>
      </c>
      <c r="D51" s="42" t="s">
        <v>369</v>
      </c>
      <c r="E51" s="42" t="s">
        <v>1192</v>
      </c>
      <c r="F51" s="42">
        <v>3</v>
      </c>
      <c r="G51" s="42" t="s">
        <v>1028</v>
      </c>
      <c r="H51" s="42" t="s">
        <v>693</v>
      </c>
      <c r="I51" s="42"/>
      <c r="J51" s="42" t="s">
        <v>1239</v>
      </c>
      <c r="K51" s="42" t="s">
        <v>694</v>
      </c>
      <c r="L51" s="42">
        <v>550</v>
      </c>
      <c r="M51" s="42">
        <v>0</v>
      </c>
      <c r="N51" s="55">
        <v>51</v>
      </c>
      <c r="O51" s="42" t="s">
        <v>1428</v>
      </c>
      <c r="P51" s="49">
        <v>0.22800000000000001</v>
      </c>
      <c r="Q51" s="49">
        <v>8.5000000000000006E-2</v>
      </c>
      <c r="R51" s="45">
        <v>0.68700000000000006</v>
      </c>
      <c r="S51" s="45">
        <f>42.7/1000*1.72</f>
        <v>7.3443999999999995E-2</v>
      </c>
      <c r="T51" s="42" t="s">
        <v>198</v>
      </c>
      <c r="U51" s="44">
        <v>0.7</v>
      </c>
      <c r="V51" s="42">
        <v>5.7</v>
      </c>
      <c r="W51" s="42" t="s">
        <v>198</v>
      </c>
      <c r="X51" s="42" t="s">
        <v>1405</v>
      </c>
      <c r="Y51" s="42" t="s">
        <v>1407</v>
      </c>
      <c r="Z51" s="42" t="s">
        <v>696</v>
      </c>
      <c r="AA51" s="42" t="s">
        <v>454</v>
      </c>
      <c r="AB51" s="42">
        <v>18.600000000000001</v>
      </c>
      <c r="AC51" s="42">
        <v>510</v>
      </c>
      <c r="AD51" s="46">
        <v>7.7994428969359337E-3</v>
      </c>
      <c r="AE51" s="42" t="s">
        <v>1430</v>
      </c>
      <c r="AF51" s="42" t="s">
        <v>661</v>
      </c>
      <c r="AG51" s="42"/>
      <c r="AH51" s="42" t="s">
        <v>451</v>
      </c>
      <c r="AI51" s="45">
        <v>0.115</v>
      </c>
      <c r="AJ51" s="42" t="s">
        <v>198</v>
      </c>
      <c r="AK51" s="51">
        <v>0.71699999999999997</v>
      </c>
      <c r="AL51" s="42"/>
      <c r="AM51" s="51">
        <v>2.92E-2</v>
      </c>
      <c r="AN51" s="51">
        <v>7.6E-3</v>
      </c>
      <c r="AO51" s="51">
        <v>1.1999999999999999E-3</v>
      </c>
      <c r="AP51" s="51">
        <v>0.13550000000000001</v>
      </c>
      <c r="AQ51" s="42" t="s">
        <v>198</v>
      </c>
      <c r="AR51" s="42" t="s">
        <v>198</v>
      </c>
      <c r="AS51" s="42" t="s">
        <v>198</v>
      </c>
      <c r="AT51" s="53">
        <v>0.47</v>
      </c>
      <c r="AU51" s="47">
        <f>AM51/AK51*12.0107/1.00784</f>
        <v>0.48533367298566132</v>
      </c>
      <c r="AV51" s="53">
        <v>0.14000000000000001</v>
      </c>
      <c r="AW51" s="55">
        <f t="shared" si="1"/>
        <v>110.02036232604874</v>
      </c>
      <c r="AX51" s="42" t="s">
        <v>198</v>
      </c>
      <c r="AY51" s="42" t="s">
        <v>198</v>
      </c>
      <c r="AZ51" s="42" t="s">
        <v>198</v>
      </c>
      <c r="BA51" s="42" t="s">
        <v>198</v>
      </c>
      <c r="BB51" s="42" t="s">
        <v>198</v>
      </c>
      <c r="BC51" s="51">
        <v>0.67400000000000004</v>
      </c>
      <c r="BD51" s="51">
        <v>0.185</v>
      </c>
      <c r="BE51" s="42" t="s">
        <v>198</v>
      </c>
      <c r="BF51" s="42" t="s">
        <v>198</v>
      </c>
      <c r="BG51" s="42" t="s">
        <v>198</v>
      </c>
      <c r="BH51" s="51">
        <v>0.14899999999999999</v>
      </c>
      <c r="BI51" s="48">
        <v>27</v>
      </c>
      <c r="BJ51" s="42">
        <v>-13.38</v>
      </c>
      <c r="BK51" s="42">
        <v>-28.8</v>
      </c>
      <c r="BL51" s="42" t="s">
        <v>1106</v>
      </c>
      <c r="BM51" s="42" t="s">
        <v>680</v>
      </c>
      <c r="BN51" s="42" t="s">
        <v>1083</v>
      </c>
    </row>
    <row r="52" spans="2:66" x14ac:dyDescent="0.3">
      <c r="B52" s="42">
        <v>44</v>
      </c>
      <c r="C52" s="42">
        <v>8</v>
      </c>
      <c r="D52" s="42" t="s">
        <v>369</v>
      </c>
      <c r="E52" s="42" t="s">
        <v>1193</v>
      </c>
      <c r="F52" s="42">
        <v>3</v>
      </c>
      <c r="G52" s="42" t="s">
        <v>1028</v>
      </c>
      <c r="H52" s="42" t="s">
        <v>693</v>
      </c>
      <c r="I52" s="42"/>
      <c r="J52" s="42" t="s">
        <v>1239</v>
      </c>
      <c r="K52" s="42" t="s">
        <v>694</v>
      </c>
      <c r="L52" s="42">
        <v>350</v>
      </c>
      <c r="M52" s="42">
        <v>0</v>
      </c>
      <c r="N52" s="55">
        <v>36</v>
      </c>
      <c r="O52" s="42" t="s">
        <v>1429</v>
      </c>
      <c r="P52" s="45">
        <v>0.16500000000000001</v>
      </c>
      <c r="Q52" s="45">
        <v>0.58399999999999996</v>
      </c>
      <c r="R52" s="45">
        <v>0.251</v>
      </c>
      <c r="S52" s="45">
        <f>102/1000*1.72</f>
        <v>0.17543999999999998</v>
      </c>
      <c r="T52" s="42" t="s">
        <v>198</v>
      </c>
      <c r="U52" s="44">
        <v>0.7</v>
      </c>
      <c r="V52" s="42">
        <v>5.8</v>
      </c>
      <c r="W52" s="42" t="s">
        <v>198</v>
      </c>
      <c r="X52" s="42" t="s">
        <v>1406</v>
      </c>
      <c r="Y52" s="42" t="s">
        <v>1408</v>
      </c>
      <c r="Z52" s="42" t="s">
        <v>696</v>
      </c>
      <c r="AA52" s="42" t="s">
        <v>454</v>
      </c>
      <c r="AB52" s="42">
        <v>18.600000000000001</v>
      </c>
      <c r="AC52" s="42">
        <v>510</v>
      </c>
      <c r="AD52" s="46">
        <v>8.7743732590529252E-3</v>
      </c>
      <c r="AE52" s="42" t="s">
        <v>1430</v>
      </c>
      <c r="AF52" s="42" t="s">
        <v>661</v>
      </c>
      <c r="AG52" s="42"/>
      <c r="AH52" s="42" t="s">
        <v>451</v>
      </c>
      <c r="AI52" s="45">
        <v>9.8000000000000004E-2</v>
      </c>
      <c r="AJ52" s="42" t="s">
        <v>198</v>
      </c>
      <c r="AK52" s="51">
        <v>0.63500000000000001</v>
      </c>
      <c r="AL52" s="42"/>
      <c r="AM52" s="51">
        <v>3.7699999999999997E-2</v>
      </c>
      <c r="AN52" s="51">
        <v>7.1000000000000004E-3</v>
      </c>
      <c r="AO52" s="51">
        <v>4.4000000000000003E-3</v>
      </c>
      <c r="AP52" s="51">
        <v>0.2162</v>
      </c>
      <c r="AQ52" s="42" t="s">
        <v>198</v>
      </c>
      <c r="AR52" s="42" t="s">
        <v>198</v>
      </c>
      <c r="AS52" s="42" t="s">
        <v>198</v>
      </c>
      <c r="AT52" s="53">
        <v>0.68</v>
      </c>
      <c r="AU52" s="47">
        <f>AM52/AK52*12.0107/1.00784</f>
        <v>0.70752917598468934</v>
      </c>
      <c r="AV52" s="53">
        <v>0.26</v>
      </c>
      <c r="AW52" s="55">
        <f t="shared" si="1"/>
        <v>104.2996579223901</v>
      </c>
      <c r="AX52" s="42" t="s">
        <v>198</v>
      </c>
      <c r="AY52" s="42" t="s">
        <v>198</v>
      </c>
      <c r="AZ52" s="42" t="s">
        <v>198</v>
      </c>
      <c r="BA52" s="42" t="s">
        <v>198</v>
      </c>
      <c r="BB52" s="42" t="s">
        <v>198</v>
      </c>
      <c r="BC52" s="51">
        <v>0.57199999999999995</v>
      </c>
      <c r="BD52" s="51">
        <v>0.312</v>
      </c>
      <c r="BE52" s="42" t="s">
        <v>198</v>
      </c>
      <c r="BF52" s="42" t="s">
        <v>198</v>
      </c>
      <c r="BG52" s="42" t="s">
        <v>198</v>
      </c>
      <c r="BH52" s="51">
        <v>0.22</v>
      </c>
      <c r="BI52" s="48">
        <v>35</v>
      </c>
      <c r="BJ52" s="42">
        <v>-13.13</v>
      </c>
      <c r="BK52" s="42">
        <v>-27.6</v>
      </c>
      <c r="BL52" s="42" t="s">
        <v>1107</v>
      </c>
      <c r="BM52" s="42" t="s">
        <v>1128</v>
      </c>
      <c r="BN52" s="42" t="s">
        <v>1084</v>
      </c>
    </row>
    <row r="53" spans="2:66" x14ac:dyDescent="0.3">
      <c r="B53" s="42">
        <v>45</v>
      </c>
      <c r="C53" s="42">
        <v>8</v>
      </c>
      <c r="D53" s="42" t="s">
        <v>369</v>
      </c>
      <c r="E53" s="42" t="s">
        <v>1194</v>
      </c>
      <c r="F53" s="42">
        <v>3</v>
      </c>
      <c r="G53" s="42" t="s">
        <v>1028</v>
      </c>
      <c r="H53" s="42" t="s">
        <v>693</v>
      </c>
      <c r="I53" s="42"/>
      <c r="J53" s="42" t="s">
        <v>1239</v>
      </c>
      <c r="K53" s="42" t="s">
        <v>694</v>
      </c>
      <c r="L53" s="42">
        <v>550</v>
      </c>
      <c r="M53" s="42">
        <v>0</v>
      </c>
      <c r="N53" s="55">
        <v>51</v>
      </c>
      <c r="O53" s="42" t="s">
        <v>1429</v>
      </c>
      <c r="P53" s="45">
        <v>0.16500000000000001</v>
      </c>
      <c r="Q53" s="45">
        <v>0.58399999999999996</v>
      </c>
      <c r="R53" s="45">
        <v>0.251</v>
      </c>
      <c r="S53" s="45">
        <f>102/1000*1.72</f>
        <v>0.17543999999999998</v>
      </c>
      <c r="T53" s="42" t="s">
        <v>198</v>
      </c>
      <c r="U53" s="44">
        <v>0.7</v>
      </c>
      <c r="V53" s="42">
        <v>5.8</v>
      </c>
      <c r="W53" s="42" t="s">
        <v>198</v>
      </c>
      <c r="X53" s="42" t="s">
        <v>1406</v>
      </c>
      <c r="Y53" s="42" t="s">
        <v>1408</v>
      </c>
      <c r="Z53" s="42" t="s">
        <v>696</v>
      </c>
      <c r="AA53" s="42" t="s">
        <v>454</v>
      </c>
      <c r="AB53" s="42">
        <v>18.600000000000001</v>
      </c>
      <c r="AC53" s="42">
        <v>510</v>
      </c>
      <c r="AD53" s="46">
        <v>9.9212598425196859E-3</v>
      </c>
      <c r="AE53" s="42" t="s">
        <v>1430</v>
      </c>
      <c r="AF53" s="42" t="s">
        <v>661</v>
      </c>
      <c r="AG53" s="42"/>
      <c r="AH53" s="42" t="s">
        <v>451</v>
      </c>
      <c r="AI53" s="45">
        <v>0.115</v>
      </c>
      <c r="AJ53" s="42" t="s">
        <v>198</v>
      </c>
      <c r="AK53" s="51">
        <v>0.71699999999999997</v>
      </c>
      <c r="AL53" s="42"/>
      <c r="AM53" s="51">
        <v>2.92E-2</v>
      </c>
      <c r="AN53" s="51">
        <v>7.6E-3</v>
      </c>
      <c r="AO53" s="51">
        <v>1.1999999999999999E-3</v>
      </c>
      <c r="AP53" s="51">
        <v>0.13550000000000001</v>
      </c>
      <c r="AQ53" s="42" t="s">
        <v>198</v>
      </c>
      <c r="AR53" s="42" t="s">
        <v>198</v>
      </c>
      <c r="AS53" s="42" t="s">
        <v>198</v>
      </c>
      <c r="AT53" s="53">
        <v>0.47</v>
      </c>
      <c r="AU53" s="47">
        <f>AM53/AK53*12.0107/1.00784</f>
        <v>0.48533367298566132</v>
      </c>
      <c r="AV53" s="53">
        <v>0.14000000000000001</v>
      </c>
      <c r="AW53" s="55">
        <f t="shared" si="1"/>
        <v>110.02036232604874</v>
      </c>
      <c r="AX53" s="42" t="s">
        <v>198</v>
      </c>
      <c r="AY53" s="42" t="s">
        <v>198</v>
      </c>
      <c r="AZ53" s="42" t="s">
        <v>198</v>
      </c>
      <c r="BA53" s="42" t="s">
        <v>198</v>
      </c>
      <c r="BB53" s="42" t="s">
        <v>198</v>
      </c>
      <c r="BC53" s="51">
        <v>0.67400000000000004</v>
      </c>
      <c r="BD53" s="51">
        <v>0.185</v>
      </c>
      <c r="BE53" s="42" t="s">
        <v>198</v>
      </c>
      <c r="BF53" s="42" t="s">
        <v>198</v>
      </c>
      <c r="BG53" s="42" t="s">
        <v>198</v>
      </c>
      <c r="BH53" s="51">
        <v>0.14899999999999999</v>
      </c>
      <c r="BI53" s="48">
        <v>27</v>
      </c>
      <c r="BJ53" s="42">
        <v>-13.38</v>
      </c>
      <c r="BK53" s="42">
        <v>-27.6</v>
      </c>
      <c r="BL53" s="42" t="s">
        <v>1108</v>
      </c>
      <c r="BM53" s="42" t="s">
        <v>1129</v>
      </c>
      <c r="BN53" s="42" t="s">
        <v>1085</v>
      </c>
    </row>
    <row r="54" spans="2:66" x14ac:dyDescent="0.3">
      <c r="B54" s="42">
        <v>46</v>
      </c>
      <c r="C54" s="42">
        <v>31</v>
      </c>
      <c r="D54" s="42" t="s">
        <v>390</v>
      </c>
      <c r="E54" s="42" t="s">
        <v>1243</v>
      </c>
      <c r="F54" s="42">
        <v>4</v>
      </c>
      <c r="G54" s="42" t="s">
        <v>1052</v>
      </c>
      <c r="H54" s="42" t="s">
        <v>693</v>
      </c>
      <c r="I54" s="42"/>
      <c r="J54" s="42" t="s">
        <v>1053</v>
      </c>
      <c r="K54" s="42" t="s">
        <v>1049</v>
      </c>
      <c r="L54" s="42">
        <v>1200</v>
      </c>
      <c r="M54" s="42"/>
      <c r="N54" s="42"/>
      <c r="O54" s="42" t="s">
        <v>1057</v>
      </c>
      <c r="P54" s="44">
        <v>0.12</v>
      </c>
      <c r="Q54" s="44">
        <v>0.54</v>
      </c>
      <c r="R54" s="44">
        <f t="shared" ref="R54:R73" si="10">1-P54-Q54</f>
        <v>0.33999999999999997</v>
      </c>
      <c r="S54" s="42"/>
      <c r="T54" s="42"/>
      <c r="U54" s="42"/>
      <c r="V54" s="42">
        <v>5.4</v>
      </c>
      <c r="W54" s="42" t="s">
        <v>198</v>
      </c>
      <c r="X54" s="42" t="s">
        <v>1075</v>
      </c>
      <c r="Y54" s="42" t="s">
        <v>1400</v>
      </c>
      <c r="Z54" s="42" t="s">
        <v>647</v>
      </c>
      <c r="AA54" s="42" t="s">
        <v>453</v>
      </c>
      <c r="AB54" s="42">
        <v>12</v>
      </c>
      <c r="AC54" s="42">
        <v>959</v>
      </c>
      <c r="AD54" s="42"/>
      <c r="AE54" s="42"/>
      <c r="AF54" s="42" t="s">
        <v>661</v>
      </c>
      <c r="AG54" s="42" t="s">
        <v>1078</v>
      </c>
      <c r="AH54" s="42"/>
      <c r="AI54" s="45">
        <v>0.39300000000000002</v>
      </c>
      <c r="AJ54" s="42" t="s">
        <v>198</v>
      </c>
      <c r="AK54" s="46">
        <v>0.56100000000000005</v>
      </c>
      <c r="AL54" s="42"/>
      <c r="AM54" s="46">
        <v>2.3E-2</v>
      </c>
      <c r="AN54" s="46">
        <v>1.3500000000000002E-2</v>
      </c>
      <c r="AO54" s="42"/>
      <c r="AP54" s="51"/>
      <c r="AQ54" s="42"/>
      <c r="AR54" s="42"/>
      <c r="AS54" s="42"/>
      <c r="AT54" s="42"/>
      <c r="AU54" s="47">
        <f t="shared" ref="AU54:AU56" si="11">AM54/AK54*12.0107/1.00784</f>
        <v>0.48858677027363923</v>
      </c>
      <c r="AV54" s="42"/>
      <c r="AW54" s="42"/>
      <c r="AX54" s="42"/>
      <c r="AY54" s="42"/>
      <c r="AZ54" s="42"/>
      <c r="BA54" s="42"/>
      <c r="BB54" s="42"/>
      <c r="BC54" s="42"/>
      <c r="BD54" s="42"/>
      <c r="BE54" s="42"/>
      <c r="BF54" s="42"/>
      <c r="BG54" s="42"/>
      <c r="BH54" s="42"/>
      <c r="BI54" s="42" t="s">
        <v>198</v>
      </c>
      <c r="BJ54" s="42">
        <v>-13.8</v>
      </c>
      <c r="BK54" s="42"/>
      <c r="BL54" s="42" t="s">
        <v>198</v>
      </c>
      <c r="BM54" s="42" t="s">
        <v>198</v>
      </c>
      <c r="BN54" s="42" t="s">
        <v>198</v>
      </c>
    </row>
    <row r="55" spans="2:66" x14ac:dyDescent="0.3">
      <c r="B55" s="42">
        <v>47</v>
      </c>
      <c r="C55" s="42">
        <v>31</v>
      </c>
      <c r="D55" s="42" t="s">
        <v>390</v>
      </c>
      <c r="E55" s="42" t="s">
        <v>1240</v>
      </c>
      <c r="F55" s="42">
        <v>4</v>
      </c>
      <c r="G55" s="42" t="s">
        <v>1052</v>
      </c>
      <c r="H55" s="42" t="s">
        <v>693</v>
      </c>
      <c r="I55" s="42"/>
      <c r="J55" s="42" t="s">
        <v>1053</v>
      </c>
      <c r="K55" s="42" t="s">
        <v>1049</v>
      </c>
      <c r="L55" s="42">
        <v>1200</v>
      </c>
      <c r="M55" s="42"/>
      <c r="N55" s="42"/>
      <c r="O55" s="42" t="s">
        <v>1057</v>
      </c>
      <c r="P55" s="44">
        <v>0.12</v>
      </c>
      <c r="Q55" s="44">
        <v>0.54</v>
      </c>
      <c r="R55" s="44">
        <f t="shared" si="10"/>
        <v>0.33999999999999997</v>
      </c>
      <c r="S55" s="42"/>
      <c r="T55" s="42"/>
      <c r="U55" s="42"/>
      <c r="V55" s="42">
        <v>5.4</v>
      </c>
      <c r="W55" s="42" t="s">
        <v>198</v>
      </c>
      <c r="X55" s="42" t="s">
        <v>1075</v>
      </c>
      <c r="Y55" s="42" t="s">
        <v>1400</v>
      </c>
      <c r="Z55" s="42" t="s">
        <v>647</v>
      </c>
      <c r="AA55" s="42" t="s">
        <v>453</v>
      </c>
      <c r="AB55" s="42">
        <v>12</v>
      </c>
      <c r="AC55" s="42">
        <v>959</v>
      </c>
      <c r="AD55" s="42"/>
      <c r="AE55" s="42"/>
      <c r="AF55" s="42" t="s">
        <v>661</v>
      </c>
      <c r="AG55" s="42" t="s">
        <v>1078</v>
      </c>
      <c r="AH55" s="42"/>
      <c r="AI55" s="45">
        <v>0.39300000000000002</v>
      </c>
      <c r="AJ55" s="42" t="s">
        <v>198</v>
      </c>
      <c r="AK55" s="46">
        <v>0.56100000000000005</v>
      </c>
      <c r="AL55" s="42"/>
      <c r="AM55" s="46">
        <v>2.3E-2</v>
      </c>
      <c r="AN55" s="46">
        <v>1.3500000000000002E-2</v>
      </c>
      <c r="AO55" s="42"/>
      <c r="AP55" s="42"/>
      <c r="AQ55" s="42"/>
      <c r="AR55" s="42"/>
      <c r="AS55" s="42"/>
      <c r="AT55" s="42"/>
      <c r="AU55" s="47">
        <f t="shared" si="11"/>
        <v>0.48858677027363923</v>
      </c>
      <c r="AV55" s="42"/>
      <c r="AW55" s="42"/>
      <c r="AX55" s="42"/>
      <c r="AY55" s="42"/>
      <c r="AZ55" s="42"/>
      <c r="BA55" s="42"/>
      <c r="BB55" s="42"/>
      <c r="BC55" s="42"/>
      <c r="BD55" s="42"/>
      <c r="BE55" s="42"/>
      <c r="BF55" s="42"/>
      <c r="BG55" s="42"/>
      <c r="BH55" s="42"/>
      <c r="BI55" s="42" t="s">
        <v>198</v>
      </c>
      <c r="BJ55" s="42">
        <v>-13.8</v>
      </c>
      <c r="BK55" s="42"/>
      <c r="BL55" s="42" t="s">
        <v>198</v>
      </c>
      <c r="BM55" s="42" t="s">
        <v>198</v>
      </c>
      <c r="BN55" s="42" t="s">
        <v>198</v>
      </c>
    </row>
    <row r="56" spans="2:66" x14ac:dyDescent="0.3">
      <c r="B56" s="42">
        <v>48</v>
      </c>
      <c r="C56" s="42">
        <v>32</v>
      </c>
      <c r="D56" s="42" t="s">
        <v>391</v>
      </c>
      <c r="E56" s="42" t="s">
        <v>1241</v>
      </c>
      <c r="F56" s="42">
        <v>4</v>
      </c>
      <c r="G56" s="42" t="s">
        <v>1052</v>
      </c>
      <c r="H56" s="42" t="s">
        <v>693</v>
      </c>
      <c r="I56" s="42"/>
      <c r="J56" s="42" t="s">
        <v>1053</v>
      </c>
      <c r="K56" s="42" t="s">
        <v>1049</v>
      </c>
      <c r="L56" s="42">
        <v>1200</v>
      </c>
      <c r="M56" s="42"/>
      <c r="N56" s="42"/>
      <c r="O56" s="42" t="s">
        <v>1058</v>
      </c>
      <c r="P56" s="44">
        <v>7.0000000000000007E-2</v>
      </c>
      <c r="Q56" s="44">
        <v>0.4</v>
      </c>
      <c r="R56" s="44">
        <f t="shared" si="10"/>
        <v>0.52999999999999992</v>
      </c>
      <c r="S56" s="42"/>
      <c r="T56" s="42"/>
      <c r="U56" s="42"/>
      <c r="V56" s="42">
        <v>5.5</v>
      </c>
      <c r="W56" s="42" t="s">
        <v>198</v>
      </c>
      <c r="X56" s="42" t="s">
        <v>1076</v>
      </c>
      <c r="Y56" s="42" t="s">
        <v>1399</v>
      </c>
      <c r="Z56" s="42" t="s">
        <v>647</v>
      </c>
      <c r="AA56" s="42" t="s">
        <v>453</v>
      </c>
      <c r="AB56" s="42">
        <v>11</v>
      </c>
      <c r="AC56" s="42">
        <v>164</v>
      </c>
      <c r="AD56" s="42"/>
      <c r="AE56" s="42"/>
      <c r="AF56" s="42" t="s">
        <v>661</v>
      </c>
      <c r="AG56" s="42" t="s">
        <v>1078</v>
      </c>
      <c r="AH56" s="42"/>
      <c r="AI56" s="45">
        <v>0.39300000000000002</v>
      </c>
      <c r="AJ56" s="42" t="s">
        <v>198</v>
      </c>
      <c r="AK56" s="46">
        <v>0.56100000000000005</v>
      </c>
      <c r="AL56" s="42"/>
      <c r="AM56" s="46">
        <v>2.3E-2</v>
      </c>
      <c r="AN56" s="46">
        <v>1.3500000000000002E-2</v>
      </c>
      <c r="AO56" s="42"/>
      <c r="AP56" s="42"/>
      <c r="AQ56" s="42"/>
      <c r="AR56" s="42"/>
      <c r="AS56" s="42"/>
      <c r="AT56" s="42"/>
      <c r="AU56" s="47">
        <f t="shared" si="11"/>
        <v>0.48858677027363923</v>
      </c>
      <c r="AV56" s="42"/>
      <c r="AW56" s="42"/>
      <c r="AX56" s="42"/>
      <c r="AY56" s="42"/>
      <c r="AZ56" s="42"/>
      <c r="BA56" s="42"/>
      <c r="BB56" s="42"/>
      <c r="BC56" s="42"/>
      <c r="BD56" s="42"/>
      <c r="BE56" s="42"/>
      <c r="BF56" s="42"/>
      <c r="BG56" s="42"/>
      <c r="BH56" s="42"/>
      <c r="BI56" s="42" t="s">
        <v>198</v>
      </c>
      <c r="BJ56" s="42">
        <v>-13.8</v>
      </c>
      <c r="BK56" s="42"/>
      <c r="BL56" s="42" t="s">
        <v>198</v>
      </c>
      <c r="BM56" s="42" t="s">
        <v>198</v>
      </c>
      <c r="BN56" s="42" t="s">
        <v>198</v>
      </c>
    </row>
    <row r="57" spans="2:66" x14ac:dyDescent="0.3">
      <c r="B57" s="42">
        <v>49</v>
      </c>
      <c r="C57" s="42">
        <v>33</v>
      </c>
      <c r="D57" s="54" t="s">
        <v>392</v>
      </c>
      <c r="E57" s="42" t="s">
        <v>1244</v>
      </c>
      <c r="F57" s="42">
        <v>3</v>
      </c>
      <c r="G57" s="42" t="s">
        <v>1374</v>
      </c>
      <c r="H57" s="42" t="s">
        <v>693</v>
      </c>
      <c r="I57" s="42"/>
      <c r="J57" s="42" t="s">
        <v>1054</v>
      </c>
      <c r="K57" s="42" t="s">
        <v>1056</v>
      </c>
      <c r="L57" s="42">
        <v>105</v>
      </c>
      <c r="M57" s="42" t="s">
        <v>198</v>
      </c>
      <c r="N57" s="42" t="s">
        <v>198</v>
      </c>
      <c r="O57" s="42" t="s">
        <v>1059</v>
      </c>
      <c r="P57" s="44">
        <v>0.06</v>
      </c>
      <c r="Q57" s="44">
        <v>0.83</v>
      </c>
      <c r="R57" s="44">
        <f t="shared" si="10"/>
        <v>0.10999999999999999</v>
      </c>
      <c r="S57" s="46">
        <f t="shared" ref="S57:S73" si="12">12/1000*1.72</f>
        <v>2.0639999999999999E-2</v>
      </c>
      <c r="T57" s="51">
        <v>0.16500000000000001</v>
      </c>
      <c r="U57" s="44">
        <v>0.6</v>
      </c>
      <c r="V57" s="42">
        <v>6.8</v>
      </c>
      <c r="W57" s="42" t="s">
        <v>198</v>
      </c>
      <c r="X57" s="42" t="s">
        <v>1077</v>
      </c>
      <c r="Y57" s="42" t="s">
        <v>1397</v>
      </c>
      <c r="Z57" s="42" t="s">
        <v>696</v>
      </c>
      <c r="AA57" s="42" t="s">
        <v>454</v>
      </c>
      <c r="AB57" s="42">
        <v>20</v>
      </c>
      <c r="AC57" s="42">
        <v>365</v>
      </c>
      <c r="AD57" s="46">
        <v>1.1999999999999999E-3</v>
      </c>
      <c r="AE57" s="42" t="s">
        <v>1373</v>
      </c>
      <c r="AF57" s="42" t="s">
        <v>661</v>
      </c>
      <c r="AG57" s="42"/>
      <c r="AH57" s="42" t="s">
        <v>451</v>
      </c>
      <c r="AI57" s="51">
        <v>1.4999999999999999E-2</v>
      </c>
      <c r="AJ57" s="42" t="s">
        <v>198</v>
      </c>
      <c r="AK57" s="46">
        <v>0.47700000000000004</v>
      </c>
      <c r="AL57" s="42" t="s">
        <v>198</v>
      </c>
      <c r="AM57" s="46">
        <v>6.5000000000000002E-2</v>
      </c>
      <c r="AN57" s="46">
        <v>4.0000000000000001E-3</v>
      </c>
      <c r="AO57" s="42" t="s">
        <v>198</v>
      </c>
      <c r="AP57" s="45">
        <v>0.56499999999999995</v>
      </c>
      <c r="AQ57" s="48">
        <f>0.4/100*1000*1000</f>
        <v>4000</v>
      </c>
      <c r="AR57" s="42">
        <f>5.5/100*1000*1000</f>
        <v>55000</v>
      </c>
      <c r="AS57" s="42" t="s">
        <v>198</v>
      </c>
      <c r="AT57" s="42"/>
      <c r="AU57" s="47">
        <f t="shared" ref="AU57:AU100" si="13">AM57/AK57*12.0107/1.00784</f>
        <v>1.6239464568433375</v>
      </c>
      <c r="AV57" s="47">
        <f t="shared" ref="AV57:AV73" si="14">AP57/AK57*12.0107/15.999</f>
        <v>0.88921248091632543</v>
      </c>
      <c r="AW57" s="42">
        <f t="shared" ref="AW57:AW88" si="15">AK57/AN57*14.0067/12.0107</f>
        <v>139.0675793251018</v>
      </c>
      <c r="AX57" s="42">
        <v>5.3</v>
      </c>
      <c r="AY57" s="42" t="s">
        <v>198</v>
      </c>
      <c r="AZ57" s="42">
        <v>15</v>
      </c>
      <c r="BA57" s="42">
        <v>1.8</v>
      </c>
      <c r="BB57" s="42" t="s">
        <v>198</v>
      </c>
      <c r="BC57" s="49">
        <v>0.17499999999999999</v>
      </c>
      <c r="BD57" s="45">
        <v>0.81100000000000005</v>
      </c>
      <c r="BE57" s="42" t="s">
        <v>861</v>
      </c>
      <c r="BF57" s="42" t="s">
        <v>198</v>
      </c>
      <c r="BG57" s="42" t="s">
        <v>198</v>
      </c>
      <c r="BH57" s="42" t="s">
        <v>198</v>
      </c>
      <c r="BI57" s="42" t="s">
        <v>198</v>
      </c>
      <c r="BJ57" s="42">
        <v>-12.82</v>
      </c>
      <c r="BK57" s="42">
        <v>-27.28</v>
      </c>
      <c r="BL57" s="42" t="s">
        <v>198</v>
      </c>
      <c r="BM57" s="42" t="s">
        <v>198</v>
      </c>
      <c r="BN57" s="42" t="s">
        <v>198</v>
      </c>
    </row>
    <row r="58" spans="2:66" x14ac:dyDescent="0.3">
      <c r="B58" s="42">
        <v>50</v>
      </c>
      <c r="C58" s="42">
        <v>33</v>
      </c>
      <c r="D58" s="54" t="s">
        <v>392</v>
      </c>
      <c r="E58" s="42" t="s">
        <v>1245</v>
      </c>
      <c r="F58" s="42">
        <v>3</v>
      </c>
      <c r="G58" s="42" t="s">
        <v>1375</v>
      </c>
      <c r="H58" s="42" t="s">
        <v>693</v>
      </c>
      <c r="I58" s="42"/>
      <c r="J58" s="42" t="s">
        <v>1380</v>
      </c>
      <c r="K58" s="42" t="s">
        <v>1050</v>
      </c>
      <c r="L58" s="42">
        <v>230</v>
      </c>
      <c r="M58" s="42">
        <f>6*60</f>
        <v>360</v>
      </c>
      <c r="N58" s="42" t="s">
        <v>198</v>
      </c>
      <c r="O58" s="42" t="s">
        <v>1060</v>
      </c>
      <c r="P58" s="44">
        <v>0.06</v>
      </c>
      <c r="Q58" s="44">
        <v>0.83</v>
      </c>
      <c r="R58" s="44">
        <f t="shared" si="10"/>
        <v>0.10999999999999999</v>
      </c>
      <c r="S58" s="46">
        <f t="shared" si="12"/>
        <v>2.0639999999999999E-2</v>
      </c>
      <c r="T58" s="51">
        <v>0.16500000000000001</v>
      </c>
      <c r="U58" s="44">
        <v>0.6</v>
      </c>
      <c r="V58" s="42">
        <v>6.8</v>
      </c>
      <c r="W58" s="42" t="s">
        <v>198</v>
      </c>
      <c r="X58" s="42" t="s">
        <v>1077</v>
      </c>
      <c r="Y58" s="42" t="s">
        <v>1397</v>
      </c>
      <c r="Z58" s="42" t="s">
        <v>696</v>
      </c>
      <c r="AA58" s="42" t="s">
        <v>454</v>
      </c>
      <c r="AB58" s="42">
        <v>20</v>
      </c>
      <c r="AC58" s="42">
        <v>365</v>
      </c>
      <c r="AD58" s="46">
        <v>1.1999999999999999E-3</v>
      </c>
      <c r="AE58" s="42" t="s">
        <v>1373</v>
      </c>
      <c r="AF58" s="42" t="s">
        <v>661</v>
      </c>
      <c r="AG58" s="42"/>
      <c r="AH58" s="42" t="s">
        <v>451</v>
      </c>
      <c r="AI58" s="51">
        <v>7.2999999999999995E-2</v>
      </c>
      <c r="AJ58" s="42" t="s">
        <v>198</v>
      </c>
      <c r="AK58" s="46">
        <v>0.59899999999999998</v>
      </c>
      <c r="AL58" s="42" t="s">
        <v>198</v>
      </c>
      <c r="AM58" s="46">
        <v>0.06</v>
      </c>
      <c r="AN58" s="46">
        <v>4.0000000000000001E-3</v>
      </c>
      <c r="AO58" s="42" t="s">
        <v>198</v>
      </c>
      <c r="AP58" s="45">
        <v>0.40700000000000003</v>
      </c>
      <c r="AQ58" s="48">
        <f>0.2/100*1000*1000</f>
        <v>2000</v>
      </c>
      <c r="AR58" s="42">
        <f>3/100*1000*1000</f>
        <v>30000</v>
      </c>
      <c r="AS58" s="42" t="s">
        <v>198</v>
      </c>
      <c r="AT58" s="42"/>
      <c r="AU58" s="47">
        <f t="shared" si="13"/>
        <v>1.1937163887211075</v>
      </c>
      <c r="AV58" s="47">
        <f t="shared" si="14"/>
        <v>0.51008560530859559</v>
      </c>
      <c r="AW58" s="42">
        <f t="shared" si="15"/>
        <v>174.63622644808382</v>
      </c>
      <c r="AX58" s="42">
        <v>4.0999999999999996</v>
      </c>
      <c r="AY58" s="42" t="s">
        <v>198</v>
      </c>
      <c r="AZ58" s="42">
        <v>30</v>
      </c>
      <c r="BA58" s="42">
        <v>3.8</v>
      </c>
      <c r="BB58" s="42" t="s">
        <v>198</v>
      </c>
      <c r="BC58" s="49">
        <v>0.313</v>
      </c>
      <c r="BD58" s="45">
        <v>0.67200000000000004</v>
      </c>
      <c r="BE58" s="42" t="s">
        <v>861</v>
      </c>
      <c r="BF58" s="42" t="s">
        <v>198</v>
      </c>
      <c r="BG58" s="42" t="s">
        <v>198</v>
      </c>
      <c r="BH58" s="42" t="s">
        <v>198</v>
      </c>
      <c r="BI58" s="42" t="s">
        <v>198</v>
      </c>
      <c r="BJ58" s="42">
        <v>-12.9</v>
      </c>
      <c r="BK58" s="42">
        <v>-27.28</v>
      </c>
      <c r="BL58" s="42" t="s">
        <v>198</v>
      </c>
      <c r="BM58" s="42" t="s">
        <v>198</v>
      </c>
      <c r="BN58" s="42" t="s">
        <v>198</v>
      </c>
    </row>
    <row r="59" spans="2:66" x14ac:dyDescent="0.3">
      <c r="B59" s="42">
        <v>51</v>
      </c>
      <c r="C59" s="42">
        <v>33</v>
      </c>
      <c r="D59" s="54" t="s">
        <v>392</v>
      </c>
      <c r="E59" s="42" t="s">
        <v>1246</v>
      </c>
      <c r="F59" s="42">
        <v>3</v>
      </c>
      <c r="G59" s="42" t="s">
        <v>1374</v>
      </c>
      <c r="H59" s="42" t="s">
        <v>693</v>
      </c>
      <c r="I59" s="42"/>
      <c r="J59" s="42" t="s">
        <v>1381</v>
      </c>
      <c r="K59" s="42" t="s">
        <v>1051</v>
      </c>
      <c r="L59" s="42">
        <v>600</v>
      </c>
      <c r="M59" s="42">
        <v>20</v>
      </c>
      <c r="N59" s="79" t="s">
        <v>198</v>
      </c>
      <c r="O59" s="42" t="s">
        <v>1061</v>
      </c>
      <c r="P59" s="44">
        <v>0.06</v>
      </c>
      <c r="Q59" s="44">
        <v>0.83</v>
      </c>
      <c r="R59" s="44">
        <f t="shared" si="10"/>
        <v>0.10999999999999999</v>
      </c>
      <c r="S59" s="46">
        <f t="shared" si="12"/>
        <v>2.0639999999999999E-2</v>
      </c>
      <c r="T59" s="51">
        <v>0.16500000000000001</v>
      </c>
      <c r="U59" s="44">
        <v>0.6</v>
      </c>
      <c r="V59" s="42">
        <v>6.8</v>
      </c>
      <c r="W59" s="42" t="s">
        <v>198</v>
      </c>
      <c r="X59" s="42" t="s">
        <v>1077</v>
      </c>
      <c r="Y59" s="42" t="s">
        <v>1397</v>
      </c>
      <c r="Z59" s="42" t="s">
        <v>696</v>
      </c>
      <c r="AA59" s="42" t="s">
        <v>454</v>
      </c>
      <c r="AB59" s="42">
        <v>20</v>
      </c>
      <c r="AC59" s="42">
        <v>365</v>
      </c>
      <c r="AD59" s="46">
        <v>1.2E-2</v>
      </c>
      <c r="AE59" s="42" t="s">
        <v>1373</v>
      </c>
      <c r="AF59" s="42" t="s">
        <v>661</v>
      </c>
      <c r="AG59" s="42"/>
      <c r="AH59" s="42" t="s">
        <v>451</v>
      </c>
      <c r="AI59" s="51">
        <v>1.4999999999999999E-2</v>
      </c>
      <c r="AJ59" s="42" t="s">
        <v>198</v>
      </c>
      <c r="AK59" s="46">
        <v>0.83200000000000007</v>
      </c>
      <c r="AL59" s="42" t="s">
        <v>198</v>
      </c>
      <c r="AM59" s="46">
        <v>2.1000000000000001E-2</v>
      </c>
      <c r="AN59" s="46">
        <v>1.3999999999999999E-2</v>
      </c>
      <c r="AO59" s="42" t="s">
        <v>198</v>
      </c>
      <c r="AP59" s="45">
        <v>8.6999999999999994E-2</v>
      </c>
      <c r="AQ59" s="48">
        <f>1.8/100*1000*1000</f>
        <v>18000.000000000004</v>
      </c>
      <c r="AR59" s="42">
        <f>20.4/100*1000*1000</f>
        <v>204000</v>
      </c>
      <c r="AS59" s="42" t="s">
        <v>198</v>
      </c>
      <c r="AT59" s="42"/>
      <c r="AU59" s="47">
        <f t="shared" si="13"/>
        <v>0.30079644338387046</v>
      </c>
      <c r="AV59" s="47">
        <f t="shared" si="14"/>
        <v>7.8500316426026617E-2</v>
      </c>
      <c r="AW59" s="42">
        <f t="shared" si="15"/>
        <v>69.304717579206169</v>
      </c>
      <c r="AX59" s="42">
        <v>9.5</v>
      </c>
      <c r="AY59" s="42" t="s">
        <v>198</v>
      </c>
      <c r="AZ59" s="42">
        <v>13</v>
      </c>
      <c r="BA59" s="42">
        <v>39.1</v>
      </c>
      <c r="BB59" s="42" t="s">
        <v>198</v>
      </c>
      <c r="BC59" s="49">
        <v>0.80300000000000005</v>
      </c>
      <c r="BD59" s="45">
        <v>0.123</v>
      </c>
      <c r="BE59" s="42" t="s">
        <v>861</v>
      </c>
      <c r="BF59" s="42" t="s">
        <v>198</v>
      </c>
      <c r="BG59" s="42" t="s">
        <v>198</v>
      </c>
      <c r="BH59" s="42" t="s">
        <v>198</v>
      </c>
      <c r="BI59" s="42" t="s">
        <v>198</v>
      </c>
      <c r="BJ59" s="42">
        <v>-12.97</v>
      </c>
      <c r="BK59" s="42">
        <v>-27.28</v>
      </c>
      <c r="BL59" s="42" t="s">
        <v>198</v>
      </c>
      <c r="BM59" s="42" t="s">
        <v>1114</v>
      </c>
      <c r="BN59" s="42" t="s">
        <v>1091</v>
      </c>
    </row>
    <row r="60" spans="2:66" x14ac:dyDescent="0.3">
      <c r="B60" s="42">
        <v>52</v>
      </c>
      <c r="C60" s="42">
        <v>33</v>
      </c>
      <c r="D60" s="54" t="s">
        <v>392</v>
      </c>
      <c r="E60" s="42" t="s">
        <v>1247</v>
      </c>
      <c r="F60" s="42">
        <v>3</v>
      </c>
      <c r="G60" s="42" t="s">
        <v>1374</v>
      </c>
      <c r="H60" s="42" t="s">
        <v>693</v>
      </c>
      <c r="I60" s="42"/>
      <c r="J60" s="42" t="s">
        <v>1382</v>
      </c>
      <c r="K60" s="42" t="s">
        <v>694</v>
      </c>
      <c r="L60" s="42">
        <v>369</v>
      </c>
      <c r="M60" s="42">
        <v>0</v>
      </c>
      <c r="N60" s="42">
        <v>2.5</v>
      </c>
      <c r="O60" s="42" t="s">
        <v>1062</v>
      </c>
      <c r="P60" s="44">
        <v>0.06</v>
      </c>
      <c r="Q60" s="44">
        <v>0.83</v>
      </c>
      <c r="R60" s="44">
        <f t="shared" si="10"/>
        <v>0.10999999999999999</v>
      </c>
      <c r="S60" s="46">
        <f t="shared" si="12"/>
        <v>2.0639999999999999E-2</v>
      </c>
      <c r="T60" s="51">
        <v>0.16500000000000001</v>
      </c>
      <c r="U60" s="44">
        <v>0.6</v>
      </c>
      <c r="V60" s="42">
        <v>6.8</v>
      </c>
      <c r="W60" s="42" t="s">
        <v>198</v>
      </c>
      <c r="X60" s="42" t="s">
        <v>1077</v>
      </c>
      <c r="Y60" s="42" t="s">
        <v>1397</v>
      </c>
      <c r="Z60" s="42" t="s">
        <v>696</v>
      </c>
      <c r="AA60" s="42" t="s">
        <v>454</v>
      </c>
      <c r="AB60" s="42">
        <v>20</v>
      </c>
      <c r="AC60" s="42">
        <v>365</v>
      </c>
      <c r="AD60" s="46">
        <v>1.2E-2</v>
      </c>
      <c r="AE60" s="42" t="s">
        <v>1373</v>
      </c>
      <c r="AF60" s="42" t="s">
        <v>661</v>
      </c>
      <c r="AG60" s="42"/>
      <c r="AH60" s="42" t="s">
        <v>451</v>
      </c>
      <c r="AI60" s="51">
        <v>2.5000000000000001E-2</v>
      </c>
      <c r="AJ60" s="42" t="s">
        <v>198</v>
      </c>
      <c r="AK60" s="46">
        <v>0.74199999999999999</v>
      </c>
      <c r="AL60" s="42" t="s">
        <v>198</v>
      </c>
      <c r="AM60" s="46">
        <v>4.5999999999999999E-2</v>
      </c>
      <c r="AN60" s="46">
        <v>6.0000000000000001E-3</v>
      </c>
      <c r="AO60" s="42" t="s">
        <v>198</v>
      </c>
      <c r="AP60" s="45">
        <v>0.23300000000000001</v>
      </c>
      <c r="AQ60" s="48">
        <f>0.8/100*1000*1000</f>
        <v>8000</v>
      </c>
      <c r="AR60" s="42">
        <f>14/100*1000*1000</f>
        <v>140000</v>
      </c>
      <c r="AS60" s="42" t="s">
        <v>198</v>
      </c>
      <c r="AT60" s="42"/>
      <c r="AU60" s="47">
        <f t="shared" si="13"/>
        <v>0.73880641003641956</v>
      </c>
      <c r="AV60" s="47">
        <f t="shared" si="14"/>
        <v>0.23573686124924589</v>
      </c>
      <c r="AW60" s="42">
        <f t="shared" si="15"/>
        <v>144.21823041121667</v>
      </c>
      <c r="AX60" s="42">
        <v>9.1999999999999993</v>
      </c>
      <c r="AY60" s="42" t="s">
        <v>198</v>
      </c>
      <c r="AZ60" s="42">
        <v>21</v>
      </c>
      <c r="BA60" s="42">
        <v>1.5</v>
      </c>
      <c r="BB60" s="42" t="s">
        <v>198</v>
      </c>
      <c r="BC60" s="45">
        <v>0.627</v>
      </c>
      <c r="BD60" s="45">
        <v>0.34799999999999998</v>
      </c>
      <c r="BE60" s="42" t="s">
        <v>861</v>
      </c>
      <c r="BF60" s="42" t="s">
        <v>198</v>
      </c>
      <c r="BG60" s="42" t="s">
        <v>198</v>
      </c>
      <c r="BH60" s="42" t="s">
        <v>198</v>
      </c>
      <c r="BI60" s="42" t="s">
        <v>198</v>
      </c>
      <c r="BJ60" s="42">
        <v>-13.2</v>
      </c>
      <c r="BK60" s="42">
        <v>-27.28</v>
      </c>
      <c r="BL60" s="42" t="s">
        <v>198</v>
      </c>
      <c r="BM60" s="42" t="s">
        <v>1115</v>
      </c>
      <c r="BN60" s="42" t="s">
        <v>1092</v>
      </c>
    </row>
    <row r="61" spans="2:66" x14ac:dyDescent="0.3">
      <c r="B61" s="42">
        <v>53</v>
      </c>
      <c r="C61" s="42">
        <v>33</v>
      </c>
      <c r="D61" s="54" t="s">
        <v>392</v>
      </c>
      <c r="E61" s="42" t="s">
        <v>1248</v>
      </c>
      <c r="F61" s="42">
        <v>3</v>
      </c>
      <c r="G61" s="42" t="s">
        <v>1374</v>
      </c>
      <c r="H61" s="42" t="s">
        <v>693</v>
      </c>
      <c r="I61" s="42"/>
      <c r="J61" s="42" t="s">
        <v>1383</v>
      </c>
      <c r="K61" s="42" t="s">
        <v>694</v>
      </c>
      <c r="L61" s="42">
        <v>416</v>
      </c>
      <c r="M61" s="42">
        <v>0</v>
      </c>
      <c r="N61" s="42">
        <v>2.5</v>
      </c>
      <c r="O61" s="42" t="s">
        <v>1063</v>
      </c>
      <c r="P61" s="44">
        <v>0.06</v>
      </c>
      <c r="Q61" s="44">
        <v>0.83</v>
      </c>
      <c r="R61" s="44">
        <f t="shared" si="10"/>
        <v>0.10999999999999999</v>
      </c>
      <c r="S61" s="46">
        <f t="shared" si="12"/>
        <v>2.0639999999999999E-2</v>
      </c>
      <c r="T61" s="51">
        <v>0.16500000000000001</v>
      </c>
      <c r="U61" s="44">
        <v>0.6</v>
      </c>
      <c r="V61" s="42">
        <v>6.8</v>
      </c>
      <c r="W61" s="42" t="s">
        <v>198</v>
      </c>
      <c r="X61" s="42" t="s">
        <v>1077</v>
      </c>
      <c r="Y61" s="42" t="s">
        <v>1397</v>
      </c>
      <c r="Z61" s="42" t="s">
        <v>696</v>
      </c>
      <c r="AA61" s="42" t="s">
        <v>454</v>
      </c>
      <c r="AB61" s="42">
        <v>20</v>
      </c>
      <c r="AC61" s="42">
        <v>365</v>
      </c>
      <c r="AD61" s="46">
        <v>1.2E-2</v>
      </c>
      <c r="AE61" s="42" t="s">
        <v>1373</v>
      </c>
      <c r="AF61" s="42" t="s">
        <v>661</v>
      </c>
      <c r="AG61" s="42"/>
      <c r="AH61" s="42" t="s">
        <v>451</v>
      </c>
      <c r="AI61" s="51">
        <v>3.2000000000000001E-2</v>
      </c>
      <c r="AJ61" s="42" t="s">
        <v>198</v>
      </c>
      <c r="AK61" s="46">
        <v>0.78799999999999992</v>
      </c>
      <c r="AL61" s="42" t="s">
        <v>198</v>
      </c>
      <c r="AM61" s="46">
        <v>3.9E-2</v>
      </c>
      <c r="AN61" s="46">
        <v>5.0000000000000001E-3</v>
      </c>
      <c r="AO61" s="42" t="s">
        <v>198</v>
      </c>
      <c r="AP61" s="45">
        <v>0.17600000000000002</v>
      </c>
      <c r="AQ61" s="48">
        <f>0.8/100*1000*1000</f>
        <v>8000</v>
      </c>
      <c r="AR61" s="42">
        <f>13.3/100*1000*1000</f>
        <v>133000</v>
      </c>
      <c r="AS61" s="42" t="s">
        <v>198</v>
      </c>
      <c r="AT61" s="42"/>
      <c r="AU61" s="47">
        <f t="shared" si="13"/>
        <v>0.5898140557722884</v>
      </c>
      <c r="AV61" s="47">
        <f t="shared" si="14"/>
        <v>0.16767253537102414</v>
      </c>
      <c r="AW61" s="42">
        <f t="shared" si="15"/>
        <v>183.79077988793324</v>
      </c>
      <c r="AX61" s="42">
        <v>10.1</v>
      </c>
      <c r="AY61" s="42" t="s">
        <v>198</v>
      </c>
      <c r="AZ61" s="42">
        <v>16</v>
      </c>
      <c r="BA61" s="42">
        <v>3.6</v>
      </c>
      <c r="BB61" s="42" t="s">
        <v>198</v>
      </c>
      <c r="BC61" s="45">
        <v>0.70499999999999996</v>
      </c>
      <c r="BD61" s="45">
        <v>0.26400000000000001</v>
      </c>
      <c r="BE61" s="42" t="s">
        <v>861</v>
      </c>
      <c r="BF61" s="42" t="s">
        <v>198</v>
      </c>
      <c r="BG61" s="42" t="s">
        <v>198</v>
      </c>
      <c r="BH61" s="42" t="s">
        <v>198</v>
      </c>
      <c r="BI61" s="42" t="s">
        <v>198</v>
      </c>
      <c r="BJ61" s="42">
        <v>-13.37</v>
      </c>
      <c r="BK61" s="42">
        <v>-27.28</v>
      </c>
      <c r="BL61" s="42" t="s">
        <v>198</v>
      </c>
      <c r="BM61" s="42" t="s">
        <v>1116</v>
      </c>
      <c r="BN61" s="42" t="s">
        <v>1093</v>
      </c>
    </row>
    <row r="62" spans="2:66" x14ac:dyDescent="0.3">
      <c r="B62" s="42">
        <v>54</v>
      </c>
      <c r="C62" s="42">
        <v>33</v>
      </c>
      <c r="D62" s="54" t="s">
        <v>392</v>
      </c>
      <c r="E62" s="42" t="s">
        <v>1249</v>
      </c>
      <c r="F62" s="42">
        <v>3</v>
      </c>
      <c r="G62" s="42" t="s">
        <v>1374</v>
      </c>
      <c r="H62" s="42" t="s">
        <v>693</v>
      </c>
      <c r="I62" s="42"/>
      <c r="J62" s="42" t="s">
        <v>1384</v>
      </c>
      <c r="K62" s="42" t="s">
        <v>694</v>
      </c>
      <c r="L62" s="42">
        <v>562</v>
      </c>
      <c r="M62" s="42">
        <v>0</v>
      </c>
      <c r="N62" s="42">
        <v>2.5</v>
      </c>
      <c r="O62" s="42" t="s">
        <v>1064</v>
      </c>
      <c r="P62" s="44">
        <v>0.06</v>
      </c>
      <c r="Q62" s="44">
        <v>0.83</v>
      </c>
      <c r="R62" s="44">
        <f t="shared" si="10"/>
        <v>0.10999999999999999</v>
      </c>
      <c r="S62" s="46">
        <f t="shared" si="12"/>
        <v>2.0639999999999999E-2</v>
      </c>
      <c r="T62" s="51">
        <v>0.16500000000000001</v>
      </c>
      <c r="U62" s="44">
        <v>0.6</v>
      </c>
      <c r="V62" s="42">
        <v>6.8</v>
      </c>
      <c r="W62" s="42" t="s">
        <v>198</v>
      </c>
      <c r="X62" s="42" t="s">
        <v>1077</v>
      </c>
      <c r="Y62" s="42" t="s">
        <v>1397</v>
      </c>
      <c r="Z62" s="42" t="s">
        <v>696</v>
      </c>
      <c r="AA62" s="42" t="s">
        <v>454</v>
      </c>
      <c r="AB62" s="42">
        <v>20</v>
      </c>
      <c r="AC62" s="42">
        <v>365</v>
      </c>
      <c r="AD62" s="46">
        <v>1.2E-2</v>
      </c>
      <c r="AE62" s="42" t="s">
        <v>1373</v>
      </c>
      <c r="AF62" s="42" t="s">
        <v>661</v>
      </c>
      <c r="AG62" s="42"/>
      <c r="AH62" s="42" t="s">
        <v>451</v>
      </c>
      <c r="AI62" s="51">
        <v>3.4000000000000002E-2</v>
      </c>
      <c r="AJ62" s="42" t="s">
        <v>198</v>
      </c>
      <c r="AK62" s="46">
        <v>0.86799999999999999</v>
      </c>
      <c r="AL62" s="42" t="s">
        <v>198</v>
      </c>
      <c r="AM62" s="46">
        <v>2.7000000000000003E-2</v>
      </c>
      <c r="AN62" s="46">
        <v>8.0000000000000002E-3</v>
      </c>
      <c r="AO62" s="42" t="s">
        <v>198</v>
      </c>
      <c r="AP62" s="45">
        <v>9.0999999999999998E-2</v>
      </c>
      <c r="AQ62" s="48">
        <f>1.1/100*1000*1000</f>
        <v>11000.000000000002</v>
      </c>
      <c r="AR62" s="42">
        <f>16.9/100*1000*1000</f>
        <v>168999.99999999997</v>
      </c>
      <c r="AS62" s="42" t="s">
        <v>198</v>
      </c>
      <c r="AT62" s="42"/>
      <c r="AU62" s="47">
        <f t="shared" si="13"/>
        <v>0.37069844767255133</v>
      </c>
      <c r="AV62" s="47">
        <f t="shared" si="14"/>
        <v>7.8704062149045614E-2</v>
      </c>
      <c r="AW62" s="42">
        <f t="shared" si="15"/>
        <v>126.53108894569009</v>
      </c>
      <c r="AX62" s="42">
        <v>9.4</v>
      </c>
      <c r="AY62" s="42" t="s">
        <v>198</v>
      </c>
      <c r="AZ62" s="42">
        <v>13</v>
      </c>
      <c r="BA62" s="42">
        <v>44.9</v>
      </c>
      <c r="BB62" s="42" t="s">
        <v>198</v>
      </c>
      <c r="BC62" s="45">
        <v>0.83899999999999997</v>
      </c>
      <c r="BD62" s="45">
        <v>0.127</v>
      </c>
      <c r="BE62" s="42" t="s">
        <v>861</v>
      </c>
      <c r="BF62" s="42" t="s">
        <v>198</v>
      </c>
      <c r="BG62" s="42" t="s">
        <v>198</v>
      </c>
      <c r="BH62" s="42" t="s">
        <v>198</v>
      </c>
      <c r="BI62" s="42" t="s">
        <v>198</v>
      </c>
      <c r="BJ62" s="42">
        <v>-13.35</v>
      </c>
      <c r="BK62" s="42">
        <v>-27.28</v>
      </c>
      <c r="BL62" s="42" t="s">
        <v>198</v>
      </c>
      <c r="BM62" s="42" t="s">
        <v>1117</v>
      </c>
      <c r="BN62" s="42" t="s">
        <v>1094</v>
      </c>
    </row>
    <row r="63" spans="2:66" x14ac:dyDescent="0.3">
      <c r="B63" s="42">
        <v>55</v>
      </c>
      <c r="C63" s="42">
        <v>33</v>
      </c>
      <c r="D63" s="54" t="s">
        <v>392</v>
      </c>
      <c r="E63" s="42" t="s">
        <v>1250</v>
      </c>
      <c r="F63" s="42">
        <v>3</v>
      </c>
      <c r="G63" s="42" t="s">
        <v>1374</v>
      </c>
      <c r="H63" s="42" t="s">
        <v>693</v>
      </c>
      <c r="I63" s="42"/>
      <c r="J63" s="42" t="s">
        <v>1385</v>
      </c>
      <c r="K63" s="42" t="s">
        <v>694</v>
      </c>
      <c r="L63" s="42">
        <v>796</v>
      </c>
      <c r="M63" s="42">
        <v>0</v>
      </c>
      <c r="N63" s="42">
        <v>2.5</v>
      </c>
      <c r="O63" s="42" t="s">
        <v>1065</v>
      </c>
      <c r="P63" s="44">
        <v>0.06</v>
      </c>
      <c r="Q63" s="44">
        <v>0.83</v>
      </c>
      <c r="R63" s="44">
        <f t="shared" si="10"/>
        <v>0.10999999999999999</v>
      </c>
      <c r="S63" s="46">
        <f t="shared" si="12"/>
        <v>2.0639999999999999E-2</v>
      </c>
      <c r="T63" s="51">
        <v>0.16500000000000001</v>
      </c>
      <c r="U63" s="44">
        <v>0.6</v>
      </c>
      <c r="V63" s="42">
        <v>6.8</v>
      </c>
      <c r="W63" s="42" t="s">
        <v>198</v>
      </c>
      <c r="X63" s="42" t="s">
        <v>1077</v>
      </c>
      <c r="Y63" s="42" t="s">
        <v>1397</v>
      </c>
      <c r="Z63" s="42" t="s">
        <v>696</v>
      </c>
      <c r="AA63" s="42" t="s">
        <v>454</v>
      </c>
      <c r="AB63" s="42">
        <v>20</v>
      </c>
      <c r="AC63" s="42">
        <v>365</v>
      </c>
      <c r="AD63" s="46">
        <v>1.2E-2</v>
      </c>
      <c r="AE63" s="42" t="s">
        <v>1373</v>
      </c>
      <c r="AF63" s="42" t="s">
        <v>661</v>
      </c>
      <c r="AG63" s="42"/>
      <c r="AH63" s="42" t="s">
        <v>451</v>
      </c>
      <c r="AI63" s="51">
        <v>4.4999999999999998E-2</v>
      </c>
      <c r="AJ63" s="42" t="s">
        <v>198</v>
      </c>
      <c r="AK63" s="46">
        <v>0.91500000000000004</v>
      </c>
      <c r="AL63" s="42" t="s">
        <v>198</v>
      </c>
      <c r="AM63" s="46">
        <v>0.01</v>
      </c>
      <c r="AN63" s="46">
        <v>0.01</v>
      </c>
      <c r="AO63" s="42" t="s">
        <v>198</v>
      </c>
      <c r="AP63" s="45">
        <v>4.5999999999999999E-2</v>
      </c>
      <c r="AQ63" s="48">
        <f>1.2/100*1000*1000</f>
        <v>12000</v>
      </c>
      <c r="AR63" s="42">
        <f>18.6/100*1000*1000</f>
        <v>186000.00000000003</v>
      </c>
      <c r="AS63" s="42" t="s">
        <v>198</v>
      </c>
      <c r="AT63" s="42"/>
      <c r="AU63" s="47">
        <f t="shared" si="13"/>
        <v>0.1302433728313194</v>
      </c>
      <c r="AV63" s="47">
        <f t="shared" si="14"/>
        <v>3.7740897057432207E-2</v>
      </c>
      <c r="AW63" s="42">
        <f t="shared" si="15"/>
        <v>106.70594136894601</v>
      </c>
      <c r="AX63" s="42">
        <v>9.4</v>
      </c>
      <c r="AY63" s="42" t="s">
        <v>198</v>
      </c>
      <c r="AZ63" s="42">
        <v>5</v>
      </c>
      <c r="BA63" s="42">
        <v>27.4</v>
      </c>
      <c r="BB63" s="42" t="s">
        <v>198</v>
      </c>
      <c r="BC63" s="45">
        <v>0.88700000000000001</v>
      </c>
      <c r="BD63" s="45">
        <v>6.9000000000000006E-2</v>
      </c>
      <c r="BE63" s="42" t="s">
        <v>861</v>
      </c>
      <c r="BF63" s="42" t="s">
        <v>198</v>
      </c>
      <c r="BG63" s="42" t="s">
        <v>198</v>
      </c>
      <c r="BH63" s="42" t="s">
        <v>198</v>
      </c>
      <c r="BI63" s="42" t="s">
        <v>198</v>
      </c>
      <c r="BJ63" s="42">
        <v>-13.45</v>
      </c>
      <c r="BK63" s="42">
        <v>-27.28</v>
      </c>
      <c r="BL63" s="42" t="s">
        <v>198</v>
      </c>
      <c r="BM63" s="42" t="s">
        <v>1118</v>
      </c>
      <c r="BN63" s="42" t="s">
        <v>1095</v>
      </c>
    </row>
    <row r="64" spans="2:66" x14ac:dyDescent="0.3">
      <c r="B64" s="42">
        <v>56</v>
      </c>
      <c r="C64" s="42">
        <v>33</v>
      </c>
      <c r="D64" s="54" t="s">
        <v>392</v>
      </c>
      <c r="E64" s="42" t="s">
        <v>1251</v>
      </c>
      <c r="F64" s="42">
        <v>3</v>
      </c>
      <c r="G64" s="42" t="s">
        <v>1376</v>
      </c>
      <c r="H64" s="42" t="s">
        <v>692</v>
      </c>
      <c r="I64" s="42"/>
      <c r="J64" s="42" t="s">
        <v>1054</v>
      </c>
      <c r="K64" s="42" t="s">
        <v>1056</v>
      </c>
      <c r="L64" s="42">
        <v>105</v>
      </c>
      <c r="M64" s="42" t="s">
        <v>198</v>
      </c>
      <c r="N64" s="42" t="s">
        <v>198</v>
      </c>
      <c r="O64" s="42" t="s">
        <v>1066</v>
      </c>
      <c r="P64" s="44">
        <v>0.06</v>
      </c>
      <c r="Q64" s="44">
        <v>0.83</v>
      </c>
      <c r="R64" s="44">
        <f t="shared" si="10"/>
        <v>0.10999999999999999</v>
      </c>
      <c r="S64" s="46">
        <f t="shared" si="12"/>
        <v>2.0639999999999999E-2</v>
      </c>
      <c r="T64" s="51">
        <v>0.16500000000000001</v>
      </c>
      <c r="U64" s="44">
        <v>0.6</v>
      </c>
      <c r="V64" s="42">
        <v>6.8</v>
      </c>
      <c r="W64" s="42" t="s">
        <v>198</v>
      </c>
      <c r="X64" s="42" t="s">
        <v>1077</v>
      </c>
      <c r="Y64" s="42" t="s">
        <v>1397</v>
      </c>
      <c r="Z64" s="42" t="s">
        <v>696</v>
      </c>
      <c r="AA64" s="42" t="s">
        <v>454</v>
      </c>
      <c r="AB64" s="42">
        <v>20</v>
      </c>
      <c r="AC64" s="42">
        <v>365</v>
      </c>
      <c r="AD64" s="46">
        <v>1.1999999999999999E-3</v>
      </c>
      <c r="AE64" s="42" t="s">
        <v>1373</v>
      </c>
      <c r="AF64" s="42" t="s">
        <v>661</v>
      </c>
      <c r="AG64" s="30"/>
      <c r="AH64" s="42" t="s">
        <v>451</v>
      </c>
      <c r="AI64" s="51">
        <v>8.5000000000000006E-2</v>
      </c>
      <c r="AJ64" s="42" t="s">
        <v>198</v>
      </c>
      <c r="AK64" s="46">
        <v>0.47899999999999998</v>
      </c>
      <c r="AL64" s="42" t="s">
        <v>198</v>
      </c>
      <c r="AM64" s="46">
        <v>6.0999999999999999E-2</v>
      </c>
      <c r="AN64" s="46">
        <v>2E-3</v>
      </c>
      <c r="AO64" s="42" t="s">
        <v>198</v>
      </c>
      <c r="AP64" s="45">
        <v>0.51800000000000002</v>
      </c>
      <c r="AQ64" s="48">
        <f>0.3/100*1000*1000</f>
        <v>3000</v>
      </c>
      <c r="AR64" s="42">
        <f>3.2/100*1000*1000</f>
        <v>32000</v>
      </c>
      <c r="AS64" s="42" t="s">
        <v>198</v>
      </c>
      <c r="AT64" s="42"/>
      <c r="AU64" s="47">
        <f t="shared" si="13"/>
        <v>1.5176479863423991</v>
      </c>
      <c r="AV64" s="47">
        <f t="shared" si="14"/>
        <v>0.81183865745262518</v>
      </c>
      <c r="AW64" s="42">
        <f t="shared" si="15"/>
        <v>279.30134380177674</v>
      </c>
      <c r="AX64" s="42">
        <v>6.3</v>
      </c>
      <c r="AY64" s="42" t="s">
        <v>198</v>
      </c>
      <c r="AZ64" s="42">
        <v>11</v>
      </c>
      <c r="BA64" s="42">
        <v>2.1</v>
      </c>
      <c r="BB64" s="42" t="s">
        <v>198</v>
      </c>
      <c r="BC64" s="45">
        <v>0.13500000000000001</v>
      </c>
      <c r="BD64" s="45">
        <v>0.78</v>
      </c>
      <c r="BE64" s="42" t="s">
        <v>861</v>
      </c>
      <c r="BF64" s="42" t="s">
        <v>198</v>
      </c>
      <c r="BG64" s="42" t="s">
        <v>198</v>
      </c>
      <c r="BH64" s="42" t="s">
        <v>198</v>
      </c>
      <c r="BI64" s="42" t="s">
        <v>198</v>
      </c>
      <c r="BJ64" s="42">
        <v>-12.38</v>
      </c>
      <c r="BK64" s="42">
        <v>-27.28</v>
      </c>
      <c r="BL64" s="42" t="s">
        <v>198</v>
      </c>
      <c r="BM64" s="42" t="s">
        <v>198</v>
      </c>
      <c r="BN64" s="42" t="s">
        <v>198</v>
      </c>
    </row>
    <row r="65" spans="2:66" x14ac:dyDescent="0.3">
      <c r="B65" s="42">
        <v>57</v>
      </c>
      <c r="C65" s="42">
        <v>33</v>
      </c>
      <c r="D65" s="54" t="s">
        <v>392</v>
      </c>
      <c r="E65" s="42" t="s">
        <v>1252</v>
      </c>
      <c r="F65" s="42">
        <v>3</v>
      </c>
      <c r="G65" s="42" t="s">
        <v>1376</v>
      </c>
      <c r="H65" s="42" t="s">
        <v>692</v>
      </c>
      <c r="I65" s="42"/>
      <c r="J65" s="42" t="s">
        <v>1380</v>
      </c>
      <c r="K65" s="42" t="s">
        <v>1050</v>
      </c>
      <c r="L65" s="42">
        <v>230</v>
      </c>
      <c r="M65" s="42">
        <f>6*60</f>
        <v>360</v>
      </c>
      <c r="N65" s="42" t="s">
        <v>198</v>
      </c>
      <c r="O65" s="42" t="s">
        <v>1067</v>
      </c>
      <c r="P65" s="44">
        <v>0.06</v>
      </c>
      <c r="Q65" s="44">
        <v>0.83</v>
      </c>
      <c r="R65" s="44">
        <f t="shared" si="10"/>
        <v>0.10999999999999999</v>
      </c>
      <c r="S65" s="46">
        <f t="shared" si="12"/>
        <v>2.0639999999999999E-2</v>
      </c>
      <c r="T65" s="51">
        <v>0.16500000000000001</v>
      </c>
      <c r="U65" s="44">
        <v>0.6</v>
      </c>
      <c r="V65" s="42">
        <v>6.8</v>
      </c>
      <c r="W65" s="42" t="s">
        <v>198</v>
      </c>
      <c r="X65" s="42" t="s">
        <v>1077</v>
      </c>
      <c r="Y65" s="42" t="s">
        <v>1397</v>
      </c>
      <c r="Z65" s="42" t="s">
        <v>696</v>
      </c>
      <c r="AA65" s="42" t="s">
        <v>454</v>
      </c>
      <c r="AB65" s="42">
        <v>20</v>
      </c>
      <c r="AC65" s="42">
        <v>365</v>
      </c>
      <c r="AD65" s="46">
        <v>1.1999999999999999E-3</v>
      </c>
      <c r="AE65" s="42" t="s">
        <v>1373</v>
      </c>
      <c r="AF65" s="42" t="s">
        <v>661</v>
      </c>
      <c r="AG65" s="30"/>
      <c r="AH65" s="42" t="s">
        <v>451</v>
      </c>
      <c r="AI65" s="51">
        <v>4.2999999999999997E-2</v>
      </c>
      <c r="AJ65" s="42" t="s">
        <v>198</v>
      </c>
      <c r="AK65" s="46">
        <v>0.622</v>
      </c>
      <c r="AL65" s="42" t="s">
        <v>198</v>
      </c>
      <c r="AM65" s="46">
        <v>5.5999999999999994E-2</v>
      </c>
      <c r="AN65" s="46">
        <v>2E-3</v>
      </c>
      <c r="AO65" s="42" t="s">
        <v>198</v>
      </c>
      <c r="AP65" s="45">
        <v>0.35399999999999998</v>
      </c>
      <c r="AQ65" s="48">
        <f>0.2/100*1000*1000</f>
        <v>2000</v>
      </c>
      <c r="AR65" s="42">
        <f>1.1/100*1000*1000</f>
        <v>11000.000000000002</v>
      </c>
      <c r="AS65" s="42" t="s">
        <v>198</v>
      </c>
      <c r="AT65" s="42"/>
      <c r="AU65" s="47">
        <f t="shared" si="13"/>
        <v>1.072937367182766</v>
      </c>
      <c r="AV65" s="47">
        <f t="shared" si="14"/>
        <v>0.42725618502281792</v>
      </c>
      <c r="AW65" s="42">
        <f t="shared" si="15"/>
        <v>362.68358213925916</v>
      </c>
      <c r="AX65" s="42">
        <v>3.9</v>
      </c>
      <c r="AY65" s="42" t="s">
        <v>198</v>
      </c>
      <c r="AZ65" s="42">
        <v>34</v>
      </c>
      <c r="BA65" s="42">
        <v>5.9</v>
      </c>
      <c r="BB65" s="42" t="s">
        <v>198</v>
      </c>
      <c r="BC65" s="45">
        <v>0.34300000000000003</v>
      </c>
      <c r="BD65" s="45">
        <v>0.61399999999999999</v>
      </c>
      <c r="BE65" s="42" t="s">
        <v>861</v>
      </c>
      <c r="BF65" s="42" t="s">
        <v>198</v>
      </c>
      <c r="BG65" s="42" t="s">
        <v>198</v>
      </c>
      <c r="BH65" s="42" t="s">
        <v>198</v>
      </c>
      <c r="BI65" s="42" t="s">
        <v>198</v>
      </c>
      <c r="BJ65" s="42">
        <v>-12.62</v>
      </c>
      <c r="BK65" s="42">
        <v>-27.28</v>
      </c>
      <c r="BL65" s="42" t="s">
        <v>198</v>
      </c>
      <c r="BM65" s="42" t="s">
        <v>198</v>
      </c>
      <c r="BN65" s="42" t="s">
        <v>198</v>
      </c>
    </row>
    <row r="66" spans="2:66" x14ac:dyDescent="0.3">
      <c r="B66" s="42">
        <v>58</v>
      </c>
      <c r="C66" s="42">
        <v>33</v>
      </c>
      <c r="D66" s="54" t="s">
        <v>392</v>
      </c>
      <c r="E66" s="42" t="s">
        <v>1259</v>
      </c>
      <c r="F66" s="42">
        <v>3</v>
      </c>
      <c r="G66" s="42" t="s">
        <v>1376</v>
      </c>
      <c r="H66" s="42" t="s">
        <v>692</v>
      </c>
      <c r="I66" s="42"/>
      <c r="J66" s="42" t="s">
        <v>1384</v>
      </c>
      <c r="K66" s="42" t="s">
        <v>694</v>
      </c>
      <c r="L66" s="42">
        <v>235</v>
      </c>
      <c r="M66" s="42">
        <v>0</v>
      </c>
      <c r="N66" s="42">
        <v>2.5</v>
      </c>
      <c r="O66" s="42" t="s">
        <v>1068</v>
      </c>
      <c r="P66" s="44">
        <v>0.06</v>
      </c>
      <c r="Q66" s="44">
        <v>0.83</v>
      </c>
      <c r="R66" s="44">
        <f t="shared" si="10"/>
        <v>0.10999999999999999</v>
      </c>
      <c r="S66" s="46">
        <f t="shared" si="12"/>
        <v>2.0639999999999999E-2</v>
      </c>
      <c r="T66" s="51">
        <v>0.16500000000000001</v>
      </c>
      <c r="U66" s="44">
        <v>0.6</v>
      </c>
      <c r="V66" s="42">
        <v>6.8</v>
      </c>
      <c r="W66" s="42" t="s">
        <v>198</v>
      </c>
      <c r="X66" s="42" t="s">
        <v>1077</v>
      </c>
      <c r="Y66" s="42" t="s">
        <v>1397</v>
      </c>
      <c r="Z66" s="42" t="s">
        <v>696</v>
      </c>
      <c r="AA66" s="42" t="s">
        <v>454</v>
      </c>
      <c r="AB66" s="42">
        <v>20</v>
      </c>
      <c r="AC66" s="42">
        <v>365</v>
      </c>
      <c r="AD66" s="46">
        <v>1.2E-2</v>
      </c>
      <c r="AE66" s="42" t="s">
        <v>1373</v>
      </c>
      <c r="AF66" s="42" t="s">
        <v>661</v>
      </c>
      <c r="AG66" s="30"/>
      <c r="AH66" s="42" t="s">
        <v>451</v>
      </c>
      <c r="AI66" s="44">
        <v>0.09</v>
      </c>
      <c r="AJ66" s="42" t="s">
        <v>198</v>
      </c>
      <c r="AK66" s="46">
        <v>0.46100000000000002</v>
      </c>
      <c r="AL66" s="42" t="s">
        <v>198</v>
      </c>
      <c r="AM66" s="46">
        <v>5.4000000000000006E-2</v>
      </c>
      <c r="AN66" s="46">
        <v>3.0000000000000001E-3</v>
      </c>
      <c r="AO66" s="42" t="s">
        <v>198</v>
      </c>
      <c r="AP66" s="45">
        <v>0.40100000000000002</v>
      </c>
      <c r="AQ66" s="48">
        <f>0.5/100*1000*1000</f>
        <v>5000</v>
      </c>
      <c r="AR66" s="42">
        <f>3.9/100*1000*1000</f>
        <v>39000</v>
      </c>
      <c r="AS66" s="42" t="s">
        <v>198</v>
      </c>
      <c r="AT66" s="42"/>
      <c r="AU66" s="47">
        <f t="shared" si="13"/>
        <v>1.395949035053252</v>
      </c>
      <c r="AV66" s="47">
        <f t="shared" si="14"/>
        <v>0.65300864113117696</v>
      </c>
      <c r="AW66" s="42">
        <f t="shared" si="15"/>
        <v>179.20378495841209</v>
      </c>
      <c r="AX66" s="42">
        <v>7.2</v>
      </c>
      <c r="AY66" s="42" t="s">
        <v>198</v>
      </c>
      <c r="AZ66" s="42">
        <v>11</v>
      </c>
      <c r="BA66" s="42">
        <v>2.9</v>
      </c>
      <c r="BB66" s="42" t="s">
        <v>198</v>
      </c>
      <c r="BC66" s="45">
        <v>0.186</v>
      </c>
      <c r="BD66" s="45">
        <v>0.72399999999999998</v>
      </c>
      <c r="BE66" s="42" t="s">
        <v>861</v>
      </c>
      <c r="BF66" s="42" t="s">
        <v>198</v>
      </c>
      <c r="BG66" s="42" t="s">
        <v>198</v>
      </c>
      <c r="BH66" s="42" t="s">
        <v>198</v>
      </c>
      <c r="BI66" s="42" t="s">
        <v>198</v>
      </c>
      <c r="BJ66" s="42">
        <v>-12.42</v>
      </c>
      <c r="BK66" s="42">
        <v>-27.28</v>
      </c>
      <c r="BL66" s="42" t="s">
        <v>198</v>
      </c>
      <c r="BM66" s="42" t="s">
        <v>1119</v>
      </c>
      <c r="BN66" s="42" t="s">
        <v>1096</v>
      </c>
    </row>
    <row r="67" spans="2:66" x14ac:dyDescent="0.3">
      <c r="B67" s="42">
        <v>59</v>
      </c>
      <c r="C67" s="42">
        <v>33</v>
      </c>
      <c r="D67" s="54" t="s">
        <v>392</v>
      </c>
      <c r="E67" s="42" t="s">
        <v>1258</v>
      </c>
      <c r="F67" s="42">
        <v>3</v>
      </c>
      <c r="G67" s="42" t="s">
        <v>1376</v>
      </c>
      <c r="H67" s="42" t="s">
        <v>692</v>
      </c>
      <c r="I67" s="42"/>
      <c r="J67" s="42" t="s">
        <v>1386</v>
      </c>
      <c r="K67" s="42" t="s">
        <v>694</v>
      </c>
      <c r="L67" s="42">
        <v>369</v>
      </c>
      <c r="M67" s="42">
        <v>0</v>
      </c>
      <c r="N67" s="42">
        <v>2.5</v>
      </c>
      <c r="O67" s="42" t="s">
        <v>1069</v>
      </c>
      <c r="P67" s="44">
        <v>0.06</v>
      </c>
      <c r="Q67" s="44">
        <v>0.83</v>
      </c>
      <c r="R67" s="44">
        <f t="shared" si="10"/>
        <v>0.10999999999999999</v>
      </c>
      <c r="S67" s="46">
        <f t="shared" si="12"/>
        <v>2.0639999999999999E-2</v>
      </c>
      <c r="T67" s="51">
        <v>0.16500000000000001</v>
      </c>
      <c r="U67" s="44">
        <v>0.6</v>
      </c>
      <c r="V67" s="42">
        <v>6.8</v>
      </c>
      <c r="W67" s="42" t="s">
        <v>198</v>
      </c>
      <c r="X67" s="42" t="s">
        <v>1077</v>
      </c>
      <c r="Y67" s="42" t="s">
        <v>1397</v>
      </c>
      <c r="Z67" s="42" t="s">
        <v>696</v>
      </c>
      <c r="AA67" s="42" t="s">
        <v>454</v>
      </c>
      <c r="AB67" s="42">
        <v>20</v>
      </c>
      <c r="AC67" s="42">
        <v>365</v>
      </c>
      <c r="AD67" s="46">
        <v>1.2E-2</v>
      </c>
      <c r="AE67" s="42" t="s">
        <v>1373</v>
      </c>
      <c r="AF67" s="42" t="s">
        <v>661</v>
      </c>
      <c r="AG67" s="30"/>
      <c r="AH67" s="42" t="s">
        <v>451</v>
      </c>
      <c r="AI67" s="51">
        <v>8.5999999999999993E-2</v>
      </c>
      <c r="AJ67" s="42" t="s">
        <v>198</v>
      </c>
      <c r="AK67" s="46">
        <v>0.66599999999999993</v>
      </c>
      <c r="AL67" s="42" t="s">
        <v>198</v>
      </c>
      <c r="AM67" s="46">
        <v>4.4999999999999998E-2</v>
      </c>
      <c r="AN67" s="46">
        <v>4.0000000000000001E-3</v>
      </c>
      <c r="AO67" s="42" t="s">
        <v>198</v>
      </c>
      <c r="AP67" s="45">
        <v>0.223</v>
      </c>
      <c r="AQ67" s="48">
        <f>0.9/100*1000*1000</f>
        <v>9000.0000000000018</v>
      </c>
      <c r="AR67" s="42">
        <f>7.6/100*1000*1000</f>
        <v>76000</v>
      </c>
      <c r="AS67" s="42" t="s">
        <v>198</v>
      </c>
      <c r="AT67" s="42"/>
      <c r="AU67" s="47">
        <f t="shared" si="13"/>
        <v>0.80522085230173812</v>
      </c>
      <c r="AV67" s="47">
        <f t="shared" si="14"/>
        <v>0.25136575728175209</v>
      </c>
      <c r="AW67" s="42">
        <f t="shared" si="15"/>
        <v>194.16982773693454</v>
      </c>
      <c r="AX67" s="42">
        <v>8.3000000000000007</v>
      </c>
      <c r="AY67" s="42" t="s">
        <v>198</v>
      </c>
      <c r="AZ67" s="42">
        <v>20</v>
      </c>
      <c r="BA67" s="42">
        <v>2.7</v>
      </c>
      <c r="BB67" s="42" t="s">
        <v>198</v>
      </c>
      <c r="BC67" s="45">
        <v>0.51</v>
      </c>
      <c r="BD67" s="45">
        <v>0.40400000000000003</v>
      </c>
      <c r="BE67" s="42" t="s">
        <v>861</v>
      </c>
      <c r="BF67" s="42" t="s">
        <v>198</v>
      </c>
      <c r="BG67" s="42" t="s">
        <v>198</v>
      </c>
      <c r="BH67" s="42" t="s">
        <v>198</v>
      </c>
      <c r="BI67" s="42" t="s">
        <v>198</v>
      </c>
      <c r="BJ67" s="42">
        <v>-12.7</v>
      </c>
      <c r="BK67" s="42">
        <v>-27.28</v>
      </c>
      <c r="BL67" s="42" t="s">
        <v>198</v>
      </c>
      <c r="BM67" s="42" t="s">
        <v>1120</v>
      </c>
      <c r="BN67" s="42" t="s">
        <v>1097</v>
      </c>
    </row>
    <row r="68" spans="2:66" x14ac:dyDescent="0.3">
      <c r="B68" s="42">
        <v>60</v>
      </c>
      <c r="C68" s="42">
        <v>33</v>
      </c>
      <c r="D68" s="54" t="s">
        <v>392</v>
      </c>
      <c r="E68" s="42" t="s">
        <v>1257</v>
      </c>
      <c r="F68" s="42">
        <v>3</v>
      </c>
      <c r="G68" s="42" t="s">
        <v>1376</v>
      </c>
      <c r="H68" s="42" t="s">
        <v>692</v>
      </c>
      <c r="I68" s="42"/>
      <c r="J68" s="42" t="s">
        <v>1387</v>
      </c>
      <c r="K68" s="42" t="s">
        <v>694</v>
      </c>
      <c r="L68" s="42">
        <v>385</v>
      </c>
      <c r="M68" s="42">
        <v>0</v>
      </c>
      <c r="N68" s="42">
        <v>2.5</v>
      </c>
      <c r="O68" s="42" t="s">
        <v>1070</v>
      </c>
      <c r="P68" s="44">
        <v>0.06</v>
      </c>
      <c r="Q68" s="44">
        <v>0.83</v>
      </c>
      <c r="R68" s="44">
        <f t="shared" si="10"/>
        <v>0.10999999999999999</v>
      </c>
      <c r="S68" s="46">
        <f t="shared" si="12"/>
        <v>2.0639999999999999E-2</v>
      </c>
      <c r="T68" s="51">
        <v>0.16500000000000001</v>
      </c>
      <c r="U68" s="44">
        <v>0.6</v>
      </c>
      <c r="V68" s="42">
        <v>6.8</v>
      </c>
      <c r="W68" s="42" t="s">
        <v>198</v>
      </c>
      <c r="X68" s="42" t="s">
        <v>1077</v>
      </c>
      <c r="Y68" s="42" t="s">
        <v>1397</v>
      </c>
      <c r="Z68" s="42" t="s">
        <v>696</v>
      </c>
      <c r="AA68" s="42" t="s">
        <v>454</v>
      </c>
      <c r="AB68" s="42">
        <v>20</v>
      </c>
      <c r="AC68" s="42">
        <v>365</v>
      </c>
      <c r="AD68" s="46">
        <v>1.2E-2</v>
      </c>
      <c r="AE68" s="42" t="s">
        <v>1373</v>
      </c>
      <c r="AF68" s="42" t="s">
        <v>661</v>
      </c>
      <c r="AG68" s="30"/>
      <c r="AH68" s="42" t="s">
        <v>451</v>
      </c>
      <c r="AI68" s="51">
        <v>9.4E-2</v>
      </c>
      <c r="AJ68" s="42" t="s">
        <v>198</v>
      </c>
      <c r="AK68" s="46">
        <v>0.67700000000000005</v>
      </c>
      <c r="AL68" s="42" t="s">
        <v>198</v>
      </c>
      <c r="AM68" s="46">
        <v>4.0999999999999995E-2</v>
      </c>
      <c r="AN68" s="46">
        <v>4.0000000000000001E-3</v>
      </c>
      <c r="AO68" s="42" t="s">
        <v>198</v>
      </c>
      <c r="AP68" s="45">
        <v>0.19699999999999998</v>
      </c>
      <c r="AQ68" s="48">
        <f>1.1/100*1000*1000</f>
        <v>11000.000000000002</v>
      </c>
      <c r="AR68" s="42">
        <f>8.1/100*1000*1000</f>
        <v>81000</v>
      </c>
      <c r="AS68" s="42" t="s">
        <v>198</v>
      </c>
      <c r="AT68" s="42"/>
      <c r="AU68" s="47">
        <f t="shared" si="13"/>
        <v>0.72172527795671282</v>
      </c>
      <c r="AV68" s="47">
        <f t="shared" si="14"/>
        <v>0.21845049769081756</v>
      </c>
      <c r="AW68" s="42">
        <f t="shared" si="15"/>
        <v>197.37683690376082</v>
      </c>
      <c r="AX68" s="42">
        <v>8.6999999999999993</v>
      </c>
      <c r="AY68" s="42" t="s">
        <v>198</v>
      </c>
      <c r="AZ68" s="42">
        <v>21</v>
      </c>
      <c r="BA68" s="42">
        <v>5.3</v>
      </c>
      <c r="BB68" s="42" t="s">
        <v>198</v>
      </c>
      <c r="BC68" s="45">
        <v>0.59099999999999997</v>
      </c>
      <c r="BD68" s="45">
        <v>0.315</v>
      </c>
      <c r="BE68" s="42" t="s">
        <v>861</v>
      </c>
      <c r="BF68" s="42" t="s">
        <v>198</v>
      </c>
      <c r="BG68" s="42" t="s">
        <v>198</v>
      </c>
      <c r="BH68" s="42" t="s">
        <v>198</v>
      </c>
      <c r="BI68" s="42" t="s">
        <v>198</v>
      </c>
      <c r="BJ68" s="42">
        <v>-12.87</v>
      </c>
      <c r="BK68" s="42">
        <v>-27.28</v>
      </c>
      <c r="BL68" s="42" t="s">
        <v>198</v>
      </c>
      <c r="BM68" s="42" t="s">
        <v>198</v>
      </c>
      <c r="BN68" s="42" t="s">
        <v>198</v>
      </c>
    </row>
    <row r="69" spans="2:66" x14ac:dyDescent="0.3">
      <c r="B69" s="42">
        <v>61</v>
      </c>
      <c r="C69" s="42">
        <v>33</v>
      </c>
      <c r="D69" s="54" t="s">
        <v>392</v>
      </c>
      <c r="E69" s="42" t="s">
        <v>1256</v>
      </c>
      <c r="F69" s="42">
        <v>3</v>
      </c>
      <c r="G69" s="42" t="s">
        <v>1376</v>
      </c>
      <c r="H69" s="42" t="s">
        <v>692</v>
      </c>
      <c r="I69" s="42"/>
      <c r="J69" s="42" t="s">
        <v>1388</v>
      </c>
      <c r="K69" s="42" t="s">
        <v>694</v>
      </c>
      <c r="L69" s="42">
        <v>416</v>
      </c>
      <c r="M69" s="42">
        <v>0</v>
      </c>
      <c r="N69" s="42">
        <v>2.5</v>
      </c>
      <c r="O69" s="42" t="s">
        <v>1071</v>
      </c>
      <c r="P69" s="44">
        <v>0.06</v>
      </c>
      <c r="Q69" s="44">
        <v>0.83</v>
      </c>
      <c r="R69" s="44">
        <f t="shared" si="10"/>
        <v>0.10999999999999999</v>
      </c>
      <c r="S69" s="46">
        <f t="shared" si="12"/>
        <v>2.0639999999999999E-2</v>
      </c>
      <c r="T69" s="51">
        <v>0.16500000000000001</v>
      </c>
      <c r="U69" s="44">
        <v>0.6</v>
      </c>
      <c r="V69" s="42">
        <v>6.8</v>
      </c>
      <c r="W69" s="42" t="s">
        <v>198</v>
      </c>
      <c r="X69" s="42" t="s">
        <v>1077</v>
      </c>
      <c r="Y69" s="42" t="s">
        <v>1397</v>
      </c>
      <c r="Z69" s="42" t="s">
        <v>696</v>
      </c>
      <c r="AA69" s="42" t="s">
        <v>454</v>
      </c>
      <c r="AB69" s="42">
        <v>20</v>
      </c>
      <c r="AC69" s="42">
        <v>365</v>
      </c>
      <c r="AD69" s="46">
        <v>1.2E-2</v>
      </c>
      <c r="AE69" s="42" t="s">
        <v>1373</v>
      </c>
      <c r="AF69" s="42" t="s">
        <v>661</v>
      </c>
      <c r="AG69" s="30"/>
      <c r="AH69" s="42" t="s">
        <v>451</v>
      </c>
      <c r="AI69" s="51">
        <v>0.111</v>
      </c>
      <c r="AJ69" s="42" t="s">
        <v>198</v>
      </c>
      <c r="AK69" s="46">
        <v>0.73599999999999999</v>
      </c>
      <c r="AL69" s="42" t="s">
        <v>198</v>
      </c>
      <c r="AM69" s="46">
        <v>3.3000000000000002E-2</v>
      </c>
      <c r="AN69" s="46">
        <v>4.0000000000000001E-3</v>
      </c>
      <c r="AO69" s="42" t="s">
        <v>198</v>
      </c>
      <c r="AP69" s="45">
        <v>0.128</v>
      </c>
      <c r="AQ69" s="48">
        <f>1.2/100*1000*1000</f>
        <v>12000</v>
      </c>
      <c r="AR69" s="42">
        <f>10/100*1000*1000</f>
        <v>100000</v>
      </c>
      <c r="AS69" s="42" t="s">
        <v>198</v>
      </c>
      <c r="AT69" s="42"/>
      <c r="AU69" s="47">
        <f t="shared" si="13"/>
        <v>0.53433405470675133</v>
      </c>
      <c r="AV69" s="47">
        <f t="shared" si="14"/>
        <v>0.13055924690945356</v>
      </c>
      <c r="AW69" s="42">
        <f t="shared" si="15"/>
        <v>214.57806788946525</v>
      </c>
      <c r="AX69" s="42">
        <v>10.199999999999999</v>
      </c>
      <c r="AY69" s="42" t="s">
        <v>198</v>
      </c>
      <c r="AZ69" s="42">
        <v>21</v>
      </c>
      <c r="BA69" s="42">
        <v>10.1</v>
      </c>
      <c r="BB69" s="42" t="s">
        <v>198</v>
      </c>
      <c r="BC69" s="45">
        <v>0.69399999999999995</v>
      </c>
      <c r="BD69" s="45">
        <v>0.19600000000000001</v>
      </c>
      <c r="BE69" s="42" t="s">
        <v>861</v>
      </c>
      <c r="BF69" s="42" t="s">
        <v>198</v>
      </c>
      <c r="BG69" s="42" t="s">
        <v>198</v>
      </c>
      <c r="BH69" s="42" t="s">
        <v>198</v>
      </c>
      <c r="BI69" s="42" t="s">
        <v>198</v>
      </c>
      <c r="BJ69" s="42">
        <v>-13.15</v>
      </c>
      <c r="BK69" s="42">
        <v>-27.28</v>
      </c>
      <c r="BL69" s="42" t="s">
        <v>198</v>
      </c>
      <c r="BM69" s="42" t="s">
        <v>1121</v>
      </c>
      <c r="BN69" s="42" t="s">
        <v>1098</v>
      </c>
    </row>
    <row r="70" spans="2:66" x14ac:dyDescent="0.3">
      <c r="B70" s="42">
        <v>62</v>
      </c>
      <c r="C70" s="42">
        <v>33</v>
      </c>
      <c r="D70" s="54" t="s">
        <v>392</v>
      </c>
      <c r="E70" s="42" t="s">
        <v>1255</v>
      </c>
      <c r="F70" s="42">
        <v>3</v>
      </c>
      <c r="G70" s="42" t="s">
        <v>1376</v>
      </c>
      <c r="H70" s="42" t="s">
        <v>692</v>
      </c>
      <c r="I70" s="42"/>
      <c r="J70" s="42" t="s">
        <v>1389</v>
      </c>
      <c r="K70" s="42" t="s">
        <v>694</v>
      </c>
      <c r="L70" s="42">
        <v>503</v>
      </c>
      <c r="M70" s="42">
        <v>0</v>
      </c>
      <c r="N70" s="42">
        <v>2.5</v>
      </c>
      <c r="O70" s="42" t="s">
        <v>1072</v>
      </c>
      <c r="P70" s="44">
        <v>0.06</v>
      </c>
      <c r="Q70" s="44">
        <v>0.83</v>
      </c>
      <c r="R70" s="44">
        <f t="shared" si="10"/>
        <v>0.10999999999999999</v>
      </c>
      <c r="S70" s="46">
        <f t="shared" si="12"/>
        <v>2.0639999999999999E-2</v>
      </c>
      <c r="T70" s="51">
        <v>0.16500000000000001</v>
      </c>
      <c r="U70" s="44">
        <v>0.6</v>
      </c>
      <c r="V70" s="42">
        <v>6.8</v>
      </c>
      <c r="W70" s="42" t="s">
        <v>198</v>
      </c>
      <c r="X70" s="42" t="s">
        <v>1077</v>
      </c>
      <c r="Y70" s="42" t="s">
        <v>1397</v>
      </c>
      <c r="Z70" s="42" t="s">
        <v>696</v>
      </c>
      <c r="AA70" s="42" t="s">
        <v>454</v>
      </c>
      <c r="AB70" s="42">
        <v>20</v>
      </c>
      <c r="AC70" s="42">
        <v>365</v>
      </c>
      <c r="AD70" s="46">
        <v>1.2E-2</v>
      </c>
      <c r="AE70" s="42" t="s">
        <v>1373</v>
      </c>
      <c r="AF70" s="42" t="s">
        <v>661</v>
      </c>
      <c r="AG70" s="30"/>
      <c r="AH70" s="42" t="s">
        <v>451</v>
      </c>
      <c r="AI70" s="51">
        <v>0.13300000000000001</v>
      </c>
      <c r="AJ70" s="42" t="s">
        <v>198</v>
      </c>
      <c r="AK70" s="46">
        <v>0.64500000000000002</v>
      </c>
      <c r="AL70" s="42" t="s">
        <v>198</v>
      </c>
      <c r="AM70" s="46">
        <v>2.4E-2</v>
      </c>
      <c r="AN70" s="46">
        <v>4.0000000000000001E-3</v>
      </c>
      <c r="AO70" s="42" t="s">
        <v>198</v>
      </c>
      <c r="AP70" s="45">
        <v>9.6999999999999989E-2</v>
      </c>
      <c r="AQ70" s="48">
        <f>1.4/100*1000*1000</f>
        <v>13999.999999999998</v>
      </c>
      <c r="AR70" s="42">
        <f>8.5/100*1000*1000</f>
        <v>85000</v>
      </c>
      <c r="AS70" s="42" t="s">
        <v>198</v>
      </c>
      <c r="AT70" s="42"/>
      <c r="AU70" s="47">
        <f t="shared" si="13"/>
        <v>0.44343325075593387</v>
      </c>
      <c r="AV70" s="47">
        <f t="shared" si="14"/>
        <v>0.11289832552519027</v>
      </c>
      <c r="AW70" s="42">
        <f t="shared" si="15"/>
        <v>188.04735569117537</v>
      </c>
      <c r="AX70" s="42">
        <v>10.3</v>
      </c>
      <c r="AY70" s="42" t="s">
        <v>198</v>
      </c>
      <c r="AZ70" s="42">
        <v>18</v>
      </c>
      <c r="BA70" s="42">
        <v>40.1</v>
      </c>
      <c r="BB70" s="42" t="s">
        <v>198</v>
      </c>
      <c r="BC70" s="45">
        <v>0.70899999999999996</v>
      </c>
      <c r="BD70" s="45">
        <v>0.158</v>
      </c>
      <c r="BE70" s="42" t="s">
        <v>861</v>
      </c>
      <c r="BF70" s="42" t="s">
        <v>198</v>
      </c>
      <c r="BG70" s="42" t="s">
        <v>198</v>
      </c>
      <c r="BH70" s="42" t="s">
        <v>198</v>
      </c>
      <c r="BI70" s="42" t="s">
        <v>198</v>
      </c>
      <c r="BJ70" s="42">
        <v>-13.14</v>
      </c>
      <c r="BK70" s="42">
        <v>-27.28</v>
      </c>
      <c r="BL70" s="42" t="s">
        <v>198</v>
      </c>
      <c r="BM70" s="42" t="s">
        <v>1122</v>
      </c>
      <c r="BN70" s="42" t="s">
        <v>1099</v>
      </c>
    </row>
    <row r="71" spans="2:66" x14ac:dyDescent="0.3">
      <c r="B71" s="42">
        <v>63</v>
      </c>
      <c r="C71" s="42">
        <v>33</v>
      </c>
      <c r="D71" s="54" t="s">
        <v>392</v>
      </c>
      <c r="E71" s="42" t="s">
        <v>1254</v>
      </c>
      <c r="F71" s="42">
        <v>3</v>
      </c>
      <c r="G71" s="42" t="s">
        <v>1376</v>
      </c>
      <c r="H71" s="42" t="s">
        <v>692</v>
      </c>
      <c r="I71" s="42"/>
      <c r="J71" s="42" t="s">
        <v>1390</v>
      </c>
      <c r="K71" s="42" t="s">
        <v>694</v>
      </c>
      <c r="L71" s="42">
        <v>600</v>
      </c>
      <c r="M71" s="42">
        <v>0</v>
      </c>
      <c r="N71" s="42">
        <v>2.5</v>
      </c>
      <c r="O71" s="42" t="s">
        <v>1073</v>
      </c>
      <c r="P71" s="44">
        <v>0.06</v>
      </c>
      <c r="Q71" s="44">
        <v>0.83</v>
      </c>
      <c r="R71" s="44">
        <f t="shared" si="10"/>
        <v>0.10999999999999999</v>
      </c>
      <c r="S71" s="46">
        <f t="shared" si="12"/>
        <v>2.0639999999999999E-2</v>
      </c>
      <c r="T71" s="51">
        <v>0.16500000000000001</v>
      </c>
      <c r="U71" s="44">
        <v>0.6</v>
      </c>
      <c r="V71" s="42">
        <v>6.8</v>
      </c>
      <c r="W71" s="42" t="s">
        <v>198</v>
      </c>
      <c r="X71" s="42" t="s">
        <v>1077</v>
      </c>
      <c r="Y71" s="42" t="s">
        <v>1397</v>
      </c>
      <c r="Z71" s="42" t="s">
        <v>696</v>
      </c>
      <c r="AA71" s="42" t="s">
        <v>454</v>
      </c>
      <c r="AB71" s="42">
        <v>20</v>
      </c>
      <c r="AC71" s="42">
        <v>365</v>
      </c>
      <c r="AD71" s="46">
        <v>1.2E-2</v>
      </c>
      <c r="AE71" s="42" t="s">
        <v>1373</v>
      </c>
      <c r="AF71" s="42" t="s">
        <v>661</v>
      </c>
      <c r="AG71" s="30"/>
      <c r="AH71" s="42" t="s">
        <v>451</v>
      </c>
      <c r="AI71" s="51">
        <v>0.13600000000000001</v>
      </c>
      <c r="AJ71" s="42" t="s">
        <v>198</v>
      </c>
      <c r="AK71" s="46">
        <v>0.71900000000000008</v>
      </c>
      <c r="AL71" s="42" t="s">
        <v>198</v>
      </c>
      <c r="AM71" s="46">
        <v>0.02</v>
      </c>
      <c r="AN71" s="46">
        <v>5.0000000000000001E-3</v>
      </c>
      <c r="AO71" s="42" t="s">
        <v>198</v>
      </c>
      <c r="AP71" s="45">
        <v>5.5E-2</v>
      </c>
      <c r="AQ71" s="48">
        <f>1.4/100*1000*1000</f>
        <v>13999.999999999998</v>
      </c>
      <c r="AR71" s="42">
        <f>9.6/100*1000*1000</f>
        <v>96000</v>
      </c>
      <c r="AS71" s="42" t="s">
        <v>198</v>
      </c>
      <c r="AT71" s="42"/>
      <c r="AU71" s="47">
        <f t="shared" si="13"/>
        <v>0.33149564990447072</v>
      </c>
      <c r="AV71" s="47">
        <f t="shared" si="14"/>
        <v>5.742609434647384E-2</v>
      </c>
      <c r="AW71" s="42">
        <f t="shared" si="15"/>
        <v>167.69742479622337</v>
      </c>
      <c r="AX71" s="42">
        <v>10</v>
      </c>
      <c r="AY71" s="42" t="s">
        <v>198</v>
      </c>
      <c r="AZ71" s="42">
        <v>14</v>
      </c>
      <c r="BA71" s="42">
        <v>183.3</v>
      </c>
      <c r="BB71" s="42" t="s">
        <v>198</v>
      </c>
      <c r="BC71" s="45">
        <v>0.76</v>
      </c>
      <c r="BD71" s="45">
        <v>0.105</v>
      </c>
      <c r="BE71" s="42" t="s">
        <v>861</v>
      </c>
      <c r="BF71" s="42" t="s">
        <v>198</v>
      </c>
      <c r="BG71" s="42" t="s">
        <v>198</v>
      </c>
      <c r="BH71" s="42" t="s">
        <v>198</v>
      </c>
      <c r="BI71" s="42" t="s">
        <v>198</v>
      </c>
      <c r="BJ71" s="42">
        <v>-13.19</v>
      </c>
      <c r="BK71" s="42">
        <v>-27.28</v>
      </c>
      <c r="BL71" s="42" t="s">
        <v>198</v>
      </c>
      <c r="BM71" s="42" t="s">
        <v>1123</v>
      </c>
      <c r="BN71" s="42" t="s">
        <v>1100</v>
      </c>
    </row>
    <row r="72" spans="2:66" x14ac:dyDescent="0.3">
      <c r="B72" s="42">
        <v>64</v>
      </c>
      <c r="C72" s="42">
        <v>33</v>
      </c>
      <c r="D72" s="54" t="s">
        <v>392</v>
      </c>
      <c r="E72" s="42" t="s">
        <v>1253</v>
      </c>
      <c r="F72" s="42">
        <v>3</v>
      </c>
      <c r="G72" s="42" t="s">
        <v>1376</v>
      </c>
      <c r="H72" s="42" t="s">
        <v>692</v>
      </c>
      <c r="I72" s="42"/>
      <c r="J72" s="42" t="s">
        <v>1391</v>
      </c>
      <c r="K72" s="42" t="s">
        <v>694</v>
      </c>
      <c r="L72" s="42">
        <v>682</v>
      </c>
      <c r="M72" s="42">
        <v>0</v>
      </c>
      <c r="N72" s="42">
        <v>2.5</v>
      </c>
      <c r="O72" s="42" t="s">
        <v>1074</v>
      </c>
      <c r="P72" s="44">
        <v>0.06</v>
      </c>
      <c r="Q72" s="44">
        <v>0.83</v>
      </c>
      <c r="R72" s="44">
        <f t="shared" si="10"/>
        <v>0.10999999999999999</v>
      </c>
      <c r="S72" s="46">
        <f t="shared" si="12"/>
        <v>2.0639999999999999E-2</v>
      </c>
      <c r="T72" s="51">
        <v>0.16500000000000001</v>
      </c>
      <c r="U72" s="44">
        <v>0.6</v>
      </c>
      <c r="V72" s="42">
        <v>6.8</v>
      </c>
      <c r="W72" s="42" t="s">
        <v>198</v>
      </c>
      <c r="X72" s="42" t="s">
        <v>1077</v>
      </c>
      <c r="Y72" s="42" t="s">
        <v>1397</v>
      </c>
      <c r="Z72" s="42" t="s">
        <v>696</v>
      </c>
      <c r="AA72" s="42" t="s">
        <v>454</v>
      </c>
      <c r="AB72" s="42">
        <v>20</v>
      </c>
      <c r="AC72" s="42">
        <v>365</v>
      </c>
      <c r="AD72" s="46">
        <v>1.2E-2</v>
      </c>
      <c r="AE72" s="42" t="s">
        <v>1373</v>
      </c>
      <c r="AF72" s="42" t="s">
        <v>661</v>
      </c>
      <c r="AG72" s="30"/>
      <c r="AH72" s="42" t="s">
        <v>451</v>
      </c>
      <c r="AI72" s="51">
        <v>0.159</v>
      </c>
      <c r="AJ72" s="42" t="s">
        <v>198</v>
      </c>
      <c r="AK72" s="46">
        <v>0.75599999999999989</v>
      </c>
      <c r="AL72" s="42" t="s">
        <v>198</v>
      </c>
      <c r="AM72" s="46">
        <v>1.4999999999999999E-2</v>
      </c>
      <c r="AN72" s="46">
        <v>6.0000000000000001E-3</v>
      </c>
      <c r="AO72" s="42" t="s">
        <v>198</v>
      </c>
      <c r="AP72" s="45">
        <v>0.05</v>
      </c>
      <c r="AQ72" s="48">
        <f>1.3/100*1000*1000</f>
        <v>13000.000000000002</v>
      </c>
      <c r="AR72" s="42">
        <f>10.8/100*1000*1000</f>
        <v>108000.00000000001</v>
      </c>
      <c r="AS72" s="42" t="s">
        <v>198</v>
      </c>
      <c r="AT72" s="42"/>
      <c r="AU72" s="47">
        <f t="shared" si="13"/>
        <v>0.23645374234257391</v>
      </c>
      <c r="AV72" s="47">
        <f t="shared" si="14"/>
        <v>4.9650507257232683E-2</v>
      </c>
      <c r="AW72" s="42">
        <f t="shared" si="15"/>
        <v>146.93932909822072</v>
      </c>
      <c r="AX72" s="42">
        <v>10.3</v>
      </c>
      <c r="AY72" s="42" t="s">
        <v>198</v>
      </c>
      <c r="AZ72" s="42">
        <v>16</v>
      </c>
      <c r="BA72" s="42">
        <v>62</v>
      </c>
      <c r="BB72" s="42" t="s">
        <v>198</v>
      </c>
      <c r="BC72" s="45">
        <v>0.77700000000000002</v>
      </c>
      <c r="BD72" s="45">
        <v>6.4000000000000001E-2</v>
      </c>
      <c r="BE72" s="42" t="s">
        <v>861</v>
      </c>
      <c r="BF72" s="42" t="s">
        <v>198</v>
      </c>
      <c r="BG72" s="42" t="s">
        <v>198</v>
      </c>
      <c r="BH72" s="42" t="s">
        <v>198</v>
      </c>
      <c r="BI72" s="42" t="s">
        <v>198</v>
      </c>
      <c r="BJ72" s="42">
        <v>-13.21</v>
      </c>
      <c r="BK72" s="42">
        <v>-27.28</v>
      </c>
      <c r="BL72" s="42" t="s">
        <v>198</v>
      </c>
      <c r="BM72" s="42" t="s">
        <v>1124</v>
      </c>
      <c r="BN72" s="42" t="s">
        <v>1101</v>
      </c>
    </row>
    <row r="73" spans="2:66" x14ac:dyDescent="0.3">
      <c r="B73" s="42">
        <v>65</v>
      </c>
      <c r="C73" s="42">
        <v>33</v>
      </c>
      <c r="D73" s="54" t="s">
        <v>392</v>
      </c>
      <c r="E73" s="42" t="s">
        <v>1260</v>
      </c>
      <c r="F73" s="42">
        <v>3</v>
      </c>
      <c r="G73" s="42" t="s">
        <v>1376</v>
      </c>
      <c r="H73" s="42" t="s">
        <v>692</v>
      </c>
      <c r="I73" s="42"/>
      <c r="J73" s="42" t="s">
        <v>1385</v>
      </c>
      <c r="K73" s="42" t="s">
        <v>694</v>
      </c>
      <c r="L73" s="42">
        <v>235</v>
      </c>
      <c r="M73" s="42">
        <v>0</v>
      </c>
      <c r="N73" s="42">
        <v>2.5</v>
      </c>
      <c r="O73" s="42" t="s">
        <v>1068</v>
      </c>
      <c r="P73" s="44">
        <v>0.06</v>
      </c>
      <c r="Q73" s="44">
        <v>0.83</v>
      </c>
      <c r="R73" s="44">
        <f t="shared" si="10"/>
        <v>0.10999999999999999</v>
      </c>
      <c r="S73" s="46">
        <f t="shared" si="12"/>
        <v>2.0639999999999999E-2</v>
      </c>
      <c r="T73" s="51">
        <v>0.16500000000000001</v>
      </c>
      <c r="U73" s="44">
        <v>0.6</v>
      </c>
      <c r="V73" s="42">
        <v>6.8</v>
      </c>
      <c r="W73" s="42" t="s">
        <v>198</v>
      </c>
      <c r="X73" s="42" t="s">
        <v>1077</v>
      </c>
      <c r="Y73" s="42" t="s">
        <v>1397</v>
      </c>
      <c r="Z73" s="42" t="s">
        <v>696</v>
      </c>
      <c r="AA73" s="42" t="s">
        <v>454</v>
      </c>
      <c r="AB73" s="42">
        <v>20</v>
      </c>
      <c r="AC73" s="42">
        <v>365</v>
      </c>
      <c r="AD73" s="46">
        <v>1.1999999999999999E-3</v>
      </c>
      <c r="AE73" s="42" t="s">
        <v>1373</v>
      </c>
      <c r="AF73" s="42" t="s">
        <v>661</v>
      </c>
      <c r="AG73" s="30"/>
      <c r="AH73" s="42" t="s">
        <v>451</v>
      </c>
      <c r="AI73" s="44">
        <v>0.09</v>
      </c>
      <c r="AJ73" s="42" t="s">
        <v>198</v>
      </c>
      <c r="AK73" s="46">
        <v>0.46100000000000002</v>
      </c>
      <c r="AL73" s="42" t="s">
        <v>198</v>
      </c>
      <c r="AM73" s="46">
        <v>5.4000000000000006E-2</v>
      </c>
      <c r="AN73" s="46">
        <v>3.0000000000000001E-3</v>
      </c>
      <c r="AO73" s="42" t="s">
        <v>198</v>
      </c>
      <c r="AP73" s="45">
        <v>0.40100000000000002</v>
      </c>
      <c r="AQ73" s="48">
        <f>0.5/100*1000*1000</f>
        <v>5000</v>
      </c>
      <c r="AR73" s="42">
        <f>3.9/100*1000*1000</f>
        <v>39000</v>
      </c>
      <c r="AS73" s="42" t="s">
        <v>198</v>
      </c>
      <c r="AT73" s="42"/>
      <c r="AU73" s="47">
        <f t="shared" si="13"/>
        <v>1.395949035053252</v>
      </c>
      <c r="AV73" s="47">
        <f t="shared" si="14"/>
        <v>0.65300864113117696</v>
      </c>
      <c r="AW73" s="42">
        <f t="shared" si="15"/>
        <v>179.20378495841209</v>
      </c>
      <c r="AX73" s="42">
        <v>7.2</v>
      </c>
      <c r="AY73" s="42" t="s">
        <v>198</v>
      </c>
      <c r="AZ73" s="42">
        <v>11</v>
      </c>
      <c r="BA73" s="42">
        <v>2.9</v>
      </c>
      <c r="BB73" s="42" t="s">
        <v>198</v>
      </c>
      <c r="BC73" s="45">
        <v>0.186</v>
      </c>
      <c r="BD73" s="45">
        <v>0.72399999999999998</v>
      </c>
      <c r="BE73" s="42" t="s">
        <v>861</v>
      </c>
      <c r="BF73" s="42" t="s">
        <v>198</v>
      </c>
      <c r="BG73" s="42" t="s">
        <v>198</v>
      </c>
      <c r="BH73" s="42" t="s">
        <v>198</v>
      </c>
      <c r="BI73" s="42" t="s">
        <v>198</v>
      </c>
      <c r="BJ73" s="42">
        <v>-12.42</v>
      </c>
      <c r="BK73" s="42">
        <v>-27.28</v>
      </c>
      <c r="BL73" s="42" t="s">
        <v>198</v>
      </c>
      <c r="BM73" s="42" t="s">
        <v>198</v>
      </c>
      <c r="BN73" s="42" t="s">
        <v>198</v>
      </c>
    </row>
    <row r="74" spans="2:66" x14ac:dyDescent="0.3">
      <c r="B74" s="42">
        <v>66</v>
      </c>
      <c r="C74" s="42">
        <v>2</v>
      </c>
      <c r="D74" s="42" t="s">
        <v>1525</v>
      </c>
      <c r="E74" s="42" t="s">
        <v>714</v>
      </c>
      <c r="F74" s="42">
        <v>3</v>
      </c>
      <c r="G74" s="42" t="s">
        <v>748</v>
      </c>
      <c r="H74" s="42" t="s">
        <v>635</v>
      </c>
      <c r="I74" s="42"/>
      <c r="J74" s="42" t="s">
        <v>754</v>
      </c>
      <c r="K74" s="42" t="s">
        <v>694</v>
      </c>
      <c r="L74" s="42">
        <v>250</v>
      </c>
      <c r="M74" s="42">
        <f t="shared" ref="M74:M96" si="16">3*60</f>
        <v>180</v>
      </c>
      <c r="N74" s="42">
        <v>26</v>
      </c>
      <c r="O74" s="42" t="s">
        <v>695</v>
      </c>
      <c r="P74" s="43">
        <v>0</v>
      </c>
      <c r="Q74" s="43">
        <v>1</v>
      </c>
      <c r="R74" s="43">
        <v>0</v>
      </c>
      <c r="S74" s="43">
        <v>0</v>
      </c>
      <c r="T74" s="42" t="s">
        <v>756</v>
      </c>
      <c r="U74" s="44">
        <v>0.65</v>
      </c>
      <c r="V74" s="42" t="s">
        <v>198</v>
      </c>
      <c r="W74" s="42" t="s">
        <v>198</v>
      </c>
      <c r="X74" s="42" t="s">
        <v>757</v>
      </c>
      <c r="Y74" s="42" t="s">
        <v>1412</v>
      </c>
      <c r="Z74" s="42" t="s">
        <v>696</v>
      </c>
      <c r="AA74" s="42" t="s">
        <v>454</v>
      </c>
      <c r="AB74" s="42">
        <v>32</v>
      </c>
      <c r="AC74" s="42">
        <v>365</v>
      </c>
      <c r="AD74" s="43">
        <v>0.1</v>
      </c>
      <c r="AE74" s="42" t="s">
        <v>698</v>
      </c>
      <c r="AF74" s="42" t="s">
        <v>699</v>
      </c>
      <c r="AG74" s="30" t="s">
        <v>755</v>
      </c>
      <c r="AH74" s="42" t="s">
        <v>451</v>
      </c>
      <c r="AI74" s="42" t="s">
        <v>198</v>
      </c>
      <c r="AJ74" s="45">
        <v>9.0000000000000011E-3</v>
      </c>
      <c r="AK74" s="45">
        <v>0.61499999999999999</v>
      </c>
      <c r="AL74" s="45">
        <v>0.61499999999999999</v>
      </c>
      <c r="AM74" s="46">
        <v>3.4800000000000005E-2</v>
      </c>
      <c r="AN74" s="46">
        <v>1.2999999999999999E-3</v>
      </c>
      <c r="AO74" s="42" t="s">
        <v>198</v>
      </c>
      <c r="AP74" s="46">
        <v>0.34899999999999998</v>
      </c>
      <c r="AQ74" s="42" t="s">
        <v>198</v>
      </c>
      <c r="AR74" s="42" t="s">
        <v>198</v>
      </c>
      <c r="AS74" s="42" t="s">
        <v>198</v>
      </c>
      <c r="AT74" s="47">
        <f t="shared" ref="AT74:AT100" si="17">AM74/AL74*12.0107/1.00784</f>
        <v>0.67434300450323126</v>
      </c>
      <c r="AU74" s="47">
        <f t="shared" si="13"/>
        <v>0.67434300450323126</v>
      </c>
      <c r="AV74" s="47">
        <f t="shared" ref="AV74:AV111" si="18">AP74/AL74*12.0107/15.999</f>
        <v>0.42601588412283897</v>
      </c>
      <c r="AW74" s="48">
        <f t="shared" si="15"/>
        <v>551.6952832442355</v>
      </c>
      <c r="AX74" s="42" t="s">
        <v>198</v>
      </c>
      <c r="AY74" s="42" t="s">
        <v>198</v>
      </c>
      <c r="AZ74" s="42" t="s">
        <v>198</v>
      </c>
      <c r="BA74" s="42">
        <v>5.4</v>
      </c>
      <c r="BB74" s="42">
        <v>262.5</v>
      </c>
      <c r="BC74" s="49">
        <f t="shared" ref="BC74:BC100" si="19">1-AJ74-BD74</f>
        <v>0.32699999999999996</v>
      </c>
      <c r="BD74" s="45">
        <v>0.66400000000000003</v>
      </c>
      <c r="BE74" s="42" t="s">
        <v>710</v>
      </c>
      <c r="BF74" s="42" t="s">
        <v>198</v>
      </c>
      <c r="BG74" s="42" t="s">
        <v>198</v>
      </c>
      <c r="BH74" s="42" t="s">
        <v>198</v>
      </c>
      <c r="BI74" s="42">
        <v>52.5</v>
      </c>
      <c r="BJ74" s="42" t="s">
        <v>198</v>
      </c>
      <c r="BK74" s="42" t="s">
        <v>198</v>
      </c>
      <c r="BL74" s="42" t="s">
        <v>198</v>
      </c>
      <c r="BM74" s="42" t="s">
        <v>198</v>
      </c>
      <c r="BN74" s="42" t="s">
        <v>198</v>
      </c>
    </row>
    <row r="75" spans="2:66" x14ac:dyDescent="0.3">
      <c r="B75" s="42">
        <v>67</v>
      </c>
      <c r="C75" s="42">
        <v>2</v>
      </c>
      <c r="D75" s="42" t="s">
        <v>1525</v>
      </c>
      <c r="E75" s="42" t="s">
        <v>720</v>
      </c>
      <c r="F75" s="42">
        <v>3</v>
      </c>
      <c r="G75" s="42" t="s">
        <v>748</v>
      </c>
      <c r="H75" s="42" t="s">
        <v>635</v>
      </c>
      <c r="I75" s="42"/>
      <c r="J75" s="42" t="s">
        <v>754</v>
      </c>
      <c r="K75" s="42" t="s">
        <v>694</v>
      </c>
      <c r="L75" s="42">
        <v>400</v>
      </c>
      <c r="M75" s="42">
        <f t="shared" si="16"/>
        <v>180</v>
      </c>
      <c r="N75" s="42">
        <v>26</v>
      </c>
      <c r="O75" s="42" t="s">
        <v>695</v>
      </c>
      <c r="P75" s="43">
        <v>0</v>
      </c>
      <c r="Q75" s="43">
        <v>1</v>
      </c>
      <c r="R75" s="43">
        <v>0</v>
      </c>
      <c r="S75" s="43">
        <v>0</v>
      </c>
      <c r="T75" s="42" t="s">
        <v>756</v>
      </c>
      <c r="U75" s="44">
        <v>0.65</v>
      </c>
      <c r="V75" s="42" t="s">
        <v>198</v>
      </c>
      <c r="W75" s="42" t="s">
        <v>198</v>
      </c>
      <c r="X75" s="42" t="s">
        <v>757</v>
      </c>
      <c r="Y75" s="42" t="s">
        <v>1412</v>
      </c>
      <c r="Z75" s="42" t="s">
        <v>696</v>
      </c>
      <c r="AA75" s="42" t="s">
        <v>454</v>
      </c>
      <c r="AB75" s="42">
        <v>32</v>
      </c>
      <c r="AC75" s="42">
        <v>365</v>
      </c>
      <c r="AD75" s="43">
        <v>0.1</v>
      </c>
      <c r="AE75" s="42" t="s">
        <v>698</v>
      </c>
      <c r="AF75" s="42" t="s">
        <v>699</v>
      </c>
      <c r="AG75" s="30" t="s">
        <v>755</v>
      </c>
      <c r="AH75" s="42" t="s">
        <v>451</v>
      </c>
      <c r="AI75" s="42" t="s">
        <v>198</v>
      </c>
      <c r="AJ75" s="45">
        <v>1.8000000000000002E-2</v>
      </c>
      <c r="AK75" s="45">
        <v>0.78599999999999992</v>
      </c>
      <c r="AL75" s="45">
        <v>0.78599999999999992</v>
      </c>
      <c r="AM75" s="46">
        <v>3.6600000000000001E-2</v>
      </c>
      <c r="AN75" s="46">
        <v>1.2999999999999999E-3</v>
      </c>
      <c r="AO75" s="42" t="s">
        <v>198</v>
      </c>
      <c r="AP75" s="46">
        <v>0.17600000000000002</v>
      </c>
      <c r="AQ75" s="42" t="s">
        <v>198</v>
      </c>
      <c r="AR75" s="42" t="s">
        <v>198</v>
      </c>
      <c r="AS75" s="42" t="s">
        <v>198</v>
      </c>
      <c r="AT75" s="47">
        <f t="shared" si="17"/>
        <v>0.55492624844122851</v>
      </c>
      <c r="AU75" s="47">
        <f t="shared" si="13"/>
        <v>0.55492624844122851</v>
      </c>
      <c r="AV75" s="47">
        <f t="shared" si="18"/>
        <v>0.16809918304372398</v>
      </c>
      <c r="AW75" s="48">
        <f t="shared" si="15"/>
        <v>705.09348395116911</v>
      </c>
      <c r="AX75" s="42" t="s">
        <v>198</v>
      </c>
      <c r="AY75" s="42" t="s">
        <v>198</v>
      </c>
      <c r="AZ75" s="42" t="s">
        <v>198</v>
      </c>
      <c r="BA75" s="42">
        <v>6.1</v>
      </c>
      <c r="BB75" s="42">
        <v>428.8</v>
      </c>
      <c r="BC75" s="49">
        <f t="shared" si="19"/>
        <v>0.57099999999999995</v>
      </c>
      <c r="BD75" s="45">
        <v>0.41100000000000003</v>
      </c>
      <c r="BE75" s="42" t="s">
        <v>710</v>
      </c>
      <c r="BF75" s="42" t="s">
        <v>198</v>
      </c>
      <c r="BG75" s="42" t="s">
        <v>198</v>
      </c>
      <c r="BH75" s="42" t="s">
        <v>198</v>
      </c>
      <c r="BI75" s="42">
        <v>33.200000000000003</v>
      </c>
      <c r="BJ75" s="42" t="s">
        <v>198</v>
      </c>
      <c r="BK75" s="42" t="s">
        <v>198</v>
      </c>
      <c r="BL75" s="42" t="s">
        <v>799</v>
      </c>
      <c r="BM75" s="42" t="s">
        <v>784</v>
      </c>
      <c r="BN75" s="42" t="s">
        <v>758</v>
      </c>
    </row>
    <row r="76" spans="2:66" x14ac:dyDescent="0.3">
      <c r="B76" s="42">
        <v>68</v>
      </c>
      <c r="C76" s="42">
        <v>2</v>
      </c>
      <c r="D76" s="42" t="s">
        <v>1525</v>
      </c>
      <c r="E76" s="42" t="s">
        <v>721</v>
      </c>
      <c r="F76" s="42">
        <v>3</v>
      </c>
      <c r="G76" s="42" t="s">
        <v>748</v>
      </c>
      <c r="H76" s="42" t="s">
        <v>635</v>
      </c>
      <c r="I76" s="42"/>
      <c r="J76" s="42" t="s">
        <v>754</v>
      </c>
      <c r="K76" s="42" t="s">
        <v>694</v>
      </c>
      <c r="L76" s="42">
        <v>650</v>
      </c>
      <c r="M76" s="42">
        <f t="shared" si="16"/>
        <v>180</v>
      </c>
      <c r="N76" s="42">
        <v>26</v>
      </c>
      <c r="O76" s="42" t="s">
        <v>695</v>
      </c>
      <c r="P76" s="43">
        <v>0</v>
      </c>
      <c r="Q76" s="43">
        <v>1</v>
      </c>
      <c r="R76" s="43">
        <v>0</v>
      </c>
      <c r="S76" s="43">
        <v>0</v>
      </c>
      <c r="T76" s="42" t="s">
        <v>756</v>
      </c>
      <c r="U76" s="44">
        <v>0.65</v>
      </c>
      <c r="V76" s="42" t="s">
        <v>198</v>
      </c>
      <c r="W76" s="42" t="s">
        <v>198</v>
      </c>
      <c r="X76" s="42" t="s">
        <v>757</v>
      </c>
      <c r="Y76" s="42" t="s">
        <v>1412</v>
      </c>
      <c r="Z76" s="42" t="s">
        <v>696</v>
      </c>
      <c r="AA76" s="42" t="s">
        <v>454</v>
      </c>
      <c r="AB76" s="42">
        <v>32</v>
      </c>
      <c r="AC76" s="42">
        <v>365</v>
      </c>
      <c r="AD76" s="43">
        <v>0.1</v>
      </c>
      <c r="AE76" s="42" t="s">
        <v>698</v>
      </c>
      <c r="AF76" s="42" t="s">
        <v>699</v>
      </c>
      <c r="AG76" s="30" t="s">
        <v>755</v>
      </c>
      <c r="AH76" s="42" t="s">
        <v>451</v>
      </c>
      <c r="AI76" s="42" t="s">
        <v>198</v>
      </c>
      <c r="AJ76" s="45">
        <v>1.3000000000000001E-2</v>
      </c>
      <c r="AK76" s="45">
        <v>0.83</v>
      </c>
      <c r="AL76" s="45">
        <v>0.83</v>
      </c>
      <c r="AM76" s="46">
        <v>3.0550000000000001E-2</v>
      </c>
      <c r="AN76" s="46">
        <v>2.15E-3</v>
      </c>
      <c r="AO76" s="42" t="s">
        <v>198</v>
      </c>
      <c r="AP76" s="46">
        <v>0.13800000000000001</v>
      </c>
      <c r="AQ76" s="42" t="s">
        <v>198</v>
      </c>
      <c r="AR76" s="42" t="s">
        <v>198</v>
      </c>
      <c r="AS76" s="42" t="s">
        <v>198</v>
      </c>
      <c r="AT76" s="47">
        <f t="shared" si="17"/>
        <v>0.43864163392735889</v>
      </c>
      <c r="AU76" s="47">
        <f t="shared" si="13"/>
        <v>0.43864163392735889</v>
      </c>
      <c r="AV76" s="47">
        <f t="shared" si="18"/>
        <v>0.12481778605138726</v>
      </c>
      <c r="AW76" s="48">
        <f t="shared" si="15"/>
        <v>450.20170967708833</v>
      </c>
      <c r="AX76" s="42" t="s">
        <v>198</v>
      </c>
      <c r="AY76" s="42" t="s">
        <v>198</v>
      </c>
      <c r="AZ76" s="42" t="s">
        <v>198</v>
      </c>
      <c r="BA76" s="42">
        <v>548.9</v>
      </c>
      <c r="BB76" s="42">
        <v>627.1</v>
      </c>
      <c r="BC76" s="49">
        <f t="shared" si="19"/>
        <v>0.76400000000000001</v>
      </c>
      <c r="BD76" s="45">
        <v>0.223</v>
      </c>
      <c r="BE76" s="42" t="s">
        <v>710</v>
      </c>
      <c r="BF76" s="42" t="s">
        <v>198</v>
      </c>
      <c r="BG76" s="42" t="s">
        <v>198</v>
      </c>
      <c r="BH76" s="42" t="s">
        <v>198</v>
      </c>
      <c r="BI76" s="42">
        <v>29.3</v>
      </c>
      <c r="BJ76" s="42" t="s">
        <v>198</v>
      </c>
      <c r="BK76" s="42" t="s">
        <v>198</v>
      </c>
      <c r="BL76" s="42" t="s">
        <v>800</v>
      </c>
      <c r="BM76" s="42" t="s">
        <v>785</v>
      </c>
      <c r="BN76" s="42" t="s">
        <v>759</v>
      </c>
    </row>
    <row r="77" spans="2:66" x14ac:dyDescent="0.3">
      <c r="B77" s="42">
        <v>69</v>
      </c>
      <c r="C77" s="42">
        <v>2</v>
      </c>
      <c r="D77" s="42" t="s">
        <v>1525</v>
      </c>
      <c r="E77" s="42" t="s">
        <v>715</v>
      </c>
      <c r="F77" s="42">
        <v>3</v>
      </c>
      <c r="G77" s="42" t="s">
        <v>749</v>
      </c>
      <c r="H77" s="42" t="s">
        <v>635</v>
      </c>
      <c r="I77" s="42"/>
      <c r="J77" s="42" t="s">
        <v>754</v>
      </c>
      <c r="K77" s="42" t="s">
        <v>694</v>
      </c>
      <c r="L77" s="42">
        <v>250</v>
      </c>
      <c r="M77" s="42">
        <f t="shared" si="16"/>
        <v>180</v>
      </c>
      <c r="N77" s="42">
        <v>26</v>
      </c>
      <c r="O77" s="42" t="s">
        <v>695</v>
      </c>
      <c r="P77" s="43">
        <v>0</v>
      </c>
      <c r="Q77" s="43">
        <v>1</v>
      </c>
      <c r="R77" s="43">
        <v>0</v>
      </c>
      <c r="S77" s="43">
        <v>0</v>
      </c>
      <c r="T77" s="42" t="s">
        <v>756</v>
      </c>
      <c r="U77" s="44">
        <v>0.65</v>
      </c>
      <c r="V77" s="42" t="s">
        <v>198</v>
      </c>
      <c r="W77" s="42" t="s">
        <v>198</v>
      </c>
      <c r="X77" s="42" t="s">
        <v>757</v>
      </c>
      <c r="Y77" s="42" t="s">
        <v>1412</v>
      </c>
      <c r="Z77" s="42" t="s">
        <v>696</v>
      </c>
      <c r="AA77" s="42" t="s">
        <v>454</v>
      </c>
      <c r="AB77" s="42">
        <v>32</v>
      </c>
      <c r="AC77" s="42">
        <v>365</v>
      </c>
      <c r="AD77" s="43">
        <v>0.1</v>
      </c>
      <c r="AE77" s="42" t="s">
        <v>698</v>
      </c>
      <c r="AF77" s="42" t="s">
        <v>699</v>
      </c>
      <c r="AG77" s="30" t="s">
        <v>755</v>
      </c>
      <c r="AH77" s="42" t="s">
        <v>451</v>
      </c>
      <c r="AI77" s="42" t="s">
        <v>198</v>
      </c>
      <c r="AJ77" s="45">
        <v>9.0000000000000011E-3</v>
      </c>
      <c r="AK77" s="45">
        <v>0.65599999999999992</v>
      </c>
      <c r="AL77" s="45">
        <v>0.65599999999999992</v>
      </c>
      <c r="AM77" s="46">
        <v>2.6849999999999999E-2</v>
      </c>
      <c r="AN77" s="46">
        <v>3.4499999999999999E-3</v>
      </c>
      <c r="AO77" s="42" t="s">
        <v>198</v>
      </c>
      <c r="AP77" s="46">
        <f t="shared" ref="AP77:AP100" si="20">1-AJ77-AK77-AM77-AN77</f>
        <v>0.30470000000000008</v>
      </c>
      <c r="AQ77" s="42" t="s">
        <v>198</v>
      </c>
      <c r="AR77" s="42" t="s">
        <v>198</v>
      </c>
      <c r="AS77" s="42" t="s">
        <v>198</v>
      </c>
      <c r="AT77" s="47">
        <f t="shared" si="17"/>
        <v>0.48777235104826933</v>
      </c>
      <c r="AU77" s="47">
        <f t="shared" si="13"/>
        <v>0.48777235104826933</v>
      </c>
      <c r="AV77" s="47">
        <f t="shared" si="18"/>
        <v>0.34869369598557243</v>
      </c>
      <c r="AW77" s="48">
        <f t="shared" si="15"/>
        <v>221.744191139712</v>
      </c>
      <c r="AX77" s="42" t="s">
        <v>198</v>
      </c>
      <c r="AY77" s="42" t="s">
        <v>198</v>
      </c>
      <c r="AZ77" s="42" t="s">
        <v>198</v>
      </c>
      <c r="BA77" s="42">
        <v>68.099999999999994</v>
      </c>
      <c r="BB77" s="42">
        <v>522.20000000000005</v>
      </c>
      <c r="BC77" s="49">
        <f t="shared" si="19"/>
        <v>0.36499999999999999</v>
      </c>
      <c r="BD77" s="45">
        <v>0.626</v>
      </c>
      <c r="BE77" s="42" t="s">
        <v>710</v>
      </c>
      <c r="BF77" s="42" t="s">
        <v>198</v>
      </c>
      <c r="BG77" s="42" t="s">
        <v>198</v>
      </c>
      <c r="BH77" s="42" t="s">
        <v>198</v>
      </c>
      <c r="BI77" s="42">
        <v>24.6</v>
      </c>
      <c r="BJ77" s="42" t="s">
        <v>198</v>
      </c>
      <c r="BK77" s="42" t="s">
        <v>198</v>
      </c>
      <c r="BL77" s="42" t="s">
        <v>198</v>
      </c>
      <c r="BM77" s="42" t="s">
        <v>198</v>
      </c>
      <c r="BN77" s="42" t="s">
        <v>198</v>
      </c>
    </row>
    <row r="78" spans="2:66" x14ac:dyDescent="0.3">
      <c r="B78" s="42">
        <v>70</v>
      </c>
      <c r="C78" s="42">
        <v>2</v>
      </c>
      <c r="D78" s="42" t="s">
        <v>1525</v>
      </c>
      <c r="E78" s="42" t="s">
        <v>722</v>
      </c>
      <c r="F78" s="42">
        <v>3</v>
      </c>
      <c r="G78" s="42" t="s">
        <v>749</v>
      </c>
      <c r="H78" s="42" t="s">
        <v>635</v>
      </c>
      <c r="I78" s="42"/>
      <c r="J78" s="42" t="s">
        <v>754</v>
      </c>
      <c r="K78" s="42" t="s">
        <v>694</v>
      </c>
      <c r="L78" s="42">
        <v>400</v>
      </c>
      <c r="M78" s="42">
        <f t="shared" si="16"/>
        <v>180</v>
      </c>
      <c r="N78" s="42">
        <v>26</v>
      </c>
      <c r="O78" s="42" t="s">
        <v>695</v>
      </c>
      <c r="P78" s="43">
        <v>0</v>
      </c>
      <c r="Q78" s="43">
        <v>1</v>
      </c>
      <c r="R78" s="43">
        <v>0</v>
      </c>
      <c r="S78" s="43">
        <v>0</v>
      </c>
      <c r="T78" s="42" t="s">
        <v>756</v>
      </c>
      <c r="U78" s="44">
        <v>0.65</v>
      </c>
      <c r="V78" s="42" t="s">
        <v>198</v>
      </c>
      <c r="W78" s="42" t="s">
        <v>198</v>
      </c>
      <c r="X78" s="42" t="s">
        <v>757</v>
      </c>
      <c r="Y78" s="42" t="s">
        <v>1412</v>
      </c>
      <c r="Z78" s="42" t="s">
        <v>696</v>
      </c>
      <c r="AA78" s="42" t="s">
        <v>454</v>
      </c>
      <c r="AB78" s="42">
        <v>32</v>
      </c>
      <c r="AC78" s="42">
        <v>365</v>
      </c>
      <c r="AD78" s="43">
        <v>0.1</v>
      </c>
      <c r="AE78" s="42" t="s">
        <v>698</v>
      </c>
      <c r="AF78" s="42" t="s">
        <v>699</v>
      </c>
      <c r="AG78" s="30" t="s">
        <v>755</v>
      </c>
      <c r="AH78" s="42" t="s">
        <v>451</v>
      </c>
      <c r="AI78" s="42" t="s">
        <v>198</v>
      </c>
      <c r="AJ78" s="45">
        <v>4.0000000000000001E-3</v>
      </c>
      <c r="AK78" s="45">
        <v>0.77800000000000002</v>
      </c>
      <c r="AL78" s="45">
        <v>0.77800000000000002</v>
      </c>
      <c r="AM78" s="46">
        <v>4.0149999999999998E-2</v>
      </c>
      <c r="AN78" s="46">
        <v>3.4499999999999999E-3</v>
      </c>
      <c r="AO78" s="42" t="s">
        <v>198</v>
      </c>
      <c r="AP78" s="46">
        <f t="shared" si="20"/>
        <v>0.17439999999999997</v>
      </c>
      <c r="AQ78" s="42" t="s">
        <v>198</v>
      </c>
      <c r="AR78" s="42" t="s">
        <v>198</v>
      </c>
      <c r="AS78" s="42" t="s">
        <v>198</v>
      </c>
      <c r="AT78" s="47">
        <f t="shared" si="17"/>
        <v>0.61501071318089817</v>
      </c>
      <c r="AU78" s="47">
        <f t="shared" si="13"/>
        <v>0.61501071318089817</v>
      </c>
      <c r="AV78" s="47">
        <f t="shared" si="18"/>
        <v>0.16828382108071985</v>
      </c>
      <c r="AW78" s="48">
        <f t="shared" si="15"/>
        <v>262.98320229679263</v>
      </c>
      <c r="AX78" s="42" t="s">
        <v>198</v>
      </c>
      <c r="AY78" s="42" t="s">
        <v>198</v>
      </c>
      <c r="AZ78" s="42" t="s">
        <v>198</v>
      </c>
      <c r="BA78" s="42">
        <v>7.2</v>
      </c>
      <c r="BB78" s="42">
        <v>354.1</v>
      </c>
      <c r="BC78" s="49">
        <f t="shared" si="19"/>
        <v>0.47599999999999998</v>
      </c>
      <c r="BD78" s="45">
        <v>0.52</v>
      </c>
      <c r="BE78" s="42" t="s">
        <v>710</v>
      </c>
      <c r="BF78" s="42" t="s">
        <v>198</v>
      </c>
      <c r="BG78" s="42" t="s">
        <v>198</v>
      </c>
      <c r="BH78" s="42" t="s">
        <v>198</v>
      </c>
      <c r="BI78" s="42">
        <v>35.299999999999997</v>
      </c>
      <c r="BJ78" s="42" t="s">
        <v>198</v>
      </c>
      <c r="BK78" s="42" t="s">
        <v>198</v>
      </c>
      <c r="BL78" s="42" t="s">
        <v>801</v>
      </c>
      <c r="BM78" s="42" t="s">
        <v>786</v>
      </c>
      <c r="BN78" s="42" t="s">
        <v>763</v>
      </c>
    </row>
    <row r="79" spans="2:66" x14ac:dyDescent="0.3">
      <c r="B79" s="42">
        <v>71</v>
      </c>
      <c r="C79" s="42">
        <v>2</v>
      </c>
      <c r="D79" s="42" t="s">
        <v>1525</v>
      </c>
      <c r="E79" s="42" t="s">
        <v>723</v>
      </c>
      <c r="F79" s="42">
        <v>3</v>
      </c>
      <c r="G79" s="42" t="s">
        <v>749</v>
      </c>
      <c r="H79" s="42" t="s">
        <v>635</v>
      </c>
      <c r="I79" s="42"/>
      <c r="J79" s="42" t="s">
        <v>754</v>
      </c>
      <c r="K79" s="42" t="s">
        <v>694</v>
      </c>
      <c r="L79" s="42">
        <v>525</v>
      </c>
      <c r="M79" s="42">
        <f t="shared" si="16"/>
        <v>180</v>
      </c>
      <c r="N79" s="42">
        <v>26</v>
      </c>
      <c r="O79" s="42" t="s">
        <v>695</v>
      </c>
      <c r="P79" s="43">
        <v>0</v>
      </c>
      <c r="Q79" s="43">
        <v>1</v>
      </c>
      <c r="R79" s="43">
        <v>0</v>
      </c>
      <c r="S79" s="43">
        <v>0</v>
      </c>
      <c r="T79" s="42" t="s">
        <v>756</v>
      </c>
      <c r="U79" s="44">
        <v>0.65</v>
      </c>
      <c r="V79" s="42" t="s">
        <v>198</v>
      </c>
      <c r="W79" s="42" t="s">
        <v>198</v>
      </c>
      <c r="X79" s="42" t="s">
        <v>757</v>
      </c>
      <c r="Y79" s="42" t="s">
        <v>1412</v>
      </c>
      <c r="Z79" s="42" t="s">
        <v>696</v>
      </c>
      <c r="AA79" s="42" t="s">
        <v>454</v>
      </c>
      <c r="AB79" s="42">
        <v>32</v>
      </c>
      <c r="AC79" s="42">
        <v>365</v>
      </c>
      <c r="AD79" s="43">
        <v>0.1</v>
      </c>
      <c r="AE79" s="42" t="s">
        <v>698</v>
      </c>
      <c r="AF79" s="42" t="s">
        <v>699</v>
      </c>
      <c r="AG79" s="30" t="s">
        <v>755</v>
      </c>
      <c r="AH79" s="42" t="s">
        <v>451</v>
      </c>
      <c r="AI79" s="42" t="s">
        <v>198</v>
      </c>
      <c r="AJ79" s="45">
        <v>1.3000000000000001E-2</v>
      </c>
      <c r="AK79" s="45">
        <v>0.85400000000000009</v>
      </c>
      <c r="AL79" s="45">
        <v>0.85400000000000009</v>
      </c>
      <c r="AM79" s="46">
        <v>3.0899999999999997E-2</v>
      </c>
      <c r="AN79" s="46">
        <v>2.15E-3</v>
      </c>
      <c r="AO79" s="42" t="s">
        <v>198</v>
      </c>
      <c r="AP79" s="46">
        <f t="shared" si="20"/>
        <v>9.99499999999999E-2</v>
      </c>
      <c r="AQ79" s="42" t="s">
        <v>198</v>
      </c>
      <c r="AR79" s="42" t="s">
        <v>198</v>
      </c>
      <c r="AS79" s="42" t="s">
        <v>198</v>
      </c>
      <c r="AT79" s="47">
        <f t="shared" si="17"/>
        <v>0.43119859505226082</v>
      </c>
      <c r="AU79" s="47">
        <f t="shared" si="13"/>
        <v>0.43119859505226082</v>
      </c>
      <c r="AV79" s="47">
        <f t="shared" si="18"/>
        <v>8.7861863219495615E-2</v>
      </c>
      <c r="AW79" s="48">
        <f t="shared" si="15"/>
        <v>463.2195904388355</v>
      </c>
      <c r="AX79" s="42" t="s">
        <v>198</v>
      </c>
      <c r="AY79" s="42" t="s">
        <v>198</v>
      </c>
      <c r="AZ79" s="42" t="s">
        <v>198</v>
      </c>
      <c r="BA79" s="42">
        <v>386.5</v>
      </c>
      <c r="BB79" s="42">
        <v>598.1</v>
      </c>
      <c r="BC79" s="49">
        <f t="shared" si="19"/>
        <v>0.59599999999999997</v>
      </c>
      <c r="BD79" s="45">
        <v>0.39100000000000001</v>
      </c>
      <c r="BE79" s="42" t="s">
        <v>710</v>
      </c>
      <c r="BF79" s="42" t="s">
        <v>198</v>
      </c>
      <c r="BG79" s="42" t="s">
        <v>198</v>
      </c>
      <c r="BH79" s="42" t="s">
        <v>198</v>
      </c>
      <c r="BI79" s="42">
        <v>30.3</v>
      </c>
      <c r="BJ79" s="42" t="s">
        <v>198</v>
      </c>
      <c r="BK79" s="42" t="s">
        <v>198</v>
      </c>
      <c r="BL79" s="42" t="s">
        <v>802</v>
      </c>
      <c r="BM79" s="42" t="s">
        <v>787</v>
      </c>
      <c r="BN79" s="42" t="s">
        <v>764</v>
      </c>
    </row>
    <row r="80" spans="2:66" x14ac:dyDescent="0.3">
      <c r="B80" s="42">
        <v>72</v>
      </c>
      <c r="C80" s="42">
        <v>2</v>
      </c>
      <c r="D80" s="42" t="s">
        <v>1525</v>
      </c>
      <c r="E80" s="42" t="s">
        <v>724</v>
      </c>
      <c r="F80" s="42">
        <v>3</v>
      </c>
      <c r="G80" s="42" t="s">
        <v>749</v>
      </c>
      <c r="H80" s="42" t="s">
        <v>635</v>
      </c>
      <c r="I80" s="42"/>
      <c r="J80" s="42" t="s">
        <v>754</v>
      </c>
      <c r="K80" s="42" t="s">
        <v>694</v>
      </c>
      <c r="L80" s="42">
        <v>650</v>
      </c>
      <c r="M80" s="42">
        <f t="shared" si="16"/>
        <v>180</v>
      </c>
      <c r="N80" s="42">
        <v>26</v>
      </c>
      <c r="O80" s="42" t="s">
        <v>695</v>
      </c>
      <c r="P80" s="43">
        <v>0</v>
      </c>
      <c r="Q80" s="43">
        <v>1</v>
      </c>
      <c r="R80" s="43">
        <v>0</v>
      </c>
      <c r="S80" s="43">
        <v>0</v>
      </c>
      <c r="T80" s="42" t="s">
        <v>756</v>
      </c>
      <c r="U80" s="44">
        <v>0.65</v>
      </c>
      <c r="V80" s="42" t="s">
        <v>198</v>
      </c>
      <c r="W80" s="42" t="s">
        <v>198</v>
      </c>
      <c r="X80" s="42" t="s">
        <v>757</v>
      </c>
      <c r="Y80" s="42" t="s">
        <v>1412</v>
      </c>
      <c r="Z80" s="42" t="s">
        <v>696</v>
      </c>
      <c r="AA80" s="42" t="s">
        <v>454</v>
      </c>
      <c r="AB80" s="42">
        <v>32</v>
      </c>
      <c r="AC80" s="42">
        <v>365</v>
      </c>
      <c r="AD80" s="43">
        <v>0.1</v>
      </c>
      <c r="AE80" s="42" t="s">
        <v>698</v>
      </c>
      <c r="AF80" s="42" t="s">
        <v>699</v>
      </c>
      <c r="AG80" s="30" t="s">
        <v>755</v>
      </c>
      <c r="AH80" s="42" t="s">
        <v>451</v>
      </c>
      <c r="AI80" s="42" t="s">
        <v>198</v>
      </c>
      <c r="AJ80" s="45">
        <v>0.01</v>
      </c>
      <c r="AK80" s="45">
        <v>0.84200000000000008</v>
      </c>
      <c r="AL80" s="45">
        <v>0.84200000000000008</v>
      </c>
      <c r="AM80" s="46">
        <v>4.1599999999999998E-2</v>
      </c>
      <c r="AN80" s="46">
        <v>2.15E-3</v>
      </c>
      <c r="AO80" s="42" t="s">
        <v>198</v>
      </c>
      <c r="AP80" s="46">
        <f t="shared" si="20"/>
        <v>0.10424999999999991</v>
      </c>
      <c r="AQ80" s="42" t="s">
        <v>198</v>
      </c>
      <c r="AR80" s="42" t="s">
        <v>198</v>
      </c>
      <c r="AS80" s="42" t="s">
        <v>198</v>
      </c>
      <c r="AT80" s="47">
        <f t="shared" si="17"/>
        <v>0.58878666786833023</v>
      </c>
      <c r="AU80" s="47">
        <f t="shared" si="13"/>
        <v>0.58878666786833023</v>
      </c>
      <c r="AV80" s="47">
        <f t="shared" si="18"/>
        <v>9.2947872410077806E-2</v>
      </c>
      <c r="AW80" s="48">
        <f t="shared" si="15"/>
        <v>456.71065005796191</v>
      </c>
      <c r="AX80" s="42" t="s">
        <v>198</v>
      </c>
      <c r="AY80" s="42" t="s">
        <v>198</v>
      </c>
      <c r="AZ80" s="42" t="s">
        <v>198</v>
      </c>
      <c r="BA80" s="42">
        <v>490.1</v>
      </c>
      <c r="BB80" s="42">
        <v>607</v>
      </c>
      <c r="BC80" s="49">
        <f t="shared" si="19"/>
        <v>0.68100000000000005</v>
      </c>
      <c r="BD80" s="45">
        <v>0.309</v>
      </c>
      <c r="BE80" s="42" t="s">
        <v>710</v>
      </c>
      <c r="BF80" s="42" t="s">
        <v>198</v>
      </c>
      <c r="BG80" s="42" t="s">
        <v>198</v>
      </c>
      <c r="BH80" s="42" t="s">
        <v>198</v>
      </c>
      <c r="BI80" s="42">
        <v>29.5</v>
      </c>
      <c r="BJ80" s="42" t="s">
        <v>198</v>
      </c>
      <c r="BK80" s="42" t="s">
        <v>198</v>
      </c>
      <c r="BL80" s="42" t="s">
        <v>803</v>
      </c>
      <c r="BM80" s="42" t="s">
        <v>788</v>
      </c>
      <c r="BN80" s="42" t="s">
        <v>765</v>
      </c>
    </row>
    <row r="81" spans="2:66" x14ac:dyDescent="0.3">
      <c r="B81" s="42">
        <v>73</v>
      </c>
      <c r="C81" s="42">
        <v>2</v>
      </c>
      <c r="D81" s="42" t="s">
        <v>1525</v>
      </c>
      <c r="E81" s="42" t="s">
        <v>716</v>
      </c>
      <c r="F81" s="42">
        <v>3</v>
      </c>
      <c r="G81" s="42" t="s">
        <v>750</v>
      </c>
      <c r="H81" s="42" t="s">
        <v>692</v>
      </c>
      <c r="I81" s="42"/>
      <c r="J81" s="42" t="s">
        <v>754</v>
      </c>
      <c r="K81" s="42" t="s">
        <v>694</v>
      </c>
      <c r="L81" s="42">
        <v>250</v>
      </c>
      <c r="M81" s="42">
        <f t="shared" si="16"/>
        <v>180</v>
      </c>
      <c r="N81" s="42">
        <v>26</v>
      </c>
      <c r="O81" s="42" t="s">
        <v>695</v>
      </c>
      <c r="P81" s="43">
        <v>0</v>
      </c>
      <c r="Q81" s="43">
        <v>1</v>
      </c>
      <c r="R81" s="43">
        <v>0</v>
      </c>
      <c r="S81" s="43">
        <v>0</v>
      </c>
      <c r="T81" s="42" t="s">
        <v>756</v>
      </c>
      <c r="U81" s="44">
        <v>0.65</v>
      </c>
      <c r="V81" s="42" t="s">
        <v>198</v>
      </c>
      <c r="W81" s="42" t="s">
        <v>198</v>
      </c>
      <c r="X81" s="42" t="s">
        <v>757</v>
      </c>
      <c r="Y81" s="42" t="s">
        <v>1412</v>
      </c>
      <c r="Z81" s="42" t="s">
        <v>696</v>
      </c>
      <c r="AA81" s="42" t="s">
        <v>454</v>
      </c>
      <c r="AB81" s="42">
        <v>32</v>
      </c>
      <c r="AC81" s="42">
        <v>365</v>
      </c>
      <c r="AD81" s="43">
        <v>0.1</v>
      </c>
      <c r="AE81" s="42" t="s">
        <v>698</v>
      </c>
      <c r="AF81" s="42" t="s">
        <v>699</v>
      </c>
      <c r="AG81" s="30" t="s">
        <v>755</v>
      </c>
      <c r="AH81" s="42" t="s">
        <v>451</v>
      </c>
      <c r="AI81" s="42" t="s">
        <v>198</v>
      </c>
      <c r="AJ81" s="45">
        <v>6.8000000000000005E-2</v>
      </c>
      <c r="AK81" s="45">
        <v>0.52700000000000002</v>
      </c>
      <c r="AL81" s="45">
        <v>0.52700000000000002</v>
      </c>
      <c r="AM81" s="46">
        <v>3.3349999999999998E-2</v>
      </c>
      <c r="AN81" s="46">
        <v>1.435E-2</v>
      </c>
      <c r="AO81" s="42" t="s">
        <v>198</v>
      </c>
      <c r="AP81" s="46">
        <f t="shared" si="20"/>
        <v>0.35729999999999995</v>
      </c>
      <c r="AQ81" s="42" t="s">
        <v>198</v>
      </c>
      <c r="AR81" s="42" t="s">
        <v>198</v>
      </c>
      <c r="AS81" s="42" t="s">
        <v>198</v>
      </c>
      <c r="AT81" s="47">
        <f t="shared" si="17"/>
        <v>0.75415732121269796</v>
      </c>
      <c r="AU81" s="47">
        <f t="shared" si="13"/>
        <v>0.75415732121269796</v>
      </c>
      <c r="AV81" s="47">
        <f t="shared" si="18"/>
        <v>0.50897667702903149</v>
      </c>
      <c r="AW81" s="48">
        <f t="shared" si="15"/>
        <v>42.827844939307752</v>
      </c>
      <c r="AX81" s="42" t="s">
        <v>198</v>
      </c>
      <c r="AY81" s="42" t="s">
        <v>198</v>
      </c>
      <c r="AZ81" s="42" t="s">
        <v>198</v>
      </c>
      <c r="BA81" s="42">
        <v>4.0999999999999996</v>
      </c>
      <c r="BB81" s="42">
        <v>146</v>
      </c>
      <c r="BC81" s="49">
        <f t="shared" si="19"/>
        <v>0.30699999999999994</v>
      </c>
      <c r="BD81" s="45">
        <v>0.625</v>
      </c>
      <c r="BE81" s="42" t="s">
        <v>710</v>
      </c>
      <c r="BF81" s="42" t="s">
        <v>198</v>
      </c>
      <c r="BG81" s="42" t="s">
        <v>198</v>
      </c>
      <c r="BH81" s="42" t="s">
        <v>198</v>
      </c>
      <c r="BI81" s="42">
        <v>52.2</v>
      </c>
      <c r="BJ81" s="42" t="s">
        <v>198</v>
      </c>
      <c r="BK81" s="42" t="s">
        <v>198</v>
      </c>
      <c r="BL81" s="42" t="s">
        <v>198</v>
      </c>
      <c r="BM81" s="42" t="s">
        <v>198</v>
      </c>
      <c r="BN81" s="42" t="s">
        <v>198</v>
      </c>
    </row>
    <row r="82" spans="2:66" x14ac:dyDescent="0.3">
      <c r="B82" s="42">
        <v>74</v>
      </c>
      <c r="C82" s="42">
        <v>2</v>
      </c>
      <c r="D82" s="42" t="s">
        <v>1525</v>
      </c>
      <c r="E82" s="42" t="s">
        <v>725</v>
      </c>
      <c r="F82" s="42">
        <v>3</v>
      </c>
      <c r="G82" s="42" t="s">
        <v>750</v>
      </c>
      <c r="H82" s="42" t="s">
        <v>692</v>
      </c>
      <c r="I82" s="42"/>
      <c r="J82" s="42" t="s">
        <v>754</v>
      </c>
      <c r="K82" s="42" t="s">
        <v>694</v>
      </c>
      <c r="L82" s="42">
        <v>400</v>
      </c>
      <c r="M82" s="42">
        <f t="shared" si="16"/>
        <v>180</v>
      </c>
      <c r="N82" s="42">
        <v>26</v>
      </c>
      <c r="O82" s="42" t="s">
        <v>695</v>
      </c>
      <c r="P82" s="43">
        <v>0</v>
      </c>
      <c r="Q82" s="43">
        <v>1</v>
      </c>
      <c r="R82" s="43">
        <v>0</v>
      </c>
      <c r="S82" s="43">
        <v>0</v>
      </c>
      <c r="T82" s="42" t="s">
        <v>756</v>
      </c>
      <c r="U82" s="44">
        <v>0.65</v>
      </c>
      <c r="V82" s="42" t="s">
        <v>198</v>
      </c>
      <c r="W82" s="42" t="s">
        <v>198</v>
      </c>
      <c r="X82" s="42" t="s">
        <v>757</v>
      </c>
      <c r="Y82" s="42" t="s">
        <v>1412</v>
      </c>
      <c r="Z82" s="42" t="s">
        <v>696</v>
      </c>
      <c r="AA82" s="42" t="s">
        <v>454</v>
      </c>
      <c r="AB82" s="42">
        <v>32</v>
      </c>
      <c r="AC82" s="42">
        <v>365</v>
      </c>
      <c r="AD82" s="43">
        <v>0.1</v>
      </c>
      <c r="AE82" s="42" t="s">
        <v>698</v>
      </c>
      <c r="AF82" s="42" t="s">
        <v>699</v>
      </c>
      <c r="AG82" s="30" t="s">
        <v>755</v>
      </c>
      <c r="AH82" s="42" t="s">
        <v>451</v>
      </c>
      <c r="AI82" s="42" t="s">
        <v>198</v>
      </c>
      <c r="AJ82" s="45">
        <v>0.13200000000000001</v>
      </c>
      <c r="AK82" s="45">
        <v>0.58599999999999997</v>
      </c>
      <c r="AL82" s="45">
        <v>0.58599999999999997</v>
      </c>
      <c r="AM82" s="46">
        <v>4.53E-2</v>
      </c>
      <c r="AN82" s="46">
        <v>1.4800000000000001E-2</v>
      </c>
      <c r="AO82" s="42" t="s">
        <v>198</v>
      </c>
      <c r="AP82" s="46">
        <f t="shared" si="20"/>
        <v>0.22190000000000001</v>
      </c>
      <c r="AQ82" s="42" t="s">
        <v>198</v>
      </c>
      <c r="AR82" s="42" t="s">
        <v>198</v>
      </c>
      <c r="AS82" s="42" t="s">
        <v>198</v>
      </c>
      <c r="AT82" s="47">
        <f t="shared" si="17"/>
        <v>0.92124960446617299</v>
      </c>
      <c r="AU82" s="47">
        <f t="shared" si="13"/>
        <v>0.92124960446617299</v>
      </c>
      <c r="AV82" s="47">
        <f t="shared" si="18"/>
        <v>0.28427270838386443</v>
      </c>
      <c r="AW82" s="48">
        <f t="shared" si="15"/>
        <v>46.174628298775922</v>
      </c>
      <c r="AX82" s="42" t="s">
        <v>198</v>
      </c>
      <c r="AY82" s="42" t="s">
        <v>198</v>
      </c>
      <c r="AZ82" s="42" t="s">
        <v>198</v>
      </c>
      <c r="BA82" s="42">
        <v>12.9</v>
      </c>
      <c r="BB82" s="42">
        <v>129</v>
      </c>
      <c r="BC82" s="49">
        <f t="shared" si="19"/>
        <v>0.35399999999999998</v>
      </c>
      <c r="BD82" s="45">
        <v>0.51400000000000001</v>
      </c>
      <c r="BE82" s="42" t="s">
        <v>710</v>
      </c>
      <c r="BF82" s="42" t="s">
        <v>198</v>
      </c>
      <c r="BG82" s="42" t="s">
        <v>198</v>
      </c>
      <c r="BH82" s="42" t="s">
        <v>198</v>
      </c>
      <c r="BI82" s="42">
        <v>65.5</v>
      </c>
      <c r="BJ82" s="42" t="s">
        <v>198</v>
      </c>
      <c r="BK82" s="42" t="s">
        <v>198</v>
      </c>
      <c r="BL82" s="42" t="s">
        <v>812</v>
      </c>
      <c r="BM82" s="42" t="s">
        <v>793</v>
      </c>
      <c r="BN82" s="42" t="s">
        <v>770</v>
      </c>
    </row>
    <row r="83" spans="2:66" x14ac:dyDescent="0.3">
      <c r="B83" s="42">
        <v>75</v>
      </c>
      <c r="C83" s="42">
        <v>2</v>
      </c>
      <c r="D83" s="42" t="s">
        <v>1525</v>
      </c>
      <c r="E83" s="42" t="s">
        <v>726</v>
      </c>
      <c r="F83" s="42">
        <v>3</v>
      </c>
      <c r="G83" s="42" t="s">
        <v>750</v>
      </c>
      <c r="H83" s="42" t="s">
        <v>692</v>
      </c>
      <c r="I83" s="42"/>
      <c r="J83" s="42" t="s">
        <v>754</v>
      </c>
      <c r="K83" s="42" t="s">
        <v>694</v>
      </c>
      <c r="L83" s="42">
        <v>525</v>
      </c>
      <c r="M83" s="42">
        <f t="shared" si="16"/>
        <v>180</v>
      </c>
      <c r="N83" s="42">
        <v>26</v>
      </c>
      <c r="O83" s="42" t="s">
        <v>695</v>
      </c>
      <c r="P83" s="43">
        <v>0</v>
      </c>
      <c r="Q83" s="43">
        <v>1</v>
      </c>
      <c r="R83" s="43">
        <v>0</v>
      </c>
      <c r="S83" s="43">
        <v>0</v>
      </c>
      <c r="T83" s="42" t="s">
        <v>756</v>
      </c>
      <c r="U83" s="44">
        <v>0.65</v>
      </c>
      <c r="V83" s="42" t="s">
        <v>198</v>
      </c>
      <c r="W83" s="42" t="s">
        <v>198</v>
      </c>
      <c r="X83" s="42" t="s">
        <v>757</v>
      </c>
      <c r="Y83" s="42" t="s">
        <v>1412</v>
      </c>
      <c r="Z83" s="42" t="s">
        <v>696</v>
      </c>
      <c r="AA83" s="42" t="s">
        <v>454</v>
      </c>
      <c r="AB83" s="42">
        <v>32</v>
      </c>
      <c r="AC83" s="42">
        <v>365</v>
      </c>
      <c r="AD83" s="43">
        <v>0.1</v>
      </c>
      <c r="AE83" s="42" t="s">
        <v>698</v>
      </c>
      <c r="AF83" s="42" t="s">
        <v>699</v>
      </c>
      <c r="AG83" s="30" t="s">
        <v>755</v>
      </c>
      <c r="AH83" s="42" t="s">
        <v>451</v>
      </c>
      <c r="AI83" s="42" t="s">
        <v>198</v>
      </c>
      <c r="AJ83" s="45">
        <v>0.248</v>
      </c>
      <c r="AK83" s="45">
        <v>0.55000000000000004</v>
      </c>
      <c r="AL83" s="45">
        <v>0.55000000000000004</v>
      </c>
      <c r="AM83" s="46">
        <v>2.9399999999999999E-2</v>
      </c>
      <c r="AN83" s="46">
        <v>1.3999999999999999E-2</v>
      </c>
      <c r="AO83" s="42" t="s">
        <v>198</v>
      </c>
      <c r="AP83" s="46">
        <f t="shared" si="20"/>
        <v>0.15859999999999996</v>
      </c>
      <c r="AQ83" s="42" t="s">
        <v>198</v>
      </c>
      <c r="AR83" s="42" t="s">
        <v>198</v>
      </c>
      <c r="AS83" s="42" t="s">
        <v>198</v>
      </c>
      <c r="AT83" s="47">
        <f t="shared" si="17"/>
        <v>0.637032176824604</v>
      </c>
      <c r="AU83" s="47">
        <f t="shared" si="13"/>
        <v>0.637032176824604</v>
      </c>
      <c r="AV83" s="47">
        <f t="shared" si="18"/>
        <v>0.21647910039832025</v>
      </c>
      <c r="AW83" s="48">
        <f t="shared" si="15"/>
        <v>45.814416668946393</v>
      </c>
      <c r="AX83" s="42" t="s">
        <v>198</v>
      </c>
      <c r="AY83" s="42" t="s">
        <v>198</v>
      </c>
      <c r="AZ83" s="42" t="s">
        <v>198</v>
      </c>
      <c r="BA83" s="42">
        <v>31.5</v>
      </c>
      <c r="BB83" s="42">
        <v>335.1</v>
      </c>
      <c r="BC83" s="49">
        <f t="shared" si="19"/>
        <v>0.38499999999999995</v>
      </c>
      <c r="BD83" s="45">
        <v>0.36700000000000005</v>
      </c>
      <c r="BE83" s="42" t="s">
        <v>710</v>
      </c>
      <c r="BF83" s="42" t="s">
        <v>198</v>
      </c>
      <c r="BG83" s="42" t="s">
        <v>198</v>
      </c>
      <c r="BH83" s="42" t="s">
        <v>198</v>
      </c>
      <c r="BI83" s="42">
        <v>40.9</v>
      </c>
      <c r="BJ83" s="42" t="s">
        <v>198</v>
      </c>
      <c r="BK83" s="42" t="s">
        <v>198</v>
      </c>
      <c r="BL83" s="42" t="s">
        <v>813</v>
      </c>
      <c r="BM83" s="42" t="s">
        <v>794</v>
      </c>
      <c r="BN83" s="42" t="s">
        <v>771</v>
      </c>
    </row>
    <row r="84" spans="2:66" x14ac:dyDescent="0.3">
      <c r="B84" s="42">
        <v>76</v>
      </c>
      <c r="C84" s="42">
        <v>2</v>
      </c>
      <c r="D84" s="42" t="s">
        <v>1525</v>
      </c>
      <c r="E84" s="42" t="s">
        <v>727</v>
      </c>
      <c r="F84" s="42">
        <v>3</v>
      </c>
      <c r="G84" s="42" t="s">
        <v>750</v>
      </c>
      <c r="H84" s="42" t="s">
        <v>692</v>
      </c>
      <c r="I84" s="42"/>
      <c r="J84" s="42" t="s">
        <v>754</v>
      </c>
      <c r="K84" s="42" t="s">
        <v>694</v>
      </c>
      <c r="L84" s="42">
        <v>650</v>
      </c>
      <c r="M84" s="42">
        <f t="shared" si="16"/>
        <v>180</v>
      </c>
      <c r="N84" s="42">
        <v>26</v>
      </c>
      <c r="O84" s="42" t="s">
        <v>695</v>
      </c>
      <c r="P84" s="43">
        <v>0</v>
      </c>
      <c r="Q84" s="43">
        <v>1</v>
      </c>
      <c r="R84" s="43">
        <v>0</v>
      </c>
      <c r="S84" s="43">
        <v>0</v>
      </c>
      <c r="T84" s="42" t="s">
        <v>756</v>
      </c>
      <c r="U84" s="44">
        <v>0.65</v>
      </c>
      <c r="V84" s="42" t="s">
        <v>198</v>
      </c>
      <c r="W84" s="42" t="s">
        <v>198</v>
      </c>
      <c r="X84" s="42" t="s">
        <v>757</v>
      </c>
      <c r="Y84" s="42" t="s">
        <v>1412</v>
      </c>
      <c r="Z84" s="42" t="s">
        <v>696</v>
      </c>
      <c r="AA84" s="42" t="s">
        <v>454</v>
      </c>
      <c r="AB84" s="42">
        <v>32</v>
      </c>
      <c r="AC84" s="42">
        <v>365</v>
      </c>
      <c r="AD84" s="43">
        <v>0.1</v>
      </c>
      <c r="AE84" s="42" t="s">
        <v>698</v>
      </c>
      <c r="AF84" s="42" t="s">
        <v>699</v>
      </c>
      <c r="AG84" s="30" t="s">
        <v>755</v>
      </c>
      <c r="AH84" s="42" t="s">
        <v>451</v>
      </c>
      <c r="AI84" s="42" t="s">
        <v>198</v>
      </c>
      <c r="AJ84" s="45">
        <v>0.159</v>
      </c>
      <c r="AK84" s="45">
        <v>0.63800000000000001</v>
      </c>
      <c r="AL84" s="45">
        <v>0.63800000000000001</v>
      </c>
      <c r="AM84" s="46">
        <v>2.8849999999999997E-2</v>
      </c>
      <c r="AN84" s="46">
        <v>1.5100000000000001E-2</v>
      </c>
      <c r="AO84" s="42" t="s">
        <v>198</v>
      </c>
      <c r="AP84" s="46">
        <f t="shared" si="20"/>
        <v>0.15904999999999997</v>
      </c>
      <c r="AQ84" s="42" t="s">
        <v>198</v>
      </c>
      <c r="AR84" s="42" t="s">
        <v>198</v>
      </c>
      <c r="AS84" s="42" t="s">
        <v>198</v>
      </c>
      <c r="AT84" s="47">
        <f t="shared" si="17"/>
        <v>0.5388921622504641</v>
      </c>
      <c r="AU84" s="47">
        <f t="shared" si="13"/>
        <v>0.5388921622504641</v>
      </c>
      <c r="AV84" s="47">
        <f t="shared" si="18"/>
        <v>0.18714941578441122</v>
      </c>
      <c r="AW84" s="48">
        <f t="shared" si="15"/>
        <v>49.273253424085382</v>
      </c>
      <c r="AX84" s="42" t="s">
        <v>198</v>
      </c>
      <c r="AY84" s="42" t="s">
        <v>198</v>
      </c>
      <c r="AZ84" s="42" t="s">
        <v>198</v>
      </c>
      <c r="BA84" s="42">
        <v>425.9</v>
      </c>
      <c r="BB84" s="42">
        <v>345</v>
      </c>
      <c r="BC84" s="49">
        <f t="shared" si="19"/>
        <v>0.5109999999999999</v>
      </c>
      <c r="BD84" s="45">
        <v>0.33</v>
      </c>
      <c r="BE84" s="42" t="s">
        <v>710</v>
      </c>
      <c r="BF84" s="42" t="s">
        <v>198</v>
      </c>
      <c r="BG84" s="42" t="s">
        <v>198</v>
      </c>
      <c r="BH84" s="42" t="s">
        <v>198</v>
      </c>
      <c r="BI84" s="42">
        <v>34.6</v>
      </c>
      <c r="BJ84" s="42" t="s">
        <v>198</v>
      </c>
      <c r="BK84" s="42" t="s">
        <v>198</v>
      </c>
      <c r="BL84" s="42" t="s">
        <v>814</v>
      </c>
      <c r="BM84" s="42" t="s">
        <v>795</v>
      </c>
      <c r="BN84" s="42" t="s">
        <v>772</v>
      </c>
    </row>
    <row r="85" spans="2:66" x14ac:dyDescent="0.3">
      <c r="B85" s="42">
        <v>77</v>
      </c>
      <c r="C85" s="42">
        <v>2</v>
      </c>
      <c r="D85" s="42" t="s">
        <v>1525</v>
      </c>
      <c r="E85" s="42" t="s">
        <v>717</v>
      </c>
      <c r="F85" s="42">
        <v>3</v>
      </c>
      <c r="G85" s="42" t="s">
        <v>751</v>
      </c>
      <c r="H85" s="42" t="s">
        <v>635</v>
      </c>
      <c r="I85" s="42"/>
      <c r="J85" s="42" t="s">
        <v>754</v>
      </c>
      <c r="K85" s="42" t="s">
        <v>694</v>
      </c>
      <c r="L85" s="42">
        <v>250</v>
      </c>
      <c r="M85" s="42">
        <f t="shared" si="16"/>
        <v>180</v>
      </c>
      <c r="N85" s="42">
        <v>26</v>
      </c>
      <c r="O85" s="42" t="s">
        <v>695</v>
      </c>
      <c r="P85" s="43">
        <v>0</v>
      </c>
      <c r="Q85" s="43">
        <v>1</v>
      </c>
      <c r="R85" s="43">
        <v>0</v>
      </c>
      <c r="S85" s="43">
        <v>0</v>
      </c>
      <c r="T85" s="42" t="s">
        <v>756</v>
      </c>
      <c r="U85" s="44">
        <v>0.65</v>
      </c>
      <c r="V85" s="42" t="s">
        <v>198</v>
      </c>
      <c r="W85" s="42" t="s">
        <v>198</v>
      </c>
      <c r="X85" s="42" t="s">
        <v>757</v>
      </c>
      <c r="Y85" s="42" t="s">
        <v>1412</v>
      </c>
      <c r="Z85" s="42" t="s">
        <v>696</v>
      </c>
      <c r="AA85" s="42" t="s">
        <v>454</v>
      </c>
      <c r="AB85" s="42">
        <v>32</v>
      </c>
      <c r="AC85" s="42">
        <v>365</v>
      </c>
      <c r="AD85" s="43">
        <v>0.1</v>
      </c>
      <c r="AE85" s="42" t="s">
        <v>698</v>
      </c>
      <c r="AF85" s="42" t="s">
        <v>699</v>
      </c>
      <c r="AG85" s="30" t="s">
        <v>755</v>
      </c>
      <c r="AH85" s="42" t="s">
        <v>451</v>
      </c>
      <c r="AI85" s="42" t="s">
        <v>198</v>
      </c>
      <c r="AJ85" s="45">
        <v>1.3999999999999999E-2</v>
      </c>
      <c r="AK85" s="45">
        <v>0.55200000000000005</v>
      </c>
      <c r="AL85" s="45">
        <v>0.55200000000000005</v>
      </c>
      <c r="AM85" s="46">
        <v>3.0800000000000001E-2</v>
      </c>
      <c r="AN85" s="46">
        <v>2.2000000000000001E-3</v>
      </c>
      <c r="AO85" s="42" t="s">
        <v>198</v>
      </c>
      <c r="AP85" s="46">
        <f t="shared" si="20"/>
        <v>0.40099999999999997</v>
      </c>
      <c r="AQ85" s="42" t="s">
        <v>198</v>
      </c>
      <c r="AR85" s="42" t="s">
        <v>198</v>
      </c>
      <c r="AS85" s="42" t="s">
        <v>198</v>
      </c>
      <c r="AT85" s="47">
        <f t="shared" si="17"/>
        <v>0.66494904585729031</v>
      </c>
      <c r="AU85" s="47">
        <f t="shared" si="13"/>
        <v>0.66494904585729031</v>
      </c>
      <c r="AV85" s="47">
        <f t="shared" si="18"/>
        <v>0.54535685427803005</v>
      </c>
      <c r="AW85" s="48">
        <f t="shared" si="15"/>
        <v>292.60645621290718</v>
      </c>
      <c r="AX85" s="42" t="s">
        <v>198</v>
      </c>
      <c r="AY85" s="42" t="s">
        <v>198</v>
      </c>
      <c r="AZ85" s="42" t="s">
        <v>198</v>
      </c>
      <c r="BA85" s="42">
        <v>1.8</v>
      </c>
      <c r="BB85" s="42">
        <v>270.10000000000002</v>
      </c>
      <c r="BC85" s="49">
        <f t="shared" si="19"/>
        <v>0.32599999999999996</v>
      </c>
      <c r="BD85" s="45">
        <v>0.66</v>
      </c>
      <c r="BE85" s="42" t="s">
        <v>710</v>
      </c>
      <c r="BF85" s="42" t="s">
        <v>198</v>
      </c>
      <c r="BG85" s="42" t="s">
        <v>198</v>
      </c>
      <c r="BH85" s="42" t="s">
        <v>198</v>
      </c>
      <c r="BI85" s="42">
        <v>44.1</v>
      </c>
      <c r="BJ85" s="42" t="s">
        <v>198</v>
      </c>
      <c r="BK85" s="42" t="s">
        <v>198</v>
      </c>
      <c r="BL85" s="42" t="s">
        <v>198</v>
      </c>
      <c r="BM85" s="42" t="s">
        <v>198</v>
      </c>
      <c r="BN85" s="42" t="s">
        <v>198</v>
      </c>
    </row>
    <row r="86" spans="2:66" x14ac:dyDescent="0.3">
      <c r="B86" s="42">
        <v>78</v>
      </c>
      <c r="C86" s="42">
        <v>2</v>
      </c>
      <c r="D86" s="42" t="s">
        <v>1525</v>
      </c>
      <c r="E86" s="42" t="s">
        <v>728</v>
      </c>
      <c r="F86" s="42">
        <v>3</v>
      </c>
      <c r="G86" s="42" t="s">
        <v>751</v>
      </c>
      <c r="H86" s="42" t="s">
        <v>635</v>
      </c>
      <c r="I86" s="42"/>
      <c r="J86" s="42" t="s">
        <v>754</v>
      </c>
      <c r="K86" s="42" t="s">
        <v>694</v>
      </c>
      <c r="L86" s="42">
        <v>400</v>
      </c>
      <c r="M86" s="42">
        <f t="shared" si="16"/>
        <v>180</v>
      </c>
      <c r="N86" s="42">
        <v>26</v>
      </c>
      <c r="O86" s="42" t="s">
        <v>695</v>
      </c>
      <c r="P86" s="43">
        <v>0</v>
      </c>
      <c r="Q86" s="43">
        <v>1</v>
      </c>
      <c r="R86" s="43">
        <v>0</v>
      </c>
      <c r="S86" s="43">
        <v>0</v>
      </c>
      <c r="T86" s="42" t="s">
        <v>756</v>
      </c>
      <c r="U86" s="44">
        <v>0.65</v>
      </c>
      <c r="V86" s="42" t="s">
        <v>198</v>
      </c>
      <c r="W86" s="42" t="s">
        <v>198</v>
      </c>
      <c r="X86" s="42" t="s">
        <v>757</v>
      </c>
      <c r="Y86" s="42" t="s">
        <v>1412</v>
      </c>
      <c r="Z86" s="42" t="s">
        <v>696</v>
      </c>
      <c r="AA86" s="42" t="s">
        <v>454</v>
      </c>
      <c r="AB86" s="42">
        <v>32</v>
      </c>
      <c r="AC86" s="42">
        <v>365</v>
      </c>
      <c r="AD86" s="43">
        <v>0.1</v>
      </c>
      <c r="AE86" s="42" t="s">
        <v>698</v>
      </c>
      <c r="AF86" s="42" t="s">
        <v>699</v>
      </c>
      <c r="AG86" s="30" t="s">
        <v>755</v>
      </c>
      <c r="AH86" s="42" t="s">
        <v>451</v>
      </c>
      <c r="AI86" s="42" t="s">
        <v>198</v>
      </c>
      <c r="AJ86" s="45">
        <v>2.6000000000000002E-2</v>
      </c>
      <c r="AK86" s="45">
        <v>0.69599999999999995</v>
      </c>
      <c r="AL86" s="45">
        <v>0.69599999999999995</v>
      </c>
      <c r="AM86" s="46">
        <v>4.1700000000000001E-2</v>
      </c>
      <c r="AN86" s="46">
        <v>3.0999999999999999E-3</v>
      </c>
      <c r="AO86" s="42" t="s">
        <v>198</v>
      </c>
      <c r="AP86" s="46">
        <f t="shared" si="20"/>
        <v>0.23320000000000002</v>
      </c>
      <c r="AQ86" s="42" t="s">
        <v>198</v>
      </c>
      <c r="AR86" s="42" t="s">
        <v>198</v>
      </c>
      <c r="AS86" s="42" t="s">
        <v>198</v>
      </c>
      <c r="AT86" s="47">
        <f t="shared" si="17"/>
        <v>0.71400876610135167</v>
      </c>
      <c r="AU86" s="47">
        <f t="shared" si="13"/>
        <v>0.71400876610135167</v>
      </c>
      <c r="AV86" s="47">
        <f t="shared" si="18"/>
        <v>0.25153289393805506</v>
      </c>
      <c r="AW86" s="48">
        <f t="shared" si="15"/>
        <v>261.82737596610764</v>
      </c>
      <c r="AX86" s="42" t="s">
        <v>198</v>
      </c>
      <c r="AY86" s="42" t="s">
        <v>198</v>
      </c>
      <c r="AZ86" s="42" t="s">
        <v>198</v>
      </c>
      <c r="BA86" s="42">
        <v>2.2000000000000002</v>
      </c>
      <c r="BB86" s="42">
        <v>176</v>
      </c>
      <c r="BC86" s="49">
        <f t="shared" si="19"/>
        <v>0.45499999999999996</v>
      </c>
      <c r="BD86" s="45">
        <v>0.51900000000000002</v>
      </c>
      <c r="BE86" s="42" t="s">
        <v>710</v>
      </c>
      <c r="BF86" s="42" t="s">
        <v>198</v>
      </c>
      <c r="BG86" s="42" t="s">
        <v>198</v>
      </c>
      <c r="BH86" s="42" t="s">
        <v>198</v>
      </c>
      <c r="BI86" s="42">
        <v>46.9</v>
      </c>
      <c r="BJ86" s="42" t="s">
        <v>198</v>
      </c>
      <c r="BK86" s="42" t="s">
        <v>198</v>
      </c>
      <c r="BL86" s="42" t="s">
        <v>808</v>
      </c>
      <c r="BM86" s="42" t="s">
        <v>789</v>
      </c>
      <c r="BN86" s="42" t="s">
        <v>767</v>
      </c>
    </row>
    <row r="87" spans="2:66" x14ac:dyDescent="0.3">
      <c r="B87" s="42">
        <v>79</v>
      </c>
      <c r="C87" s="42">
        <v>2</v>
      </c>
      <c r="D87" s="42" t="s">
        <v>1525</v>
      </c>
      <c r="E87" s="42" t="s">
        <v>729</v>
      </c>
      <c r="F87" s="42">
        <v>3</v>
      </c>
      <c r="G87" s="42" t="s">
        <v>751</v>
      </c>
      <c r="H87" s="42" t="s">
        <v>635</v>
      </c>
      <c r="I87" s="42"/>
      <c r="J87" s="42" t="s">
        <v>754</v>
      </c>
      <c r="K87" s="42" t="s">
        <v>694</v>
      </c>
      <c r="L87" s="42">
        <v>525</v>
      </c>
      <c r="M87" s="42">
        <f t="shared" si="16"/>
        <v>180</v>
      </c>
      <c r="N87" s="42">
        <v>26</v>
      </c>
      <c r="O87" s="42" t="s">
        <v>695</v>
      </c>
      <c r="P87" s="43">
        <v>0</v>
      </c>
      <c r="Q87" s="43">
        <v>1</v>
      </c>
      <c r="R87" s="43">
        <v>0</v>
      </c>
      <c r="S87" s="43">
        <v>0</v>
      </c>
      <c r="T87" s="42" t="s">
        <v>756</v>
      </c>
      <c r="U87" s="44">
        <v>0.65</v>
      </c>
      <c r="V87" s="42" t="s">
        <v>198</v>
      </c>
      <c r="W87" s="42" t="s">
        <v>198</v>
      </c>
      <c r="X87" s="42" t="s">
        <v>757</v>
      </c>
      <c r="Y87" s="42" t="s">
        <v>1412</v>
      </c>
      <c r="Z87" s="42" t="s">
        <v>696</v>
      </c>
      <c r="AA87" s="42" t="s">
        <v>454</v>
      </c>
      <c r="AB87" s="42">
        <v>32</v>
      </c>
      <c r="AC87" s="42">
        <v>365</v>
      </c>
      <c r="AD87" s="43">
        <v>0.1</v>
      </c>
      <c r="AE87" s="42" t="s">
        <v>698</v>
      </c>
      <c r="AF87" s="42" t="s">
        <v>699</v>
      </c>
      <c r="AG87" s="30" t="s">
        <v>755</v>
      </c>
      <c r="AH87" s="42" t="s">
        <v>451</v>
      </c>
      <c r="AI87" s="42" t="s">
        <v>198</v>
      </c>
      <c r="AJ87" s="45">
        <v>6.8000000000000005E-2</v>
      </c>
      <c r="AK87" s="45">
        <v>0.75099999999999989</v>
      </c>
      <c r="AL87" s="45">
        <v>0.75099999999999989</v>
      </c>
      <c r="AM87" s="46">
        <v>2.87E-2</v>
      </c>
      <c r="AN87" s="46">
        <v>2.8500000000000001E-3</v>
      </c>
      <c r="AO87" s="42" t="s">
        <v>198</v>
      </c>
      <c r="AP87" s="46">
        <f t="shared" si="20"/>
        <v>0.14945000000000006</v>
      </c>
      <c r="AQ87" s="42" t="s">
        <v>198</v>
      </c>
      <c r="AR87" s="42" t="s">
        <v>198</v>
      </c>
      <c r="AS87" s="42" t="s">
        <v>198</v>
      </c>
      <c r="AT87" s="47">
        <f t="shared" si="17"/>
        <v>0.45542690975191252</v>
      </c>
      <c r="AU87" s="47">
        <f t="shared" si="13"/>
        <v>0.45542690975191252</v>
      </c>
      <c r="AV87" s="47">
        <f t="shared" si="18"/>
        <v>0.1493934178975401</v>
      </c>
      <c r="AW87" s="48">
        <f t="shared" si="15"/>
        <v>307.30001713384507</v>
      </c>
      <c r="AX87" s="42" t="s">
        <v>198</v>
      </c>
      <c r="AY87" s="42" t="s">
        <v>198</v>
      </c>
      <c r="AZ87" s="42" t="s">
        <v>198</v>
      </c>
      <c r="BA87" s="42">
        <v>38.200000000000003</v>
      </c>
      <c r="BB87" s="42">
        <v>525.4</v>
      </c>
      <c r="BC87" s="49">
        <f t="shared" si="19"/>
        <v>0.56799999999999995</v>
      </c>
      <c r="BD87" s="45">
        <v>0.36399999999999999</v>
      </c>
      <c r="BE87" s="42" t="s">
        <v>710</v>
      </c>
      <c r="BF87" s="42" t="s">
        <v>198</v>
      </c>
      <c r="BG87" s="42" t="s">
        <v>198</v>
      </c>
      <c r="BH87" s="42" t="s">
        <v>198</v>
      </c>
      <c r="BI87" s="42">
        <v>29.2</v>
      </c>
      <c r="BJ87" s="42" t="s">
        <v>198</v>
      </c>
      <c r="BK87" s="42" t="s">
        <v>198</v>
      </c>
      <c r="BL87" s="42" t="s">
        <v>809</v>
      </c>
      <c r="BM87" s="42" t="s">
        <v>790</v>
      </c>
      <c r="BN87" s="42" t="s">
        <v>768</v>
      </c>
    </row>
    <row r="88" spans="2:66" x14ac:dyDescent="0.3">
      <c r="B88" s="42">
        <v>80</v>
      </c>
      <c r="C88" s="42">
        <v>2</v>
      </c>
      <c r="D88" s="42" t="s">
        <v>1525</v>
      </c>
      <c r="E88" s="42" t="s">
        <v>730</v>
      </c>
      <c r="F88" s="42">
        <v>3</v>
      </c>
      <c r="G88" s="42" t="s">
        <v>751</v>
      </c>
      <c r="H88" s="42" t="s">
        <v>635</v>
      </c>
      <c r="I88" s="42"/>
      <c r="J88" s="42" t="s">
        <v>754</v>
      </c>
      <c r="K88" s="42" t="s">
        <v>694</v>
      </c>
      <c r="L88" s="42">
        <v>650</v>
      </c>
      <c r="M88" s="42">
        <f t="shared" si="16"/>
        <v>180</v>
      </c>
      <c r="N88" s="42">
        <v>26</v>
      </c>
      <c r="O88" s="42" t="s">
        <v>695</v>
      </c>
      <c r="P88" s="43">
        <v>0</v>
      </c>
      <c r="Q88" s="43">
        <v>1</v>
      </c>
      <c r="R88" s="43">
        <v>0</v>
      </c>
      <c r="S88" s="43">
        <v>0</v>
      </c>
      <c r="T88" s="42" t="s">
        <v>756</v>
      </c>
      <c r="U88" s="44">
        <v>0.65</v>
      </c>
      <c r="V88" s="42" t="s">
        <v>198</v>
      </c>
      <c r="W88" s="42" t="s">
        <v>198</v>
      </c>
      <c r="X88" s="42" t="s">
        <v>757</v>
      </c>
      <c r="Y88" s="42" t="s">
        <v>1412</v>
      </c>
      <c r="Z88" s="42" t="s">
        <v>696</v>
      </c>
      <c r="AA88" s="42" t="s">
        <v>454</v>
      </c>
      <c r="AB88" s="42">
        <v>32</v>
      </c>
      <c r="AC88" s="42">
        <v>365</v>
      </c>
      <c r="AD88" s="43">
        <v>0.1</v>
      </c>
      <c r="AE88" s="42" t="s">
        <v>698</v>
      </c>
      <c r="AF88" s="42" t="s">
        <v>699</v>
      </c>
      <c r="AG88" s="30" t="s">
        <v>755</v>
      </c>
      <c r="AH88" s="42" t="s">
        <v>451</v>
      </c>
      <c r="AI88" s="42" t="s">
        <v>198</v>
      </c>
      <c r="AJ88" s="45">
        <v>3.7000000000000005E-2</v>
      </c>
      <c r="AK88" s="45">
        <v>0.78799999999999992</v>
      </c>
      <c r="AL88" s="45">
        <v>0.78799999999999992</v>
      </c>
      <c r="AM88" s="46">
        <v>2.7650000000000001E-2</v>
      </c>
      <c r="AN88" s="46">
        <v>3.3E-3</v>
      </c>
      <c r="AO88" s="42" t="s">
        <v>198</v>
      </c>
      <c r="AP88" s="46">
        <f t="shared" si="20"/>
        <v>0.14405000000000004</v>
      </c>
      <c r="AQ88" s="42" t="s">
        <v>198</v>
      </c>
      <c r="AR88" s="42" t="s">
        <v>198</v>
      </c>
      <c r="AS88" s="42" t="s">
        <v>198</v>
      </c>
      <c r="AT88" s="47">
        <f t="shared" si="17"/>
        <v>0.41816304210522504</v>
      </c>
      <c r="AU88" s="47">
        <f t="shared" si="13"/>
        <v>0.41816304210522504</v>
      </c>
      <c r="AV88" s="47">
        <f t="shared" si="18"/>
        <v>0.13723425409202292</v>
      </c>
      <c r="AW88" s="48">
        <f t="shared" si="15"/>
        <v>278.47087861808069</v>
      </c>
      <c r="AX88" s="42" t="s">
        <v>198</v>
      </c>
      <c r="AY88" s="42" t="s">
        <v>198</v>
      </c>
      <c r="AZ88" s="42" t="s">
        <v>198</v>
      </c>
      <c r="BA88" s="42">
        <v>218.7</v>
      </c>
      <c r="BB88" s="42">
        <v>486.9</v>
      </c>
      <c r="BC88" s="49">
        <f t="shared" si="19"/>
        <v>0.75600000000000001</v>
      </c>
      <c r="BD88" s="45">
        <v>0.20699999999999999</v>
      </c>
      <c r="BE88" s="42" t="s">
        <v>710</v>
      </c>
      <c r="BF88" s="42" t="s">
        <v>198</v>
      </c>
      <c r="BG88" s="42" t="s">
        <v>198</v>
      </c>
      <c r="BH88" s="42" t="s">
        <v>198</v>
      </c>
      <c r="BI88" s="42">
        <v>32.1</v>
      </c>
      <c r="BJ88" s="42" t="s">
        <v>198</v>
      </c>
      <c r="BK88" s="42" t="s">
        <v>198</v>
      </c>
      <c r="BL88" s="42" t="s">
        <v>810</v>
      </c>
      <c r="BM88" s="42" t="s">
        <v>791</v>
      </c>
      <c r="BN88" s="42" t="s">
        <v>769</v>
      </c>
    </row>
    <row r="89" spans="2:66" x14ac:dyDescent="0.3">
      <c r="B89" s="42">
        <v>81</v>
      </c>
      <c r="C89" s="42">
        <v>2</v>
      </c>
      <c r="D89" s="42" t="s">
        <v>1525</v>
      </c>
      <c r="E89" s="42" t="s">
        <v>718</v>
      </c>
      <c r="F89" s="42">
        <v>3</v>
      </c>
      <c r="G89" s="42" t="s">
        <v>752</v>
      </c>
      <c r="H89" s="42" t="s">
        <v>635</v>
      </c>
      <c r="I89" s="42"/>
      <c r="J89" s="42" t="s">
        <v>754</v>
      </c>
      <c r="K89" s="42" t="s">
        <v>694</v>
      </c>
      <c r="L89" s="42">
        <v>250</v>
      </c>
      <c r="M89" s="42">
        <f t="shared" si="16"/>
        <v>180</v>
      </c>
      <c r="N89" s="42">
        <v>26</v>
      </c>
      <c r="O89" s="42" t="s">
        <v>695</v>
      </c>
      <c r="P89" s="43">
        <v>0</v>
      </c>
      <c r="Q89" s="43">
        <v>1</v>
      </c>
      <c r="R89" s="43">
        <v>0</v>
      </c>
      <c r="S89" s="43">
        <v>0</v>
      </c>
      <c r="T89" s="42" t="s">
        <v>756</v>
      </c>
      <c r="U89" s="44">
        <v>0.65</v>
      </c>
      <c r="V89" s="42" t="s">
        <v>198</v>
      </c>
      <c r="W89" s="42" t="s">
        <v>198</v>
      </c>
      <c r="X89" s="42" t="s">
        <v>757</v>
      </c>
      <c r="Y89" s="42" t="s">
        <v>1412</v>
      </c>
      <c r="Z89" s="42" t="s">
        <v>696</v>
      </c>
      <c r="AA89" s="42" t="s">
        <v>454</v>
      </c>
      <c r="AB89" s="42">
        <v>32</v>
      </c>
      <c r="AC89" s="42">
        <v>365</v>
      </c>
      <c r="AD89" s="43">
        <v>0.1</v>
      </c>
      <c r="AE89" s="42" t="s">
        <v>698</v>
      </c>
      <c r="AF89" s="42" t="s">
        <v>699</v>
      </c>
      <c r="AG89" s="30" t="s">
        <v>755</v>
      </c>
      <c r="AH89" s="42" t="s">
        <v>451</v>
      </c>
      <c r="AI89" s="42" t="s">
        <v>198</v>
      </c>
      <c r="AJ89" s="45">
        <v>3.0000000000000001E-3</v>
      </c>
      <c r="AK89" s="45">
        <v>0.57999999999999996</v>
      </c>
      <c r="AL89" s="45">
        <v>0.57999999999999996</v>
      </c>
      <c r="AM89" s="46">
        <v>3.6400000000000002E-2</v>
      </c>
      <c r="AN89" s="46">
        <v>1.6000000000000001E-3</v>
      </c>
      <c r="AO89" s="42" t="s">
        <v>198</v>
      </c>
      <c r="AP89" s="46">
        <f t="shared" si="20"/>
        <v>0.37900000000000006</v>
      </c>
      <c r="AQ89" s="42" t="s">
        <v>198</v>
      </c>
      <c r="AR89" s="42" t="s">
        <v>198</v>
      </c>
      <c r="AS89" s="42" t="s">
        <v>198</v>
      </c>
      <c r="AT89" s="47">
        <f t="shared" si="17"/>
        <v>0.74791134060688347</v>
      </c>
      <c r="AU89" s="47">
        <f t="shared" si="13"/>
        <v>0.74791134060688347</v>
      </c>
      <c r="AV89" s="47">
        <f t="shared" si="18"/>
        <v>0.49055386004728752</v>
      </c>
      <c r="AW89" s="48">
        <f t="shared" ref="AW89:AW111" si="21">AK89/AN89*14.0067/12.0107</f>
        <v>422.74211744527787</v>
      </c>
      <c r="AX89" s="42" t="s">
        <v>198</v>
      </c>
      <c r="AY89" s="42" t="s">
        <v>198</v>
      </c>
      <c r="AZ89" s="42" t="s">
        <v>198</v>
      </c>
      <c r="BA89" s="42">
        <v>139.69999999999999</v>
      </c>
      <c r="BB89" s="42">
        <v>501.2</v>
      </c>
      <c r="BC89" s="49">
        <f t="shared" si="19"/>
        <v>0.38600000000000001</v>
      </c>
      <c r="BD89" s="45">
        <v>0.61099999999999999</v>
      </c>
      <c r="BE89" s="42" t="s">
        <v>710</v>
      </c>
      <c r="BF89" s="42" t="s">
        <v>198</v>
      </c>
      <c r="BG89" s="42" t="s">
        <v>198</v>
      </c>
      <c r="BH89" s="42" t="s">
        <v>198</v>
      </c>
      <c r="BI89" s="42">
        <v>28.4</v>
      </c>
      <c r="BJ89" s="42" t="s">
        <v>198</v>
      </c>
      <c r="BK89" s="42" t="s">
        <v>198</v>
      </c>
      <c r="BL89" s="42" t="s">
        <v>198</v>
      </c>
      <c r="BM89" s="42" t="s">
        <v>198</v>
      </c>
      <c r="BN89" s="42" t="s">
        <v>198</v>
      </c>
    </row>
    <row r="90" spans="2:66" x14ac:dyDescent="0.3">
      <c r="B90" s="42">
        <v>82</v>
      </c>
      <c r="C90" s="42">
        <v>2</v>
      </c>
      <c r="D90" s="42" t="s">
        <v>1525</v>
      </c>
      <c r="E90" s="42" t="s">
        <v>731</v>
      </c>
      <c r="F90" s="42">
        <v>3</v>
      </c>
      <c r="G90" s="42" t="s">
        <v>752</v>
      </c>
      <c r="H90" s="42" t="s">
        <v>635</v>
      </c>
      <c r="I90" s="42"/>
      <c r="J90" s="42" t="s">
        <v>754</v>
      </c>
      <c r="K90" s="42" t="s">
        <v>694</v>
      </c>
      <c r="L90" s="42">
        <v>400</v>
      </c>
      <c r="M90" s="42">
        <f t="shared" si="16"/>
        <v>180</v>
      </c>
      <c r="N90" s="42">
        <v>26</v>
      </c>
      <c r="O90" s="42" t="s">
        <v>695</v>
      </c>
      <c r="P90" s="43">
        <v>0</v>
      </c>
      <c r="Q90" s="43">
        <v>1</v>
      </c>
      <c r="R90" s="43">
        <v>0</v>
      </c>
      <c r="S90" s="43">
        <v>0</v>
      </c>
      <c r="T90" s="42" t="s">
        <v>756</v>
      </c>
      <c r="U90" s="44">
        <v>0.65</v>
      </c>
      <c r="V90" s="42" t="s">
        <v>198</v>
      </c>
      <c r="W90" s="42" t="s">
        <v>198</v>
      </c>
      <c r="X90" s="42" t="s">
        <v>757</v>
      </c>
      <c r="Y90" s="42" t="s">
        <v>1412</v>
      </c>
      <c r="Z90" s="42" t="s">
        <v>696</v>
      </c>
      <c r="AA90" s="42" t="s">
        <v>454</v>
      </c>
      <c r="AB90" s="42">
        <v>32</v>
      </c>
      <c r="AC90" s="42">
        <v>365</v>
      </c>
      <c r="AD90" s="43">
        <v>0.1</v>
      </c>
      <c r="AE90" s="42" t="s">
        <v>698</v>
      </c>
      <c r="AF90" s="42" t="s">
        <v>699</v>
      </c>
      <c r="AG90" s="30" t="s">
        <v>755</v>
      </c>
      <c r="AH90" s="42" t="s">
        <v>451</v>
      </c>
      <c r="AI90" s="42" t="s">
        <v>198</v>
      </c>
      <c r="AJ90" s="45">
        <v>5.0000000000000001E-3</v>
      </c>
      <c r="AK90" s="45">
        <v>0.68599999999999994</v>
      </c>
      <c r="AL90" s="45">
        <v>0.68599999999999994</v>
      </c>
      <c r="AM90" s="46">
        <v>5.28E-2</v>
      </c>
      <c r="AN90" s="46">
        <v>2.2000000000000001E-3</v>
      </c>
      <c r="AO90" s="42" t="s">
        <v>198</v>
      </c>
      <c r="AP90" s="46">
        <f t="shared" si="20"/>
        <v>0.25400000000000006</v>
      </c>
      <c r="AQ90" s="42" t="s">
        <v>198</v>
      </c>
      <c r="AR90" s="42" t="s">
        <v>198</v>
      </c>
      <c r="AS90" s="42" t="s">
        <v>198</v>
      </c>
      <c r="AT90" s="47">
        <f t="shared" si="17"/>
        <v>0.91724749682605</v>
      </c>
      <c r="AU90" s="47">
        <f t="shared" si="13"/>
        <v>0.91724749682605</v>
      </c>
      <c r="AV90" s="47">
        <f t="shared" si="18"/>
        <v>0.27796177858783822</v>
      </c>
      <c r="AW90" s="48">
        <f t="shared" si="21"/>
        <v>363.63773362690989</v>
      </c>
      <c r="AX90" s="42" t="s">
        <v>198</v>
      </c>
      <c r="AY90" s="42" t="s">
        <v>198</v>
      </c>
      <c r="AZ90" s="42" t="s">
        <v>198</v>
      </c>
      <c r="BA90" s="42">
        <v>2.9</v>
      </c>
      <c r="BB90" s="42">
        <v>410.8</v>
      </c>
      <c r="BC90" s="49">
        <f t="shared" si="19"/>
        <v>0.40900000000000003</v>
      </c>
      <c r="BD90" s="45">
        <v>0.58599999999999997</v>
      </c>
      <c r="BE90" s="42" t="s">
        <v>710</v>
      </c>
      <c r="BF90" s="42" t="s">
        <v>198</v>
      </c>
      <c r="BG90" s="42" t="s">
        <v>198</v>
      </c>
      <c r="BH90" s="42" t="s">
        <v>198</v>
      </c>
      <c r="BI90" s="42">
        <v>41.3</v>
      </c>
      <c r="BJ90" s="42" t="s">
        <v>198</v>
      </c>
      <c r="BK90" s="42" t="s">
        <v>198</v>
      </c>
      <c r="BL90" s="42" t="s">
        <v>804</v>
      </c>
      <c r="BM90" s="42" t="s">
        <v>777</v>
      </c>
      <c r="BN90" s="42" t="s">
        <v>773</v>
      </c>
    </row>
    <row r="91" spans="2:66" x14ac:dyDescent="0.3">
      <c r="B91" s="42">
        <v>83</v>
      </c>
      <c r="C91" s="42">
        <v>2</v>
      </c>
      <c r="D91" s="42" t="s">
        <v>1525</v>
      </c>
      <c r="E91" s="42" t="s">
        <v>732</v>
      </c>
      <c r="F91" s="42">
        <v>3</v>
      </c>
      <c r="G91" s="42" t="s">
        <v>752</v>
      </c>
      <c r="H91" s="42" t="s">
        <v>635</v>
      </c>
      <c r="I91" s="42"/>
      <c r="J91" s="42" t="s">
        <v>754</v>
      </c>
      <c r="K91" s="42" t="s">
        <v>694</v>
      </c>
      <c r="L91" s="42">
        <v>525</v>
      </c>
      <c r="M91" s="42">
        <f t="shared" si="16"/>
        <v>180</v>
      </c>
      <c r="N91" s="42">
        <v>26</v>
      </c>
      <c r="O91" s="42" t="s">
        <v>695</v>
      </c>
      <c r="P91" s="43">
        <v>0</v>
      </c>
      <c r="Q91" s="43">
        <v>1</v>
      </c>
      <c r="R91" s="43">
        <v>0</v>
      </c>
      <c r="S91" s="43">
        <v>0</v>
      </c>
      <c r="T91" s="42" t="s">
        <v>756</v>
      </c>
      <c r="U91" s="44">
        <v>0.65</v>
      </c>
      <c r="V91" s="42" t="s">
        <v>198</v>
      </c>
      <c r="W91" s="42" t="s">
        <v>198</v>
      </c>
      <c r="X91" s="42" t="s">
        <v>757</v>
      </c>
      <c r="Y91" s="42" t="s">
        <v>1412</v>
      </c>
      <c r="Z91" s="42" t="s">
        <v>696</v>
      </c>
      <c r="AA91" s="42" t="s">
        <v>454</v>
      </c>
      <c r="AB91" s="42">
        <v>32</v>
      </c>
      <c r="AC91" s="42">
        <v>365</v>
      </c>
      <c r="AD91" s="43">
        <v>0.1</v>
      </c>
      <c r="AE91" s="42" t="s">
        <v>698</v>
      </c>
      <c r="AF91" s="42" t="s">
        <v>699</v>
      </c>
      <c r="AG91" s="30" t="s">
        <v>755</v>
      </c>
      <c r="AH91" s="42" t="s">
        <v>451</v>
      </c>
      <c r="AI91" s="42" t="s">
        <v>198</v>
      </c>
      <c r="AJ91" s="45">
        <v>1.2E-2</v>
      </c>
      <c r="AK91" s="45">
        <v>0.80599999999999994</v>
      </c>
      <c r="AL91" s="45">
        <v>0.80599999999999994</v>
      </c>
      <c r="AM91" s="46">
        <v>5.1200000000000002E-2</v>
      </c>
      <c r="AN91" s="46">
        <v>2.9499999999999999E-3</v>
      </c>
      <c r="AO91" s="42" t="s">
        <v>198</v>
      </c>
      <c r="AP91" s="46">
        <f t="shared" si="20"/>
        <v>0.12785000000000005</v>
      </c>
      <c r="AQ91" s="42" t="s">
        <v>198</v>
      </c>
      <c r="AR91" s="42" t="s">
        <v>198</v>
      </c>
      <c r="AS91" s="42" t="s">
        <v>198</v>
      </c>
      <c r="AT91" s="47">
        <f t="shared" si="17"/>
        <v>0.75702748516149521</v>
      </c>
      <c r="AU91" s="47">
        <f t="shared" si="13"/>
        <v>0.75702748516149521</v>
      </c>
      <c r="AV91" s="47">
        <f t="shared" si="18"/>
        <v>0.11908064314503533</v>
      </c>
      <c r="AW91" s="48">
        <f t="shared" si="21"/>
        <v>318.62550242982496</v>
      </c>
      <c r="AX91" s="42" t="s">
        <v>198</v>
      </c>
      <c r="AY91" s="42" t="s">
        <v>198</v>
      </c>
      <c r="AZ91" s="42" t="s">
        <v>198</v>
      </c>
      <c r="BA91" s="42">
        <v>206.1</v>
      </c>
      <c r="BB91" s="42">
        <v>396.4</v>
      </c>
      <c r="BC91" s="49">
        <f t="shared" si="19"/>
        <v>0.73099999999999998</v>
      </c>
      <c r="BD91" s="45">
        <v>0.25700000000000001</v>
      </c>
      <c r="BE91" s="42" t="s">
        <v>710</v>
      </c>
      <c r="BF91" s="42" t="s">
        <v>198</v>
      </c>
      <c r="BG91" s="42" t="s">
        <v>198</v>
      </c>
      <c r="BH91" s="42" t="s">
        <v>198</v>
      </c>
      <c r="BI91" s="42">
        <v>37.799999999999997</v>
      </c>
      <c r="BJ91" s="42" t="s">
        <v>198</v>
      </c>
      <c r="BK91" s="42" t="s">
        <v>198</v>
      </c>
      <c r="BL91" s="42" t="s">
        <v>805</v>
      </c>
      <c r="BM91" s="42" t="s">
        <v>778</v>
      </c>
      <c r="BN91" s="42" t="s">
        <v>774</v>
      </c>
    </row>
    <row r="92" spans="2:66" x14ac:dyDescent="0.3">
      <c r="B92" s="42">
        <v>84</v>
      </c>
      <c r="C92" s="42">
        <v>2</v>
      </c>
      <c r="D92" s="42" t="s">
        <v>1525</v>
      </c>
      <c r="E92" s="42" t="s">
        <v>733</v>
      </c>
      <c r="F92" s="42">
        <v>3</v>
      </c>
      <c r="G92" s="42" t="s">
        <v>752</v>
      </c>
      <c r="H92" s="42" t="s">
        <v>635</v>
      </c>
      <c r="I92" s="42"/>
      <c r="J92" s="42" t="s">
        <v>754</v>
      </c>
      <c r="K92" s="42" t="s">
        <v>694</v>
      </c>
      <c r="L92" s="42">
        <v>650</v>
      </c>
      <c r="M92" s="42">
        <f t="shared" si="16"/>
        <v>180</v>
      </c>
      <c r="N92" s="42">
        <v>26</v>
      </c>
      <c r="O92" s="42" t="s">
        <v>695</v>
      </c>
      <c r="P92" s="43">
        <v>0</v>
      </c>
      <c r="Q92" s="43">
        <v>1</v>
      </c>
      <c r="R92" s="43">
        <v>0</v>
      </c>
      <c r="S92" s="43">
        <v>0</v>
      </c>
      <c r="T92" s="42" t="s">
        <v>756</v>
      </c>
      <c r="U92" s="44">
        <v>0.65</v>
      </c>
      <c r="V92" s="42" t="s">
        <v>198</v>
      </c>
      <c r="W92" s="42" t="s">
        <v>198</v>
      </c>
      <c r="X92" s="42" t="s">
        <v>757</v>
      </c>
      <c r="Y92" s="42" t="s">
        <v>1412</v>
      </c>
      <c r="Z92" s="42" t="s">
        <v>696</v>
      </c>
      <c r="AA92" s="42" t="s">
        <v>454</v>
      </c>
      <c r="AB92" s="42">
        <v>32</v>
      </c>
      <c r="AC92" s="42">
        <v>365</v>
      </c>
      <c r="AD92" s="43">
        <v>0.1</v>
      </c>
      <c r="AE92" s="42" t="s">
        <v>698</v>
      </c>
      <c r="AF92" s="42" t="s">
        <v>699</v>
      </c>
      <c r="AG92" s="30" t="s">
        <v>755</v>
      </c>
      <c r="AH92" s="42" t="s">
        <v>451</v>
      </c>
      <c r="AI92" s="42" t="s">
        <v>198</v>
      </c>
      <c r="AJ92" s="45">
        <v>1.1000000000000001E-2</v>
      </c>
      <c r="AK92" s="45">
        <v>0.83</v>
      </c>
      <c r="AL92" s="45">
        <v>0.83</v>
      </c>
      <c r="AM92" s="46">
        <v>4.5899999999999996E-2</v>
      </c>
      <c r="AN92" s="46">
        <v>2.0999999999999999E-3</v>
      </c>
      <c r="AO92" s="42" t="s">
        <v>198</v>
      </c>
      <c r="AP92" s="46">
        <f t="shared" si="20"/>
        <v>0.11100000000000003</v>
      </c>
      <c r="AQ92" s="42" t="s">
        <v>198</v>
      </c>
      <c r="AR92" s="42" t="s">
        <v>198</v>
      </c>
      <c r="AS92" s="42" t="s">
        <v>198</v>
      </c>
      <c r="AT92" s="47">
        <f t="shared" si="17"/>
        <v>0.65903931251279113</v>
      </c>
      <c r="AU92" s="47">
        <f t="shared" si="13"/>
        <v>0.65903931251279113</v>
      </c>
      <c r="AV92" s="47">
        <f t="shared" si="18"/>
        <v>0.10039691486742021</v>
      </c>
      <c r="AW92" s="48">
        <f t="shared" si="21"/>
        <v>460.92079800273331</v>
      </c>
      <c r="AX92" s="42" t="s">
        <v>198</v>
      </c>
      <c r="AY92" s="42" t="s">
        <v>198</v>
      </c>
      <c r="AZ92" s="42" t="s">
        <v>198</v>
      </c>
      <c r="BA92" s="42">
        <v>393.9</v>
      </c>
      <c r="BB92" s="42">
        <v>585.70000000000005</v>
      </c>
      <c r="BC92" s="49">
        <f t="shared" si="19"/>
        <v>0.73699999999999999</v>
      </c>
      <c r="BD92" s="45">
        <v>0.252</v>
      </c>
      <c r="BE92" s="42" t="s">
        <v>710</v>
      </c>
      <c r="BF92" s="42" t="s">
        <v>198</v>
      </c>
      <c r="BG92" s="42" t="s">
        <v>198</v>
      </c>
      <c r="BH92" s="42" t="s">
        <v>198</v>
      </c>
      <c r="BI92" s="42">
        <v>26.6</v>
      </c>
      <c r="BJ92" s="42" t="s">
        <v>198</v>
      </c>
      <c r="BK92" s="42" t="s">
        <v>198</v>
      </c>
      <c r="BL92" s="42" t="s">
        <v>806</v>
      </c>
      <c r="BM92" s="42" t="s">
        <v>779</v>
      </c>
      <c r="BN92" s="42" t="s">
        <v>775</v>
      </c>
    </row>
    <row r="93" spans="2:66" x14ac:dyDescent="0.3">
      <c r="B93" s="42">
        <v>85</v>
      </c>
      <c r="C93" s="42">
        <v>2</v>
      </c>
      <c r="D93" s="42" t="s">
        <v>1525</v>
      </c>
      <c r="E93" s="42" t="s">
        <v>719</v>
      </c>
      <c r="F93" s="42">
        <v>3</v>
      </c>
      <c r="G93" s="42" t="s">
        <v>753</v>
      </c>
      <c r="H93" s="42" t="s">
        <v>693</v>
      </c>
      <c r="I93" s="42"/>
      <c r="J93" s="42" t="s">
        <v>754</v>
      </c>
      <c r="K93" s="42" t="s">
        <v>694</v>
      </c>
      <c r="L93" s="42">
        <v>250</v>
      </c>
      <c r="M93" s="42">
        <f t="shared" si="16"/>
        <v>180</v>
      </c>
      <c r="N93" s="42">
        <v>26</v>
      </c>
      <c r="O93" s="42" t="s">
        <v>695</v>
      </c>
      <c r="P93" s="43">
        <v>0</v>
      </c>
      <c r="Q93" s="43">
        <v>1</v>
      </c>
      <c r="R93" s="43">
        <v>0</v>
      </c>
      <c r="S93" s="43">
        <v>0</v>
      </c>
      <c r="T93" s="42" t="s">
        <v>756</v>
      </c>
      <c r="U93" s="44">
        <v>0.65</v>
      </c>
      <c r="V93" s="42" t="s">
        <v>198</v>
      </c>
      <c r="W93" s="42" t="s">
        <v>198</v>
      </c>
      <c r="X93" s="42" t="s">
        <v>757</v>
      </c>
      <c r="Y93" s="42" t="s">
        <v>1412</v>
      </c>
      <c r="Z93" s="42" t="s">
        <v>696</v>
      </c>
      <c r="AA93" s="42" t="s">
        <v>454</v>
      </c>
      <c r="AB93" s="42">
        <v>32</v>
      </c>
      <c r="AC93" s="42">
        <v>365</v>
      </c>
      <c r="AD93" s="43">
        <v>0.1</v>
      </c>
      <c r="AE93" s="42" t="s">
        <v>698</v>
      </c>
      <c r="AF93" s="42" t="s">
        <v>699</v>
      </c>
      <c r="AG93" s="30" t="s">
        <v>755</v>
      </c>
      <c r="AH93" s="42" t="s">
        <v>451</v>
      </c>
      <c r="AI93" s="42" t="s">
        <v>198</v>
      </c>
      <c r="AJ93" s="45">
        <v>9.5000000000000001E-2</v>
      </c>
      <c r="AK93" s="45">
        <v>0.56200000000000006</v>
      </c>
      <c r="AL93" s="45">
        <v>0.56200000000000006</v>
      </c>
      <c r="AM93" s="46">
        <v>2.6349999999999998E-2</v>
      </c>
      <c r="AN93" s="46">
        <v>8.3000000000000001E-3</v>
      </c>
      <c r="AO93" s="42" t="s">
        <v>198</v>
      </c>
      <c r="AP93" s="46">
        <f t="shared" si="20"/>
        <v>0.30835000000000001</v>
      </c>
      <c r="AQ93" s="42" t="s">
        <v>198</v>
      </c>
      <c r="AR93" s="42" t="s">
        <v>198</v>
      </c>
      <c r="AS93" s="42" t="s">
        <v>198</v>
      </c>
      <c r="AT93" s="47">
        <f t="shared" si="17"/>
        <v>0.55875449818617751</v>
      </c>
      <c r="AU93" s="47">
        <f t="shared" si="13"/>
        <v>0.55875449818617751</v>
      </c>
      <c r="AV93" s="47">
        <f t="shared" si="18"/>
        <v>0.41189177359617002</v>
      </c>
      <c r="AW93" s="48">
        <f t="shared" si="21"/>
        <v>78.963380142665983</v>
      </c>
      <c r="AX93" s="42" t="s">
        <v>198</v>
      </c>
      <c r="AY93" s="42" t="s">
        <v>198</v>
      </c>
      <c r="AZ93" s="42" t="s">
        <v>198</v>
      </c>
      <c r="BA93" s="42">
        <v>24.3</v>
      </c>
      <c r="BB93" s="42">
        <v>334.9</v>
      </c>
      <c r="BC93" s="49">
        <f t="shared" si="19"/>
        <v>0.18700000000000006</v>
      </c>
      <c r="BD93" s="45">
        <v>0.71799999999999997</v>
      </c>
      <c r="BE93" s="42" t="s">
        <v>710</v>
      </c>
      <c r="BF93" s="42" t="s">
        <v>198</v>
      </c>
      <c r="BG93" s="42" t="s">
        <v>198</v>
      </c>
      <c r="BH93" s="42" t="s">
        <v>198</v>
      </c>
      <c r="BI93" s="42">
        <v>32.799999999999997</v>
      </c>
      <c r="BJ93" s="42" t="s">
        <v>198</v>
      </c>
      <c r="BK93" s="42" t="s">
        <v>198</v>
      </c>
      <c r="BL93" s="42" t="s">
        <v>198</v>
      </c>
      <c r="BM93" s="42" t="s">
        <v>198</v>
      </c>
      <c r="BN93" s="42" t="s">
        <v>198</v>
      </c>
    </row>
    <row r="94" spans="2:66" x14ac:dyDescent="0.3">
      <c r="B94" s="42">
        <v>86</v>
      </c>
      <c r="C94" s="42">
        <v>2</v>
      </c>
      <c r="D94" s="42" t="s">
        <v>1525</v>
      </c>
      <c r="E94" s="42" t="s">
        <v>734</v>
      </c>
      <c r="F94" s="42">
        <v>3</v>
      </c>
      <c r="G94" s="42" t="s">
        <v>753</v>
      </c>
      <c r="H94" s="42" t="s">
        <v>693</v>
      </c>
      <c r="I94" s="42"/>
      <c r="J94" s="42" t="s">
        <v>754</v>
      </c>
      <c r="K94" s="42" t="s">
        <v>694</v>
      </c>
      <c r="L94" s="42">
        <v>400</v>
      </c>
      <c r="M94" s="42">
        <f t="shared" si="16"/>
        <v>180</v>
      </c>
      <c r="N94" s="42">
        <v>26</v>
      </c>
      <c r="O94" s="42" t="s">
        <v>695</v>
      </c>
      <c r="P94" s="43">
        <v>0</v>
      </c>
      <c r="Q94" s="43">
        <v>1</v>
      </c>
      <c r="R94" s="43">
        <v>0</v>
      </c>
      <c r="S94" s="43">
        <v>0</v>
      </c>
      <c r="T94" s="42" t="s">
        <v>756</v>
      </c>
      <c r="U94" s="44">
        <v>0.65</v>
      </c>
      <c r="V94" s="42" t="s">
        <v>198</v>
      </c>
      <c r="W94" s="42" t="s">
        <v>198</v>
      </c>
      <c r="X94" s="42" t="s">
        <v>757</v>
      </c>
      <c r="Y94" s="42" t="s">
        <v>1412</v>
      </c>
      <c r="Z94" s="42" t="s">
        <v>696</v>
      </c>
      <c r="AA94" s="42" t="s">
        <v>454</v>
      </c>
      <c r="AB94" s="42">
        <v>32</v>
      </c>
      <c r="AC94" s="42">
        <v>365</v>
      </c>
      <c r="AD94" s="43">
        <v>0.1</v>
      </c>
      <c r="AE94" s="42" t="s">
        <v>698</v>
      </c>
      <c r="AF94" s="42" t="s">
        <v>699</v>
      </c>
      <c r="AG94" s="42" t="s">
        <v>755</v>
      </c>
      <c r="AH94" s="42" t="s">
        <v>451</v>
      </c>
      <c r="AI94" s="42" t="s">
        <v>198</v>
      </c>
      <c r="AJ94" s="45">
        <v>2.7000000000000003E-2</v>
      </c>
      <c r="AK94" s="45">
        <v>0.60899999999999999</v>
      </c>
      <c r="AL94" s="45">
        <v>0.60899999999999999</v>
      </c>
      <c r="AM94" s="46">
        <v>4.6500000000000007E-2</v>
      </c>
      <c r="AN94" s="46">
        <v>7.7499999999999999E-3</v>
      </c>
      <c r="AO94" s="42" t="s">
        <v>198</v>
      </c>
      <c r="AP94" s="46">
        <f t="shared" si="20"/>
        <v>0.30975000000000003</v>
      </c>
      <c r="AQ94" s="42" t="s">
        <v>198</v>
      </c>
      <c r="AR94" s="42" t="s">
        <v>198</v>
      </c>
      <c r="AS94" s="42" t="s">
        <v>198</v>
      </c>
      <c r="AT94" s="47">
        <f t="shared" si="17"/>
        <v>0.90993922915280179</v>
      </c>
      <c r="AU94" s="47">
        <f t="shared" si="13"/>
        <v>0.90993922915280179</v>
      </c>
      <c r="AV94" s="47">
        <f t="shared" si="18"/>
        <v>0.3818295216726908</v>
      </c>
      <c r="AW94" s="48">
        <f t="shared" si="21"/>
        <v>91.639581588137673</v>
      </c>
      <c r="AX94" s="42" t="s">
        <v>198</v>
      </c>
      <c r="AY94" s="42" t="s">
        <v>198</v>
      </c>
      <c r="AZ94" s="42" t="s">
        <v>198</v>
      </c>
      <c r="BA94" s="42">
        <v>6.4</v>
      </c>
      <c r="BB94" s="42">
        <v>204.4</v>
      </c>
      <c r="BC94" s="49">
        <f t="shared" si="19"/>
        <v>0.33399999999999996</v>
      </c>
      <c r="BD94" s="45">
        <v>0.63900000000000001</v>
      </c>
      <c r="BE94" s="42" t="s">
        <v>710</v>
      </c>
      <c r="BF94" s="42" t="s">
        <v>198</v>
      </c>
      <c r="BG94" s="42" t="s">
        <v>198</v>
      </c>
      <c r="BH94" s="42" t="s">
        <v>198</v>
      </c>
      <c r="BI94" s="42">
        <v>26.1</v>
      </c>
      <c r="BJ94" s="42" t="s">
        <v>198</v>
      </c>
      <c r="BK94" s="42" t="s">
        <v>198</v>
      </c>
      <c r="BL94" s="42" t="s">
        <v>796</v>
      </c>
      <c r="BM94" s="42" t="s">
        <v>781</v>
      </c>
      <c r="BN94" s="42" t="s">
        <v>760</v>
      </c>
    </row>
    <row r="95" spans="2:66" x14ac:dyDescent="0.3">
      <c r="B95" s="42">
        <v>87</v>
      </c>
      <c r="C95" s="42">
        <v>2</v>
      </c>
      <c r="D95" s="42" t="s">
        <v>1525</v>
      </c>
      <c r="E95" s="42" t="s">
        <v>735</v>
      </c>
      <c r="F95" s="42">
        <v>3</v>
      </c>
      <c r="G95" s="42" t="s">
        <v>753</v>
      </c>
      <c r="H95" s="42" t="s">
        <v>693</v>
      </c>
      <c r="I95" s="42"/>
      <c r="J95" s="42" t="s">
        <v>754</v>
      </c>
      <c r="K95" s="42" t="s">
        <v>694</v>
      </c>
      <c r="L95" s="42">
        <v>525</v>
      </c>
      <c r="M95" s="42">
        <f t="shared" si="16"/>
        <v>180</v>
      </c>
      <c r="N95" s="42">
        <v>26</v>
      </c>
      <c r="O95" s="42" t="s">
        <v>695</v>
      </c>
      <c r="P95" s="43">
        <v>0</v>
      </c>
      <c r="Q95" s="43">
        <v>1</v>
      </c>
      <c r="R95" s="43">
        <v>0</v>
      </c>
      <c r="S95" s="43">
        <v>0</v>
      </c>
      <c r="T95" s="42" t="s">
        <v>756</v>
      </c>
      <c r="U95" s="44">
        <v>0.65</v>
      </c>
      <c r="V95" s="42" t="s">
        <v>198</v>
      </c>
      <c r="W95" s="42" t="s">
        <v>198</v>
      </c>
      <c r="X95" s="42" t="s">
        <v>757</v>
      </c>
      <c r="Y95" s="42" t="s">
        <v>1412</v>
      </c>
      <c r="Z95" s="42" t="s">
        <v>696</v>
      </c>
      <c r="AA95" s="42" t="s">
        <v>454</v>
      </c>
      <c r="AB95" s="42">
        <v>32</v>
      </c>
      <c r="AC95" s="42">
        <v>365</v>
      </c>
      <c r="AD95" s="43">
        <v>0.1</v>
      </c>
      <c r="AE95" s="42" t="s">
        <v>698</v>
      </c>
      <c r="AF95" s="42" t="s">
        <v>699</v>
      </c>
      <c r="AG95" s="42" t="s">
        <v>755</v>
      </c>
      <c r="AH95" s="42" t="s">
        <v>451</v>
      </c>
      <c r="AI95" s="42" t="s">
        <v>198</v>
      </c>
      <c r="AJ95" s="45">
        <v>8.6999999999999994E-2</v>
      </c>
      <c r="AK95" s="45">
        <v>0.65700000000000003</v>
      </c>
      <c r="AL95" s="45">
        <v>0.65700000000000003</v>
      </c>
      <c r="AM95" s="46">
        <v>3.2050000000000002E-2</v>
      </c>
      <c r="AN95" s="46">
        <v>8.8000000000000005E-3</v>
      </c>
      <c r="AO95" s="42" t="s">
        <v>198</v>
      </c>
      <c r="AP95" s="46">
        <f t="shared" si="20"/>
        <v>0.21515000000000001</v>
      </c>
      <c r="AQ95" s="42" t="s">
        <v>198</v>
      </c>
      <c r="AR95" s="42" t="s">
        <v>198</v>
      </c>
      <c r="AS95" s="42" t="s">
        <v>198</v>
      </c>
      <c r="AT95" s="47">
        <f t="shared" si="17"/>
        <v>0.58135229692664614</v>
      </c>
      <c r="AU95" s="47">
        <f t="shared" si="13"/>
        <v>0.58135229692664614</v>
      </c>
      <c r="AV95" s="47">
        <f t="shared" si="18"/>
        <v>0.24583938560467486</v>
      </c>
      <c r="AW95" s="48">
        <f t="shared" si="21"/>
        <v>87.066323248134054</v>
      </c>
      <c r="AX95" s="42" t="s">
        <v>198</v>
      </c>
      <c r="AY95" s="42" t="s">
        <v>198</v>
      </c>
      <c r="AZ95" s="42" t="s">
        <v>198</v>
      </c>
      <c r="BA95" s="42">
        <v>416.3</v>
      </c>
      <c r="BB95" s="42">
        <v>523.1</v>
      </c>
      <c r="BC95" s="49">
        <f t="shared" si="19"/>
        <v>0.36199999999999999</v>
      </c>
      <c r="BD95" s="45">
        <v>0.55100000000000005</v>
      </c>
      <c r="BE95" s="42" t="s">
        <v>710</v>
      </c>
      <c r="BF95" s="42" t="s">
        <v>198</v>
      </c>
      <c r="BG95" s="42" t="s">
        <v>198</v>
      </c>
      <c r="BH95" s="42" t="s">
        <v>198</v>
      </c>
      <c r="BI95" s="42">
        <v>20.7</v>
      </c>
      <c r="BJ95" s="42" t="s">
        <v>198</v>
      </c>
      <c r="BK95" s="42" t="s">
        <v>198</v>
      </c>
      <c r="BL95" s="42" t="s">
        <v>797</v>
      </c>
      <c r="BM95" s="42" t="s">
        <v>782</v>
      </c>
      <c r="BN95" s="42" t="s">
        <v>761</v>
      </c>
    </row>
    <row r="96" spans="2:66" x14ac:dyDescent="0.3">
      <c r="B96" s="42">
        <v>88</v>
      </c>
      <c r="C96" s="42">
        <v>2</v>
      </c>
      <c r="D96" s="42" t="s">
        <v>1525</v>
      </c>
      <c r="E96" s="42" t="s">
        <v>736</v>
      </c>
      <c r="F96" s="42">
        <v>3</v>
      </c>
      <c r="G96" s="42" t="s">
        <v>753</v>
      </c>
      <c r="H96" s="42" t="s">
        <v>693</v>
      </c>
      <c r="I96" s="42"/>
      <c r="J96" s="42" t="s">
        <v>754</v>
      </c>
      <c r="K96" s="42" t="s">
        <v>694</v>
      </c>
      <c r="L96" s="42">
        <v>650</v>
      </c>
      <c r="M96" s="42">
        <f t="shared" si="16"/>
        <v>180</v>
      </c>
      <c r="N96" s="42">
        <v>26</v>
      </c>
      <c r="O96" s="42" t="s">
        <v>695</v>
      </c>
      <c r="P96" s="34">
        <v>0</v>
      </c>
      <c r="Q96" s="34">
        <v>1</v>
      </c>
      <c r="R96" s="34">
        <v>0</v>
      </c>
      <c r="S96" s="43">
        <v>0</v>
      </c>
      <c r="T96" s="42" t="s">
        <v>756</v>
      </c>
      <c r="U96" s="44">
        <v>0.65</v>
      </c>
      <c r="V96" s="42" t="s">
        <v>198</v>
      </c>
      <c r="W96" s="42" t="s">
        <v>198</v>
      </c>
      <c r="X96" s="42" t="s">
        <v>757</v>
      </c>
      <c r="Y96" s="42" t="s">
        <v>1412</v>
      </c>
      <c r="Z96" s="42" t="s">
        <v>696</v>
      </c>
      <c r="AA96" s="42" t="s">
        <v>454</v>
      </c>
      <c r="AB96" s="42">
        <v>32</v>
      </c>
      <c r="AC96" s="42">
        <v>365</v>
      </c>
      <c r="AD96" s="43">
        <v>0.1</v>
      </c>
      <c r="AE96" s="42" t="s">
        <v>698</v>
      </c>
      <c r="AF96" s="42" t="s">
        <v>699</v>
      </c>
      <c r="AG96" s="42" t="s">
        <v>755</v>
      </c>
      <c r="AH96" s="42" t="s">
        <v>451</v>
      </c>
      <c r="AI96" s="42" t="s">
        <v>198</v>
      </c>
      <c r="AJ96" s="45">
        <v>6.8000000000000005E-2</v>
      </c>
      <c r="AK96" s="45">
        <v>0.72</v>
      </c>
      <c r="AL96" s="45">
        <v>0.72</v>
      </c>
      <c r="AM96" s="46">
        <v>3.125E-2</v>
      </c>
      <c r="AN96" s="46">
        <v>8.5000000000000006E-3</v>
      </c>
      <c r="AO96" s="42" t="s">
        <v>198</v>
      </c>
      <c r="AP96" s="46">
        <f t="shared" si="20"/>
        <v>0.17224999999999996</v>
      </c>
      <c r="AQ96" s="42" t="s">
        <v>198</v>
      </c>
      <c r="AR96" s="42" t="s">
        <v>198</v>
      </c>
      <c r="AS96" s="42" t="s">
        <v>198</v>
      </c>
      <c r="AT96" s="47">
        <f t="shared" si="17"/>
        <v>0.51724256137438041</v>
      </c>
      <c r="AU96" s="47">
        <f t="shared" si="13"/>
        <v>0.51724256137438041</v>
      </c>
      <c r="AV96" s="47">
        <f t="shared" si="18"/>
        <v>0.17959829737622487</v>
      </c>
      <c r="AW96" s="48">
        <f t="shared" si="21"/>
        <v>98.782742250904704</v>
      </c>
      <c r="AX96" s="42" t="s">
        <v>198</v>
      </c>
      <c r="AY96" s="42" t="s">
        <v>198</v>
      </c>
      <c r="AZ96" s="42" t="s">
        <v>198</v>
      </c>
      <c r="BA96" s="42">
        <v>116.6</v>
      </c>
      <c r="BB96" s="42">
        <v>576</v>
      </c>
      <c r="BC96" s="49">
        <f t="shared" si="19"/>
        <v>0.44399999999999995</v>
      </c>
      <c r="BD96" s="45">
        <v>0.48799999999999999</v>
      </c>
      <c r="BE96" s="42" t="s">
        <v>710</v>
      </c>
      <c r="BF96" s="42" t="s">
        <v>198</v>
      </c>
      <c r="BG96" s="42" t="s">
        <v>198</v>
      </c>
      <c r="BH96" s="42" t="s">
        <v>198</v>
      </c>
      <c r="BI96" s="42">
        <v>37.1</v>
      </c>
      <c r="BJ96" s="42" t="s">
        <v>198</v>
      </c>
      <c r="BK96" s="42" t="s">
        <v>198</v>
      </c>
      <c r="BL96" s="42" t="s">
        <v>798</v>
      </c>
      <c r="BM96" s="42" t="s">
        <v>783</v>
      </c>
      <c r="BN96" s="42" t="s">
        <v>762</v>
      </c>
    </row>
    <row r="97" spans="2:66" x14ac:dyDescent="0.3">
      <c r="B97" s="42">
        <v>89</v>
      </c>
      <c r="C97" s="42">
        <v>2</v>
      </c>
      <c r="D97" s="42" t="s">
        <v>1525</v>
      </c>
      <c r="E97" s="42" t="s">
        <v>737</v>
      </c>
      <c r="F97" s="42">
        <v>3</v>
      </c>
      <c r="G97" s="42" t="s">
        <v>751</v>
      </c>
      <c r="H97" s="42" t="s">
        <v>635</v>
      </c>
      <c r="I97" s="42"/>
      <c r="J97" s="42" t="s">
        <v>754</v>
      </c>
      <c r="K97" s="42" t="s">
        <v>694</v>
      </c>
      <c r="L97" s="42">
        <v>400</v>
      </c>
      <c r="M97" s="42">
        <f>72*60</f>
        <v>4320</v>
      </c>
      <c r="N97" s="42">
        <v>26</v>
      </c>
      <c r="O97" s="42" t="s">
        <v>695</v>
      </c>
      <c r="P97" s="34">
        <v>0</v>
      </c>
      <c r="Q97" s="34">
        <v>1</v>
      </c>
      <c r="R97" s="34">
        <v>0</v>
      </c>
      <c r="S97" s="43">
        <v>0</v>
      </c>
      <c r="T97" s="42" t="s">
        <v>756</v>
      </c>
      <c r="U97" s="44">
        <v>0.65</v>
      </c>
      <c r="V97" s="42" t="s">
        <v>198</v>
      </c>
      <c r="W97" s="42" t="s">
        <v>198</v>
      </c>
      <c r="X97" s="42" t="s">
        <v>757</v>
      </c>
      <c r="Y97" s="42" t="s">
        <v>1412</v>
      </c>
      <c r="Z97" s="42" t="s">
        <v>696</v>
      </c>
      <c r="AA97" s="42" t="s">
        <v>454</v>
      </c>
      <c r="AB97" s="42">
        <v>32</v>
      </c>
      <c r="AC97" s="42">
        <v>365</v>
      </c>
      <c r="AD97" s="43">
        <v>0.1</v>
      </c>
      <c r="AE97" s="42" t="s">
        <v>698</v>
      </c>
      <c r="AF97" s="42" t="s">
        <v>699</v>
      </c>
      <c r="AG97" s="42" t="s">
        <v>755</v>
      </c>
      <c r="AH97" s="42" t="s">
        <v>451</v>
      </c>
      <c r="AI97" s="42" t="s">
        <v>198</v>
      </c>
      <c r="AJ97" s="45">
        <v>5.2000000000000005E-2</v>
      </c>
      <c r="AK97" s="45">
        <v>0.63200000000000001</v>
      </c>
      <c r="AL97" s="45">
        <v>0.63200000000000001</v>
      </c>
      <c r="AM97" s="46">
        <v>4.4249999999999998E-2</v>
      </c>
      <c r="AN97" s="46">
        <v>5.9499999999999996E-3</v>
      </c>
      <c r="AO97" s="42" t="s">
        <v>198</v>
      </c>
      <c r="AP97" s="46">
        <f t="shared" si="20"/>
        <v>0.26579999999999993</v>
      </c>
      <c r="AQ97" s="42" t="s">
        <v>198</v>
      </c>
      <c r="AR97" s="42" t="s">
        <v>198</v>
      </c>
      <c r="AS97" s="42" t="s">
        <v>198</v>
      </c>
      <c r="AT97" s="47">
        <f t="shared" si="17"/>
        <v>0.83439736736140546</v>
      </c>
      <c r="AU97" s="47">
        <f t="shared" si="13"/>
        <v>0.83439736736140546</v>
      </c>
      <c r="AV97" s="47">
        <f t="shared" si="18"/>
        <v>0.31572820413617608</v>
      </c>
      <c r="AW97" s="48">
        <f t="shared" si="21"/>
        <v>123.87042282256306</v>
      </c>
      <c r="AX97" s="42" t="s">
        <v>198</v>
      </c>
      <c r="AY97" s="42" t="s">
        <v>198</v>
      </c>
      <c r="AZ97" s="42" t="s">
        <v>198</v>
      </c>
      <c r="BA97" s="42">
        <v>2.2999999999999998</v>
      </c>
      <c r="BB97" s="42" t="s">
        <v>198</v>
      </c>
      <c r="BC97" s="49">
        <f t="shared" si="19"/>
        <v>0.52899999999999991</v>
      </c>
      <c r="BD97" s="45">
        <v>0.41899999999999998</v>
      </c>
      <c r="BE97" s="42" t="s">
        <v>710</v>
      </c>
      <c r="BF97" s="42" t="s">
        <v>198</v>
      </c>
      <c r="BG97" s="42" t="s">
        <v>198</v>
      </c>
      <c r="BH97" s="42" t="s">
        <v>198</v>
      </c>
      <c r="BI97" s="42">
        <v>43.6</v>
      </c>
      <c r="BJ97" s="42" t="s">
        <v>198</v>
      </c>
      <c r="BK97" s="42" t="s">
        <v>198</v>
      </c>
      <c r="BL97" s="42" t="s">
        <v>198</v>
      </c>
      <c r="BM97" s="42" t="s">
        <v>198</v>
      </c>
      <c r="BN97" s="42" t="s">
        <v>198</v>
      </c>
    </row>
    <row r="98" spans="2:66" x14ac:dyDescent="0.3">
      <c r="B98" s="42">
        <v>90</v>
      </c>
      <c r="C98" s="42">
        <v>2</v>
      </c>
      <c r="D98" s="42" t="s">
        <v>1525</v>
      </c>
      <c r="E98" s="42" t="s">
        <v>738</v>
      </c>
      <c r="F98" s="42">
        <v>3</v>
      </c>
      <c r="G98" s="42" t="s">
        <v>751</v>
      </c>
      <c r="H98" s="42" t="s">
        <v>635</v>
      </c>
      <c r="I98" s="42"/>
      <c r="J98" s="42" t="s">
        <v>754</v>
      </c>
      <c r="K98" s="42" t="s">
        <v>694</v>
      </c>
      <c r="L98" s="42">
        <v>650</v>
      </c>
      <c r="M98" s="42">
        <f>72*60</f>
        <v>4320</v>
      </c>
      <c r="N98" s="42">
        <v>26</v>
      </c>
      <c r="O98" s="42" t="s">
        <v>695</v>
      </c>
      <c r="P98" s="43">
        <v>0</v>
      </c>
      <c r="Q98" s="43">
        <v>1</v>
      </c>
      <c r="R98" s="43">
        <v>0</v>
      </c>
      <c r="S98" s="43">
        <v>0</v>
      </c>
      <c r="T98" s="42" t="s">
        <v>756</v>
      </c>
      <c r="U98" s="44">
        <v>0.65</v>
      </c>
      <c r="V98" s="42" t="s">
        <v>198</v>
      </c>
      <c r="W98" s="42" t="s">
        <v>198</v>
      </c>
      <c r="X98" s="42" t="s">
        <v>757</v>
      </c>
      <c r="Y98" s="42" t="s">
        <v>1412</v>
      </c>
      <c r="Z98" s="42" t="s">
        <v>696</v>
      </c>
      <c r="AA98" s="42" t="s">
        <v>454</v>
      </c>
      <c r="AB98" s="42">
        <v>32</v>
      </c>
      <c r="AC98" s="42">
        <v>365</v>
      </c>
      <c r="AD98" s="43">
        <v>0.1</v>
      </c>
      <c r="AE98" s="42" t="s">
        <v>698</v>
      </c>
      <c r="AF98" s="42" t="s">
        <v>699</v>
      </c>
      <c r="AG98" s="42" t="s">
        <v>755</v>
      </c>
      <c r="AH98" s="42" t="s">
        <v>451</v>
      </c>
      <c r="AI98" s="42" t="s">
        <v>198</v>
      </c>
      <c r="AJ98" s="45">
        <v>7.400000000000001E-2</v>
      </c>
      <c r="AK98" s="45">
        <v>0.77300000000000002</v>
      </c>
      <c r="AL98" s="45">
        <v>0.77300000000000002</v>
      </c>
      <c r="AM98" s="46">
        <v>2.2749999999999999E-2</v>
      </c>
      <c r="AN98" s="46">
        <v>2.8500000000000001E-3</v>
      </c>
      <c r="AO98" s="42" t="s">
        <v>198</v>
      </c>
      <c r="AP98" s="46">
        <f t="shared" si="20"/>
        <v>0.12739999999999993</v>
      </c>
      <c r="AQ98" s="42" t="s">
        <v>198</v>
      </c>
      <c r="AR98" s="42" t="s">
        <v>198</v>
      </c>
      <c r="AS98" s="42" t="s">
        <v>198</v>
      </c>
      <c r="AT98" s="47">
        <f t="shared" si="17"/>
        <v>0.3507346196248321</v>
      </c>
      <c r="AU98" s="47">
        <f t="shared" si="13"/>
        <v>0.3507346196248321</v>
      </c>
      <c r="AV98" s="47">
        <f t="shared" si="18"/>
        <v>0.1237272656190429</v>
      </c>
      <c r="AW98" s="48">
        <f t="shared" si="21"/>
        <v>316.30214812844508</v>
      </c>
      <c r="AX98" s="42" t="s">
        <v>198</v>
      </c>
      <c r="AY98" s="42" t="s">
        <v>198</v>
      </c>
      <c r="AZ98" s="42" t="s">
        <v>198</v>
      </c>
      <c r="BA98" s="42">
        <v>505</v>
      </c>
      <c r="BB98" s="42" t="s">
        <v>198</v>
      </c>
      <c r="BC98" s="49">
        <f t="shared" si="19"/>
        <v>0.77899999999999991</v>
      </c>
      <c r="BD98" s="45">
        <v>0.14699999999999999</v>
      </c>
      <c r="BE98" s="42" t="s">
        <v>710</v>
      </c>
      <c r="BF98" s="42" t="s">
        <v>198</v>
      </c>
      <c r="BG98" s="42" t="s">
        <v>198</v>
      </c>
      <c r="BH98" s="42" t="s">
        <v>198</v>
      </c>
      <c r="BI98" s="42">
        <v>28.5</v>
      </c>
      <c r="BJ98" s="42" t="s">
        <v>198</v>
      </c>
      <c r="BK98" s="42" t="s">
        <v>198</v>
      </c>
      <c r="BL98" s="42" t="s">
        <v>811</v>
      </c>
      <c r="BM98" s="42" t="s">
        <v>792</v>
      </c>
      <c r="BN98" s="42" t="s">
        <v>766</v>
      </c>
    </row>
    <row r="99" spans="2:66" x14ac:dyDescent="0.3">
      <c r="B99" s="42">
        <v>91</v>
      </c>
      <c r="C99" s="42">
        <v>2</v>
      </c>
      <c r="D99" s="42" t="s">
        <v>1525</v>
      </c>
      <c r="E99" s="42" t="s">
        <v>739</v>
      </c>
      <c r="F99" s="42">
        <v>3</v>
      </c>
      <c r="G99" s="42" t="s">
        <v>752</v>
      </c>
      <c r="H99" s="42" t="s">
        <v>635</v>
      </c>
      <c r="I99" s="42"/>
      <c r="J99" s="42" t="s">
        <v>754</v>
      </c>
      <c r="K99" s="42" t="s">
        <v>694</v>
      </c>
      <c r="L99" s="42">
        <v>400</v>
      </c>
      <c r="M99" s="42">
        <f>72*60</f>
        <v>4320</v>
      </c>
      <c r="N99" s="42">
        <v>26</v>
      </c>
      <c r="O99" s="42" t="s">
        <v>695</v>
      </c>
      <c r="P99" s="43">
        <v>0</v>
      </c>
      <c r="Q99" s="43">
        <v>1</v>
      </c>
      <c r="R99" s="43">
        <v>0</v>
      </c>
      <c r="S99" s="43">
        <v>0</v>
      </c>
      <c r="T99" s="42" t="s">
        <v>756</v>
      </c>
      <c r="U99" s="44">
        <v>0.65</v>
      </c>
      <c r="V99" s="42" t="s">
        <v>198</v>
      </c>
      <c r="W99" s="42" t="s">
        <v>198</v>
      </c>
      <c r="X99" s="42" t="s">
        <v>757</v>
      </c>
      <c r="Y99" s="42" t="s">
        <v>1412</v>
      </c>
      <c r="Z99" s="42" t="s">
        <v>696</v>
      </c>
      <c r="AA99" s="42" t="s">
        <v>454</v>
      </c>
      <c r="AB99" s="42">
        <v>32</v>
      </c>
      <c r="AC99" s="42">
        <v>365</v>
      </c>
      <c r="AD99" s="43">
        <v>0.1</v>
      </c>
      <c r="AE99" s="42" t="s">
        <v>698</v>
      </c>
      <c r="AF99" s="42" t="s">
        <v>699</v>
      </c>
      <c r="AG99" s="42" t="s">
        <v>755</v>
      </c>
      <c r="AH99" s="42" t="s">
        <v>451</v>
      </c>
      <c r="AI99" s="42" t="s">
        <v>198</v>
      </c>
      <c r="AJ99" s="45">
        <v>9.0000000000000011E-3</v>
      </c>
      <c r="AK99" s="45">
        <v>0.72099999999999997</v>
      </c>
      <c r="AL99" s="45">
        <v>0.72099999999999997</v>
      </c>
      <c r="AM99" s="46">
        <v>5.1549999999999992E-2</v>
      </c>
      <c r="AN99" s="46">
        <v>4.1999999999999997E-3</v>
      </c>
      <c r="AO99" s="42" t="s">
        <v>198</v>
      </c>
      <c r="AP99" s="46">
        <f t="shared" si="20"/>
        <v>0.21425000000000002</v>
      </c>
      <c r="AQ99" s="42" t="s">
        <v>198</v>
      </c>
      <c r="AR99" s="42" t="s">
        <v>198</v>
      </c>
      <c r="AS99" s="42" t="s">
        <v>198</v>
      </c>
      <c r="AT99" s="47">
        <f t="shared" si="17"/>
        <v>0.85205991269776427</v>
      </c>
      <c r="AU99" s="47">
        <f t="shared" si="13"/>
        <v>0.85205991269776427</v>
      </c>
      <c r="AV99" s="47">
        <f t="shared" si="18"/>
        <v>0.22308021115050622</v>
      </c>
      <c r="AW99" s="48">
        <f t="shared" si="21"/>
        <v>200.19511768672933</v>
      </c>
      <c r="AX99" s="42" t="s">
        <v>198</v>
      </c>
      <c r="AY99" s="42" t="s">
        <v>198</v>
      </c>
      <c r="AZ99" s="42" t="s">
        <v>198</v>
      </c>
      <c r="BA99" s="42">
        <v>4.9000000000000004</v>
      </c>
      <c r="BB99" s="42">
        <v>289.2</v>
      </c>
      <c r="BC99" s="49">
        <f t="shared" si="19"/>
        <v>0.47899999999999998</v>
      </c>
      <c r="BD99" s="45">
        <v>0.51200000000000001</v>
      </c>
      <c r="BE99" s="42" t="s">
        <v>710</v>
      </c>
      <c r="BF99" s="42" t="s">
        <v>198</v>
      </c>
      <c r="BG99" s="42" t="s">
        <v>198</v>
      </c>
      <c r="BH99" s="42" t="s">
        <v>198</v>
      </c>
      <c r="BI99" s="42">
        <v>37.299999999999997</v>
      </c>
      <c r="BJ99" s="42" t="s">
        <v>198</v>
      </c>
      <c r="BK99" s="42" t="s">
        <v>198</v>
      </c>
      <c r="BL99" s="42" t="s">
        <v>198</v>
      </c>
      <c r="BM99" s="42" t="s">
        <v>198</v>
      </c>
      <c r="BN99" s="42" t="s">
        <v>198</v>
      </c>
    </row>
    <row r="100" spans="2:66" x14ac:dyDescent="0.3">
      <c r="B100" s="42">
        <v>92</v>
      </c>
      <c r="C100" s="42">
        <v>2</v>
      </c>
      <c r="D100" s="42" t="s">
        <v>1525</v>
      </c>
      <c r="E100" s="42" t="s">
        <v>740</v>
      </c>
      <c r="F100" s="42">
        <v>3</v>
      </c>
      <c r="G100" s="42" t="s">
        <v>752</v>
      </c>
      <c r="H100" s="42" t="s">
        <v>635</v>
      </c>
      <c r="I100" s="42"/>
      <c r="J100" s="42" t="s">
        <v>754</v>
      </c>
      <c r="K100" s="42" t="s">
        <v>694</v>
      </c>
      <c r="L100" s="42">
        <v>650</v>
      </c>
      <c r="M100" s="42">
        <f>72*60</f>
        <v>4320</v>
      </c>
      <c r="N100" s="42">
        <v>26</v>
      </c>
      <c r="O100" s="42" t="s">
        <v>695</v>
      </c>
      <c r="P100" s="43">
        <v>0</v>
      </c>
      <c r="Q100" s="43">
        <v>1</v>
      </c>
      <c r="R100" s="43">
        <v>0</v>
      </c>
      <c r="S100" s="43">
        <v>0</v>
      </c>
      <c r="T100" s="42" t="s">
        <v>756</v>
      </c>
      <c r="U100" s="44">
        <v>0.65</v>
      </c>
      <c r="V100" s="42" t="s">
        <v>198</v>
      </c>
      <c r="W100" s="42" t="s">
        <v>198</v>
      </c>
      <c r="X100" s="42" t="s">
        <v>757</v>
      </c>
      <c r="Y100" s="42" t="s">
        <v>1412</v>
      </c>
      <c r="Z100" s="42" t="s">
        <v>696</v>
      </c>
      <c r="AA100" s="42" t="s">
        <v>454</v>
      </c>
      <c r="AB100" s="42">
        <v>32</v>
      </c>
      <c r="AC100" s="42">
        <v>365</v>
      </c>
      <c r="AD100" s="43">
        <v>0.1</v>
      </c>
      <c r="AE100" s="42" t="s">
        <v>698</v>
      </c>
      <c r="AF100" s="42" t="s">
        <v>699</v>
      </c>
      <c r="AG100" s="42" t="s">
        <v>755</v>
      </c>
      <c r="AH100" s="42" t="s">
        <v>451</v>
      </c>
      <c r="AI100" s="42" t="s">
        <v>198</v>
      </c>
      <c r="AJ100" s="45">
        <v>1.2E-2</v>
      </c>
      <c r="AK100" s="45">
        <v>0.82499999999999996</v>
      </c>
      <c r="AL100" s="45">
        <v>0.82499999999999996</v>
      </c>
      <c r="AM100" s="46">
        <v>2.9750000000000002E-2</v>
      </c>
      <c r="AN100" s="46">
        <v>2.65E-3</v>
      </c>
      <c r="AO100" s="42" t="s">
        <v>198</v>
      </c>
      <c r="AP100" s="46">
        <f t="shared" si="20"/>
        <v>0.13060000000000002</v>
      </c>
      <c r="AQ100" s="42" t="s">
        <v>198</v>
      </c>
      <c r="AR100" s="42" t="s">
        <v>198</v>
      </c>
      <c r="AS100" s="42" t="s">
        <v>198</v>
      </c>
      <c r="AT100" s="47">
        <f t="shared" si="17"/>
        <v>0.42974392881024887</v>
      </c>
      <c r="AU100" s="47">
        <f t="shared" si="13"/>
        <v>0.42974392881024887</v>
      </c>
      <c r="AV100" s="47">
        <f t="shared" si="18"/>
        <v>0.11884056541412627</v>
      </c>
      <c r="AW100" s="48">
        <f t="shared" si="21"/>
        <v>363.05764152749964</v>
      </c>
      <c r="AX100" s="42" t="s">
        <v>198</v>
      </c>
      <c r="AY100" s="42" t="s">
        <v>198</v>
      </c>
      <c r="AZ100" s="42" t="s">
        <v>198</v>
      </c>
      <c r="BA100" s="42">
        <v>416.4</v>
      </c>
      <c r="BB100" s="42">
        <v>640.9</v>
      </c>
      <c r="BC100" s="49">
        <f t="shared" si="19"/>
        <v>0.77100000000000002</v>
      </c>
      <c r="BD100" s="45">
        <v>0.217</v>
      </c>
      <c r="BE100" s="42" t="s">
        <v>710</v>
      </c>
      <c r="BF100" s="42" t="s">
        <v>198</v>
      </c>
      <c r="BG100" s="42" t="s">
        <v>198</v>
      </c>
      <c r="BH100" s="42" t="s">
        <v>198</v>
      </c>
      <c r="BI100" s="42">
        <v>27.2</v>
      </c>
      <c r="BJ100" s="42" t="s">
        <v>198</v>
      </c>
      <c r="BK100" s="42" t="s">
        <v>198</v>
      </c>
      <c r="BL100" s="42" t="s">
        <v>807</v>
      </c>
      <c r="BM100" s="42" t="s">
        <v>780</v>
      </c>
      <c r="BN100" s="42" t="s">
        <v>776</v>
      </c>
    </row>
    <row r="101" spans="2:66" x14ac:dyDescent="0.3">
      <c r="B101" s="42">
        <v>93</v>
      </c>
      <c r="C101" s="42">
        <v>3</v>
      </c>
      <c r="D101" s="42" t="s">
        <v>15</v>
      </c>
      <c r="E101" s="42" t="s">
        <v>850</v>
      </c>
      <c r="F101" s="42">
        <v>3</v>
      </c>
      <c r="G101" s="42" t="s">
        <v>863</v>
      </c>
      <c r="H101" s="42" t="s">
        <v>635</v>
      </c>
      <c r="I101" s="42"/>
      <c r="J101" s="42" t="s">
        <v>872</v>
      </c>
      <c r="K101" s="42" t="s">
        <v>694</v>
      </c>
      <c r="L101" s="42">
        <v>400</v>
      </c>
      <c r="M101" s="42">
        <v>40</v>
      </c>
      <c r="N101" s="42">
        <f t="shared" ref="N101:N111" si="22">AVERAGE(5,10)</f>
        <v>7.5</v>
      </c>
      <c r="O101" s="42" t="s">
        <v>878</v>
      </c>
      <c r="P101" s="44">
        <v>0.53</v>
      </c>
      <c r="Q101" s="42" t="s">
        <v>198</v>
      </c>
      <c r="R101" s="42" t="s">
        <v>198</v>
      </c>
      <c r="S101" s="46">
        <f t="shared" ref="S101:S111" si="23">0.42%*1.72</f>
        <v>7.2239999999999995E-3</v>
      </c>
      <c r="T101" s="44">
        <v>0.23</v>
      </c>
      <c r="U101" s="44">
        <v>0.67</v>
      </c>
      <c r="V101" s="42">
        <v>8.1999999999999993</v>
      </c>
      <c r="W101" s="42" t="s">
        <v>198</v>
      </c>
      <c r="X101" s="42" t="s">
        <v>881</v>
      </c>
      <c r="Y101" s="42" t="s">
        <v>882</v>
      </c>
      <c r="Z101" s="42" t="s">
        <v>696</v>
      </c>
      <c r="AA101" s="42" t="s">
        <v>454</v>
      </c>
      <c r="AB101" s="42">
        <v>22</v>
      </c>
      <c r="AC101" s="42">
        <v>1829</v>
      </c>
      <c r="AD101" s="46">
        <f t="shared" ref="AD101:AD111" si="24">8.17/1000</f>
        <v>8.1700000000000002E-3</v>
      </c>
      <c r="AE101" s="42" t="s">
        <v>888</v>
      </c>
      <c r="AF101" s="42" t="s">
        <v>661</v>
      </c>
      <c r="AG101" s="42" t="s">
        <v>889</v>
      </c>
      <c r="AH101" s="42" t="s">
        <v>451</v>
      </c>
      <c r="AI101" s="46">
        <f>42/1000</f>
        <v>4.2000000000000003E-2</v>
      </c>
      <c r="AJ101" s="51">
        <f>37/1000</f>
        <v>3.6999999999999998E-2</v>
      </c>
      <c r="AK101" s="51">
        <v>0.69399999999999995</v>
      </c>
      <c r="AL101" s="51">
        <v>0.69399999999999995</v>
      </c>
      <c r="AM101" s="51">
        <f t="shared" ref="AM101:AM111" si="25">AK101*AU101/12.0107*1.00784</f>
        <v>3.1203563861767692E-2</v>
      </c>
      <c r="AN101" s="51">
        <v>2.0999999999999999E-3</v>
      </c>
      <c r="AO101" s="48">
        <v>127</v>
      </c>
      <c r="AP101" s="51">
        <f t="shared" ref="AP101:AP111" si="26">1-AJ101-AK101-AM101-AN101-AO101/1000/1000</f>
        <v>0.23556943613823234</v>
      </c>
      <c r="AQ101" s="42">
        <v>911</v>
      </c>
      <c r="AR101" s="42">
        <v>1756</v>
      </c>
      <c r="AS101" s="42">
        <v>127</v>
      </c>
      <c r="AT101" s="47">
        <v>0.53582313005308302</v>
      </c>
      <c r="AU101" s="47">
        <v>0.53582313005308302</v>
      </c>
      <c r="AV101" s="47">
        <f t="shared" si="18"/>
        <v>0.25482084584766618</v>
      </c>
      <c r="AW101" s="48">
        <f t="shared" si="21"/>
        <v>385.39642628180349</v>
      </c>
      <c r="AX101" s="42">
        <v>7.67</v>
      </c>
      <c r="AY101" s="42" t="s">
        <v>198</v>
      </c>
      <c r="AZ101" s="42">
        <v>13.44</v>
      </c>
      <c r="BA101" s="42" t="s">
        <v>198</v>
      </c>
      <c r="BB101" s="42" t="s">
        <v>198</v>
      </c>
      <c r="BC101" s="42" t="s">
        <v>198</v>
      </c>
      <c r="BD101" s="42" t="s">
        <v>198</v>
      </c>
      <c r="BE101" s="42" t="s">
        <v>861</v>
      </c>
      <c r="BF101" s="42" t="s">
        <v>198</v>
      </c>
      <c r="BG101" s="42" t="s">
        <v>198</v>
      </c>
      <c r="BH101" s="42" t="s">
        <v>198</v>
      </c>
      <c r="BI101" s="42" t="s">
        <v>198</v>
      </c>
      <c r="BJ101" s="42">
        <v>-28.44</v>
      </c>
      <c r="BK101" s="42">
        <v>-14.2</v>
      </c>
      <c r="BL101" s="42" t="s">
        <v>839</v>
      </c>
      <c r="BM101" s="42" t="s">
        <v>817</v>
      </c>
      <c r="BN101" s="42" t="s">
        <v>828</v>
      </c>
    </row>
    <row r="102" spans="2:66" x14ac:dyDescent="0.3">
      <c r="B102" s="42">
        <v>94</v>
      </c>
      <c r="C102" s="42">
        <v>3</v>
      </c>
      <c r="D102" s="42" t="s">
        <v>15</v>
      </c>
      <c r="E102" s="42" t="s">
        <v>851</v>
      </c>
      <c r="F102" s="42">
        <v>3</v>
      </c>
      <c r="G102" s="42" t="s">
        <v>863</v>
      </c>
      <c r="H102" s="42" t="s">
        <v>635</v>
      </c>
      <c r="I102" s="42"/>
      <c r="J102" s="42" t="s">
        <v>872</v>
      </c>
      <c r="K102" s="42" t="s">
        <v>694</v>
      </c>
      <c r="L102" s="42">
        <v>550</v>
      </c>
      <c r="M102" s="42">
        <v>40</v>
      </c>
      <c r="N102" s="42">
        <f t="shared" si="22"/>
        <v>7.5</v>
      </c>
      <c r="O102" s="42" t="s">
        <v>878</v>
      </c>
      <c r="P102" s="44">
        <v>0.53</v>
      </c>
      <c r="Q102" s="42" t="s">
        <v>198</v>
      </c>
      <c r="R102" s="42" t="s">
        <v>198</v>
      </c>
      <c r="S102" s="46">
        <f t="shared" si="23"/>
        <v>7.2239999999999995E-3</v>
      </c>
      <c r="T102" s="44">
        <v>0.23</v>
      </c>
      <c r="U102" s="44">
        <v>0.67</v>
      </c>
      <c r="V102" s="42">
        <v>8.1999999999999993</v>
      </c>
      <c r="W102" s="42" t="s">
        <v>198</v>
      </c>
      <c r="X102" s="42" t="s">
        <v>881</v>
      </c>
      <c r="Y102" s="42" t="s">
        <v>882</v>
      </c>
      <c r="Z102" s="42" t="s">
        <v>696</v>
      </c>
      <c r="AA102" s="42" t="s">
        <v>454</v>
      </c>
      <c r="AB102" s="42">
        <v>22</v>
      </c>
      <c r="AC102" s="42">
        <v>1829</v>
      </c>
      <c r="AD102" s="46">
        <f t="shared" si="24"/>
        <v>8.1700000000000002E-3</v>
      </c>
      <c r="AE102" s="42" t="s">
        <v>888</v>
      </c>
      <c r="AF102" s="42" t="s">
        <v>661</v>
      </c>
      <c r="AG102" s="42" t="s">
        <v>889</v>
      </c>
      <c r="AH102" s="42" t="s">
        <v>451</v>
      </c>
      <c r="AI102" s="51">
        <v>4.3999999999999997E-2</v>
      </c>
      <c r="AJ102" s="51">
        <v>5.5E-2</v>
      </c>
      <c r="AK102" s="51">
        <v>0.79220000000000002</v>
      </c>
      <c r="AL102" s="51">
        <v>0.79220000000000002</v>
      </c>
      <c r="AM102" s="51">
        <f t="shared" si="25"/>
        <v>2.4623408157319126E-2</v>
      </c>
      <c r="AN102" s="51">
        <v>2.3E-3</v>
      </c>
      <c r="AO102" s="48">
        <v>165</v>
      </c>
      <c r="AP102" s="51">
        <f t="shared" si="26"/>
        <v>0.12571159184268083</v>
      </c>
      <c r="AQ102" s="42">
        <v>927</v>
      </c>
      <c r="AR102" s="42">
        <v>1907</v>
      </c>
      <c r="AS102" s="42">
        <v>160</v>
      </c>
      <c r="AT102" s="47">
        <v>0.37041627013954698</v>
      </c>
      <c r="AU102" s="47">
        <v>0.37041627013954698</v>
      </c>
      <c r="AV102" s="47">
        <f t="shared" si="18"/>
        <v>0.11912858099333733</v>
      </c>
      <c r="AW102" s="48">
        <f t="shared" si="21"/>
        <v>401.67472916359725</v>
      </c>
      <c r="AX102" s="42">
        <v>9.49</v>
      </c>
      <c r="AY102" s="42" t="s">
        <v>198</v>
      </c>
      <c r="AZ102" s="42">
        <v>27.21</v>
      </c>
      <c r="BA102" s="42" t="s">
        <v>198</v>
      </c>
      <c r="BB102" s="42" t="s">
        <v>198</v>
      </c>
      <c r="BC102" s="42" t="s">
        <v>198</v>
      </c>
      <c r="BD102" s="42" t="s">
        <v>198</v>
      </c>
      <c r="BE102" s="42" t="s">
        <v>861</v>
      </c>
      <c r="BF102" s="42" t="s">
        <v>198</v>
      </c>
      <c r="BG102" s="42" t="s">
        <v>198</v>
      </c>
      <c r="BH102" s="42" t="s">
        <v>198</v>
      </c>
      <c r="BI102" s="42" t="s">
        <v>198</v>
      </c>
      <c r="BJ102" s="42">
        <v>-28.71</v>
      </c>
      <c r="BK102" s="42">
        <v>-14.2</v>
      </c>
      <c r="BL102" s="42" t="s">
        <v>840</v>
      </c>
      <c r="BM102" s="42" t="s">
        <v>818</v>
      </c>
      <c r="BN102" s="42" t="s">
        <v>829</v>
      </c>
    </row>
    <row r="103" spans="2:66" x14ac:dyDescent="0.3">
      <c r="B103" s="42">
        <v>95</v>
      </c>
      <c r="C103" s="42">
        <v>3</v>
      </c>
      <c r="D103" s="42" t="s">
        <v>15</v>
      </c>
      <c r="E103" s="42" t="s">
        <v>852</v>
      </c>
      <c r="F103" s="42">
        <v>3</v>
      </c>
      <c r="G103" s="42" t="s">
        <v>863</v>
      </c>
      <c r="H103" s="42" t="s">
        <v>635</v>
      </c>
      <c r="I103" s="42"/>
      <c r="J103" s="42" t="s">
        <v>872</v>
      </c>
      <c r="K103" s="42" t="s">
        <v>694</v>
      </c>
      <c r="L103" s="42">
        <v>400</v>
      </c>
      <c r="M103" s="42">
        <v>40</v>
      </c>
      <c r="N103" s="42">
        <f t="shared" si="22"/>
        <v>7.5</v>
      </c>
      <c r="O103" s="42" t="s">
        <v>878</v>
      </c>
      <c r="P103" s="44">
        <v>0.53</v>
      </c>
      <c r="Q103" s="42" t="s">
        <v>198</v>
      </c>
      <c r="R103" s="42" t="s">
        <v>198</v>
      </c>
      <c r="S103" s="46">
        <f t="shared" si="23"/>
        <v>7.2239999999999995E-3</v>
      </c>
      <c r="T103" s="44">
        <v>0.23</v>
      </c>
      <c r="U103" s="44">
        <v>0.67</v>
      </c>
      <c r="V103" s="42">
        <v>8.1999999999999993</v>
      </c>
      <c r="W103" s="42" t="s">
        <v>198</v>
      </c>
      <c r="X103" s="42" t="s">
        <v>881</v>
      </c>
      <c r="Y103" s="42" t="s">
        <v>882</v>
      </c>
      <c r="Z103" s="42" t="s">
        <v>696</v>
      </c>
      <c r="AA103" s="42" t="s">
        <v>454</v>
      </c>
      <c r="AB103" s="42">
        <v>22</v>
      </c>
      <c r="AC103" s="42">
        <v>1829</v>
      </c>
      <c r="AD103" s="46">
        <f t="shared" si="24"/>
        <v>8.1700000000000002E-3</v>
      </c>
      <c r="AE103" s="42" t="s">
        <v>888</v>
      </c>
      <c r="AF103" s="42" t="s">
        <v>661</v>
      </c>
      <c r="AG103" s="42" t="s">
        <v>889</v>
      </c>
      <c r="AH103" s="42" t="s">
        <v>451</v>
      </c>
      <c r="AI103" s="51">
        <v>3.2000000000000001E-2</v>
      </c>
      <c r="AJ103" s="51">
        <v>3.5000000000000003E-2</v>
      </c>
      <c r="AK103" s="51">
        <v>0.69740000000000002</v>
      </c>
      <c r="AL103" s="51">
        <v>0.69740000000000002</v>
      </c>
      <c r="AM103" s="51">
        <f t="shared" si="25"/>
        <v>3.4012865697547724E-2</v>
      </c>
      <c r="AN103" s="51">
        <v>2.0999999999999999E-3</v>
      </c>
      <c r="AO103" s="48">
        <v>278</v>
      </c>
      <c r="AP103" s="51">
        <f t="shared" si="26"/>
        <v>0.23120913430245224</v>
      </c>
      <c r="AQ103" s="42">
        <v>666</v>
      </c>
      <c r="AR103" s="42">
        <v>1428</v>
      </c>
      <c r="AS103" s="42">
        <v>127</v>
      </c>
      <c r="AT103" s="47">
        <v>0.58121660001694597</v>
      </c>
      <c r="AU103" s="47">
        <v>0.58121660001694597</v>
      </c>
      <c r="AV103" s="47">
        <f t="shared" si="18"/>
        <v>0.24888488687325855</v>
      </c>
      <c r="AW103" s="48">
        <f t="shared" si="21"/>
        <v>387.2845355748268</v>
      </c>
      <c r="AX103" s="42">
        <v>6.93</v>
      </c>
      <c r="AY103" s="42" t="s">
        <v>198</v>
      </c>
      <c r="AZ103" s="42">
        <v>7.3</v>
      </c>
      <c r="BA103" s="42" t="s">
        <v>198</v>
      </c>
      <c r="BB103" s="42" t="s">
        <v>198</v>
      </c>
      <c r="BC103" s="42" t="s">
        <v>198</v>
      </c>
      <c r="BD103" s="42" t="s">
        <v>198</v>
      </c>
      <c r="BE103" s="42" t="s">
        <v>861</v>
      </c>
      <c r="BF103" s="42" t="s">
        <v>198</v>
      </c>
      <c r="BG103" s="42" t="s">
        <v>198</v>
      </c>
      <c r="BH103" s="42" t="s">
        <v>198</v>
      </c>
      <c r="BI103" s="42" t="s">
        <v>198</v>
      </c>
      <c r="BJ103" s="42">
        <v>-28.36</v>
      </c>
      <c r="BK103" s="42">
        <v>-14.2</v>
      </c>
      <c r="BL103" s="42" t="s">
        <v>841</v>
      </c>
      <c r="BM103" s="42" t="s">
        <v>819</v>
      </c>
      <c r="BN103" s="42" t="s">
        <v>830</v>
      </c>
    </row>
    <row r="104" spans="2:66" x14ac:dyDescent="0.3">
      <c r="B104" s="42">
        <v>96</v>
      </c>
      <c r="C104" s="42">
        <v>3</v>
      </c>
      <c r="D104" s="42" t="s">
        <v>15</v>
      </c>
      <c r="E104" s="42" t="s">
        <v>853</v>
      </c>
      <c r="F104" s="42">
        <v>3</v>
      </c>
      <c r="G104" s="42" t="s">
        <v>863</v>
      </c>
      <c r="H104" s="42" t="s">
        <v>635</v>
      </c>
      <c r="I104" s="42"/>
      <c r="J104" s="42" t="s">
        <v>872</v>
      </c>
      <c r="K104" s="42" t="s">
        <v>694</v>
      </c>
      <c r="L104" s="42">
        <v>550</v>
      </c>
      <c r="M104" s="42">
        <v>40</v>
      </c>
      <c r="N104" s="42">
        <f t="shared" si="22"/>
        <v>7.5</v>
      </c>
      <c r="O104" s="42" t="s">
        <v>878</v>
      </c>
      <c r="P104" s="44">
        <v>0.53</v>
      </c>
      <c r="Q104" s="42" t="s">
        <v>198</v>
      </c>
      <c r="R104" s="42" t="s">
        <v>198</v>
      </c>
      <c r="S104" s="46">
        <f t="shared" si="23"/>
        <v>7.2239999999999995E-3</v>
      </c>
      <c r="T104" s="44">
        <v>0.23</v>
      </c>
      <c r="U104" s="44">
        <v>0.67</v>
      </c>
      <c r="V104" s="42">
        <v>8.1999999999999993</v>
      </c>
      <c r="W104" s="42" t="s">
        <v>198</v>
      </c>
      <c r="X104" s="42" t="s">
        <v>881</v>
      </c>
      <c r="Y104" s="42" t="s">
        <v>882</v>
      </c>
      <c r="Z104" s="42" t="s">
        <v>696</v>
      </c>
      <c r="AA104" s="42" t="s">
        <v>454</v>
      </c>
      <c r="AB104" s="42">
        <v>22</v>
      </c>
      <c r="AC104" s="42">
        <v>1829</v>
      </c>
      <c r="AD104" s="46">
        <f t="shared" si="24"/>
        <v>8.1700000000000002E-3</v>
      </c>
      <c r="AE104" s="42" t="s">
        <v>888</v>
      </c>
      <c r="AF104" s="42" t="s">
        <v>661</v>
      </c>
      <c r="AG104" s="42" t="s">
        <v>889</v>
      </c>
      <c r="AH104" s="42" t="s">
        <v>451</v>
      </c>
      <c r="AI104" s="51">
        <v>4.3999999999999997E-2</v>
      </c>
      <c r="AJ104" s="51">
        <v>3.3000000000000002E-2</v>
      </c>
      <c r="AK104" s="51">
        <v>0.83609999999999995</v>
      </c>
      <c r="AL104" s="51">
        <v>0.83609999999999995</v>
      </c>
      <c r="AM104" s="51">
        <f t="shared" si="25"/>
        <v>2.6360722804770757E-2</v>
      </c>
      <c r="AN104" s="51">
        <v>2.5999999999999999E-3</v>
      </c>
      <c r="AO104" s="48">
        <v>488</v>
      </c>
      <c r="AP104" s="51">
        <f t="shared" si="26"/>
        <v>0.10145127719522926</v>
      </c>
      <c r="AQ104" s="42">
        <v>1085</v>
      </c>
      <c r="AR104" s="42">
        <v>2358</v>
      </c>
      <c r="AS104" s="42">
        <v>217</v>
      </c>
      <c r="AT104" s="47">
        <v>0.375729953983233</v>
      </c>
      <c r="AU104" s="47">
        <v>0.375729953983233</v>
      </c>
      <c r="AV104" s="47">
        <f t="shared" si="18"/>
        <v>9.109085456825175E-2</v>
      </c>
      <c r="AW104" s="48">
        <f t="shared" si="21"/>
        <v>375.01823278089859</v>
      </c>
      <c r="AX104" s="42">
        <v>8.82</v>
      </c>
      <c r="AY104" s="42" t="s">
        <v>198</v>
      </c>
      <c r="AZ104" s="42">
        <v>9.1199999999999992</v>
      </c>
      <c r="BA104" s="42" t="s">
        <v>198</v>
      </c>
      <c r="BB104" s="42" t="s">
        <v>198</v>
      </c>
      <c r="BC104" s="42" t="s">
        <v>198</v>
      </c>
      <c r="BD104" s="42" t="s">
        <v>198</v>
      </c>
      <c r="BE104" s="42" t="s">
        <v>861</v>
      </c>
      <c r="BF104" s="42" t="s">
        <v>198</v>
      </c>
      <c r="BG104" s="42" t="s">
        <v>198</v>
      </c>
      <c r="BH104" s="42" t="s">
        <v>198</v>
      </c>
      <c r="BI104" s="42" t="s">
        <v>198</v>
      </c>
      <c r="BJ104" s="42">
        <v>-28.74</v>
      </c>
      <c r="BK104" s="42">
        <v>-14.2</v>
      </c>
      <c r="BL104" s="42" t="s">
        <v>842</v>
      </c>
      <c r="BM104" s="42" t="s">
        <v>820</v>
      </c>
      <c r="BN104" s="42" t="s">
        <v>831</v>
      </c>
    </row>
    <row r="105" spans="2:66" x14ac:dyDescent="0.3">
      <c r="B105" s="42">
        <v>97</v>
      </c>
      <c r="C105" s="42">
        <v>3</v>
      </c>
      <c r="D105" s="42" t="s">
        <v>15</v>
      </c>
      <c r="E105" s="42" t="s">
        <v>890</v>
      </c>
      <c r="F105" s="42">
        <v>3</v>
      </c>
      <c r="G105" s="42" t="s">
        <v>864</v>
      </c>
      <c r="H105" s="42" t="s">
        <v>869</v>
      </c>
      <c r="I105" s="42"/>
      <c r="J105" s="42" t="s">
        <v>872</v>
      </c>
      <c r="K105" s="42" t="s">
        <v>694</v>
      </c>
      <c r="L105" s="42">
        <v>400</v>
      </c>
      <c r="M105" s="42">
        <v>40</v>
      </c>
      <c r="N105" s="42">
        <f t="shared" si="22"/>
        <v>7.5</v>
      </c>
      <c r="O105" s="42" t="s">
        <v>878</v>
      </c>
      <c r="P105" s="44">
        <v>0.53</v>
      </c>
      <c r="Q105" s="42" t="s">
        <v>198</v>
      </c>
      <c r="R105" s="42" t="s">
        <v>198</v>
      </c>
      <c r="S105" s="46">
        <f t="shared" si="23"/>
        <v>7.2239999999999995E-3</v>
      </c>
      <c r="T105" s="44">
        <v>0.23</v>
      </c>
      <c r="U105" s="44">
        <v>0.67</v>
      </c>
      <c r="V105" s="42">
        <v>8.1999999999999993</v>
      </c>
      <c r="W105" s="42" t="s">
        <v>198</v>
      </c>
      <c r="X105" s="42" t="s">
        <v>881</v>
      </c>
      <c r="Y105" s="42" t="s">
        <v>882</v>
      </c>
      <c r="Z105" s="42" t="s">
        <v>696</v>
      </c>
      <c r="AA105" s="42" t="s">
        <v>454</v>
      </c>
      <c r="AB105" s="42">
        <v>22</v>
      </c>
      <c r="AC105" s="42">
        <v>1829</v>
      </c>
      <c r="AD105" s="46">
        <f t="shared" si="24"/>
        <v>8.1700000000000002E-3</v>
      </c>
      <c r="AE105" s="42" t="s">
        <v>888</v>
      </c>
      <c r="AF105" s="42" t="s">
        <v>661</v>
      </c>
      <c r="AG105" s="42" t="s">
        <v>889</v>
      </c>
      <c r="AH105" s="42" t="s">
        <v>451</v>
      </c>
      <c r="AI105" s="51">
        <v>9.9000000000000005E-2</v>
      </c>
      <c r="AJ105" s="51">
        <v>0.04</v>
      </c>
      <c r="AK105" s="51">
        <v>0.66279999999999994</v>
      </c>
      <c r="AL105" s="51">
        <v>0.66279999999999994</v>
      </c>
      <c r="AM105" s="51">
        <f t="shared" si="25"/>
        <v>3.6837028187362127E-2</v>
      </c>
      <c r="AN105" s="51">
        <v>1.6400000000000001E-2</v>
      </c>
      <c r="AO105" s="48">
        <v>910</v>
      </c>
      <c r="AP105" s="51">
        <f t="shared" si="26"/>
        <v>0.24305297181263791</v>
      </c>
      <c r="AQ105" s="42">
        <v>4657</v>
      </c>
      <c r="AR105" s="42">
        <v>12816</v>
      </c>
      <c r="AS105" s="42">
        <v>2077</v>
      </c>
      <c r="AT105" s="47">
        <v>0.66233669259611505</v>
      </c>
      <c r="AU105" s="47">
        <v>0.66233669259611505</v>
      </c>
      <c r="AV105" s="47">
        <f t="shared" si="18"/>
        <v>0.27529220656915404</v>
      </c>
      <c r="AW105" s="48">
        <f t="shared" si="21"/>
        <v>47.130946247725852</v>
      </c>
      <c r="AX105" s="42">
        <v>9.17</v>
      </c>
      <c r="AY105" s="42" t="s">
        <v>198</v>
      </c>
      <c r="AZ105" s="42">
        <v>7.1</v>
      </c>
      <c r="BA105" s="42" t="s">
        <v>198</v>
      </c>
      <c r="BB105" s="42" t="s">
        <v>198</v>
      </c>
      <c r="BC105" s="42" t="s">
        <v>198</v>
      </c>
      <c r="BD105" s="42" t="s">
        <v>198</v>
      </c>
      <c r="BE105" s="42" t="s">
        <v>861</v>
      </c>
      <c r="BF105" s="42" t="s">
        <v>198</v>
      </c>
      <c r="BG105" s="42" t="s">
        <v>198</v>
      </c>
      <c r="BH105" s="42" t="s">
        <v>198</v>
      </c>
      <c r="BI105" s="42" t="s">
        <v>198</v>
      </c>
      <c r="BJ105" s="42">
        <v>-28.13</v>
      </c>
      <c r="BK105" s="42">
        <v>-14.2</v>
      </c>
      <c r="BL105" s="42" t="s">
        <v>843</v>
      </c>
      <c r="BM105" s="42" t="s">
        <v>821</v>
      </c>
      <c r="BN105" s="42" t="s">
        <v>832</v>
      </c>
    </row>
    <row r="106" spans="2:66" x14ac:dyDescent="0.3">
      <c r="B106" s="42">
        <v>98</v>
      </c>
      <c r="C106" s="42">
        <v>3</v>
      </c>
      <c r="D106" s="42" t="s">
        <v>15</v>
      </c>
      <c r="E106" s="42" t="s">
        <v>854</v>
      </c>
      <c r="F106" s="42">
        <v>3</v>
      </c>
      <c r="G106" s="42" t="s">
        <v>864</v>
      </c>
      <c r="H106" s="42" t="s">
        <v>869</v>
      </c>
      <c r="I106" s="42"/>
      <c r="J106" s="42" t="s">
        <v>872</v>
      </c>
      <c r="K106" s="42" t="s">
        <v>694</v>
      </c>
      <c r="L106" s="42">
        <v>550</v>
      </c>
      <c r="M106" s="42">
        <v>40</v>
      </c>
      <c r="N106" s="42">
        <f t="shared" si="22"/>
        <v>7.5</v>
      </c>
      <c r="O106" s="42" t="s">
        <v>878</v>
      </c>
      <c r="P106" s="44">
        <v>0.53</v>
      </c>
      <c r="Q106" s="42" t="s">
        <v>198</v>
      </c>
      <c r="R106" s="42" t="s">
        <v>198</v>
      </c>
      <c r="S106" s="46">
        <f t="shared" si="23"/>
        <v>7.2239999999999995E-3</v>
      </c>
      <c r="T106" s="44">
        <v>0.23</v>
      </c>
      <c r="U106" s="44">
        <v>0.67</v>
      </c>
      <c r="V106" s="42">
        <v>8.1999999999999993</v>
      </c>
      <c r="W106" s="42" t="s">
        <v>198</v>
      </c>
      <c r="X106" s="42" t="s">
        <v>881</v>
      </c>
      <c r="Y106" s="42" t="s">
        <v>882</v>
      </c>
      <c r="Z106" s="42" t="s">
        <v>696</v>
      </c>
      <c r="AA106" s="42" t="s">
        <v>454</v>
      </c>
      <c r="AB106" s="42">
        <v>22</v>
      </c>
      <c r="AC106" s="42">
        <v>1829</v>
      </c>
      <c r="AD106" s="46">
        <f t="shared" si="24"/>
        <v>8.1700000000000002E-3</v>
      </c>
      <c r="AE106" s="42" t="s">
        <v>888</v>
      </c>
      <c r="AF106" s="42" t="s">
        <v>661</v>
      </c>
      <c r="AG106" s="42" t="s">
        <v>889</v>
      </c>
      <c r="AH106" s="42" t="s">
        <v>451</v>
      </c>
      <c r="AI106" s="51">
        <v>0.11700000000000001</v>
      </c>
      <c r="AJ106" s="51">
        <v>9.1999999999999998E-2</v>
      </c>
      <c r="AK106" s="51">
        <v>0.7198</v>
      </c>
      <c r="AL106" s="51">
        <v>0.7198</v>
      </c>
      <c r="AM106" s="51">
        <f t="shared" si="25"/>
        <v>2.9660257606895134E-2</v>
      </c>
      <c r="AN106" s="51">
        <v>1.7000000000000001E-2</v>
      </c>
      <c r="AO106" s="48">
        <v>992</v>
      </c>
      <c r="AP106" s="51">
        <f t="shared" si="26"/>
        <v>0.14054774239310491</v>
      </c>
      <c r="AQ106" s="42">
        <v>5420</v>
      </c>
      <c r="AR106" s="42">
        <v>14923</v>
      </c>
      <c r="AS106" s="42">
        <v>2673</v>
      </c>
      <c r="AT106" s="47">
        <v>0.49106593090268902</v>
      </c>
      <c r="AU106" s="47">
        <v>0.49106593090268902</v>
      </c>
      <c r="AV106" s="47">
        <f t="shared" si="18"/>
        <v>0.14658431864349686</v>
      </c>
      <c r="AW106" s="48">
        <f t="shared" si="21"/>
        <v>49.377651300139718</v>
      </c>
      <c r="AX106" s="42">
        <v>9.8800000000000008</v>
      </c>
      <c r="AY106" s="42" t="s">
        <v>198</v>
      </c>
      <c r="AZ106" s="42">
        <v>12.76</v>
      </c>
      <c r="BA106" s="42" t="s">
        <v>198</v>
      </c>
      <c r="BB106" s="42" t="s">
        <v>198</v>
      </c>
      <c r="BC106" s="42" t="s">
        <v>198</v>
      </c>
      <c r="BD106" s="42" t="s">
        <v>198</v>
      </c>
      <c r="BE106" s="42" t="s">
        <v>861</v>
      </c>
      <c r="BF106" s="42" t="s">
        <v>198</v>
      </c>
      <c r="BG106" s="42" t="s">
        <v>198</v>
      </c>
      <c r="BH106" s="42" t="s">
        <v>198</v>
      </c>
      <c r="BI106" s="42" t="s">
        <v>198</v>
      </c>
      <c r="BJ106" s="42">
        <v>-28.21</v>
      </c>
      <c r="BK106" s="42">
        <v>-14.2</v>
      </c>
      <c r="BL106" s="42" t="s">
        <v>844</v>
      </c>
      <c r="BM106" s="42" t="s">
        <v>822</v>
      </c>
      <c r="BN106" s="42" t="s">
        <v>833</v>
      </c>
    </row>
    <row r="107" spans="2:66" x14ac:dyDescent="0.3">
      <c r="B107" s="42">
        <v>99</v>
      </c>
      <c r="C107" s="42">
        <v>3</v>
      </c>
      <c r="D107" s="42" t="s">
        <v>15</v>
      </c>
      <c r="E107" s="42" t="s">
        <v>855</v>
      </c>
      <c r="F107" s="42">
        <v>3</v>
      </c>
      <c r="G107" s="42" t="s">
        <v>865</v>
      </c>
      <c r="H107" s="42" t="s">
        <v>870</v>
      </c>
      <c r="I107" s="42"/>
      <c r="J107" s="42" t="s">
        <v>872</v>
      </c>
      <c r="K107" s="42" t="s">
        <v>694</v>
      </c>
      <c r="L107" s="42">
        <v>550</v>
      </c>
      <c r="M107" s="42">
        <v>40</v>
      </c>
      <c r="N107" s="42">
        <f t="shared" si="22"/>
        <v>7.5</v>
      </c>
      <c r="O107" s="42" t="s">
        <v>878</v>
      </c>
      <c r="P107" s="44">
        <v>0.53</v>
      </c>
      <c r="Q107" s="42" t="s">
        <v>198</v>
      </c>
      <c r="R107" s="42" t="s">
        <v>198</v>
      </c>
      <c r="S107" s="46">
        <f t="shared" si="23"/>
        <v>7.2239999999999995E-3</v>
      </c>
      <c r="T107" s="44">
        <v>0.23</v>
      </c>
      <c r="U107" s="44">
        <v>0.67</v>
      </c>
      <c r="V107" s="42">
        <v>8.1999999999999993</v>
      </c>
      <c r="W107" s="42" t="s">
        <v>198</v>
      </c>
      <c r="X107" s="42" t="s">
        <v>881</v>
      </c>
      <c r="Y107" s="42" t="s">
        <v>882</v>
      </c>
      <c r="Z107" s="42" t="s">
        <v>696</v>
      </c>
      <c r="AA107" s="42" t="s">
        <v>454</v>
      </c>
      <c r="AB107" s="42">
        <v>22</v>
      </c>
      <c r="AC107" s="42">
        <v>1829</v>
      </c>
      <c r="AD107" s="46">
        <f t="shared" si="24"/>
        <v>8.1700000000000002E-3</v>
      </c>
      <c r="AE107" s="42" t="s">
        <v>888</v>
      </c>
      <c r="AF107" s="42" t="s">
        <v>661</v>
      </c>
      <c r="AG107" s="42" t="s">
        <v>889</v>
      </c>
      <c r="AH107" s="42" t="s">
        <v>451</v>
      </c>
      <c r="AI107" s="51">
        <v>0.65400000000000003</v>
      </c>
      <c r="AJ107" s="51">
        <v>0.47499999999999998</v>
      </c>
      <c r="AK107" s="51">
        <v>0.31590000000000001</v>
      </c>
      <c r="AL107" s="51">
        <v>0.31590000000000001</v>
      </c>
      <c r="AM107" s="51">
        <f t="shared" si="25"/>
        <v>1.7316501728716481E-2</v>
      </c>
      <c r="AN107" s="51">
        <v>2.0999999999999999E-3</v>
      </c>
      <c r="AO107" s="48">
        <v>1591</v>
      </c>
      <c r="AP107" s="51">
        <f t="shared" si="26"/>
        <v>0.18809249827128352</v>
      </c>
      <c r="AQ107" s="42">
        <v>2825</v>
      </c>
      <c r="AR107" s="42">
        <v>520</v>
      </c>
      <c r="AS107" s="42">
        <v>378</v>
      </c>
      <c r="AT107" s="47">
        <v>0.65326179980072097</v>
      </c>
      <c r="AU107" s="47">
        <v>0.65326179980072097</v>
      </c>
      <c r="AV107" s="47">
        <f t="shared" si="18"/>
        <v>0.44698950873945775</v>
      </c>
      <c r="AW107" s="48">
        <f t="shared" si="21"/>
        <v>175.42756637236565</v>
      </c>
      <c r="AX107" s="42">
        <v>9.2200000000000006</v>
      </c>
      <c r="AY107" s="42" t="s">
        <v>198</v>
      </c>
      <c r="AZ107" s="42">
        <v>22.71</v>
      </c>
      <c r="BA107" s="42" t="s">
        <v>198</v>
      </c>
      <c r="BB107" s="42" t="s">
        <v>198</v>
      </c>
      <c r="BC107" s="42" t="s">
        <v>198</v>
      </c>
      <c r="BD107" s="42" t="s">
        <v>198</v>
      </c>
      <c r="BE107" s="42" t="s">
        <v>861</v>
      </c>
      <c r="BF107" s="42" t="s">
        <v>198</v>
      </c>
      <c r="BG107" s="42" t="s">
        <v>198</v>
      </c>
      <c r="BH107" s="42" t="s">
        <v>198</v>
      </c>
      <c r="BI107" s="42" t="s">
        <v>198</v>
      </c>
      <c r="BJ107" s="42">
        <v>-21.68</v>
      </c>
      <c r="BK107" s="42">
        <v>-14.2</v>
      </c>
      <c r="BL107" s="42" t="s">
        <v>845</v>
      </c>
      <c r="BM107" s="42" t="s">
        <v>823</v>
      </c>
      <c r="BN107" s="42" t="s">
        <v>834</v>
      </c>
    </row>
    <row r="108" spans="2:66" x14ac:dyDescent="0.3">
      <c r="B108" s="42">
        <v>100</v>
      </c>
      <c r="C108" s="42">
        <v>3</v>
      </c>
      <c r="D108" s="42" t="s">
        <v>15</v>
      </c>
      <c r="E108" s="42" t="s">
        <v>856</v>
      </c>
      <c r="F108" s="42">
        <v>3</v>
      </c>
      <c r="G108" s="42" t="s">
        <v>866</v>
      </c>
      <c r="H108" s="42" t="s">
        <v>871</v>
      </c>
      <c r="I108" s="42"/>
      <c r="J108" s="42" t="s">
        <v>872</v>
      </c>
      <c r="K108" s="42" t="s">
        <v>694</v>
      </c>
      <c r="L108" s="42">
        <v>400</v>
      </c>
      <c r="M108" s="42">
        <v>40</v>
      </c>
      <c r="N108" s="42">
        <f t="shared" si="22"/>
        <v>7.5</v>
      </c>
      <c r="O108" s="42" t="s">
        <v>878</v>
      </c>
      <c r="P108" s="44">
        <v>0.53</v>
      </c>
      <c r="Q108" s="42" t="s">
        <v>198</v>
      </c>
      <c r="R108" s="42" t="s">
        <v>198</v>
      </c>
      <c r="S108" s="46">
        <f t="shared" si="23"/>
        <v>7.2239999999999995E-3</v>
      </c>
      <c r="T108" s="44">
        <v>0.23</v>
      </c>
      <c r="U108" s="44">
        <v>0.67</v>
      </c>
      <c r="V108" s="42">
        <v>8.1999999999999993</v>
      </c>
      <c r="W108" s="42" t="s">
        <v>198</v>
      </c>
      <c r="X108" s="42" t="s">
        <v>881</v>
      </c>
      <c r="Y108" s="42" t="s">
        <v>882</v>
      </c>
      <c r="Z108" s="42" t="s">
        <v>696</v>
      </c>
      <c r="AA108" s="42" t="s">
        <v>454</v>
      </c>
      <c r="AB108" s="42">
        <v>22</v>
      </c>
      <c r="AC108" s="42">
        <v>1829</v>
      </c>
      <c r="AD108" s="46">
        <f t="shared" si="24"/>
        <v>8.1700000000000002E-3</v>
      </c>
      <c r="AE108" s="42" t="s">
        <v>888</v>
      </c>
      <c r="AF108" s="42" t="s">
        <v>661</v>
      </c>
      <c r="AG108" s="42" t="s">
        <v>889</v>
      </c>
      <c r="AH108" s="42" t="s">
        <v>451</v>
      </c>
      <c r="AI108" s="51">
        <v>0.42299999999999999</v>
      </c>
      <c r="AJ108" s="51">
        <v>0.34599999999999997</v>
      </c>
      <c r="AK108" s="51">
        <v>0.43109999999999998</v>
      </c>
      <c r="AL108" s="51">
        <v>0.43109999999999998</v>
      </c>
      <c r="AM108" s="51">
        <f t="shared" si="25"/>
        <v>3.2906625789265648E-2</v>
      </c>
      <c r="AN108" s="51">
        <v>5.1799999999999999E-2</v>
      </c>
      <c r="AO108" s="48">
        <v>4900</v>
      </c>
      <c r="AP108" s="51">
        <f t="shared" si="26"/>
        <v>0.13329337421073442</v>
      </c>
      <c r="AQ108" s="42">
        <v>6835</v>
      </c>
      <c r="AR108" s="42">
        <v>24851</v>
      </c>
      <c r="AS108" s="42">
        <v>5763</v>
      </c>
      <c r="AT108" s="47">
        <v>0.909666199752311</v>
      </c>
      <c r="AU108" s="47">
        <v>0.909666199752311</v>
      </c>
      <c r="AV108" s="47">
        <f t="shared" si="18"/>
        <v>0.23211650357480268</v>
      </c>
      <c r="AW108" s="48">
        <f t="shared" si="21"/>
        <v>9.7054521012200414</v>
      </c>
      <c r="AX108" s="42">
        <v>9.1999999999999993</v>
      </c>
      <c r="AY108" s="42" t="s">
        <v>198</v>
      </c>
      <c r="AZ108" s="42">
        <v>14.51</v>
      </c>
      <c r="BA108" s="42" t="s">
        <v>198</v>
      </c>
      <c r="BB108" s="42" t="s">
        <v>198</v>
      </c>
      <c r="BC108" s="42" t="s">
        <v>198</v>
      </c>
      <c r="BD108" s="42" t="s">
        <v>198</v>
      </c>
      <c r="BE108" s="42" t="s">
        <v>861</v>
      </c>
      <c r="BF108" s="42" t="s">
        <v>198</v>
      </c>
      <c r="BG108" s="42" t="s">
        <v>198</v>
      </c>
      <c r="BH108" s="42" t="s">
        <v>198</v>
      </c>
      <c r="BI108" s="42" t="s">
        <v>198</v>
      </c>
      <c r="BJ108" s="42">
        <v>-25.18</v>
      </c>
      <c r="BK108" s="42">
        <v>-14.2</v>
      </c>
      <c r="BL108" s="42" t="s">
        <v>846</v>
      </c>
      <c r="BM108" s="42" t="s">
        <v>824</v>
      </c>
      <c r="BN108" s="42" t="s">
        <v>835</v>
      </c>
    </row>
    <row r="109" spans="2:66" x14ac:dyDescent="0.3">
      <c r="B109" s="42">
        <v>101</v>
      </c>
      <c r="C109" s="42">
        <v>3</v>
      </c>
      <c r="D109" s="42" t="s">
        <v>15</v>
      </c>
      <c r="E109" s="42" t="s">
        <v>857</v>
      </c>
      <c r="F109" s="42">
        <v>3</v>
      </c>
      <c r="G109" s="42" t="s">
        <v>866</v>
      </c>
      <c r="H109" s="42" t="s">
        <v>871</v>
      </c>
      <c r="I109" s="42"/>
      <c r="J109" s="42" t="s">
        <v>872</v>
      </c>
      <c r="K109" s="42" t="s">
        <v>694</v>
      </c>
      <c r="L109" s="42">
        <v>550</v>
      </c>
      <c r="M109" s="42">
        <v>40</v>
      </c>
      <c r="N109" s="42">
        <f t="shared" si="22"/>
        <v>7.5</v>
      </c>
      <c r="O109" s="42" t="s">
        <v>878</v>
      </c>
      <c r="P109" s="44">
        <v>0.53</v>
      </c>
      <c r="Q109" s="42" t="s">
        <v>198</v>
      </c>
      <c r="R109" s="42" t="s">
        <v>198</v>
      </c>
      <c r="S109" s="46">
        <f t="shared" si="23"/>
        <v>7.2239999999999995E-3</v>
      </c>
      <c r="T109" s="44">
        <v>0.23</v>
      </c>
      <c r="U109" s="44">
        <v>0.67</v>
      </c>
      <c r="V109" s="42">
        <v>8.1999999999999993</v>
      </c>
      <c r="W109" s="42" t="s">
        <v>198</v>
      </c>
      <c r="X109" s="42" t="s">
        <v>881</v>
      </c>
      <c r="Y109" s="42" t="s">
        <v>882</v>
      </c>
      <c r="Z109" s="42" t="s">
        <v>696</v>
      </c>
      <c r="AA109" s="42" t="s">
        <v>454</v>
      </c>
      <c r="AB109" s="42">
        <v>22</v>
      </c>
      <c r="AC109" s="42">
        <v>1829</v>
      </c>
      <c r="AD109" s="46">
        <f t="shared" si="24"/>
        <v>8.1700000000000002E-3</v>
      </c>
      <c r="AE109" s="42" t="s">
        <v>888</v>
      </c>
      <c r="AF109" s="42" t="s">
        <v>661</v>
      </c>
      <c r="AG109" s="42" t="s">
        <v>889</v>
      </c>
      <c r="AH109" s="42" t="s">
        <v>451</v>
      </c>
      <c r="AI109" s="51">
        <v>0.45900000000000002</v>
      </c>
      <c r="AJ109" s="51">
        <v>0.44400000000000001</v>
      </c>
      <c r="AK109" s="51">
        <v>0.41320000000000001</v>
      </c>
      <c r="AL109" s="51">
        <v>0.41320000000000001</v>
      </c>
      <c r="AM109" s="51">
        <f t="shared" si="25"/>
        <v>1.9028725128328799E-2</v>
      </c>
      <c r="AN109" s="51">
        <v>3.7900000000000003E-2</v>
      </c>
      <c r="AO109" s="48">
        <v>5122</v>
      </c>
      <c r="AP109" s="51">
        <f t="shared" si="26"/>
        <v>8.0749274871671231E-2</v>
      </c>
      <c r="AQ109" s="42">
        <v>7466</v>
      </c>
      <c r="AR109" s="42">
        <v>22983</v>
      </c>
      <c r="AS109" s="42">
        <v>6062</v>
      </c>
      <c r="AT109" s="47">
        <v>0.54881517119437695</v>
      </c>
      <c r="AU109" s="47">
        <v>0.54881517119437695</v>
      </c>
      <c r="AV109" s="47">
        <f t="shared" si="18"/>
        <v>0.14670800088443053</v>
      </c>
      <c r="AW109" s="48">
        <f t="shared" si="21"/>
        <v>12.714187457256944</v>
      </c>
      <c r="AX109" s="42">
        <v>10.26</v>
      </c>
      <c r="AY109" s="42" t="s">
        <v>198</v>
      </c>
      <c r="AZ109" s="42">
        <v>45.5</v>
      </c>
      <c r="BA109" s="42" t="s">
        <v>198</v>
      </c>
      <c r="BB109" s="42" t="s">
        <v>198</v>
      </c>
      <c r="BC109" s="42" t="s">
        <v>198</v>
      </c>
      <c r="BD109" s="42" t="s">
        <v>198</v>
      </c>
      <c r="BE109" s="42" t="s">
        <v>861</v>
      </c>
      <c r="BF109" s="42" t="s">
        <v>198</v>
      </c>
      <c r="BG109" s="42" t="s">
        <v>198</v>
      </c>
      <c r="BH109" s="42" t="s">
        <v>198</v>
      </c>
      <c r="BI109" s="42" t="s">
        <v>198</v>
      </c>
      <c r="BJ109" s="42">
        <v>-25.22</v>
      </c>
      <c r="BK109" s="42">
        <v>-14.2</v>
      </c>
      <c r="BL109" s="42" t="s">
        <v>847</v>
      </c>
      <c r="BM109" s="42" t="s">
        <v>825</v>
      </c>
      <c r="BN109" s="42" t="s">
        <v>836</v>
      </c>
    </row>
    <row r="110" spans="2:66" x14ac:dyDescent="0.3">
      <c r="B110" s="42">
        <v>102</v>
      </c>
      <c r="C110" s="42">
        <v>3</v>
      </c>
      <c r="D110" s="42" t="s">
        <v>15</v>
      </c>
      <c r="E110" s="42" t="s">
        <v>858</v>
      </c>
      <c r="F110" s="42">
        <v>3</v>
      </c>
      <c r="G110" s="42" t="s">
        <v>867</v>
      </c>
      <c r="H110" s="42" t="s">
        <v>871</v>
      </c>
      <c r="I110" s="42"/>
      <c r="J110" s="42" t="s">
        <v>872</v>
      </c>
      <c r="K110" s="42" t="s">
        <v>694</v>
      </c>
      <c r="L110" s="42">
        <v>400</v>
      </c>
      <c r="M110" s="42">
        <v>40</v>
      </c>
      <c r="N110" s="42">
        <f t="shared" si="22"/>
        <v>7.5</v>
      </c>
      <c r="O110" s="42" t="s">
        <v>878</v>
      </c>
      <c r="P110" s="44">
        <v>0.53</v>
      </c>
      <c r="Q110" s="42" t="s">
        <v>198</v>
      </c>
      <c r="R110" s="42" t="s">
        <v>198</v>
      </c>
      <c r="S110" s="46">
        <f t="shared" si="23"/>
        <v>7.2239999999999995E-3</v>
      </c>
      <c r="T110" s="44">
        <v>0.23</v>
      </c>
      <c r="U110" s="44">
        <v>0.67</v>
      </c>
      <c r="V110" s="42">
        <v>8.1999999999999993</v>
      </c>
      <c r="W110" s="42" t="s">
        <v>198</v>
      </c>
      <c r="X110" s="42" t="s">
        <v>881</v>
      </c>
      <c r="Y110" s="42" t="s">
        <v>882</v>
      </c>
      <c r="Z110" s="42" t="s">
        <v>696</v>
      </c>
      <c r="AA110" s="42" t="s">
        <v>454</v>
      </c>
      <c r="AB110" s="42">
        <v>22</v>
      </c>
      <c r="AC110" s="42">
        <v>1829</v>
      </c>
      <c r="AD110" s="46">
        <f t="shared" si="24"/>
        <v>8.1700000000000002E-3</v>
      </c>
      <c r="AE110" s="42" t="s">
        <v>888</v>
      </c>
      <c r="AF110" s="42" t="s">
        <v>661</v>
      </c>
      <c r="AG110" s="42" t="s">
        <v>889</v>
      </c>
      <c r="AH110" s="42" t="s">
        <v>451</v>
      </c>
      <c r="AI110" s="52">
        <v>0.70299999999999996</v>
      </c>
      <c r="AJ110" s="51">
        <v>0.70399999999999996</v>
      </c>
      <c r="AK110" s="51">
        <v>0.17499999999999999</v>
      </c>
      <c r="AL110" s="51">
        <v>0.17499999999999999</v>
      </c>
      <c r="AM110" s="51">
        <f t="shared" si="25"/>
        <v>1.6016693183917571E-2</v>
      </c>
      <c r="AN110" s="51">
        <v>1.35E-2</v>
      </c>
      <c r="AO110" s="48">
        <v>4526</v>
      </c>
      <c r="AP110" s="51">
        <f t="shared" si="26"/>
        <v>8.6957306816082477E-2</v>
      </c>
      <c r="AQ110" s="42">
        <v>10699</v>
      </c>
      <c r="AR110" s="42">
        <v>26429</v>
      </c>
      <c r="AS110" s="42">
        <v>4359</v>
      </c>
      <c r="AT110" s="47">
        <v>1.0907156284675501</v>
      </c>
      <c r="AU110" s="47">
        <v>1.0907156284675501</v>
      </c>
      <c r="AV110" s="47">
        <f t="shared" si="18"/>
        <v>0.37302978756740929</v>
      </c>
      <c r="AW110" s="48">
        <f t="shared" si="21"/>
        <v>15.117214927800489</v>
      </c>
      <c r="AX110" s="42">
        <v>9.0299999999999994</v>
      </c>
      <c r="AY110" s="42" t="s">
        <v>198</v>
      </c>
      <c r="AZ110" s="42">
        <v>22.19</v>
      </c>
      <c r="BA110" s="42" t="s">
        <v>198</v>
      </c>
      <c r="BB110" s="42" t="s">
        <v>198</v>
      </c>
      <c r="BC110" s="42" t="s">
        <v>198</v>
      </c>
      <c r="BD110" s="42" t="s">
        <v>198</v>
      </c>
      <c r="BE110" s="42" t="s">
        <v>861</v>
      </c>
      <c r="BF110" s="42" t="s">
        <v>198</v>
      </c>
      <c r="BG110" s="42" t="s">
        <v>198</v>
      </c>
      <c r="BH110" s="42" t="s">
        <v>198</v>
      </c>
      <c r="BI110" s="42" t="s">
        <v>198</v>
      </c>
      <c r="BJ110" s="42">
        <v>-27.45</v>
      </c>
      <c r="BK110" s="42">
        <v>-14.2</v>
      </c>
      <c r="BL110" s="42" t="s">
        <v>848</v>
      </c>
      <c r="BM110" s="42" t="s">
        <v>826</v>
      </c>
      <c r="BN110" s="42" t="s">
        <v>837</v>
      </c>
    </row>
    <row r="111" spans="2:66" x14ac:dyDescent="0.3">
      <c r="B111" s="42">
        <v>103</v>
      </c>
      <c r="C111" s="42">
        <v>3</v>
      </c>
      <c r="D111" s="42" t="s">
        <v>15</v>
      </c>
      <c r="E111" s="42" t="s">
        <v>859</v>
      </c>
      <c r="F111" s="42">
        <v>3</v>
      </c>
      <c r="G111" s="42" t="s">
        <v>867</v>
      </c>
      <c r="H111" s="42" t="s">
        <v>871</v>
      </c>
      <c r="I111" s="42"/>
      <c r="J111" s="42" t="s">
        <v>872</v>
      </c>
      <c r="K111" s="42" t="s">
        <v>694</v>
      </c>
      <c r="L111" s="42">
        <v>550</v>
      </c>
      <c r="M111" s="42">
        <v>40</v>
      </c>
      <c r="N111" s="42">
        <f t="shared" si="22"/>
        <v>7.5</v>
      </c>
      <c r="O111" s="42" t="s">
        <v>878</v>
      </c>
      <c r="P111" s="44">
        <v>0.53</v>
      </c>
      <c r="Q111" s="42" t="s">
        <v>198</v>
      </c>
      <c r="R111" s="42" t="s">
        <v>198</v>
      </c>
      <c r="S111" s="46">
        <f t="shared" si="23"/>
        <v>7.2239999999999995E-3</v>
      </c>
      <c r="T111" s="44">
        <v>0.23</v>
      </c>
      <c r="U111" s="44">
        <v>0.67</v>
      </c>
      <c r="V111" s="42">
        <v>8.1999999999999993</v>
      </c>
      <c r="W111" s="42" t="s">
        <v>198</v>
      </c>
      <c r="X111" s="42" t="s">
        <v>881</v>
      </c>
      <c r="Y111" s="42" t="s">
        <v>882</v>
      </c>
      <c r="Z111" s="42" t="s">
        <v>696</v>
      </c>
      <c r="AA111" s="42" t="s">
        <v>454</v>
      </c>
      <c r="AB111" s="42">
        <v>22</v>
      </c>
      <c r="AC111" s="42">
        <v>1829</v>
      </c>
      <c r="AD111" s="46">
        <f t="shared" si="24"/>
        <v>8.1700000000000002E-3</v>
      </c>
      <c r="AE111" s="42" t="s">
        <v>888</v>
      </c>
      <c r="AF111" s="42" t="s">
        <v>661</v>
      </c>
      <c r="AG111" s="42" t="s">
        <v>889</v>
      </c>
      <c r="AH111" s="42" t="s">
        <v>451</v>
      </c>
      <c r="AI111" s="51">
        <v>0.76200000000000001</v>
      </c>
      <c r="AJ111" s="51">
        <v>0.75700000000000001</v>
      </c>
      <c r="AK111" s="51">
        <v>0.1653</v>
      </c>
      <c r="AL111" s="51">
        <v>0.1653</v>
      </c>
      <c r="AM111" s="51">
        <f t="shared" si="25"/>
        <v>9.9902437259582252E-3</v>
      </c>
      <c r="AN111" s="51">
        <v>1.14E-2</v>
      </c>
      <c r="AO111" s="48">
        <v>3737</v>
      </c>
      <c r="AP111" s="51">
        <f t="shared" si="26"/>
        <v>5.2572756274041774E-2</v>
      </c>
      <c r="AQ111" s="42">
        <v>11823</v>
      </c>
      <c r="AR111" s="42">
        <v>23075</v>
      </c>
      <c r="AS111" s="42">
        <v>4927</v>
      </c>
      <c r="AT111" s="47">
        <v>0.72024451302013903</v>
      </c>
      <c r="AU111" s="47">
        <v>0.72024451302013903</v>
      </c>
      <c r="AV111" s="47">
        <f t="shared" si="18"/>
        <v>0.23876099174703921</v>
      </c>
      <c r="AW111" s="48">
        <f t="shared" si="21"/>
        <v>16.909684697811119</v>
      </c>
      <c r="AX111" s="42">
        <v>8.94</v>
      </c>
      <c r="AY111" s="42" t="s">
        <v>198</v>
      </c>
      <c r="AZ111" s="42">
        <v>28.63</v>
      </c>
      <c r="BA111" s="42" t="s">
        <v>198</v>
      </c>
      <c r="BB111" s="42" t="s">
        <v>198</v>
      </c>
      <c r="BC111" s="42" t="s">
        <v>198</v>
      </c>
      <c r="BD111" s="42" t="s">
        <v>198</v>
      </c>
      <c r="BE111" s="42" t="s">
        <v>861</v>
      </c>
      <c r="BF111" s="42" t="s">
        <v>198</v>
      </c>
      <c r="BG111" s="42" t="s">
        <v>198</v>
      </c>
      <c r="BH111" s="42" t="s">
        <v>198</v>
      </c>
      <c r="BI111" s="42" t="s">
        <v>198</v>
      </c>
      <c r="BJ111" s="42">
        <v>-27.71</v>
      </c>
      <c r="BK111" s="42">
        <v>-14.2</v>
      </c>
      <c r="BL111" s="42" t="s">
        <v>849</v>
      </c>
      <c r="BM111" s="42" t="s">
        <v>827</v>
      </c>
      <c r="BN111" s="42" t="s">
        <v>838</v>
      </c>
    </row>
    <row r="112" spans="2:66" x14ac:dyDescent="0.3">
      <c r="B112" s="53">
        <v>104</v>
      </c>
      <c r="C112" s="53">
        <v>4</v>
      </c>
      <c r="D112" s="53" t="s">
        <v>365</v>
      </c>
      <c r="E112" s="42"/>
      <c r="F112" s="42"/>
      <c r="G112" s="42"/>
      <c r="H112" s="42"/>
      <c r="I112" s="42"/>
      <c r="J112" s="42"/>
      <c r="K112" s="42"/>
      <c r="L112" s="42"/>
      <c r="M112" s="42"/>
      <c r="N112" s="42"/>
      <c r="O112" s="42"/>
      <c r="P112" s="42"/>
      <c r="Q112" s="42"/>
      <c r="R112" s="42"/>
      <c r="S112" s="42"/>
      <c r="T112" s="42"/>
      <c r="U112" s="44">
        <v>0.65</v>
      </c>
      <c r="V112" s="42"/>
      <c r="W112" s="42"/>
      <c r="X112" s="42"/>
      <c r="Y112" s="42" t="s">
        <v>882</v>
      </c>
      <c r="Z112" s="42" t="s">
        <v>696</v>
      </c>
      <c r="AA112" s="42" t="s">
        <v>454</v>
      </c>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row>
    <row r="113" spans="2:66" x14ac:dyDescent="0.3">
      <c r="B113" s="53">
        <v>105</v>
      </c>
      <c r="C113" s="53">
        <v>4</v>
      </c>
      <c r="D113" s="53" t="s">
        <v>365</v>
      </c>
      <c r="E113" s="42"/>
      <c r="F113" s="42"/>
      <c r="G113" s="42"/>
      <c r="H113" s="42"/>
      <c r="I113" s="42"/>
      <c r="J113" s="42"/>
      <c r="K113" s="42"/>
      <c r="L113" s="42"/>
      <c r="M113" s="42"/>
      <c r="N113" s="42"/>
      <c r="O113" s="53"/>
      <c r="P113" s="50"/>
      <c r="Q113" s="50"/>
      <c r="R113" s="65"/>
      <c r="S113" s="66"/>
      <c r="T113" s="42"/>
      <c r="U113" s="44">
        <v>0.65</v>
      </c>
      <c r="V113" s="53"/>
      <c r="W113" s="42"/>
      <c r="X113" s="53"/>
      <c r="Y113" s="42" t="s">
        <v>882</v>
      </c>
      <c r="Z113" s="42" t="s">
        <v>696</v>
      </c>
      <c r="AA113" s="42" t="s">
        <v>454</v>
      </c>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row>
    <row r="114" spans="2:66" x14ac:dyDescent="0.3">
      <c r="B114" s="53">
        <v>106</v>
      </c>
      <c r="C114" s="53">
        <v>4</v>
      </c>
      <c r="D114" s="53" t="s">
        <v>365</v>
      </c>
      <c r="E114" s="42"/>
      <c r="F114" s="42"/>
      <c r="G114" s="42"/>
      <c r="H114" s="42"/>
      <c r="I114" s="42"/>
      <c r="J114" s="42"/>
      <c r="K114" s="42"/>
      <c r="L114" s="42"/>
      <c r="M114" s="42"/>
      <c r="N114" s="42"/>
      <c r="O114" s="53"/>
      <c r="P114" s="50"/>
      <c r="Q114" s="50"/>
      <c r="R114" s="50"/>
      <c r="S114" s="66"/>
      <c r="T114" s="42"/>
      <c r="U114" s="44">
        <v>0.65</v>
      </c>
      <c r="V114" s="53"/>
      <c r="W114" s="42"/>
      <c r="X114" s="53"/>
      <c r="Y114" s="42" t="s">
        <v>882</v>
      </c>
      <c r="Z114" s="42" t="s">
        <v>696</v>
      </c>
      <c r="AA114" s="42" t="s">
        <v>454</v>
      </c>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53"/>
      <c r="BL114" s="42"/>
      <c r="BM114" s="42"/>
      <c r="BN114" s="42"/>
    </row>
    <row r="115" spans="2:66" x14ac:dyDescent="0.3">
      <c r="B115" s="53">
        <v>107</v>
      </c>
      <c r="C115" s="53">
        <v>4</v>
      </c>
      <c r="D115" s="53" t="s">
        <v>365</v>
      </c>
      <c r="E115" s="42"/>
      <c r="F115" s="42"/>
      <c r="G115" s="42"/>
      <c r="H115" s="42"/>
      <c r="I115" s="42"/>
      <c r="J115" s="42"/>
      <c r="K115" s="42"/>
      <c r="L115" s="42"/>
      <c r="M115" s="42"/>
      <c r="N115" s="42"/>
      <c r="O115" s="53"/>
      <c r="P115" s="50"/>
      <c r="Q115" s="50"/>
      <c r="R115" s="50"/>
      <c r="S115" s="66"/>
      <c r="T115" s="42"/>
      <c r="U115" s="44">
        <v>0.65</v>
      </c>
      <c r="V115" s="53"/>
      <c r="W115" s="42"/>
      <c r="X115" s="53"/>
      <c r="Y115" s="42" t="s">
        <v>882</v>
      </c>
      <c r="Z115" s="42" t="s">
        <v>696</v>
      </c>
      <c r="AA115" s="42" t="s">
        <v>454</v>
      </c>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53"/>
      <c r="BL115" s="42"/>
      <c r="BM115" s="42"/>
      <c r="BN115" s="42"/>
    </row>
    <row r="116" spans="2:66" x14ac:dyDescent="0.3">
      <c r="B116" s="53">
        <v>108</v>
      </c>
      <c r="C116" s="53">
        <v>4</v>
      </c>
      <c r="D116" s="53" t="s">
        <v>365</v>
      </c>
      <c r="E116" s="42"/>
      <c r="F116" s="42"/>
      <c r="G116" s="42"/>
      <c r="H116" s="42"/>
      <c r="I116" s="42"/>
      <c r="J116" s="42"/>
      <c r="K116" s="42"/>
      <c r="L116" s="42"/>
      <c r="M116" s="42"/>
      <c r="N116" s="42"/>
      <c r="O116" s="53"/>
      <c r="P116" s="50"/>
      <c r="Q116" s="50"/>
      <c r="R116" s="50"/>
      <c r="S116" s="66"/>
      <c r="T116" s="42"/>
      <c r="U116" s="44">
        <v>0.65</v>
      </c>
      <c r="V116" s="53"/>
      <c r="W116" s="42"/>
      <c r="X116" s="53"/>
      <c r="Y116" s="42" t="s">
        <v>882</v>
      </c>
      <c r="Z116" s="42" t="s">
        <v>696</v>
      </c>
      <c r="AA116" s="42" t="s">
        <v>454</v>
      </c>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53"/>
      <c r="BL116" s="42"/>
      <c r="BM116" s="42"/>
      <c r="BN116" s="42"/>
    </row>
    <row r="117" spans="2:66" x14ac:dyDescent="0.3">
      <c r="B117" s="53">
        <v>109</v>
      </c>
      <c r="C117" s="53">
        <v>4</v>
      </c>
      <c r="D117" s="53" t="s">
        <v>365</v>
      </c>
      <c r="E117" s="42"/>
      <c r="F117" s="42"/>
      <c r="G117" s="42"/>
      <c r="H117" s="42"/>
      <c r="I117" s="42"/>
      <c r="J117" s="42"/>
      <c r="K117" s="42"/>
      <c r="L117" s="42"/>
      <c r="M117" s="42"/>
      <c r="N117" s="42"/>
      <c r="O117" s="42"/>
      <c r="P117" s="42"/>
      <c r="Q117" s="42"/>
      <c r="R117" s="42"/>
      <c r="S117" s="42"/>
      <c r="T117" s="42"/>
      <c r="U117" s="44">
        <v>0.65</v>
      </c>
      <c r="V117" s="42"/>
      <c r="W117" s="42"/>
      <c r="X117" s="42"/>
      <c r="Y117" s="42" t="s">
        <v>882</v>
      </c>
      <c r="Z117" s="42" t="s">
        <v>696</v>
      </c>
      <c r="AA117" s="42" t="s">
        <v>454</v>
      </c>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53"/>
      <c r="BL117" s="42"/>
      <c r="BM117" s="42"/>
      <c r="BN117" s="42"/>
    </row>
    <row r="118" spans="2:66" x14ac:dyDescent="0.3">
      <c r="B118" s="53">
        <v>110</v>
      </c>
      <c r="C118" s="53">
        <v>4</v>
      </c>
      <c r="D118" s="53" t="s">
        <v>365</v>
      </c>
      <c r="E118" s="42"/>
      <c r="F118" s="42"/>
      <c r="G118" s="42"/>
      <c r="H118" s="42"/>
      <c r="I118" s="42"/>
      <c r="J118" s="42"/>
      <c r="K118" s="42"/>
      <c r="L118" s="42"/>
      <c r="M118" s="42"/>
      <c r="N118" s="42"/>
      <c r="O118" s="42"/>
      <c r="P118" s="42"/>
      <c r="Q118" s="42"/>
      <c r="R118" s="42"/>
      <c r="S118" s="42"/>
      <c r="T118" s="42"/>
      <c r="U118" s="44">
        <v>0.65</v>
      </c>
      <c r="V118" s="42"/>
      <c r="W118" s="42"/>
      <c r="X118" s="42"/>
      <c r="Y118" s="42" t="s">
        <v>882</v>
      </c>
      <c r="Z118" s="42" t="s">
        <v>696</v>
      </c>
      <c r="AA118" s="42" t="s">
        <v>454</v>
      </c>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row>
    <row r="119" spans="2:66" x14ac:dyDescent="0.3">
      <c r="B119" s="42">
        <v>111</v>
      </c>
      <c r="C119" s="42">
        <v>7</v>
      </c>
      <c r="D119" s="42" t="s">
        <v>368</v>
      </c>
      <c r="E119" s="42" t="s">
        <v>1023</v>
      </c>
      <c r="F119" s="42">
        <v>3</v>
      </c>
      <c r="G119" s="42" t="s">
        <v>624</v>
      </c>
      <c r="H119" s="42" t="s">
        <v>635</v>
      </c>
      <c r="I119" s="42"/>
      <c r="J119" s="42" t="s">
        <v>1021</v>
      </c>
      <c r="K119" s="42" t="s">
        <v>694</v>
      </c>
      <c r="L119" s="42">
        <v>500</v>
      </c>
      <c r="M119" s="42">
        <v>2880</v>
      </c>
      <c r="N119" s="42" t="s">
        <v>198</v>
      </c>
      <c r="O119" s="42" t="s">
        <v>1018</v>
      </c>
      <c r="P119" s="44">
        <v>0.3</v>
      </c>
      <c r="Q119" s="44">
        <v>0.55500000000000005</v>
      </c>
      <c r="R119" s="44">
        <f>1-Q119-P119</f>
        <v>0.14499999999999996</v>
      </c>
      <c r="S119" s="45">
        <f>20/1000*1.72</f>
        <v>3.44E-2</v>
      </c>
      <c r="T119" s="42" t="s">
        <v>198</v>
      </c>
      <c r="U119" s="44">
        <v>0.55000000000000004</v>
      </c>
      <c r="V119" s="42">
        <v>3.9</v>
      </c>
      <c r="W119" s="42" t="s">
        <v>198</v>
      </c>
      <c r="X119" s="42" t="s">
        <v>621</v>
      </c>
      <c r="Y119" s="42" t="s">
        <v>622</v>
      </c>
      <c r="Z119" s="42" t="s">
        <v>696</v>
      </c>
      <c r="AA119" s="42" t="s">
        <v>1046</v>
      </c>
      <c r="AB119" s="42">
        <v>30</v>
      </c>
      <c r="AC119" s="42">
        <v>2596</v>
      </c>
      <c r="AD119" s="46">
        <f>2/96</f>
        <v>2.0833333333333332E-2</v>
      </c>
      <c r="AE119" s="42" t="s">
        <v>1013</v>
      </c>
      <c r="AF119" s="42" t="s">
        <v>661</v>
      </c>
      <c r="AG119" s="42" t="s">
        <v>1027</v>
      </c>
      <c r="AH119" s="42" t="s">
        <v>451</v>
      </c>
      <c r="AI119" s="44">
        <v>0.08</v>
      </c>
      <c r="AJ119" s="42" t="s">
        <v>198</v>
      </c>
      <c r="AK119" s="51">
        <v>0.71699999999999997</v>
      </c>
      <c r="AL119" s="51">
        <v>0.71699999999999997</v>
      </c>
      <c r="AM119" s="51">
        <f>AK119*AU119/12.0107*1.00784</f>
        <v>1.56428461954757E-2</v>
      </c>
      <c r="AN119" s="51">
        <v>2.5999999999999999E-3</v>
      </c>
      <c r="AO119" s="42" t="s">
        <v>198</v>
      </c>
      <c r="AP119" s="51">
        <f>1-AI119-AL119-AM119-AN119</f>
        <v>0.18475715380452437</v>
      </c>
      <c r="AQ119" s="42">
        <v>291</v>
      </c>
      <c r="AR119" s="42">
        <f>3.3*1000</f>
        <v>3300</v>
      </c>
      <c r="AS119" s="42">
        <v>259</v>
      </c>
      <c r="AT119" s="42">
        <v>0.26</v>
      </c>
      <c r="AU119" s="42">
        <v>0.26</v>
      </c>
      <c r="AV119" s="47">
        <f>AP119/AL119*12/16</f>
        <v>0.19326062113443973</v>
      </c>
      <c r="AW119" s="55">
        <f t="shared" ref="AW119:AW137" si="27">AK119/AN119*14.0067/12.0107</f>
        <v>321.5979821838348</v>
      </c>
      <c r="AX119" s="42">
        <v>10.1</v>
      </c>
      <c r="AY119" s="42" t="s">
        <v>198</v>
      </c>
      <c r="AZ119" s="42">
        <f>235/10</f>
        <v>23.5</v>
      </c>
      <c r="BA119" s="42" t="s">
        <v>198</v>
      </c>
      <c r="BB119" s="42" t="s">
        <v>198</v>
      </c>
      <c r="BC119" s="42" t="s">
        <v>198</v>
      </c>
      <c r="BD119" s="42" t="s">
        <v>198</v>
      </c>
      <c r="BE119" s="42" t="s">
        <v>1025</v>
      </c>
      <c r="BF119" s="42"/>
      <c r="BG119" s="42"/>
      <c r="BH119" s="42"/>
      <c r="BI119" s="42" t="s">
        <v>198</v>
      </c>
      <c r="BJ119" s="42">
        <v>-28.86</v>
      </c>
      <c r="BK119" s="42" t="s">
        <v>1019</v>
      </c>
      <c r="BL119" s="42" t="s">
        <v>1104</v>
      </c>
      <c r="BM119" s="42" t="s">
        <v>1126</v>
      </c>
      <c r="BN119" s="42" t="s">
        <v>1081</v>
      </c>
    </row>
    <row r="120" spans="2:66" x14ac:dyDescent="0.3">
      <c r="B120" s="42">
        <v>112</v>
      </c>
      <c r="C120" s="42">
        <v>30</v>
      </c>
      <c r="D120" s="42" t="s">
        <v>389</v>
      </c>
      <c r="E120" s="42" t="s">
        <v>1203</v>
      </c>
      <c r="F120" s="42">
        <v>3</v>
      </c>
      <c r="G120" s="42" t="s">
        <v>1195</v>
      </c>
      <c r="H120" s="42" t="s">
        <v>693</v>
      </c>
      <c r="I120" s="42"/>
      <c r="J120" s="42" t="s">
        <v>1199</v>
      </c>
      <c r="K120" s="42" t="s">
        <v>694</v>
      </c>
      <c r="L120" s="42">
        <v>200</v>
      </c>
      <c r="M120" s="42">
        <f>60*2.5</f>
        <v>150</v>
      </c>
      <c r="N120" s="42">
        <v>3.8</v>
      </c>
      <c r="O120" s="42" t="s">
        <v>1209</v>
      </c>
      <c r="P120" s="51">
        <v>0.28899999999999998</v>
      </c>
      <c r="Q120" s="51">
        <v>0.373</v>
      </c>
      <c r="R120" s="51">
        <v>0.34699999999999998</v>
      </c>
      <c r="S120" s="46">
        <f>2.6%*1.72</f>
        <v>4.4720000000000003E-2</v>
      </c>
      <c r="T120" s="42" t="s">
        <v>198</v>
      </c>
      <c r="U120" s="44">
        <v>0.6</v>
      </c>
      <c r="V120" s="42">
        <v>4.7699999999999996</v>
      </c>
      <c r="W120" s="42" t="s">
        <v>198</v>
      </c>
      <c r="X120" s="42" t="s">
        <v>1208</v>
      </c>
      <c r="Y120" s="42" t="s">
        <v>1401</v>
      </c>
      <c r="Z120" s="42" t="s">
        <v>696</v>
      </c>
      <c r="AA120" s="42" t="s">
        <v>454</v>
      </c>
      <c r="AB120" s="42">
        <v>23</v>
      </c>
      <c r="AC120" s="42">
        <v>368</v>
      </c>
      <c r="AD120" s="42"/>
      <c r="AE120" s="42" t="s">
        <v>1214</v>
      </c>
      <c r="AF120" s="42" t="s">
        <v>1047</v>
      </c>
      <c r="AG120" s="42" t="s">
        <v>1215</v>
      </c>
      <c r="AH120" s="42" t="s">
        <v>451</v>
      </c>
      <c r="AI120" s="51">
        <v>8.7400000000000005E-2</v>
      </c>
      <c r="AJ120" s="42" t="s">
        <v>198</v>
      </c>
      <c r="AK120" s="51">
        <v>0.50600000000000001</v>
      </c>
      <c r="AL120" s="51">
        <v>0.50600000000000001</v>
      </c>
      <c r="AM120" s="51">
        <v>5.8099999999999999E-2</v>
      </c>
      <c r="AN120" s="51">
        <v>2.0299999999999999E-2</v>
      </c>
      <c r="AO120" s="42" t="s">
        <v>198</v>
      </c>
      <c r="AP120" s="51">
        <v>0.33800000000000002</v>
      </c>
      <c r="AQ120" s="42" t="s">
        <v>198</v>
      </c>
      <c r="AR120" s="42" t="s">
        <v>198</v>
      </c>
      <c r="AS120" s="42" t="s">
        <v>198</v>
      </c>
      <c r="AT120" s="77">
        <f>AM120/AL120*12.0107/1.00784</f>
        <v>1.3683662183344241</v>
      </c>
      <c r="AU120" s="42">
        <f t="shared" ref="AU120:AU129" si="28">AM120/AK120*12.0107/1.00784</f>
        <v>1.3683662183344241</v>
      </c>
      <c r="AV120" s="42">
        <f t="shared" ref="AV120:AV127" si="29">AP120/AL120*12.0107/15.999</f>
        <v>0.50146619835676487</v>
      </c>
      <c r="AW120" s="55">
        <f t="shared" si="27"/>
        <v>29.068457472710808</v>
      </c>
      <c r="AX120" s="42">
        <v>6.3</v>
      </c>
      <c r="AY120" s="42" t="s">
        <v>198</v>
      </c>
      <c r="AZ120" s="42" t="s">
        <v>198</v>
      </c>
      <c r="BA120" s="42" t="s">
        <v>198</v>
      </c>
      <c r="BB120" s="42" t="s">
        <v>198</v>
      </c>
      <c r="BC120" s="42" t="s">
        <v>198</v>
      </c>
      <c r="BD120" s="42" t="s">
        <v>198</v>
      </c>
      <c r="BE120" s="42" t="s">
        <v>1234</v>
      </c>
      <c r="BF120" s="42" t="s">
        <v>198</v>
      </c>
      <c r="BG120" s="42" t="s">
        <v>198</v>
      </c>
      <c r="BH120" s="44">
        <v>0.7</v>
      </c>
      <c r="BI120" s="42" t="s">
        <v>198</v>
      </c>
      <c r="BJ120" s="42">
        <v>666</v>
      </c>
      <c r="BK120" s="42">
        <v>-27.3</v>
      </c>
      <c r="BL120" s="42" t="s">
        <v>198</v>
      </c>
      <c r="BM120" s="42" t="s">
        <v>1216</v>
      </c>
      <c r="BN120" s="42" t="s">
        <v>1221</v>
      </c>
    </row>
    <row r="121" spans="2:66" x14ac:dyDescent="0.3">
      <c r="B121" s="42">
        <v>113</v>
      </c>
      <c r="C121" s="42">
        <v>30</v>
      </c>
      <c r="D121" s="42" t="s">
        <v>389</v>
      </c>
      <c r="E121" s="42" t="s">
        <v>1204</v>
      </c>
      <c r="F121" s="42">
        <v>3</v>
      </c>
      <c r="G121" s="42" t="s">
        <v>1195</v>
      </c>
      <c r="H121" s="42" t="s">
        <v>693</v>
      </c>
      <c r="I121" s="42"/>
      <c r="J121" s="42" t="s">
        <v>1198</v>
      </c>
      <c r="K121" s="42" t="s">
        <v>694</v>
      </c>
      <c r="L121" s="42">
        <v>300</v>
      </c>
      <c r="M121" s="42">
        <f>60*2.5</f>
        <v>150</v>
      </c>
      <c r="N121" s="42">
        <v>3.8</v>
      </c>
      <c r="O121" s="42" t="s">
        <v>1209</v>
      </c>
      <c r="P121" s="51">
        <v>0.28899999999999998</v>
      </c>
      <c r="Q121" s="51">
        <v>0.373</v>
      </c>
      <c r="R121" s="51">
        <v>0.34699999999999998</v>
      </c>
      <c r="S121" s="46">
        <f>2.6%*1.72</f>
        <v>4.4720000000000003E-2</v>
      </c>
      <c r="T121" s="42" t="s">
        <v>198</v>
      </c>
      <c r="U121" s="44">
        <v>0.6</v>
      </c>
      <c r="V121" s="42">
        <v>4.7699999999999996</v>
      </c>
      <c r="W121" s="42" t="s">
        <v>198</v>
      </c>
      <c r="X121" s="42" t="s">
        <v>1208</v>
      </c>
      <c r="Y121" s="42" t="s">
        <v>1401</v>
      </c>
      <c r="Z121" s="42" t="s">
        <v>696</v>
      </c>
      <c r="AA121" s="42" t="s">
        <v>454</v>
      </c>
      <c r="AB121" s="42">
        <v>23</v>
      </c>
      <c r="AC121" s="42">
        <v>368</v>
      </c>
      <c r="AD121" s="42"/>
      <c r="AE121" s="42" t="s">
        <v>1214</v>
      </c>
      <c r="AF121" s="42" t="s">
        <v>1047</v>
      </c>
      <c r="AG121" s="42" t="s">
        <v>1215</v>
      </c>
      <c r="AH121" s="42" t="s">
        <v>451</v>
      </c>
      <c r="AI121" s="51">
        <v>0.14299999999999999</v>
      </c>
      <c r="AJ121" s="42" t="s">
        <v>198</v>
      </c>
      <c r="AK121" s="51">
        <v>0.63500000000000001</v>
      </c>
      <c r="AL121" s="51">
        <v>0.63500000000000001</v>
      </c>
      <c r="AM121" s="51">
        <v>4.5100000000000001E-2</v>
      </c>
      <c r="AN121" s="51">
        <v>2.5000000000000001E-2</v>
      </c>
      <c r="AO121" s="42" t="s">
        <v>198</v>
      </c>
      <c r="AP121" s="51">
        <v>0.2</v>
      </c>
      <c r="AQ121" s="42" t="s">
        <v>198</v>
      </c>
      <c r="AR121" s="42" t="s">
        <v>198</v>
      </c>
      <c r="AS121" s="42" t="s">
        <v>198</v>
      </c>
      <c r="AT121" s="77">
        <f>AM121/AL121*12.0107/1.00784</f>
        <v>0.84640758188088838</v>
      </c>
      <c r="AU121" s="42">
        <f t="shared" si="28"/>
        <v>0.84640758188088838</v>
      </c>
      <c r="AV121" s="47">
        <f t="shared" si="29"/>
        <v>0.23644588022971907</v>
      </c>
      <c r="AW121" s="55">
        <f t="shared" si="27"/>
        <v>29.621102849958785</v>
      </c>
      <c r="AX121" s="42">
        <v>8.48</v>
      </c>
      <c r="AY121" s="42" t="s">
        <v>198</v>
      </c>
      <c r="AZ121" s="42" t="s">
        <v>198</v>
      </c>
      <c r="BA121" s="42" t="s">
        <v>198</v>
      </c>
      <c r="BB121" s="42" t="s">
        <v>198</v>
      </c>
      <c r="BC121" s="42" t="s">
        <v>198</v>
      </c>
      <c r="BD121" s="42" t="s">
        <v>198</v>
      </c>
      <c r="BE121" s="42" t="s">
        <v>1234</v>
      </c>
      <c r="BF121" s="42" t="s">
        <v>198</v>
      </c>
      <c r="BG121" s="42" t="s">
        <v>198</v>
      </c>
      <c r="BH121" s="44">
        <v>0.12</v>
      </c>
      <c r="BI121" s="42" t="s">
        <v>198</v>
      </c>
      <c r="BJ121" s="42">
        <v>649</v>
      </c>
      <c r="BK121" s="42">
        <v>-27.3</v>
      </c>
      <c r="BL121" s="42" t="s">
        <v>198</v>
      </c>
      <c r="BM121" s="42" t="s">
        <v>1217</v>
      </c>
      <c r="BN121" s="42" t="s">
        <v>1222</v>
      </c>
    </row>
    <row r="122" spans="2:66" x14ac:dyDescent="0.3">
      <c r="B122" s="42">
        <v>114</v>
      </c>
      <c r="C122" s="42">
        <v>30</v>
      </c>
      <c r="D122" s="42" t="s">
        <v>389</v>
      </c>
      <c r="E122" s="42" t="s">
        <v>1206</v>
      </c>
      <c r="F122" s="42">
        <v>3</v>
      </c>
      <c r="G122" s="42" t="s">
        <v>1195</v>
      </c>
      <c r="H122" s="42" t="s">
        <v>693</v>
      </c>
      <c r="I122" s="42"/>
      <c r="J122" s="42" t="s">
        <v>1200</v>
      </c>
      <c r="K122" s="42" t="s">
        <v>694</v>
      </c>
      <c r="L122" s="42">
        <v>300</v>
      </c>
      <c r="M122" s="42">
        <f>60*10</f>
        <v>600</v>
      </c>
      <c r="N122" s="42">
        <v>3.8</v>
      </c>
      <c r="O122" s="42" t="s">
        <v>1209</v>
      </c>
      <c r="P122" s="51">
        <v>0.28899999999999998</v>
      </c>
      <c r="Q122" s="51">
        <v>0.373</v>
      </c>
      <c r="R122" s="51">
        <v>0.34699999999999998</v>
      </c>
      <c r="S122" s="46">
        <f>2.6%*1.72</f>
        <v>4.4720000000000003E-2</v>
      </c>
      <c r="T122" s="42" t="s">
        <v>198</v>
      </c>
      <c r="U122" s="44">
        <v>0.6</v>
      </c>
      <c r="V122" s="42">
        <v>4.7699999999999996</v>
      </c>
      <c r="W122" s="42" t="s">
        <v>198</v>
      </c>
      <c r="X122" s="42" t="s">
        <v>1208</v>
      </c>
      <c r="Y122" s="42" t="s">
        <v>1401</v>
      </c>
      <c r="Z122" s="42" t="s">
        <v>696</v>
      </c>
      <c r="AA122" s="42" t="s">
        <v>454</v>
      </c>
      <c r="AB122" s="42">
        <v>23</v>
      </c>
      <c r="AC122" s="42">
        <v>368</v>
      </c>
      <c r="AD122" s="42"/>
      <c r="AE122" s="42" t="s">
        <v>1214</v>
      </c>
      <c r="AF122" s="42" t="s">
        <v>1047</v>
      </c>
      <c r="AG122" s="42" t="s">
        <v>1215</v>
      </c>
      <c r="AH122" s="42" t="s">
        <v>451</v>
      </c>
      <c r="AI122" s="51">
        <v>0.20799999999999999</v>
      </c>
      <c r="AJ122" s="42" t="s">
        <v>198</v>
      </c>
      <c r="AK122" s="51">
        <v>0.623</v>
      </c>
      <c r="AL122" s="51">
        <v>0.623</v>
      </c>
      <c r="AM122" s="51">
        <v>4.2700000000000002E-2</v>
      </c>
      <c r="AN122" s="51">
        <v>2.8199999999999999E-2</v>
      </c>
      <c r="AO122" s="42" t="s">
        <v>198</v>
      </c>
      <c r="AP122" s="51">
        <v>0.19500000000000001</v>
      </c>
      <c r="AQ122" s="42" t="s">
        <v>198</v>
      </c>
      <c r="AR122" s="42" t="s">
        <v>198</v>
      </c>
      <c r="AS122" s="42" t="s">
        <v>198</v>
      </c>
      <c r="AT122" s="77">
        <f>AM122/AL122*12.0107/1.00784</f>
        <v>0.81680155669439236</v>
      </c>
      <c r="AU122" s="42">
        <f t="shared" si="28"/>
        <v>0.81680155669439236</v>
      </c>
      <c r="AV122" s="42">
        <f t="shared" si="29"/>
        <v>0.23497520962636409</v>
      </c>
      <c r="AW122" s="55">
        <f t="shared" si="27"/>
        <v>25.763593951421683</v>
      </c>
      <c r="AX122" s="42">
        <v>9.02</v>
      </c>
      <c r="AY122" s="42" t="s">
        <v>198</v>
      </c>
      <c r="AZ122" s="42" t="s">
        <v>198</v>
      </c>
      <c r="BA122" s="42" t="s">
        <v>198</v>
      </c>
      <c r="BB122" s="42" t="s">
        <v>198</v>
      </c>
      <c r="BC122" s="42" t="s">
        <v>198</v>
      </c>
      <c r="BD122" s="42" t="s">
        <v>198</v>
      </c>
      <c r="BE122" s="42" t="s">
        <v>1234</v>
      </c>
      <c r="BF122" s="42" t="s">
        <v>198</v>
      </c>
      <c r="BG122" s="42" t="s">
        <v>198</v>
      </c>
      <c r="BH122" s="44">
        <v>0.13</v>
      </c>
      <c r="BI122" s="42" t="s">
        <v>198</v>
      </c>
      <c r="BJ122" s="42">
        <v>672</v>
      </c>
      <c r="BK122" s="42">
        <v>-27.3</v>
      </c>
      <c r="BL122" s="42" t="s">
        <v>198</v>
      </c>
      <c r="BM122" s="42" t="s">
        <v>1218</v>
      </c>
      <c r="BN122" s="42" t="s">
        <v>1223</v>
      </c>
    </row>
    <row r="123" spans="2:66" x14ac:dyDescent="0.3">
      <c r="B123" s="42">
        <v>115</v>
      </c>
      <c r="C123" s="42">
        <v>30</v>
      </c>
      <c r="D123" s="42" t="s">
        <v>389</v>
      </c>
      <c r="E123" s="42" t="s">
        <v>1205</v>
      </c>
      <c r="F123" s="42">
        <v>3</v>
      </c>
      <c r="G123" s="42" t="s">
        <v>1195</v>
      </c>
      <c r="H123" s="42" t="s">
        <v>693</v>
      </c>
      <c r="I123" s="42"/>
      <c r="J123" s="42" t="s">
        <v>1201</v>
      </c>
      <c r="K123" s="42" t="s">
        <v>694</v>
      </c>
      <c r="L123" s="42">
        <v>500</v>
      </c>
      <c r="M123" s="42">
        <f>60*2.5</f>
        <v>150</v>
      </c>
      <c r="N123" s="42">
        <v>3.8</v>
      </c>
      <c r="O123" s="42" t="s">
        <v>1209</v>
      </c>
      <c r="P123" s="51">
        <v>0.28899999999999998</v>
      </c>
      <c r="Q123" s="51">
        <v>0.373</v>
      </c>
      <c r="R123" s="51">
        <v>0.34699999999999998</v>
      </c>
      <c r="S123" s="46">
        <f>2.6%*1.72</f>
        <v>4.4720000000000003E-2</v>
      </c>
      <c r="T123" s="42" t="s">
        <v>198</v>
      </c>
      <c r="U123" s="44">
        <v>0.6</v>
      </c>
      <c r="V123" s="42">
        <v>4.7699999999999996</v>
      </c>
      <c r="W123" s="42" t="s">
        <v>198</v>
      </c>
      <c r="X123" s="42" t="s">
        <v>1208</v>
      </c>
      <c r="Y123" s="42" t="s">
        <v>1401</v>
      </c>
      <c r="Z123" s="42" t="s">
        <v>696</v>
      </c>
      <c r="AA123" s="42" t="s">
        <v>454</v>
      </c>
      <c r="AB123" s="42">
        <v>23</v>
      </c>
      <c r="AC123" s="42">
        <v>368</v>
      </c>
      <c r="AD123" s="42"/>
      <c r="AE123" s="42" t="s">
        <v>1214</v>
      </c>
      <c r="AF123" s="42" t="s">
        <v>1047</v>
      </c>
      <c r="AG123" s="42" t="s">
        <v>1215</v>
      </c>
      <c r="AH123" s="42" t="s">
        <v>451</v>
      </c>
      <c r="AI123" s="51">
        <v>0.20699999999999999</v>
      </c>
      <c r="AJ123" s="42" t="s">
        <v>198</v>
      </c>
      <c r="AK123" s="51">
        <v>0.65700000000000003</v>
      </c>
      <c r="AL123" s="51">
        <v>0.65700000000000003</v>
      </c>
      <c r="AM123" s="51">
        <v>2.7300000000000001E-2</v>
      </c>
      <c r="AN123" s="51">
        <v>2.53E-2</v>
      </c>
      <c r="AO123" s="42" t="s">
        <v>198</v>
      </c>
      <c r="AP123" s="51">
        <v>9.8199999999999996E-2</v>
      </c>
      <c r="AQ123" s="42" t="s">
        <v>198</v>
      </c>
      <c r="AR123" s="42" t="s">
        <v>198</v>
      </c>
      <c r="AS123" s="42" t="s">
        <v>198</v>
      </c>
      <c r="AT123" s="77">
        <f>AM123/AL123*12.0107/1.00784</f>
        <v>0.49519244012784513</v>
      </c>
      <c r="AU123" s="42">
        <f t="shared" si="28"/>
        <v>0.49519244012784513</v>
      </c>
      <c r="AV123" s="42">
        <f t="shared" si="29"/>
        <v>0.11220742582560571</v>
      </c>
      <c r="AW123" s="55">
        <f t="shared" si="27"/>
        <v>30.283938521090107</v>
      </c>
      <c r="AX123" s="42">
        <v>10.5</v>
      </c>
      <c r="AY123" s="42" t="s">
        <v>198</v>
      </c>
      <c r="AZ123" s="42" t="s">
        <v>198</v>
      </c>
      <c r="BA123" s="42" t="s">
        <v>198</v>
      </c>
      <c r="BB123" s="42" t="s">
        <v>198</v>
      </c>
      <c r="BC123" s="42" t="s">
        <v>198</v>
      </c>
      <c r="BD123" s="42" t="s">
        <v>198</v>
      </c>
      <c r="BE123" s="42" t="s">
        <v>1234</v>
      </c>
      <c r="BF123" s="42" t="s">
        <v>198</v>
      </c>
      <c r="BG123" s="42" t="s">
        <v>198</v>
      </c>
      <c r="BH123" s="44">
        <v>0.09</v>
      </c>
      <c r="BI123" s="42" t="s">
        <v>198</v>
      </c>
      <c r="BJ123" s="42">
        <v>652</v>
      </c>
      <c r="BK123" s="42">
        <v>-27.3</v>
      </c>
      <c r="BL123" s="42" t="s">
        <v>198</v>
      </c>
      <c r="BM123" s="42" t="s">
        <v>1219</v>
      </c>
      <c r="BN123" s="42" t="s">
        <v>1224</v>
      </c>
    </row>
    <row r="124" spans="2:66" x14ac:dyDescent="0.3">
      <c r="B124" s="42">
        <v>116</v>
      </c>
      <c r="C124" s="42">
        <v>30</v>
      </c>
      <c r="D124" s="42" t="s">
        <v>389</v>
      </c>
      <c r="E124" s="42" t="s">
        <v>1207</v>
      </c>
      <c r="F124" s="42">
        <v>3</v>
      </c>
      <c r="G124" s="42" t="s">
        <v>1195</v>
      </c>
      <c r="H124" s="42" t="s">
        <v>693</v>
      </c>
      <c r="I124" s="42"/>
      <c r="J124" s="42" t="s">
        <v>1202</v>
      </c>
      <c r="K124" s="42" t="s">
        <v>694</v>
      </c>
      <c r="L124" s="42">
        <v>500</v>
      </c>
      <c r="M124" s="42">
        <f>60*10</f>
        <v>600</v>
      </c>
      <c r="N124" s="42">
        <v>3.8</v>
      </c>
      <c r="O124" s="42" t="s">
        <v>1209</v>
      </c>
      <c r="P124" s="51">
        <v>0.28899999999999998</v>
      </c>
      <c r="Q124" s="51">
        <v>0.373</v>
      </c>
      <c r="R124" s="51">
        <v>0.34699999999999998</v>
      </c>
      <c r="S124" s="46">
        <f>2.6%*1.72</f>
        <v>4.4720000000000003E-2</v>
      </c>
      <c r="T124" s="42" t="s">
        <v>198</v>
      </c>
      <c r="U124" s="44">
        <v>0.6</v>
      </c>
      <c r="V124" s="42">
        <v>4.7699999999999996</v>
      </c>
      <c r="W124" s="42" t="s">
        <v>198</v>
      </c>
      <c r="X124" s="42" t="s">
        <v>1208</v>
      </c>
      <c r="Y124" s="42" t="s">
        <v>1401</v>
      </c>
      <c r="Z124" s="42" t="s">
        <v>696</v>
      </c>
      <c r="AA124" s="42" t="s">
        <v>454</v>
      </c>
      <c r="AB124" s="42">
        <v>23</v>
      </c>
      <c r="AC124" s="42">
        <v>368</v>
      </c>
      <c r="AD124" s="42"/>
      <c r="AE124" s="42" t="s">
        <v>1214</v>
      </c>
      <c r="AF124" s="42" t="s">
        <v>1047</v>
      </c>
      <c r="AG124" s="42" t="s">
        <v>1215</v>
      </c>
      <c r="AH124" s="42" t="s">
        <v>451</v>
      </c>
      <c r="AI124" s="51">
        <v>0.20799999999999999</v>
      </c>
      <c r="AJ124" s="42" t="s">
        <v>198</v>
      </c>
      <c r="AK124" s="51">
        <v>0.59399999999999997</v>
      </c>
      <c r="AL124" s="51">
        <v>0.59399999999999997</v>
      </c>
      <c r="AM124" s="51">
        <v>2.63E-2</v>
      </c>
      <c r="AN124" s="51">
        <v>2.2700000000000001E-2</v>
      </c>
      <c r="AO124" s="42" t="s">
        <v>198</v>
      </c>
      <c r="AP124" s="51">
        <v>0.1</v>
      </c>
      <c r="AQ124" s="42" t="s">
        <v>198</v>
      </c>
      <c r="AR124" s="42" t="s">
        <v>198</v>
      </c>
      <c r="AS124" s="42" t="s">
        <v>198</v>
      </c>
      <c r="AT124" s="77">
        <f>AM124/AL124*12.0107/1.00784</f>
        <v>0.52765010866991346</v>
      </c>
      <c r="AU124" s="42">
        <f t="shared" si="28"/>
        <v>0.52765010866991346</v>
      </c>
      <c r="AV124" s="42">
        <f t="shared" si="29"/>
        <v>0.1263831093820468</v>
      </c>
      <c r="AW124" s="55">
        <f t="shared" si="27"/>
        <v>30.516034362751945</v>
      </c>
      <c r="AX124" s="42">
        <v>10.5</v>
      </c>
      <c r="AY124" s="42" t="s">
        <v>198</v>
      </c>
      <c r="AZ124" s="42" t="s">
        <v>198</v>
      </c>
      <c r="BA124" s="42" t="s">
        <v>198</v>
      </c>
      <c r="BB124" s="42" t="s">
        <v>198</v>
      </c>
      <c r="BC124" s="42" t="s">
        <v>198</v>
      </c>
      <c r="BD124" s="42" t="s">
        <v>198</v>
      </c>
      <c r="BE124" s="42" t="s">
        <v>1234</v>
      </c>
      <c r="BF124" s="42" t="s">
        <v>198</v>
      </c>
      <c r="BG124" s="42" t="s">
        <v>198</v>
      </c>
      <c r="BH124" s="44">
        <v>7.0000000000000007E-2</v>
      </c>
      <c r="BI124" s="42" t="s">
        <v>198</v>
      </c>
      <c r="BJ124" s="42">
        <v>689</v>
      </c>
      <c r="BK124" s="42">
        <v>-27.3</v>
      </c>
      <c r="BL124" s="42" t="s">
        <v>198</v>
      </c>
      <c r="BM124" s="42" t="s">
        <v>1220</v>
      </c>
      <c r="BN124" s="42" t="s">
        <v>1225</v>
      </c>
    </row>
    <row r="125" spans="2:66" x14ac:dyDescent="0.3">
      <c r="B125" s="54">
        <v>117</v>
      </c>
      <c r="C125" s="54">
        <v>46</v>
      </c>
      <c r="D125" s="54" t="s">
        <v>1261</v>
      </c>
      <c r="E125" s="42" t="s">
        <v>1266</v>
      </c>
      <c r="F125" s="42">
        <v>4</v>
      </c>
      <c r="G125" s="42" t="s">
        <v>1269</v>
      </c>
      <c r="H125" s="42" t="s">
        <v>635</v>
      </c>
      <c r="I125" s="42"/>
      <c r="J125" s="42" t="s">
        <v>902</v>
      </c>
      <c r="K125" s="42" t="s">
        <v>694</v>
      </c>
      <c r="L125" s="42">
        <v>450</v>
      </c>
      <c r="M125" s="42">
        <v>40</v>
      </c>
      <c r="N125" s="42">
        <f>AVERAGE(5,10)</f>
        <v>7.5</v>
      </c>
      <c r="O125" s="42" t="s">
        <v>1302</v>
      </c>
      <c r="P125" s="51">
        <v>7.5999999999999998E-2</v>
      </c>
      <c r="Q125" s="51">
        <f>1-P125-R125</f>
        <v>0.875</v>
      </c>
      <c r="R125" s="51">
        <v>4.9000000000000002E-2</v>
      </c>
      <c r="S125" s="46">
        <f>0.66%*1.72</f>
        <v>1.1351999999999999E-2</v>
      </c>
      <c r="T125" s="42" t="s">
        <v>198</v>
      </c>
      <c r="U125" s="42" t="s">
        <v>198</v>
      </c>
      <c r="V125" s="42">
        <v>6.1</v>
      </c>
      <c r="W125" s="42" t="s">
        <v>198</v>
      </c>
      <c r="X125" s="42" t="s">
        <v>1312</v>
      </c>
      <c r="Y125" s="42" t="s">
        <v>1314</v>
      </c>
      <c r="Z125" s="42" t="s">
        <v>647</v>
      </c>
      <c r="AA125" s="42" t="s">
        <v>453</v>
      </c>
      <c r="AB125" s="42">
        <v>17.3</v>
      </c>
      <c r="AC125" s="42">
        <v>360</v>
      </c>
      <c r="AD125" s="42" t="s">
        <v>1321</v>
      </c>
      <c r="AE125" s="42" t="s">
        <v>1322</v>
      </c>
      <c r="AF125" s="42" t="s">
        <v>908</v>
      </c>
      <c r="AG125" s="42" t="s">
        <v>1526</v>
      </c>
      <c r="AH125" s="42" t="s">
        <v>451</v>
      </c>
      <c r="AI125" s="44">
        <v>0.03</v>
      </c>
      <c r="AJ125" s="44">
        <v>0.03</v>
      </c>
      <c r="AK125" s="51">
        <v>0.66790000000000005</v>
      </c>
      <c r="AL125" s="51">
        <v>0.66659999999999997</v>
      </c>
      <c r="AM125" s="46">
        <f>AT125*AL125/12.0107*1.00784</f>
        <v>3.5239450716444506E-2</v>
      </c>
      <c r="AN125" s="51">
        <v>1.04E-2</v>
      </c>
      <c r="AO125" s="42" t="s">
        <v>198</v>
      </c>
      <c r="AP125" s="51">
        <f>100%-AN125-AM125-AK125-AI125</f>
        <v>0.25646054928355544</v>
      </c>
      <c r="AQ125" s="42" t="s">
        <v>198</v>
      </c>
      <c r="AR125" s="42" t="s">
        <v>198</v>
      </c>
      <c r="AS125" s="42" t="s">
        <v>198</v>
      </c>
      <c r="AT125" s="47">
        <v>0.63</v>
      </c>
      <c r="AU125" s="47">
        <f t="shared" si="28"/>
        <v>0.62877376852822275</v>
      </c>
      <c r="AV125" s="42">
        <f t="shared" si="29"/>
        <v>0.28882231175302037</v>
      </c>
      <c r="AW125" s="42">
        <f t="shared" si="27"/>
        <v>74.893756032281487</v>
      </c>
      <c r="AX125" s="42">
        <v>9.8000000000000007</v>
      </c>
      <c r="AY125" s="42" t="s">
        <v>198</v>
      </c>
      <c r="AZ125" s="42">
        <v>12.2</v>
      </c>
      <c r="BA125" s="42" t="s">
        <v>198</v>
      </c>
      <c r="BB125" s="42" t="s">
        <v>198</v>
      </c>
      <c r="BC125" s="42" t="s">
        <v>198</v>
      </c>
      <c r="BD125" s="42" t="s">
        <v>198</v>
      </c>
      <c r="BE125" s="42" t="s">
        <v>198</v>
      </c>
      <c r="BF125" s="42" t="s">
        <v>198</v>
      </c>
      <c r="BG125" s="42" t="s">
        <v>198</v>
      </c>
      <c r="BH125" s="42" t="s">
        <v>198</v>
      </c>
      <c r="BI125" s="42" t="s">
        <v>198</v>
      </c>
      <c r="BJ125" s="42">
        <v>-36.700000000000003</v>
      </c>
      <c r="BK125" s="42">
        <v>-24.9</v>
      </c>
      <c r="BL125" s="42" t="s">
        <v>198</v>
      </c>
      <c r="BM125" s="42" t="s">
        <v>1270</v>
      </c>
      <c r="BN125" s="42" t="s">
        <v>1273</v>
      </c>
    </row>
    <row r="126" spans="2:66" x14ac:dyDescent="0.3">
      <c r="B126" s="54">
        <v>118</v>
      </c>
      <c r="C126" s="54">
        <v>46</v>
      </c>
      <c r="D126" s="54" t="s">
        <v>1261</v>
      </c>
      <c r="E126" s="42" t="s">
        <v>1267</v>
      </c>
      <c r="F126" s="42">
        <v>4</v>
      </c>
      <c r="G126" s="42" t="s">
        <v>1269</v>
      </c>
      <c r="H126" s="42" t="s">
        <v>635</v>
      </c>
      <c r="I126" s="42"/>
      <c r="J126" s="42" t="s">
        <v>902</v>
      </c>
      <c r="K126" s="42" t="s">
        <v>694</v>
      </c>
      <c r="L126" s="42">
        <v>450</v>
      </c>
      <c r="M126" s="42">
        <v>40</v>
      </c>
      <c r="N126" s="42">
        <f>AVERAGE(5,10)</f>
        <v>7.5</v>
      </c>
      <c r="O126" s="42" t="s">
        <v>1303</v>
      </c>
      <c r="P126" s="51">
        <v>0.17799999999999999</v>
      </c>
      <c r="Q126" s="51">
        <f>1-P126-R126</f>
        <v>0.63400000000000012</v>
      </c>
      <c r="R126" s="51">
        <v>0.188</v>
      </c>
      <c r="S126" s="46">
        <f>1.67%*1.72</f>
        <v>2.8724E-2</v>
      </c>
      <c r="T126" s="42" t="s">
        <v>198</v>
      </c>
      <c r="U126" s="42" t="s">
        <v>198</v>
      </c>
      <c r="V126" s="42">
        <v>6.9</v>
      </c>
      <c r="W126" s="42" t="s">
        <v>198</v>
      </c>
      <c r="X126" s="42" t="s">
        <v>1312</v>
      </c>
      <c r="Y126" s="42" t="s">
        <v>1316</v>
      </c>
      <c r="Z126" s="42" t="s">
        <v>647</v>
      </c>
      <c r="AA126" s="42" t="s">
        <v>453</v>
      </c>
      <c r="AB126" s="42">
        <v>17.3</v>
      </c>
      <c r="AC126" s="42">
        <v>360</v>
      </c>
      <c r="AD126" s="42" t="s">
        <v>1321</v>
      </c>
      <c r="AE126" s="42" t="s">
        <v>1322</v>
      </c>
      <c r="AF126" s="42" t="s">
        <v>908</v>
      </c>
      <c r="AG126" s="42" t="s">
        <v>1526</v>
      </c>
      <c r="AH126" s="42" t="s">
        <v>451</v>
      </c>
      <c r="AI126" s="44">
        <v>0.03</v>
      </c>
      <c r="AJ126" s="44">
        <v>0.03</v>
      </c>
      <c r="AK126" s="51">
        <v>0.66790000000000005</v>
      </c>
      <c r="AL126" s="51">
        <v>0.66659999999999997</v>
      </c>
      <c r="AM126" s="46">
        <f>AT126*AL126/12.0107*1.00784</f>
        <v>3.5239450716444506E-2</v>
      </c>
      <c r="AN126" s="51">
        <v>1.04E-2</v>
      </c>
      <c r="AO126" s="42" t="s">
        <v>198</v>
      </c>
      <c r="AP126" s="51">
        <f>100%-AN126-AM126-AK126-AI126</f>
        <v>0.25646054928355544</v>
      </c>
      <c r="AQ126" s="42" t="s">
        <v>198</v>
      </c>
      <c r="AR126" s="42" t="s">
        <v>198</v>
      </c>
      <c r="AS126" s="42" t="s">
        <v>198</v>
      </c>
      <c r="AT126" s="47">
        <v>0.63</v>
      </c>
      <c r="AU126" s="47">
        <f t="shared" si="28"/>
        <v>0.62877376852822275</v>
      </c>
      <c r="AV126" s="42">
        <f t="shared" si="29"/>
        <v>0.28882231175302037</v>
      </c>
      <c r="AW126" s="42">
        <f t="shared" si="27"/>
        <v>74.893756032281487</v>
      </c>
      <c r="AX126" s="42">
        <v>9.8000000000000007</v>
      </c>
      <c r="AY126" s="42" t="s">
        <v>198</v>
      </c>
      <c r="AZ126" s="42">
        <v>12.2</v>
      </c>
      <c r="BA126" s="42" t="s">
        <v>198</v>
      </c>
      <c r="BB126" s="42" t="s">
        <v>198</v>
      </c>
      <c r="BC126" s="42" t="s">
        <v>198</v>
      </c>
      <c r="BD126" s="42" t="s">
        <v>198</v>
      </c>
      <c r="BE126" s="42" t="s">
        <v>198</v>
      </c>
      <c r="BF126" s="42" t="s">
        <v>198</v>
      </c>
      <c r="BG126" s="42" t="s">
        <v>198</v>
      </c>
      <c r="BH126" s="42" t="s">
        <v>198</v>
      </c>
      <c r="BI126" s="42" t="s">
        <v>198</v>
      </c>
      <c r="BJ126" s="42">
        <v>-36.700000000000003</v>
      </c>
      <c r="BK126" s="42">
        <v>-24.9</v>
      </c>
      <c r="BL126" s="42" t="s">
        <v>198</v>
      </c>
      <c r="BM126" s="42" t="s">
        <v>1271</v>
      </c>
      <c r="BN126" s="42" t="s">
        <v>1274</v>
      </c>
    </row>
    <row r="127" spans="2:66" x14ac:dyDescent="0.3">
      <c r="B127" s="54">
        <v>119</v>
      </c>
      <c r="C127" s="54">
        <v>46</v>
      </c>
      <c r="D127" s="54" t="s">
        <v>1261</v>
      </c>
      <c r="E127" s="42" t="s">
        <v>1268</v>
      </c>
      <c r="F127" s="42">
        <v>4</v>
      </c>
      <c r="G127" s="42" t="s">
        <v>1269</v>
      </c>
      <c r="H127" s="42" t="s">
        <v>635</v>
      </c>
      <c r="I127" s="42"/>
      <c r="J127" s="42" t="s">
        <v>902</v>
      </c>
      <c r="K127" s="42" t="s">
        <v>694</v>
      </c>
      <c r="L127" s="42">
        <v>450</v>
      </c>
      <c r="M127" s="42">
        <v>40</v>
      </c>
      <c r="N127" s="42">
        <f>AVERAGE(5,10)</f>
        <v>7.5</v>
      </c>
      <c r="O127" s="42" t="s">
        <v>1304</v>
      </c>
      <c r="P127" s="51">
        <v>0.151</v>
      </c>
      <c r="Q127" s="51">
        <f>1-P127-R127</f>
        <v>0.59</v>
      </c>
      <c r="R127" s="51">
        <v>0.25900000000000001</v>
      </c>
      <c r="S127" s="46">
        <f>6.25%*1.72</f>
        <v>0.1075</v>
      </c>
      <c r="T127" s="42" t="s">
        <v>198</v>
      </c>
      <c r="U127" s="42" t="s">
        <v>198</v>
      </c>
      <c r="V127" s="42">
        <v>6</v>
      </c>
      <c r="W127" s="42" t="s">
        <v>198</v>
      </c>
      <c r="X127" s="42" t="s">
        <v>1313</v>
      </c>
      <c r="Y127" s="42" t="s">
        <v>1315</v>
      </c>
      <c r="Z127" s="42" t="s">
        <v>647</v>
      </c>
      <c r="AA127" s="42" t="s">
        <v>453</v>
      </c>
      <c r="AB127" s="42">
        <v>12.3</v>
      </c>
      <c r="AC127" s="42">
        <v>349</v>
      </c>
      <c r="AD127" s="42" t="s">
        <v>1321</v>
      </c>
      <c r="AE127" s="42" t="s">
        <v>1322</v>
      </c>
      <c r="AF127" s="42" t="s">
        <v>908</v>
      </c>
      <c r="AG127" s="42" t="s">
        <v>1527</v>
      </c>
      <c r="AH127" s="42" t="s">
        <v>451</v>
      </c>
      <c r="AI127" s="44">
        <v>0.03</v>
      </c>
      <c r="AJ127" s="44">
        <v>0.03</v>
      </c>
      <c r="AK127" s="51">
        <v>0.66790000000000005</v>
      </c>
      <c r="AL127" s="51">
        <v>0.66659999999999997</v>
      </c>
      <c r="AM127" s="46">
        <f>AT127*AL127/12.0107*1.00784</f>
        <v>3.5239450716444506E-2</v>
      </c>
      <c r="AN127" s="51">
        <v>1.04E-2</v>
      </c>
      <c r="AO127" s="42" t="s">
        <v>198</v>
      </c>
      <c r="AP127" s="51">
        <f>100%-AN127-AM127-AK127-AI127</f>
        <v>0.25646054928355544</v>
      </c>
      <c r="AQ127" s="42" t="s">
        <v>198</v>
      </c>
      <c r="AR127" s="42" t="s">
        <v>198</v>
      </c>
      <c r="AS127" s="42" t="s">
        <v>198</v>
      </c>
      <c r="AT127" s="47">
        <v>0.63</v>
      </c>
      <c r="AU127" s="47">
        <f t="shared" si="28"/>
        <v>0.62877376852822275</v>
      </c>
      <c r="AV127" s="42">
        <f t="shared" si="29"/>
        <v>0.28882231175302037</v>
      </c>
      <c r="AW127" s="42">
        <f t="shared" si="27"/>
        <v>74.893756032281487</v>
      </c>
      <c r="AX127" s="42">
        <v>9.8000000000000007</v>
      </c>
      <c r="AY127" s="42" t="s">
        <v>198</v>
      </c>
      <c r="AZ127" s="42">
        <v>12.2</v>
      </c>
      <c r="BA127" s="42" t="s">
        <v>198</v>
      </c>
      <c r="BB127" s="42" t="s">
        <v>198</v>
      </c>
      <c r="BC127" s="42" t="s">
        <v>198</v>
      </c>
      <c r="BD127" s="42" t="s">
        <v>198</v>
      </c>
      <c r="BE127" s="42" t="s">
        <v>198</v>
      </c>
      <c r="BF127" s="42" t="s">
        <v>198</v>
      </c>
      <c r="BG127" s="42" t="s">
        <v>198</v>
      </c>
      <c r="BH127" s="42" t="s">
        <v>198</v>
      </c>
      <c r="BI127" s="42" t="s">
        <v>198</v>
      </c>
      <c r="BJ127" s="42">
        <v>-36.700000000000003</v>
      </c>
      <c r="BK127" s="55">
        <v>-27</v>
      </c>
      <c r="BL127" s="42" t="s">
        <v>198</v>
      </c>
      <c r="BM127" s="42" t="s">
        <v>1272</v>
      </c>
      <c r="BN127" s="42" t="s">
        <v>1275</v>
      </c>
    </row>
    <row r="128" spans="2:66" x14ac:dyDescent="0.3">
      <c r="B128" s="54">
        <v>120</v>
      </c>
      <c r="C128" s="54">
        <v>34</v>
      </c>
      <c r="D128" s="54" t="s">
        <v>393</v>
      </c>
      <c r="E128" s="42" t="s">
        <v>1276</v>
      </c>
      <c r="F128" s="42">
        <v>9</v>
      </c>
      <c r="G128" s="42" t="s">
        <v>1376</v>
      </c>
      <c r="H128" s="42" t="s">
        <v>692</v>
      </c>
      <c r="I128" s="42"/>
      <c r="J128" s="42" t="s">
        <v>1391</v>
      </c>
      <c r="K128" s="42" t="s">
        <v>694</v>
      </c>
      <c r="L128" s="42">
        <v>682</v>
      </c>
      <c r="M128" s="42">
        <v>0</v>
      </c>
      <c r="N128" s="42">
        <v>2.5</v>
      </c>
      <c r="O128" s="42" t="s">
        <v>1074</v>
      </c>
      <c r="P128" s="44">
        <v>0.06</v>
      </c>
      <c r="Q128" s="44">
        <v>0.83</v>
      </c>
      <c r="R128" s="44">
        <f>1-P128-Q128</f>
        <v>0.10999999999999999</v>
      </c>
      <c r="S128" s="46">
        <f>12/1000*1.72</f>
        <v>2.0639999999999999E-2</v>
      </c>
      <c r="T128" s="51">
        <v>0.16500000000000001</v>
      </c>
      <c r="U128" s="44">
        <v>0.6</v>
      </c>
      <c r="V128" s="42">
        <v>6.8</v>
      </c>
      <c r="W128" s="42" t="s">
        <v>198</v>
      </c>
      <c r="X128" s="42" t="s">
        <v>1077</v>
      </c>
      <c r="Y128" s="42" t="s">
        <v>1397</v>
      </c>
      <c r="Z128" s="42" t="s">
        <v>696</v>
      </c>
      <c r="AA128" s="42" t="s">
        <v>454</v>
      </c>
      <c r="AB128" s="42">
        <v>20</v>
      </c>
      <c r="AC128" s="78">
        <v>90</v>
      </c>
      <c r="AD128" s="46">
        <f>AVERAGE(0.23%,1.14%,5.46%)</f>
        <v>2.2766666666666668E-2</v>
      </c>
      <c r="AE128" s="42" t="s">
        <v>1373</v>
      </c>
      <c r="AF128" s="42" t="s">
        <v>661</v>
      </c>
      <c r="AG128" s="42"/>
      <c r="AH128" s="42" t="s">
        <v>451</v>
      </c>
      <c r="AI128" s="51">
        <v>0.159</v>
      </c>
      <c r="AJ128" s="42" t="s">
        <v>198</v>
      </c>
      <c r="AK128" s="46">
        <v>0.75599999999999989</v>
      </c>
      <c r="AL128" s="42" t="s">
        <v>198</v>
      </c>
      <c r="AM128" s="46">
        <v>1.4999999999999999E-2</v>
      </c>
      <c r="AN128" s="46">
        <v>6.0000000000000001E-3</v>
      </c>
      <c r="AO128" s="42" t="s">
        <v>198</v>
      </c>
      <c r="AP128" s="45">
        <v>0.05</v>
      </c>
      <c r="AQ128" s="48">
        <f>1.3/100*1000*1000</f>
        <v>13000.000000000002</v>
      </c>
      <c r="AR128" s="42">
        <f>10.8/100*1000*1000</f>
        <v>108000.00000000001</v>
      </c>
      <c r="AS128" s="42" t="s">
        <v>198</v>
      </c>
      <c r="AT128" s="42"/>
      <c r="AU128" s="47">
        <f t="shared" si="28"/>
        <v>0.23645374234257391</v>
      </c>
      <c r="AV128" s="47">
        <f>AP128/AK128*12.0107/15.999</f>
        <v>4.9650507257232683E-2</v>
      </c>
      <c r="AW128" s="42">
        <f t="shared" si="27"/>
        <v>146.93932909822072</v>
      </c>
      <c r="AX128" s="42">
        <v>10.3</v>
      </c>
      <c r="AY128" s="42" t="s">
        <v>198</v>
      </c>
      <c r="AZ128" s="42">
        <v>16</v>
      </c>
      <c r="BA128" s="42">
        <v>62</v>
      </c>
      <c r="BB128" s="42" t="s">
        <v>198</v>
      </c>
      <c r="BC128" s="45">
        <v>0.77700000000000002</v>
      </c>
      <c r="BD128" s="45">
        <v>6.4000000000000001E-2</v>
      </c>
      <c r="BE128" s="42" t="s">
        <v>861</v>
      </c>
      <c r="BF128" s="42" t="s">
        <v>198</v>
      </c>
      <c r="BG128" s="42" t="s">
        <v>198</v>
      </c>
      <c r="BH128" s="51">
        <f>100%-74.2%</f>
        <v>0.25800000000000001</v>
      </c>
      <c r="BI128" s="42" t="s">
        <v>198</v>
      </c>
      <c r="BJ128" s="42"/>
      <c r="BK128" s="42"/>
      <c r="BL128" s="42" t="s">
        <v>198</v>
      </c>
      <c r="BM128" t="s">
        <v>198</v>
      </c>
      <c r="BN128" t="s">
        <v>198</v>
      </c>
    </row>
    <row r="129" spans="2:66" x14ac:dyDescent="0.3">
      <c r="B129" s="54">
        <v>121</v>
      </c>
      <c r="C129" s="54">
        <v>34</v>
      </c>
      <c r="D129" s="54" t="s">
        <v>393</v>
      </c>
      <c r="E129" s="42" t="s">
        <v>1277</v>
      </c>
      <c r="F129" s="42">
        <v>9</v>
      </c>
      <c r="G129" s="42" t="s">
        <v>1376</v>
      </c>
      <c r="H129" s="42" t="s">
        <v>692</v>
      </c>
      <c r="I129" s="42"/>
      <c r="J129" s="42" t="s">
        <v>1354</v>
      </c>
      <c r="K129" s="42" t="s">
        <v>694</v>
      </c>
      <c r="L129" s="42">
        <f>AVERAGE(500,750)</f>
        <v>625</v>
      </c>
      <c r="M129" s="42" t="s">
        <v>198</v>
      </c>
      <c r="N129" s="42" t="s">
        <v>198</v>
      </c>
      <c r="O129" s="42" t="s">
        <v>1074</v>
      </c>
      <c r="P129" s="44">
        <v>0.06</v>
      </c>
      <c r="Q129" s="44">
        <v>0.83</v>
      </c>
      <c r="R129" s="44">
        <f>1-P129-Q129</f>
        <v>0.10999999999999999</v>
      </c>
      <c r="S129" s="46">
        <f>12/1000*1.72</f>
        <v>2.0639999999999999E-2</v>
      </c>
      <c r="T129" s="51">
        <v>0.16500000000000001</v>
      </c>
      <c r="U129" s="44">
        <v>0.6</v>
      </c>
      <c r="V129" s="42">
        <v>6.8</v>
      </c>
      <c r="W129" s="42" t="s">
        <v>198</v>
      </c>
      <c r="X129" s="42" t="s">
        <v>1077</v>
      </c>
      <c r="Y129" s="42" t="s">
        <v>1397</v>
      </c>
      <c r="Z129" s="42" t="s">
        <v>696</v>
      </c>
      <c r="AA129" s="42" t="s">
        <v>454</v>
      </c>
      <c r="AB129" s="42">
        <v>20</v>
      </c>
      <c r="AC129" s="78">
        <v>90</v>
      </c>
      <c r="AD129" s="46">
        <f>AVERAGE(0.23%,1.14%,5.46%)</f>
        <v>2.2766666666666668E-2</v>
      </c>
      <c r="AE129" s="42" t="s">
        <v>1373</v>
      </c>
      <c r="AF129" s="42" t="s">
        <v>661</v>
      </c>
      <c r="AG129" s="42"/>
      <c r="AH129" s="42" t="s">
        <v>451</v>
      </c>
      <c r="AI129" s="51">
        <v>0.115</v>
      </c>
      <c r="AJ129" s="42" t="s">
        <v>198</v>
      </c>
      <c r="AK129" s="44">
        <v>0.8</v>
      </c>
      <c r="AL129" s="42" t="s">
        <v>198</v>
      </c>
      <c r="AM129" s="51">
        <v>1.2E-2</v>
      </c>
      <c r="AN129" s="51">
        <v>6.0000000000000001E-3</v>
      </c>
      <c r="AO129" s="42" t="s">
        <v>198</v>
      </c>
      <c r="AP129" s="51">
        <v>6.6000000000000003E-2</v>
      </c>
      <c r="AQ129" s="42" t="s">
        <v>198</v>
      </c>
      <c r="AR129" s="42" t="s">
        <v>198</v>
      </c>
      <c r="AS129" s="42" t="s">
        <v>198</v>
      </c>
      <c r="AT129" s="42" t="s">
        <v>198</v>
      </c>
      <c r="AU129" s="47">
        <f t="shared" si="28"/>
        <v>0.17875902921098585</v>
      </c>
      <c r="AV129" s="47">
        <f>AP129/AK129*12.0107/15.999</f>
        <v>6.1934042752672044E-2</v>
      </c>
      <c r="AW129" s="42">
        <f t="shared" si="27"/>
        <v>155.49135354309075</v>
      </c>
      <c r="AX129" s="42" t="s">
        <v>198</v>
      </c>
      <c r="AY129" s="42" t="s">
        <v>198</v>
      </c>
      <c r="AZ129" s="42" t="s">
        <v>198</v>
      </c>
      <c r="BA129" s="42" t="s">
        <v>198</v>
      </c>
      <c r="BB129" s="42" t="s">
        <v>198</v>
      </c>
      <c r="BC129" s="51">
        <v>0.81100000000000005</v>
      </c>
      <c r="BD129" s="51">
        <v>7.3999999999999996E-2</v>
      </c>
      <c r="BE129" s="42" t="s">
        <v>198</v>
      </c>
      <c r="BF129" s="42" t="s">
        <v>198</v>
      </c>
      <c r="BG129" s="42" t="s">
        <v>198</v>
      </c>
      <c r="BH129" s="51">
        <f>100%-75.4%</f>
        <v>0.246</v>
      </c>
      <c r="BI129" s="42" t="s">
        <v>198</v>
      </c>
      <c r="BJ129" s="42"/>
      <c r="BK129" s="42"/>
      <c r="BL129" s="42" t="s">
        <v>198</v>
      </c>
      <c r="BM129" s="42" t="s">
        <v>198</v>
      </c>
      <c r="BN129" s="42" t="s">
        <v>198</v>
      </c>
    </row>
    <row r="130" spans="2:66" x14ac:dyDescent="0.3">
      <c r="B130" s="54">
        <v>122</v>
      </c>
      <c r="C130" s="54">
        <v>40</v>
      </c>
      <c r="D130" s="54" t="s">
        <v>399</v>
      </c>
      <c r="E130" s="42" t="s">
        <v>1278</v>
      </c>
      <c r="F130" s="42">
        <v>3</v>
      </c>
      <c r="G130" s="42" t="s">
        <v>901</v>
      </c>
      <c r="H130" s="42" t="s">
        <v>635</v>
      </c>
      <c r="I130" s="42"/>
      <c r="J130" s="42" t="s">
        <v>902</v>
      </c>
      <c r="K130" s="42" t="s">
        <v>694</v>
      </c>
      <c r="L130" s="42">
        <v>450</v>
      </c>
      <c r="M130" s="42">
        <v>40</v>
      </c>
      <c r="N130" s="42">
        <f t="shared" ref="N130:N137" si="30">AVERAGE(5,10)</f>
        <v>7.5</v>
      </c>
      <c r="O130" s="42" t="s">
        <v>1367</v>
      </c>
      <c r="P130" s="44">
        <v>0.53</v>
      </c>
      <c r="Q130" s="42" t="s">
        <v>198</v>
      </c>
      <c r="R130" s="42" t="s">
        <v>198</v>
      </c>
      <c r="S130" s="46">
        <f t="shared" ref="S130:S137" si="31">0.45%*1.72</f>
        <v>7.7400000000000012E-3</v>
      </c>
      <c r="T130" s="42" t="s">
        <v>198</v>
      </c>
      <c r="U130" s="44">
        <v>0.6</v>
      </c>
      <c r="V130" s="42">
        <v>8.1</v>
      </c>
      <c r="W130" s="42" t="s">
        <v>198</v>
      </c>
      <c r="X130" s="42" t="s">
        <v>1398</v>
      </c>
      <c r="Y130" s="42" t="s">
        <v>882</v>
      </c>
      <c r="Z130" s="42" t="s">
        <v>696</v>
      </c>
      <c r="AA130" s="42" t="s">
        <v>454</v>
      </c>
      <c r="AB130" s="42">
        <v>20</v>
      </c>
      <c r="AC130" s="42">
        <v>758</v>
      </c>
      <c r="AD130" s="44">
        <v>0.02</v>
      </c>
      <c r="AE130" s="42" t="s">
        <v>1370</v>
      </c>
      <c r="AF130" s="42" t="s">
        <v>1371</v>
      </c>
      <c r="AG130" s="42" t="s">
        <v>1369</v>
      </c>
      <c r="AH130" s="42" t="s">
        <v>451</v>
      </c>
      <c r="AI130" s="43">
        <v>0.03</v>
      </c>
      <c r="AJ130" s="43">
        <v>0.03</v>
      </c>
      <c r="AK130" s="49">
        <f t="shared" ref="AK130:AK137" si="32">AL130</f>
        <v>0.67400000000000004</v>
      </c>
      <c r="AL130" s="45">
        <v>0.67400000000000004</v>
      </c>
      <c r="AM130" s="51">
        <f t="shared" ref="AM130:AM137" si="33">AK130*AU130/12.0107*1.00784</f>
        <v>3.5065081901970746E-2</v>
      </c>
      <c r="AN130" s="51">
        <v>5.1999999999999998E-3</v>
      </c>
      <c r="AO130" s="42" t="s">
        <v>198</v>
      </c>
      <c r="AP130" s="51">
        <f t="shared" ref="AP130:AP137" si="34">1-AI130-AL130-AM130-AN130</f>
        <v>0.25573491809802917</v>
      </c>
      <c r="AQ130" s="42" t="s">
        <v>198</v>
      </c>
      <c r="AR130" s="42" t="s">
        <v>198</v>
      </c>
      <c r="AS130" s="42" t="s">
        <v>198</v>
      </c>
      <c r="AT130" s="42">
        <v>0.62</v>
      </c>
      <c r="AU130" s="42">
        <v>0.62</v>
      </c>
      <c r="AV130" s="47">
        <f t="shared" ref="AV130:AV137" si="35">AP130/AL130*12.0107/15.999</f>
        <v>0.28484304200763277</v>
      </c>
      <c r="AW130" s="55">
        <f t="shared" si="27"/>
        <v>151.15553695390844</v>
      </c>
      <c r="AX130" s="42">
        <v>8.64</v>
      </c>
      <c r="AY130" s="42" t="s">
        <v>198</v>
      </c>
      <c r="AZ130" s="42">
        <v>1.1399999999999999</v>
      </c>
      <c r="BA130" s="42" t="s">
        <v>198</v>
      </c>
      <c r="BB130" s="42">
        <v>191</v>
      </c>
      <c r="BC130" s="42" t="s">
        <v>198</v>
      </c>
      <c r="BD130" s="42" t="s">
        <v>198</v>
      </c>
      <c r="BE130" s="42" t="s">
        <v>861</v>
      </c>
      <c r="BF130" s="42" t="s">
        <v>198</v>
      </c>
      <c r="BG130" s="42" t="s">
        <v>198</v>
      </c>
      <c r="BH130" s="42" t="s">
        <v>198</v>
      </c>
      <c r="BI130" s="42" t="s">
        <v>198</v>
      </c>
      <c r="BJ130" s="42">
        <v>-36.299999999999997</v>
      </c>
      <c r="BK130" s="42">
        <v>-14.3</v>
      </c>
      <c r="BL130" s="42" t="s">
        <v>198</v>
      </c>
      <c r="BM130" t="s">
        <v>1294</v>
      </c>
      <c r="BN130" t="s">
        <v>1286</v>
      </c>
    </row>
    <row r="131" spans="2:66" x14ac:dyDescent="0.3">
      <c r="B131" s="54">
        <v>123</v>
      </c>
      <c r="C131" s="54">
        <v>40</v>
      </c>
      <c r="D131" s="54" t="s">
        <v>399</v>
      </c>
      <c r="E131" s="42" t="s">
        <v>1279</v>
      </c>
      <c r="F131" s="42">
        <v>3</v>
      </c>
      <c r="G131" s="42" t="s">
        <v>901</v>
      </c>
      <c r="H131" s="42" t="s">
        <v>635</v>
      </c>
      <c r="I131" s="42"/>
      <c r="J131" s="42" t="s">
        <v>902</v>
      </c>
      <c r="K131" s="42" t="s">
        <v>694</v>
      </c>
      <c r="L131" s="42">
        <v>450</v>
      </c>
      <c r="M131" s="42">
        <v>40</v>
      </c>
      <c r="N131" s="42">
        <f t="shared" si="30"/>
        <v>7.5</v>
      </c>
      <c r="O131" s="42" t="s">
        <v>1367</v>
      </c>
      <c r="P131" s="44">
        <v>0.53</v>
      </c>
      <c r="Q131" s="42" t="s">
        <v>198</v>
      </c>
      <c r="R131" s="42" t="s">
        <v>198</v>
      </c>
      <c r="S131" s="46">
        <f t="shared" si="31"/>
        <v>7.7400000000000012E-3</v>
      </c>
      <c r="T131" s="42" t="s">
        <v>198</v>
      </c>
      <c r="U131" s="44">
        <v>0.6</v>
      </c>
      <c r="V131" s="42">
        <v>8.1</v>
      </c>
      <c r="W131" s="42" t="s">
        <v>198</v>
      </c>
      <c r="X131" s="42" t="s">
        <v>1398</v>
      </c>
      <c r="Y131" s="42" t="s">
        <v>882</v>
      </c>
      <c r="Z131" s="42" t="s">
        <v>696</v>
      </c>
      <c r="AA131" s="42" t="s">
        <v>454</v>
      </c>
      <c r="AB131" s="42">
        <v>20</v>
      </c>
      <c r="AC131" s="42">
        <v>758</v>
      </c>
      <c r="AD131" s="44">
        <v>0.02</v>
      </c>
      <c r="AE131" s="42" t="s">
        <v>1370</v>
      </c>
      <c r="AF131" s="42" t="s">
        <v>1371</v>
      </c>
      <c r="AG131" s="42" t="s">
        <v>1368</v>
      </c>
      <c r="AH131" s="42" t="s">
        <v>451</v>
      </c>
      <c r="AI131" s="43">
        <v>0.03</v>
      </c>
      <c r="AJ131" s="43">
        <v>0.03</v>
      </c>
      <c r="AK131" s="49">
        <f t="shared" si="32"/>
        <v>0.67400000000000004</v>
      </c>
      <c r="AL131" s="45">
        <v>0.67400000000000004</v>
      </c>
      <c r="AM131" s="51">
        <f t="shared" si="33"/>
        <v>3.5065081901970746E-2</v>
      </c>
      <c r="AN131" s="51">
        <v>5.1999999999999998E-3</v>
      </c>
      <c r="AO131" s="42" t="s">
        <v>198</v>
      </c>
      <c r="AP131" s="51">
        <f t="shared" si="34"/>
        <v>0.25573491809802917</v>
      </c>
      <c r="AQ131" s="42" t="s">
        <v>198</v>
      </c>
      <c r="AR131" s="42" t="s">
        <v>198</v>
      </c>
      <c r="AS131" s="42" t="s">
        <v>198</v>
      </c>
      <c r="AT131" s="42">
        <v>0.62</v>
      </c>
      <c r="AU131" s="42">
        <v>0.62</v>
      </c>
      <c r="AV131" s="47">
        <f t="shared" si="35"/>
        <v>0.28484304200763277</v>
      </c>
      <c r="AW131" s="55">
        <f t="shared" si="27"/>
        <v>151.15553695390844</v>
      </c>
      <c r="AX131" s="42">
        <v>8.64</v>
      </c>
      <c r="AY131" s="42" t="s">
        <v>198</v>
      </c>
      <c r="AZ131" s="42">
        <v>1.1399999999999999</v>
      </c>
      <c r="BA131" s="42" t="s">
        <v>198</v>
      </c>
      <c r="BB131" s="42">
        <v>191</v>
      </c>
      <c r="BC131" s="42" t="s">
        <v>198</v>
      </c>
      <c r="BD131" s="42" t="s">
        <v>198</v>
      </c>
      <c r="BE131" s="42" t="s">
        <v>861</v>
      </c>
      <c r="BF131" s="42" t="s">
        <v>198</v>
      </c>
      <c r="BG131" s="42" t="s">
        <v>198</v>
      </c>
      <c r="BH131" s="42" t="s">
        <v>198</v>
      </c>
      <c r="BI131" s="42" t="s">
        <v>198</v>
      </c>
      <c r="BJ131" s="42">
        <v>-36.299999999999997</v>
      </c>
      <c r="BK131" s="42">
        <v>-14.3</v>
      </c>
      <c r="BL131" s="42" t="s">
        <v>198</v>
      </c>
      <c r="BM131" s="42" t="s">
        <v>1295</v>
      </c>
      <c r="BN131" s="42" t="s">
        <v>1287</v>
      </c>
    </row>
    <row r="132" spans="2:66" x14ac:dyDescent="0.3">
      <c r="B132" s="54">
        <v>124</v>
      </c>
      <c r="C132" s="54">
        <v>40</v>
      </c>
      <c r="D132" s="54" t="s">
        <v>399</v>
      </c>
      <c r="E132" s="42" t="s">
        <v>1280</v>
      </c>
      <c r="F132" s="42">
        <v>3</v>
      </c>
      <c r="G132" s="42" t="s">
        <v>901</v>
      </c>
      <c r="H132" s="42" t="s">
        <v>635</v>
      </c>
      <c r="I132" s="42"/>
      <c r="J132" s="42" t="s">
        <v>902</v>
      </c>
      <c r="K132" s="42" t="s">
        <v>694</v>
      </c>
      <c r="L132" s="42">
        <v>450</v>
      </c>
      <c r="M132" s="42">
        <v>40</v>
      </c>
      <c r="N132" s="42">
        <f t="shared" si="30"/>
        <v>7.5</v>
      </c>
      <c r="O132" s="42" t="s">
        <v>1367</v>
      </c>
      <c r="P132" s="44">
        <v>0.53</v>
      </c>
      <c r="Q132" s="42" t="s">
        <v>198</v>
      </c>
      <c r="R132" s="42" t="s">
        <v>198</v>
      </c>
      <c r="S132" s="46">
        <f t="shared" si="31"/>
        <v>7.7400000000000012E-3</v>
      </c>
      <c r="T132" s="42" t="s">
        <v>198</v>
      </c>
      <c r="U132" s="44">
        <v>0.6</v>
      </c>
      <c r="V132" s="42">
        <v>8.1</v>
      </c>
      <c r="W132" s="42" t="s">
        <v>198</v>
      </c>
      <c r="X132" s="42" t="s">
        <v>1398</v>
      </c>
      <c r="Y132" s="42" t="s">
        <v>882</v>
      </c>
      <c r="Z132" s="42" t="s">
        <v>696</v>
      </c>
      <c r="AA132" s="42" t="s">
        <v>454</v>
      </c>
      <c r="AB132" s="42">
        <v>20</v>
      </c>
      <c r="AC132" s="42">
        <v>758</v>
      </c>
      <c r="AD132" s="44">
        <v>0.02</v>
      </c>
      <c r="AE132" s="42" t="s">
        <v>1370</v>
      </c>
      <c r="AF132" s="42" t="s">
        <v>1371</v>
      </c>
      <c r="AG132" s="42" t="s">
        <v>1368</v>
      </c>
      <c r="AH132" s="42" t="s">
        <v>451</v>
      </c>
      <c r="AI132" s="43">
        <v>0.03</v>
      </c>
      <c r="AJ132" s="43">
        <v>0.03</v>
      </c>
      <c r="AK132" s="49">
        <f t="shared" si="32"/>
        <v>0.67400000000000004</v>
      </c>
      <c r="AL132" s="45">
        <v>0.67400000000000004</v>
      </c>
      <c r="AM132" s="51">
        <f t="shared" si="33"/>
        <v>3.5065081901970746E-2</v>
      </c>
      <c r="AN132" s="51">
        <v>5.1999999999999998E-3</v>
      </c>
      <c r="AO132" s="42" t="s">
        <v>198</v>
      </c>
      <c r="AP132" s="51">
        <f t="shared" si="34"/>
        <v>0.25573491809802917</v>
      </c>
      <c r="AQ132" s="42" t="s">
        <v>198</v>
      </c>
      <c r="AR132" s="42" t="s">
        <v>198</v>
      </c>
      <c r="AS132" s="42" t="s">
        <v>198</v>
      </c>
      <c r="AT132" s="42">
        <v>0.62</v>
      </c>
      <c r="AU132" s="42">
        <v>0.62</v>
      </c>
      <c r="AV132" s="47">
        <f t="shared" si="35"/>
        <v>0.28484304200763277</v>
      </c>
      <c r="AW132" s="55">
        <f t="shared" si="27"/>
        <v>151.15553695390844</v>
      </c>
      <c r="AX132" s="42">
        <v>8.64</v>
      </c>
      <c r="AY132" s="42" t="s">
        <v>198</v>
      </c>
      <c r="AZ132" s="42">
        <v>1.1399999999999999</v>
      </c>
      <c r="BA132" s="42" t="s">
        <v>198</v>
      </c>
      <c r="BB132" s="42">
        <v>191</v>
      </c>
      <c r="BC132" s="42" t="s">
        <v>198</v>
      </c>
      <c r="BD132" s="42" t="s">
        <v>198</v>
      </c>
      <c r="BE132" s="42" t="s">
        <v>861</v>
      </c>
      <c r="BF132" s="42" t="s">
        <v>198</v>
      </c>
      <c r="BG132" s="42" t="s">
        <v>198</v>
      </c>
      <c r="BH132" s="42" t="s">
        <v>198</v>
      </c>
      <c r="BI132" s="42" t="s">
        <v>198</v>
      </c>
      <c r="BJ132" s="42">
        <v>-36.299999999999997</v>
      </c>
      <c r="BK132" s="42">
        <v>-14.3</v>
      </c>
      <c r="BL132" s="42" t="s">
        <v>198</v>
      </c>
      <c r="BM132" t="s">
        <v>1296</v>
      </c>
      <c r="BN132" t="s">
        <v>1288</v>
      </c>
    </row>
    <row r="133" spans="2:66" x14ac:dyDescent="0.3">
      <c r="B133" s="54">
        <v>125</v>
      </c>
      <c r="C133" s="54">
        <v>40</v>
      </c>
      <c r="D133" s="54" t="s">
        <v>399</v>
      </c>
      <c r="E133" s="42" t="s">
        <v>1281</v>
      </c>
      <c r="F133" s="42">
        <v>3</v>
      </c>
      <c r="G133" s="42" t="s">
        <v>901</v>
      </c>
      <c r="H133" s="42" t="s">
        <v>635</v>
      </c>
      <c r="I133" s="42"/>
      <c r="J133" s="42" t="s">
        <v>902</v>
      </c>
      <c r="K133" s="42" t="s">
        <v>694</v>
      </c>
      <c r="L133" s="42">
        <v>450</v>
      </c>
      <c r="M133" s="42">
        <v>40</v>
      </c>
      <c r="N133" s="42">
        <f t="shared" si="30"/>
        <v>7.5</v>
      </c>
      <c r="O133" s="42" t="s">
        <v>1367</v>
      </c>
      <c r="P133" s="44">
        <v>0.53</v>
      </c>
      <c r="Q133" s="42" t="s">
        <v>198</v>
      </c>
      <c r="R133" s="42" t="s">
        <v>198</v>
      </c>
      <c r="S133" s="46">
        <f t="shared" si="31"/>
        <v>7.7400000000000012E-3</v>
      </c>
      <c r="T133" s="42" t="s">
        <v>198</v>
      </c>
      <c r="U133" s="44">
        <v>0.6</v>
      </c>
      <c r="V133" s="42">
        <v>8.1</v>
      </c>
      <c r="W133" s="42" t="s">
        <v>198</v>
      </c>
      <c r="X133" s="42" t="s">
        <v>1398</v>
      </c>
      <c r="Y133" s="42" t="s">
        <v>882</v>
      </c>
      <c r="Z133" s="42" t="s">
        <v>696</v>
      </c>
      <c r="AA133" s="42" t="s">
        <v>454</v>
      </c>
      <c r="AB133" s="42">
        <v>20</v>
      </c>
      <c r="AC133" s="42">
        <v>758</v>
      </c>
      <c r="AD133" s="44">
        <v>0.02</v>
      </c>
      <c r="AE133" s="42" t="s">
        <v>1370</v>
      </c>
      <c r="AF133" s="42" t="s">
        <v>1371</v>
      </c>
      <c r="AG133" s="42" t="s">
        <v>1368</v>
      </c>
      <c r="AH133" s="42" t="s">
        <v>451</v>
      </c>
      <c r="AI133" s="43">
        <v>0.03</v>
      </c>
      <c r="AJ133" s="43">
        <v>0.03</v>
      </c>
      <c r="AK133" s="49">
        <f t="shared" si="32"/>
        <v>0.67400000000000004</v>
      </c>
      <c r="AL133" s="45">
        <v>0.67400000000000004</v>
      </c>
      <c r="AM133" s="51">
        <f t="shared" si="33"/>
        <v>3.5065081901970746E-2</v>
      </c>
      <c r="AN133" s="51">
        <v>5.1999999999999998E-3</v>
      </c>
      <c r="AO133" s="42" t="s">
        <v>198</v>
      </c>
      <c r="AP133" s="51">
        <f t="shared" si="34"/>
        <v>0.25573491809802917</v>
      </c>
      <c r="AQ133" s="42" t="s">
        <v>198</v>
      </c>
      <c r="AR133" s="42" t="s">
        <v>198</v>
      </c>
      <c r="AS133" s="42" t="s">
        <v>198</v>
      </c>
      <c r="AT133" s="42">
        <v>0.62</v>
      </c>
      <c r="AU133" s="42">
        <v>0.62</v>
      </c>
      <c r="AV133" s="47">
        <f t="shared" si="35"/>
        <v>0.28484304200763277</v>
      </c>
      <c r="AW133" s="55">
        <f t="shared" si="27"/>
        <v>151.15553695390844</v>
      </c>
      <c r="AX133" s="42">
        <v>8.64</v>
      </c>
      <c r="AY133" s="42" t="s">
        <v>198</v>
      </c>
      <c r="AZ133" s="42">
        <v>1.1399999999999999</v>
      </c>
      <c r="BA133" s="42" t="s">
        <v>198</v>
      </c>
      <c r="BB133" s="42">
        <v>191</v>
      </c>
      <c r="BC133" s="42" t="s">
        <v>198</v>
      </c>
      <c r="BD133" s="42" t="s">
        <v>198</v>
      </c>
      <c r="BE133" s="42" t="s">
        <v>861</v>
      </c>
      <c r="BF133" s="42" t="s">
        <v>198</v>
      </c>
      <c r="BG133" s="42" t="s">
        <v>198</v>
      </c>
      <c r="BH133" s="42" t="s">
        <v>198</v>
      </c>
      <c r="BI133" s="42" t="s">
        <v>198</v>
      </c>
      <c r="BJ133" s="42">
        <v>-36.299999999999997</v>
      </c>
      <c r="BK133" s="42">
        <v>-14.3</v>
      </c>
      <c r="BL133" s="42" t="s">
        <v>198</v>
      </c>
      <c r="BM133" t="s">
        <v>1297</v>
      </c>
      <c r="BN133" t="s">
        <v>1289</v>
      </c>
    </row>
    <row r="134" spans="2:66" x14ac:dyDescent="0.3">
      <c r="B134" s="54">
        <v>126</v>
      </c>
      <c r="C134" s="54">
        <v>40</v>
      </c>
      <c r="D134" s="54" t="s">
        <v>399</v>
      </c>
      <c r="E134" s="42" t="s">
        <v>1282</v>
      </c>
      <c r="F134" s="42">
        <v>3</v>
      </c>
      <c r="G134" s="42" t="s">
        <v>901</v>
      </c>
      <c r="H134" s="42" t="s">
        <v>635</v>
      </c>
      <c r="I134" s="42"/>
      <c r="J134" s="42" t="s">
        <v>902</v>
      </c>
      <c r="K134" s="42" t="s">
        <v>694</v>
      </c>
      <c r="L134" s="42">
        <v>550</v>
      </c>
      <c r="M134" s="42">
        <v>40</v>
      </c>
      <c r="N134" s="42">
        <f t="shared" si="30"/>
        <v>7.5</v>
      </c>
      <c r="O134" s="42" t="s">
        <v>1367</v>
      </c>
      <c r="P134" s="44">
        <v>0.53</v>
      </c>
      <c r="Q134" s="42" t="s">
        <v>198</v>
      </c>
      <c r="R134" s="42" t="s">
        <v>198</v>
      </c>
      <c r="S134" s="46">
        <f t="shared" si="31"/>
        <v>7.7400000000000012E-3</v>
      </c>
      <c r="T134" s="42" t="s">
        <v>198</v>
      </c>
      <c r="U134" s="44">
        <v>0.6</v>
      </c>
      <c r="V134" s="42">
        <v>8.1</v>
      </c>
      <c r="W134" s="42" t="s">
        <v>198</v>
      </c>
      <c r="X134" s="42" t="s">
        <v>1398</v>
      </c>
      <c r="Y134" s="42" t="s">
        <v>882</v>
      </c>
      <c r="Z134" s="42" t="s">
        <v>696</v>
      </c>
      <c r="AA134" s="42" t="s">
        <v>454</v>
      </c>
      <c r="AB134" s="42">
        <v>20</v>
      </c>
      <c r="AC134" s="42">
        <v>758</v>
      </c>
      <c r="AD134" s="44">
        <v>0.02</v>
      </c>
      <c r="AE134" s="42" t="s">
        <v>1370</v>
      </c>
      <c r="AF134" s="42" t="s">
        <v>1371</v>
      </c>
      <c r="AG134" s="42" t="s">
        <v>1369</v>
      </c>
      <c r="AH134" s="42" t="s">
        <v>451</v>
      </c>
      <c r="AI134" s="43">
        <v>7.0000000000000007E-2</v>
      </c>
      <c r="AJ134" s="43">
        <v>7.0000000000000007E-2</v>
      </c>
      <c r="AK134" s="49">
        <f t="shared" si="32"/>
        <v>0.73199999999999998</v>
      </c>
      <c r="AL134" s="45">
        <v>0.73199999999999998</v>
      </c>
      <c r="AM134" s="51">
        <f t="shared" si="33"/>
        <v>3.0097500661909797E-2</v>
      </c>
      <c r="AN134" s="51">
        <v>6.1999999999999998E-3</v>
      </c>
      <c r="AO134" s="42" t="s">
        <v>198</v>
      </c>
      <c r="AP134" s="51">
        <f t="shared" si="34"/>
        <v>0.16170249933809014</v>
      </c>
      <c r="AQ134" s="42" t="s">
        <v>198</v>
      </c>
      <c r="AR134" s="42" t="s">
        <v>198</v>
      </c>
      <c r="AS134" s="42" t="s">
        <v>198</v>
      </c>
      <c r="AT134" s="42">
        <v>0.49</v>
      </c>
      <c r="AU134" s="42">
        <v>0.49</v>
      </c>
      <c r="AV134" s="47">
        <f t="shared" si="35"/>
        <v>0.16583688536544455</v>
      </c>
      <c r="AW134" s="55">
        <f t="shared" si="27"/>
        <v>137.68508563734972</v>
      </c>
      <c r="AX134" s="42">
        <v>9.9600000000000009</v>
      </c>
      <c r="AY134" s="42" t="s">
        <v>198</v>
      </c>
      <c r="AZ134" s="42">
        <v>5.4</v>
      </c>
      <c r="BA134" s="42" t="s">
        <v>198</v>
      </c>
      <c r="BB134" s="42">
        <v>228.3</v>
      </c>
      <c r="BC134" s="42" t="s">
        <v>198</v>
      </c>
      <c r="BD134" s="42" t="s">
        <v>198</v>
      </c>
      <c r="BE134" s="42" t="s">
        <v>861</v>
      </c>
      <c r="BF134" s="42" t="s">
        <v>198</v>
      </c>
      <c r="BG134" s="42" t="s">
        <v>198</v>
      </c>
      <c r="BH134" s="42" t="s">
        <v>198</v>
      </c>
      <c r="BI134" s="42" t="s">
        <v>198</v>
      </c>
      <c r="BJ134" s="42">
        <v>-36.4</v>
      </c>
      <c r="BK134" s="42">
        <v>-14.3</v>
      </c>
      <c r="BL134" s="42" t="s">
        <v>198</v>
      </c>
      <c r="BM134" t="s">
        <v>1298</v>
      </c>
      <c r="BN134" t="s">
        <v>1290</v>
      </c>
    </row>
    <row r="135" spans="2:66" x14ac:dyDescent="0.3">
      <c r="B135" s="54">
        <v>127</v>
      </c>
      <c r="C135" s="54">
        <v>40</v>
      </c>
      <c r="D135" s="54" t="s">
        <v>399</v>
      </c>
      <c r="E135" s="42" t="s">
        <v>1283</v>
      </c>
      <c r="F135" s="42">
        <v>3</v>
      </c>
      <c r="G135" s="42" t="s">
        <v>901</v>
      </c>
      <c r="H135" s="42" t="s">
        <v>635</v>
      </c>
      <c r="I135" s="42"/>
      <c r="J135" s="42" t="s">
        <v>902</v>
      </c>
      <c r="K135" s="42" t="s">
        <v>694</v>
      </c>
      <c r="L135" s="42">
        <v>550</v>
      </c>
      <c r="M135" s="42">
        <v>40</v>
      </c>
      <c r="N135" s="42">
        <f t="shared" si="30"/>
        <v>7.5</v>
      </c>
      <c r="O135" s="42" t="s">
        <v>1367</v>
      </c>
      <c r="P135" s="44">
        <v>0.53</v>
      </c>
      <c r="Q135" s="42" t="s">
        <v>198</v>
      </c>
      <c r="R135" s="42" t="s">
        <v>198</v>
      </c>
      <c r="S135" s="46">
        <f t="shared" si="31"/>
        <v>7.7400000000000012E-3</v>
      </c>
      <c r="T135" s="42" t="s">
        <v>198</v>
      </c>
      <c r="U135" s="44">
        <v>0.6</v>
      </c>
      <c r="V135" s="42">
        <v>8.1</v>
      </c>
      <c r="W135" s="42" t="s">
        <v>198</v>
      </c>
      <c r="X135" s="42" t="s">
        <v>1398</v>
      </c>
      <c r="Y135" s="42" t="s">
        <v>882</v>
      </c>
      <c r="Z135" s="42" t="s">
        <v>696</v>
      </c>
      <c r="AA135" s="42" t="s">
        <v>454</v>
      </c>
      <c r="AB135" s="42">
        <v>20</v>
      </c>
      <c r="AC135" s="42">
        <v>758</v>
      </c>
      <c r="AD135" s="44">
        <v>0.02</v>
      </c>
      <c r="AE135" s="42" t="s">
        <v>1370</v>
      </c>
      <c r="AF135" s="42" t="s">
        <v>1371</v>
      </c>
      <c r="AG135" s="42" t="s">
        <v>1368</v>
      </c>
      <c r="AH135" s="42" t="s">
        <v>451</v>
      </c>
      <c r="AI135" s="43">
        <v>7.0000000000000007E-2</v>
      </c>
      <c r="AJ135" s="43">
        <v>7.0000000000000007E-2</v>
      </c>
      <c r="AK135" s="49">
        <f t="shared" si="32"/>
        <v>0.73199999999999998</v>
      </c>
      <c r="AL135" s="45">
        <v>0.73199999999999998</v>
      </c>
      <c r="AM135" s="51">
        <f t="shared" si="33"/>
        <v>3.0097500661909797E-2</v>
      </c>
      <c r="AN135" s="51">
        <v>6.1999999999999998E-3</v>
      </c>
      <c r="AO135" s="42" t="s">
        <v>198</v>
      </c>
      <c r="AP135" s="51">
        <f t="shared" si="34"/>
        <v>0.16170249933809014</v>
      </c>
      <c r="AQ135" s="42" t="s">
        <v>198</v>
      </c>
      <c r="AR135" s="42" t="s">
        <v>198</v>
      </c>
      <c r="AS135" s="42" t="s">
        <v>198</v>
      </c>
      <c r="AT135" s="42">
        <v>0.49</v>
      </c>
      <c r="AU135" s="42">
        <v>0.49</v>
      </c>
      <c r="AV135" s="47">
        <f t="shared" si="35"/>
        <v>0.16583688536544455</v>
      </c>
      <c r="AW135" s="55">
        <f t="shared" si="27"/>
        <v>137.68508563734972</v>
      </c>
      <c r="AX135" s="42">
        <v>9.9600000000000009</v>
      </c>
      <c r="AY135" s="42" t="s">
        <v>198</v>
      </c>
      <c r="AZ135" s="42">
        <v>5.4</v>
      </c>
      <c r="BA135" s="42" t="s">
        <v>198</v>
      </c>
      <c r="BB135" s="42">
        <v>228.3</v>
      </c>
      <c r="BC135" s="42" t="s">
        <v>198</v>
      </c>
      <c r="BD135" s="42" t="s">
        <v>198</v>
      </c>
      <c r="BE135" s="42" t="s">
        <v>861</v>
      </c>
      <c r="BF135" s="42" t="s">
        <v>198</v>
      </c>
      <c r="BG135" s="42" t="s">
        <v>198</v>
      </c>
      <c r="BH135" s="42" t="s">
        <v>198</v>
      </c>
      <c r="BI135" s="42" t="s">
        <v>198</v>
      </c>
      <c r="BJ135" s="42">
        <v>-36.4</v>
      </c>
      <c r="BK135" s="42">
        <v>-14.3</v>
      </c>
      <c r="BL135" s="42" t="s">
        <v>198</v>
      </c>
      <c r="BM135" t="s">
        <v>1299</v>
      </c>
      <c r="BN135" t="s">
        <v>1291</v>
      </c>
    </row>
    <row r="136" spans="2:66" x14ac:dyDescent="0.3">
      <c r="B136" s="54">
        <v>128</v>
      </c>
      <c r="C136" s="54">
        <v>40</v>
      </c>
      <c r="D136" s="54" t="s">
        <v>399</v>
      </c>
      <c r="E136" s="42" t="s">
        <v>1284</v>
      </c>
      <c r="F136" s="42">
        <v>3</v>
      </c>
      <c r="G136" s="42" t="s">
        <v>901</v>
      </c>
      <c r="H136" s="42" t="s">
        <v>635</v>
      </c>
      <c r="I136" s="42"/>
      <c r="J136" s="42" t="s">
        <v>902</v>
      </c>
      <c r="K136" s="42" t="s">
        <v>694</v>
      </c>
      <c r="L136" s="42">
        <v>550</v>
      </c>
      <c r="M136" s="42">
        <v>40</v>
      </c>
      <c r="N136" s="42">
        <f t="shared" si="30"/>
        <v>7.5</v>
      </c>
      <c r="O136" s="42" t="s">
        <v>1367</v>
      </c>
      <c r="P136" s="44">
        <v>0.53</v>
      </c>
      <c r="Q136" s="42" t="s">
        <v>198</v>
      </c>
      <c r="R136" s="42" t="s">
        <v>198</v>
      </c>
      <c r="S136" s="46">
        <f t="shared" si="31"/>
        <v>7.7400000000000012E-3</v>
      </c>
      <c r="T136" s="42" t="s">
        <v>198</v>
      </c>
      <c r="U136" s="44">
        <v>0.6</v>
      </c>
      <c r="V136" s="42">
        <v>8.1</v>
      </c>
      <c r="W136" s="42" t="s">
        <v>198</v>
      </c>
      <c r="X136" s="42" t="s">
        <v>1398</v>
      </c>
      <c r="Y136" s="42" t="s">
        <v>882</v>
      </c>
      <c r="Z136" s="42" t="s">
        <v>696</v>
      </c>
      <c r="AA136" s="42" t="s">
        <v>454</v>
      </c>
      <c r="AB136" s="42">
        <v>20</v>
      </c>
      <c r="AC136" s="42">
        <v>758</v>
      </c>
      <c r="AD136" s="44">
        <v>0.02</v>
      </c>
      <c r="AE136" s="42" t="s">
        <v>1370</v>
      </c>
      <c r="AF136" s="42" t="s">
        <v>1371</v>
      </c>
      <c r="AG136" s="42" t="s">
        <v>1368</v>
      </c>
      <c r="AH136" s="42" t="s">
        <v>451</v>
      </c>
      <c r="AI136" s="43">
        <v>7.0000000000000007E-2</v>
      </c>
      <c r="AJ136" s="43">
        <v>7.0000000000000007E-2</v>
      </c>
      <c r="AK136" s="49">
        <f t="shared" si="32"/>
        <v>0.73199999999999998</v>
      </c>
      <c r="AL136" s="45">
        <v>0.73199999999999998</v>
      </c>
      <c r="AM136" s="51">
        <f t="shared" si="33"/>
        <v>3.0097500661909797E-2</v>
      </c>
      <c r="AN136" s="51">
        <v>6.1999999999999998E-3</v>
      </c>
      <c r="AO136" s="42" t="s">
        <v>198</v>
      </c>
      <c r="AP136" s="51">
        <f t="shared" si="34"/>
        <v>0.16170249933809014</v>
      </c>
      <c r="AQ136" s="42" t="s">
        <v>198</v>
      </c>
      <c r="AR136" s="42" t="s">
        <v>198</v>
      </c>
      <c r="AS136" s="42" t="s">
        <v>198</v>
      </c>
      <c r="AT136" s="42">
        <v>0.49</v>
      </c>
      <c r="AU136" s="42">
        <v>0.49</v>
      </c>
      <c r="AV136" s="47">
        <f t="shared" si="35"/>
        <v>0.16583688536544455</v>
      </c>
      <c r="AW136" s="55">
        <f t="shared" si="27"/>
        <v>137.68508563734972</v>
      </c>
      <c r="AX136" s="42">
        <v>9.9600000000000009</v>
      </c>
      <c r="AY136" s="42" t="s">
        <v>198</v>
      </c>
      <c r="AZ136" s="42">
        <v>5.4</v>
      </c>
      <c r="BA136" s="42" t="s">
        <v>198</v>
      </c>
      <c r="BB136" s="42">
        <v>228.3</v>
      </c>
      <c r="BC136" s="42" t="s">
        <v>198</v>
      </c>
      <c r="BD136" s="42" t="s">
        <v>198</v>
      </c>
      <c r="BE136" s="42" t="s">
        <v>861</v>
      </c>
      <c r="BF136" s="42" t="s">
        <v>198</v>
      </c>
      <c r="BG136" s="42" t="s">
        <v>198</v>
      </c>
      <c r="BH136" s="42" t="s">
        <v>198</v>
      </c>
      <c r="BI136" s="42" t="s">
        <v>198</v>
      </c>
      <c r="BJ136" s="42">
        <v>-36.4</v>
      </c>
      <c r="BK136" s="42">
        <v>-14.3</v>
      </c>
      <c r="BL136" s="42" t="s">
        <v>198</v>
      </c>
      <c r="BM136" s="42" t="s">
        <v>1300</v>
      </c>
      <c r="BN136" s="42" t="s">
        <v>1292</v>
      </c>
    </row>
    <row r="137" spans="2:66" x14ac:dyDescent="0.3">
      <c r="B137" s="54">
        <v>129</v>
      </c>
      <c r="C137" s="54">
        <v>40</v>
      </c>
      <c r="D137" s="54" t="s">
        <v>399</v>
      </c>
      <c r="E137" s="42" t="s">
        <v>1285</v>
      </c>
      <c r="F137" s="42">
        <v>3</v>
      </c>
      <c r="G137" s="42" t="s">
        <v>901</v>
      </c>
      <c r="H137" s="42" t="s">
        <v>635</v>
      </c>
      <c r="I137" s="42"/>
      <c r="J137" s="42" t="s">
        <v>902</v>
      </c>
      <c r="K137" s="42" t="s">
        <v>694</v>
      </c>
      <c r="L137" s="42">
        <v>550</v>
      </c>
      <c r="M137" s="42">
        <v>40</v>
      </c>
      <c r="N137" s="42">
        <f t="shared" si="30"/>
        <v>7.5</v>
      </c>
      <c r="O137" s="42" t="s">
        <v>1367</v>
      </c>
      <c r="P137" s="44">
        <v>0.53</v>
      </c>
      <c r="Q137" s="42" t="s">
        <v>198</v>
      </c>
      <c r="R137" s="42" t="s">
        <v>198</v>
      </c>
      <c r="S137" s="46">
        <f t="shared" si="31"/>
        <v>7.7400000000000012E-3</v>
      </c>
      <c r="T137" s="42" t="s">
        <v>198</v>
      </c>
      <c r="U137" s="44">
        <v>0.6</v>
      </c>
      <c r="V137" s="42">
        <v>8.1</v>
      </c>
      <c r="W137" s="42" t="s">
        <v>198</v>
      </c>
      <c r="X137" s="42" t="s">
        <v>1398</v>
      </c>
      <c r="Y137" s="42" t="s">
        <v>882</v>
      </c>
      <c r="Z137" s="42" t="s">
        <v>696</v>
      </c>
      <c r="AA137" s="42" t="s">
        <v>454</v>
      </c>
      <c r="AB137" s="42">
        <v>20</v>
      </c>
      <c r="AC137" s="42">
        <v>758</v>
      </c>
      <c r="AD137" s="44">
        <v>0.02</v>
      </c>
      <c r="AE137" s="42" t="s">
        <v>1370</v>
      </c>
      <c r="AF137" s="42" t="s">
        <v>1371</v>
      </c>
      <c r="AG137" s="42" t="s">
        <v>1368</v>
      </c>
      <c r="AH137" s="42" t="s">
        <v>451</v>
      </c>
      <c r="AI137" s="43">
        <v>7.0000000000000007E-2</v>
      </c>
      <c r="AJ137" s="43">
        <v>7.0000000000000007E-2</v>
      </c>
      <c r="AK137" s="49">
        <f t="shared" si="32"/>
        <v>0.73199999999999998</v>
      </c>
      <c r="AL137" s="45">
        <v>0.73199999999999998</v>
      </c>
      <c r="AM137" s="51">
        <f t="shared" si="33"/>
        <v>3.0097500661909797E-2</v>
      </c>
      <c r="AN137" s="51">
        <v>6.1999999999999998E-3</v>
      </c>
      <c r="AO137" s="42" t="s">
        <v>198</v>
      </c>
      <c r="AP137" s="51">
        <f t="shared" si="34"/>
        <v>0.16170249933809014</v>
      </c>
      <c r="AQ137" s="42" t="s">
        <v>198</v>
      </c>
      <c r="AR137" s="42" t="s">
        <v>198</v>
      </c>
      <c r="AS137" s="42" t="s">
        <v>198</v>
      </c>
      <c r="AT137" s="42">
        <v>0.49</v>
      </c>
      <c r="AU137" s="42">
        <v>0.49</v>
      </c>
      <c r="AV137" s="47">
        <f t="shared" si="35"/>
        <v>0.16583688536544455</v>
      </c>
      <c r="AW137" s="55">
        <f t="shared" si="27"/>
        <v>137.68508563734972</v>
      </c>
      <c r="AX137" s="42">
        <v>9.9600000000000009</v>
      </c>
      <c r="AY137" s="42" t="s">
        <v>198</v>
      </c>
      <c r="AZ137" s="42">
        <v>5.4</v>
      </c>
      <c r="BA137" s="42" t="s">
        <v>198</v>
      </c>
      <c r="BB137" s="42">
        <v>228.3</v>
      </c>
      <c r="BC137" s="42" t="s">
        <v>198</v>
      </c>
      <c r="BD137" s="42" t="s">
        <v>198</v>
      </c>
      <c r="BE137" s="42" t="s">
        <v>861</v>
      </c>
      <c r="BF137" s="42" t="s">
        <v>198</v>
      </c>
      <c r="BG137" s="42" t="s">
        <v>198</v>
      </c>
      <c r="BH137" s="42" t="s">
        <v>198</v>
      </c>
      <c r="BI137" s="42" t="s">
        <v>198</v>
      </c>
      <c r="BJ137" s="42">
        <v>-36.4</v>
      </c>
      <c r="BK137" s="42">
        <v>-14.3</v>
      </c>
      <c r="BL137" s="42" t="s">
        <v>198</v>
      </c>
      <c r="BM137" s="42" t="s">
        <v>1301</v>
      </c>
      <c r="BN137" s="42" t="s">
        <v>1293</v>
      </c>
    </row>
    <row r="138" spans="2:66" x14ac:dyDescent="0.3">
      <c r="B138" s="42">
        <v>130</v>
      </c>
      <c r="C138" s="42">
        <v>41</v>
      </c>
      <c r="D138" s="42" t="s">
        <v>548</v>
      </c>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t="s">
        <v>198</v>
      </c>
      <c r="BM138" s="42" t="s">
        <v>198</v>
      </c>
      <c r="BN138" s="42" t="s">
        <v>198</v>
      </c>
    </row>
    <row r="139" spans="2:66" x14ac:dyDescent="0.3">
      <c r="B139" s="42">
        <v>131</v>
      </c>
      <c r="C139" s="42">
        <v>41</v>
      </c>
      <c r="D139" s="42" t="s">
        <v>548</v>
      </c>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t="s">
        <v>198</v>
      </c>
      <c r="BM139" s="42" t="s">
        <v>198</v>
      </c>
      <c r="BN139" s="42" t="s">
        <v>198</v>
      </c>
    </row>
    <row r="140" spans="2:66" x14ac:dyDescent="0.3">
      <c r="B140" s="42">
        <v>132</v>
      </c>
      <c r="C140" s="42">
        <v>41</v>
      </c>
      <c r="D140" s="42" t="s">
        <v>548</v>
      </c>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t="s">
        <v>198</v>
      </c>
      <c r="BM140" s="42" t="s">
        <v>198</v>
      </c>
      <c r="BN140" s="42" t="s">
        <v>198</v>
      </c>
    </row>
    <row r="141" spans="2:66" x14ac:dyDescent="0.3">
      <c r="B141" s="42">
        <v>133</v>
      </c>
      <c r="C141" s="42">
        <v>41</v>
      </c>
      <c r="D141" s="42" t="s">
        <v>548</v>
      </c>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t="s">
        <v>198</v>
      </c>
      <c r="BM141" s="42" t="s">
        <v>198</v>
      </c>
      <c r="BN141" s="42" t="s">
        <v>198</v>
      </c>
    </row>
    <row r="142" spans="2:66" x14ac:dyDescent="0.3">
      <c r="B142" s="42">
        <v>134</v>
      </c>
      <c r="C142" s="42">
        <v>42</v>
      </c>
      <c r="D142" s="42" t="s">
        <v>553</v>
      </c>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t="s">
        <v>198</v>
      </c>
      <c r="BM142" s="42" t="s">
        <v>198</v>
      </c>
      <c r="BN142" s="42" t="s">
        <v>198</v>
      </c>
    </row>
    <row r="143" spans="2:66" x14ac:dyDescent="0.3">
      <c r="B143" s="42">
        <v>135</v>
      </c>
      <c r="C143" s="42">
        <v>42</v>
      </c>
      <c r="D143" s="42" t="s">
        <v>553</v>
      </c>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t="s">
        <v>198</v>
      </c>
      <c r="BM143" s="42" t="s">
        <v>198</v>
      </c>
      <c r="BN143" s="42" t="s">
        <v>198</v>
      </c>
    </row>
    <row r="144" spans="2:66" x14ac:dyDescent="0.3">
      <c r="B144" s="42">
        <v>136</v>
      </c>
      <c r="C144" s="42">
        <v>42</v>
      </c>
      <c r="D144" s="42" t="s">
        <v>553</v>
      </c>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t="s">
        <v>198</v>
      </c>
      <c r="BM144" s="42" t="s">
        <v>198</v>
      </c>
      <c r="BN144" s="42" t="s">
        <v>198</v>
      </c>
    </row>
    <row r="145" spans="2:66" x14ac:dyDescent="0.3">
      <c r="B145" s="42">
        <v>137</v>
      </c>
      <c r="C145" s="42">
        <v>42</v>
      </c>
      <c r="D145" s="42" t="s">
        <v>553</v>
      </c>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t="s">
        <v>198</v>
      </c>
      <c r="BM145" s="42" t="s">
        <v>198</v>
      </c>
      <c r="BN145" s="42" t="s">
        <v>198</v>
      </c>
    </row>
    <row r="146" spans="2:66" x14ac:dyDescent="0.3">
      <c r="B146" s="42">
        <v>138</v>
      </c>
      <c r="C146" s="42">
        <v>42</v>
      </c>
      <c r="D146" s="42" t="s">
        <v>553</v>
      </c>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t="s">
        <v>198</v>
      </c>
      <c r="BM146" s="42" t="s">
        <v>198</v>
      </c>
      <c r="BN146" s="42" t="s">
        <v>198</v>
      </c>
    </row>
    <row r="147" spans="2:66" x14ac:dyDescent="0.3">
      <c r="B147" s="42">
        <v>139</v>
      </c>
      <c r="C147" s="42">
        <v>43</v>
      </c>
      <c r="D147" s="42" t="s">
        <v>558</v>
      </c>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t="s">
        <v>198</v>
      </c>
      <c r="BM147" s="42" t="s">
        <v>198</v>
      </c>
      <c r="BN147" s="42" t="s">
        <v>198</v>
      </c>
    </row>
    <row r="148" spans="2:66" x14ac:dyDescent="0.3">
      <c r="B148" s="42">
        <v>140</v>
      </c>
      <c r="C148" s="42">
        <v>43</v>
      </c>
      <c r="D148" s="42" t="s">
        <v>558</v>
      </c>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t="s">
        <v>198</v>
      </c>
      <c r="BM148" s="42" t="s">
        <v>198</v>
      </c>
      <c r="BN148" s="42" t="s">
        <v>198</v>
      </c>
    </row>
    <row r="149" spans="2:66" x14ac:dyDescent="0.3">
      <c r="B149" s="42">
        <v>141</v>
      </c>
      <c r="C149" s="42">
        <v>43</v>
      </c>
      <c r="D149" s="42" t="s">
        <v>558</v>
      </c>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t="s">
        <v>198</v>
      </c>
      <c r="BM149" s="42" t="s">
        <v>198</v>
      </c>
      <c r="BN149" s="42" t="s">
        <v>198</v>
      </c>
    </row>
    <row r="150" spans="2:66" x14ac:dyDescent="0.3">
      <c r="B150" s="42">
        <v>142</v>
      </c>
      <c r="C150" s="42">
        <v>43</v>
      </c>
      <c r="D150" s="42" t="s">
        <v>558</v>
      </c>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t="s">
        <v>198</v>
      </c>
      <c r="BM150" s="42" t="s">
        <v>198</v>
      </c>
      <c r="BN150" s="42" t="s">
        <v>198</v>
      </c>
    </row>
    <row r="151" spans="2:66" x14ac:dyDescent="0.3">
      <c r="B151" s="42">
        <v>143</v>
      </c>
      <c r="C151" s="42">
        <v>43</v>
      </c>
      <c r="D151" s="42" t="s">
        <v>558</v>
      </c>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t="s">
        <v>198</v>
      </c>
      <c r="BM151" s="42" t="s">
        <v>198</v>
      </c>
      <c r="BN151" s="42" t="s">
        <v>198</v>
      </c>
    </row>
    <row r="152" spans="2:66" x14ac:dyDescent="0.3">
      <c r="B152" s="42">
        <v>144</v>
      </c>
      <c r="C152" s="42">
        <v>44</v>
      </c>
      <c r="D152" s="42" t="s">
        <v>563</v>
      </c>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t="s">
        <v>198</v>
      </c>
      <c r="BM152" s="42" t="s">
        <v>198</v>
      </c>
      <c r="BN152" s="42" t="s">
        <v>198</v>
      </c>
    </row>
    <row r="153" spans="2:66" x14ac:dyDescent="0.3">
      <c r="B153" s="42">
        <v>145</v>
      </c>
      <c r="C153" s="42">
        <v>44</v>
      </c>
      <c r="D153" s="42" t="s">
        <v>563</v>
      </c>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t="s">
        <v>198</v>
      </c>
      <c r="BM153" s="42" t="s">
        <v>198</v>
      </c>
      <c r="BN153" s="42" t="s">
        <v>198</v>
      </c>
    </row>
    <row r="154" spans="2:66" x14ac:dyDescent="0.3">
      <c r="B154" s="42">
        <v>146</v>
      </c>
      <c r="C154" s="42">
        <v>44</v>
      </c>
      <c r="D154" s="42" t="s">
        <v>563</v>
      </c>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t="s">
        <v>198</v>
      </c>
      <c r="BM154" s="42" t="s">
        <v>198</v>
      </c>
      <c r="BN154" s="42" t="s">
        <v>198</v>
      </c>
    </row>
    <row r="155" spans="2:66" x14ac:dyDescent="0.3">
      <c r="B155" s="42">
        <v>147</v>
      </c>
      <c r="C155" s="42">
        <v>44</v>
      </c>
      <c r="D155" s="42" t="s">
        <v>563</v>
      </c>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t="s">
        <v>198</v>
      </c>
      <c r="BM155" s="42" t="s">
        <v>198</v>
      </c>
      <c r="BN155" s="42" t="s">
        <v>198</v>
      </c>
    </row>
    <row r="156" spans="2:66" x14ac:dyDescent="0.3">
      <c r="B156" s="42">
        <v>148</v>
      </c>
      <c r="C156" s="42">
        <v>44</v>
      </c>
      <c r="D156" s="42" t="s">
        <v>563</v>
      </c>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t="s">
        <v>198</v>
      </c>
      <c r="BM156" s="42" t="s">
        <v>198</v>
      </c>
      <c r="BN156" s="42" t="s">
        <v>198</v>
      </c>
    </row>
    <row r="157" spans="2:66" x14ac:dyDescent="0.3">
      <c r="B157" s="42">
        <v>149</v>
      </c>
      <c r="C157" s="42">
        <v>44</v>
      </c>
      <c r="D157" s="42" t="s">
        <v>563</v>
      </c>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t="s">
        <v>198</v>
      </c>
      <c r="BM157" s="42" t="s">
        <v>198</v>
      </c>
      <c r="BN157" s="42" t="s">
        <v>198</v>
      </c>
    </row>
    <row r="158" spans="2:66" x14ac:dyDescent="0.3">
      <c r="B158" s="42">
        <v>150</v>
      </c>
      <c r="C158" s="42">
        <v>44</v>
      </c>
      <c r="D158" s="42" t="s">
        <v>563</v>
      </c>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t="s">
        <v>198</v>
      </c>
      <c r="BM158" s="42" t="s">
        <v>198</v>
      </c>
      <c r="BN158" s="42" t="s">
        <v>198</v>
      </c>
    </row>
    <row r="159" spans="2:66" x14ac:dyDescent="0.3">
      <c r="B159" s="42">
        <v>151</v>
      </c>
      <c r="C159" s="42">
        <v>44</v>
      </c>
      <c r="D159" s="42" t="s">
        <v>563</v>
      </c>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t="s">
        <v>198</v>
      </c>
      <c r="BM159" s="42" t="s">
        <v>198</v>
      </c>
      <c r="BN159" s="42" t="s">
        <v>198</v>
      </c>
    </row>
    <row r="160" spans="2:66" x14ac:dyDescent="0.3">
      <c r="B160" s="42">
        <v>152</v>
      </c>
      <c r="C160" s="42">
        <v>44</v>
      </c>
      <c r="D160" s="42" t="s">
        <v>563</v>
      </c>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t="s">
        <v>198</v>
      </c>
      <c r="BM160" s="42" t="s">
        <v>198</v>
      </c>
      <c r="BN160" s="42" t="s">
        <v>198</v>
      </c>
    </row>
    <row r="161" spans="2:66" x14ac:dyDescent="0.3">
      <c r="B161" s="42">
        <v>153</v>
      </c>
      <c r="C161" s="42">
        <v>44</v>
      </c>
      <c r="D161" s="42" t="s">
        <v>563</v>
      </c>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t="s">
        <v>198</v>
      </c>
      <c r="BM161" s="42" t="s">
        <v>198</v>
      </c>
      <c r="BN161" s="42" t="s">
        <v>198</v>
      </c>
    </row>
    <row r="162" spans="2:66" x14ac:dyDescent="0.3">
      <c r="B162" s="42">
        <v>154</v>
      </c>
      <c r="C162" s="42">
        <v>44</v>
      </c>
      <c r="D162" s="42" t="s">
        <v>563</v>
      </c>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t="s">
        <v>198</v>
      </c>
      <c r="BM162" s="42" t="s">
        <v>198</v>
      </c>
      <c r="BN162" s="42" t="s">
        <v>198</v>
      </c>
    </row>
    <row r="163" spans="2:66" x14ac:dyDescent="0.3">
      <c r="B163" s="42">
        <v>155</v>
      </c>
      <c r="C163" s="42">
        <v>44</v>
      </c>
      <c r="D163" s="42" t="s">
        <v>563</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t="s">
        <v>198</v>
      </c>
      <c r="BM163" s="42" t="s">
        <v>198</v>
      </c>
      <c r="BN163" s="42" t="s">
        <v>198</v>
      </c>
    </row>
    <row r="164" spans="2:66" x14ac:dyDescent="0.3">
      <c r="B164" s="42">
        <v>156</v>
      </c>
      <c r="C164" s="42">
        <v>44</v>
      </c>
      <c r="D164" s="42" t="s">
        <v>563</v>
      </c>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t="s">
        <v>198</v>
      </c>
      <c r="BM164" s="42" t="s">
        <v>198</v>
      </c>
      <c r="BN164" s="42" t="s">
        <v>198</v>
      </c>
    </row>
    <row r="165" spans="2:66" x14ac:dyDescent="0.3">
      <c r="B165" s="42">
        <v>157</v>
      </c>
      <c r="C165" s="42">
        <v>44</v>
      </c>
      <c r="D165" s="42" t="s">
        <v>563</v>
      </c>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t="s">
        <v>198</v>
      </c>
      <c r="BM165" s="42" t="s">
        <v>198</v>
      </c>
      <c r="BN165" s="42" t="s">
        <v>198</v>
      </c>
    </row>
    <row r="166" spans="2:66" x14ac:dyDescent="0.3">
      <c r="B166" s="42">
        <v>158</v>
      </c>
      <c r="C166" s="42">
        <v>44</v>
      </c>
      <c r="D166" s="42" t="s">
        <v>563</v>
      </c>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t="s">
        <v>198</v>
      </c>
      <c r="BM166" s="42" t="s">
        <v>198</v>
      </c>
      <c r="BN166" s="42" t="s">
        <v>198</v>
      </c>
    </row>
    <row r="167" spans="2:66" x14ac:dyDescent="0.3">
      <c r="B167" s="42">
        <v>159</v>
      </c>
      <c r="C167" s="42">
        <v>45</v>
      </c>
      <c r="D167" s="42" t="s">
        <v>568</v>
      </c>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t="s">
        <v>198</v>
      </c>
      <c r="BM167" s="42" t="s">
        <v>198</v>
      </c>
      <c r="BN167" s="42" t="s">
        <v>198</v>
      </c>
    </row>
    <row r="168" spans="2:66" x14ac:dyDescent="0.3">
      <c r="B168" s="42">
        <v>160</v>
      </c>
      <c r="C168" s="42">
        <v>45</v>
      </c>
      <c r="D168" s="42" t="s">
        <v>568</v>
      </c>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t="s">
        <v>198</v>
      </c>
      <c r="BM168" s="42" t="s">
        <v>198</v>
      </c>
      <c r="BN168" s="42" t="s">
        <v>198</v>
      </c>
    </row>
    <row r="169" spans="2:66" x14ac:dyDescent="0.3">
      <c r="B169" s="42">
        <v>161</v>
      </c>
      <c r="C169" s="42">
        <v>2</v>
      </c>
      <c r="D169" s="42" t="s">
        <v>687</v>
      </c>
      <c r="E169" s="42" t="s">
        <v>741</v>
      </c>
      <c r="F169" s="42">
        <v>3</v>
      </c>
      <c r="G169" s="42" t="s">
        <v>749</v>
      </c>
      <c r="H169" s="42" t="s">
        <v>635</v>
      </c>
      <c r="I169" s="42"/>
      <c r="J169" s="42" t="s">
        <v>754</v>
      </c>
      <c r="K169" s="42" t="s">
        <v>694</v>
      </c>
      <c r="L169" s="42">
        <v>400</v>
      </c>
      <c r="M169" s="42">
        <v>180</v>
      </c>
      <c r="N169" s="42">
        <v>27</v>
      </c>
      <c r="O169" s="42" t="s">
        <v>695</v>
      </c>
      <c r="P169" s="43">
        <v>0</v>
      </c>
      <c r="Q169" s="43">
        <v>1</v>
      </c>
      <c r="R169" s="43">
        <v>0</v>
      </c>
      <c r="S169" s="43">
        <v>0</v>
      </c>
      <c r="T169" s="42" t="s">
        <v>756</v>
      </c>
      <c r="U169" s="44">
        <v>0.65</v>
      </c>
      <c r="V169" s="42" t="s">
        <v>198</v>
      </c>
      <c r="W169" s="42" t="s">
        <v>198</v>
      </c>
      <c r="X169" s="42" t="s">
        <v>757</v>
      </c>
      <c r="Y169" s="42" t="s">
        <v>1412</v>
      </c>
      <c r="Z169" s="42" t="s">
        <v>696</v>
      </c>
      <c r="AA169" s="42" t="s">
        <v>454</v>
      </c>
      <c r="AB169" s="42">
        <v>32</v>
      </c>
      <c r="AC169" s="42">
        <v>365</v>
      </c>
      <c r="AD169" s="43">
        <v>0.1</v>
      </c>
      <c r="AE169" s="42" t="s">
        <v>698</v>
      </c>
      <c r="AF169" s="42" t="s">
        <v>699</v>
      </c>
      <c r="AG169" s="42" t="s">
        <v>755</v>
      </c>
      <c r="AH169" s="42" t="s">
        <v>451</v>
      </c>
      <c r="AI169" s="42" t="s">
        <v>198</v>
      </c>
      <c r="AJ169" s="50">
        <v>4.0000000000000001E-3</v>
      </c>
      <c r="AK169" s="50">
        <v>0.77800000000000002</v>
      </c>
      <c r="AL169" s="50">
        <v>0.77800000000000002</v>
      </c>
      <c r="AM169" s="46">
        <v>4.0149999999999998E-2</v>
      </c>
      <c r="AN169" s="46">
        <v>3.4499999999999999E-3</v>
      </c>
      <c r="AO169" s="42" t="s">
        <v>198</v>
      </c>
      <c r="AP169" s="46">
        <f t="shared" ref="AP169:AP175" si="36">1-AJ169-AK169-AM169-AN169</f>
        <v>0.17439999999999997</v>
      </c>
      <c r="AQ169" s="42" t="s">
        <v>198</v>
      </c>
      <c r="AR169" s="42" t="s">
        <v>198</v>
      </c>
      <c r="AS169" s="42" t="s">
        <v>198</v>
      </c>
      <c r="AT169" s="47">
        <f t="shared" ref="AT169:AT175" si="37">AM169/AL169*12.0107/1.00784</f>
        <v>0.61501071318089817</v>
      </c>
      <c r="AU169" s="47">
        <f t="shared" ref="AU169:AU191" si="38">AM169/AK169*12.0107/1.00784</f>
        <v>0.61501071318089817</v>
      </c>
      <c r="AV169" s="47">
        <f>AP169/AL169*12.0107/15.999</f>
        <v>0.16828382108071985</v>
      </c>
      <c r="AW169" s="48">
        <f t="shared" ref="AW169:AW175" si="39">AK169/AN169*14.0067/12.0107</f>
        <v>262.98320229679263</v>
      </c>
      <c r="AX169" s="42" t="s">
        <v>198</v>
      </c>
      <c r="AY169" s="42" t="s">
        <v>198</v>
      </c>
      <c r="AZ169" s="42" t="s">
        <v>198</v>
      </c>
      <c r="BA169" s="42">
        <v>7.2</v>
      </c>
      <c r="BB169" s="42">
        <v>354.1</v>
      </c>
      <c r="BC169" s="49">
        <f t="shared" ref="BC169:BC175" si="40">1-AJ169-BD169</f>
        <v>0.47599999999999998</v>
      </c>
      <c r="BD169" s="45">
        <v>0.52</v>
      </c>
      <c r="BE169" s="42" t="s">
        <v>711</v>
      </c>
      <c r="BF169" s="42" t="s">
        <v>198</v>
      </c>
      <c r="BG169" s="42" t="s">
        <v>198</v>
      </c>
      <c r="BH169" s="42" t="s">
        <v>198</v>
      </c>
      <c r="BI169" s="42">
        <v>35.299999999999997</v>
      </c>
      <c r="BJ169" s="42" t="s">
        <v>198</v>
      </c>
      <c r="BK169" s="42" t="s">
        <v>198</v>
      </c>
      <c r="BL169" s="42" t="s">
        <v>198</v>
      </c>
      <c r="BM169" s="42" t="s">
        <v>198</v>
      </c>
      <c r="BN169" s="42" t="s">
        <v>198</v>
      </c>
    </row>
    <row r="170" spans="2:66" x14ac:dyDescent="0.3">
      <c r="B170" s="42">
        <v>162</v>
      </c>
      <c r="C170" s="42">
        <v>2</v>
      </c>
      <c r="D170" s="42" t="s">
        <v>687</v>
      </c>
      <c r="E170" s="42" t="s">
        <v>742</v>
      </c>
      <c r="F170" s="42">
        <v>3</v>
      </c>
      <c r="G170" s="42" t="s">
        <v>749</v>
      </c>
      <c r="H170" s="42" t="s">
        <v>635</v>
      </c>
      <c r="I170" s="42"/>
      <c r="J170" s="42" t="s">
        <v>754</v>
      </c>
      <c r="K170" s="42" t="s">
        <v>694</v>
      </c>
      <c r="L170" s="42">
        <v>525</v>
      </c>
      <c r="M170" s="42">
        <v>180</v>
      </c>
      <c r="N170" s="42">
        <v>28</v>
      </c>
      <c r="O170" s="42" t="s">
        <v>695</v>
      </c>
      <c r="P170" s="43">
        <v>0</v>
      </c>
      <c r="Q170" s="43">
        <v>1</v>
      </c>
      <c r="R170" s="43">
        <v>0</v>
      </c>
      <c r="S170" s="43">
        <v>0</v>
      </c>
      <c r="T170" s="42" t="s">
        <v>756</v>
      </c>
      <c r="U170" s="44">
        <v>0.65</v>
      </c>
      <c r="V170" s="42" t="s">
        <v>198</v>
      </c>
      <c r="W170" s="42" t="s">
        <v>198</v>
      </c>
      <c r="X170" s="42" t="s">
        <v>757</v>
      </c>
      <c r="Y170" s="42" t="s">
        <v>1412</v>
      </c>
      <c r="Z170" s="42" t="s">
        <v>696</v>
      </c>
      <c r="AA170" s="42" t="s">
        <v>454</v>
      </c>
      <c r="AB170" s="42">
        <v>32</v>
      </c>
      <c r="AC170" s="42">
        <v>365</v>
      </c>
      <c r="AD170" s="43">
        <v>0.1</v>
      </c>
      <c r="AE170" s="42" t="s">
        <v>698</v>
      </c>
      <c r="AF170" s="42" t="s">
        <v>699</v>
      </c>
      <c r="AG170" s="42" t="s">
        <v>755</v>
      </c>
      <c r="AH170" s="42" t="s">
        <v>451</v>
      </c>
      <c r="AI170" s="42" t="s">
        <v>198</v>
      </c>
      <c r="AJ170" s="50">
        <v>1.3000000000000001E-2</v>
      </c>
      <c r="AK170" s="50">
        <v>0.85400000000000009</v>
      </c>
      <c r="AL170" s="50">
        <v>0.85400000000000009</v>
      </c>
      <c r="AM170" s="46">
        <v>3.0899999999999997E-2</v>
      </c>
      <c r="AN170" s="46">
        <v>2.15E-3</v>
      </c>
      <c r="AO170" s="42" t="s">
        <v>198</v>
      </c>
      <c r="AP170" s="46">
        <f t="shared" si="36"/>
        <v>9.99499999999999E-2</v>
      </c>
      <c r="AQ170" s="42" t="s">
        <v>198</v>
      </c>
      <c r="AR170" s="42" t="s">
        <v>198</v>
      </c>
      <c r="AS170" s="42" t="s">
        <v>198</v>
      </c>
      <c r="AT170" s="47">
        <f t="shared" si="37"/>
        <v>0.43119859505226082</v>
      </c>
      <c r="AU170" s="47">
        <f t="shared" si="38"/>
        <v>0.43119859505226082</v>
      </c>
      <c r="AV170" s="47">
        <f t="shared" ref="AV170:AV175" si="41">AP170/AL170*12.0107/15.999</f>
        <v>8.7861863219495615E-2</v>
      </c>
      <c r="AW170" s="48">
        <f t="shared" si="39"/>
        <v>463.2195904388355</v>
      </c>
      <c r="AX170" s="42" t="s">
        <v>198</v>
      </c>
      <c r="AY170" s="42" t="s">
        <v>198</v>
      </c>
      <c r="AZ170" s="42" t="s">
        <v>198</v>
      </c>
      <c r="BA170" s="42">
        <v>386.5</v>
      </c>
      <c r="BB170" s="42">
        <v>598.1</v>
      </c>
      <c r="BC170" s="49">
        <f t="shared" si="40"/>
        <v>0.59599999999999997</v>
      </c>
      <c r="BD170" s="45">
        <v>0.39100000000000001</v>
      </c>
      <c r="BE170" s="42" t="s">
        <v>711</v>
      </c>
      <c r="BF170" s="42" t="s">
        <v>198</v>
      </c>
      <c r="BG170" s="42" t="s">
        <v>198</v>
      </c>
      <c r="BH170" s="42" t="s">
        <v>198</v>
      </c>
      <c r="BI170" s="42">
        <v>30.3</v>
      </c>
      <c r="BJ170" s="42" t="s">
        <v>198</v>
      </c>
      <c r="BK170" s="42" t="s">
        <v>198</v>
      </c>
      <c r="BL170" s="42" t="s">
        <v>198</v>
      </c>
      <c r="BM170" s="42" t="s">
        <v>198</v>
      </c>
      <c r="BN170" s="42" t="s">
        <v>198</v>
      </c>
    </row>
    <row r="171" spans="2:66" x14ac:dyDescent="0.3">
      <c r="B171" s="42">
        <v>163</v>
      </c>
      <c r="C171" s="42">
        <v>2</v>
      </c>
      <c r="D171" s="42" t="s">
        <v>687</v>
      </c>
      <c r="E171" s="42" t="s">
        <v>743</v>
      </c>
      <c r="F171" s="42">
        <v>3</v>
      </c>
      <c r="G171" s="42" t="s">
        <v>751</v>
      </c>
      <c r="H171" s="42" t="s">
        <v>635</v>
      </c>
      <c r="I171" s="42"/>
      <c r="J171" s="42" t="s">
        <v>754</v>
      </c>
      <c r="K171" s="42" t="s">
        <v>694</v>
      </c>
      <c r="L171" s="42">
        <v>250</v>
      </c>
      <c r="M171" s="42">
        <v>180</v>
      </c>
      <c r="N171" s="42">
        <v>29</v>
      </c>
      <c r="O171" s="42" t="s">
        <v>695</v>
      </c>
      <c r="P171" s="43">
        <v>0</v>
      </c>
      <c r="Q171" s="43">
        <v>1</v>
      </c>
      <c r="R171" s="43">
        <v>0</v>
      </c>
      <c r="S171" s="43">
        <v>0</v>
      </c>
      <c r="T171" s="42" t="s">
        <v>756</v>
      </c>
      <c r="U171" s="44">
        <v>0.65</v>
      </c>
      <c r="V171" s="42" t="s">
        <v>198</v>
      </c>
      <c r="W171" s="42" t="s">
        <v>198</v>
      </c>
      <c r="X171" s="42" t="s">
        <v>757</v>
      </c>
      <c r="Y171" s="42" t="s">
        <v>1412</v>
      </c>
      <c r="Z171" s="42" t="s">
        <v>696</v>
      </c>
      <c r="AA171" s="42" t="s">
        <v>454</v>
      </c>
      <c r="AB171" s="42">
        <v>32</v>
      </c>
      <c r="AC171" s="42">
        <v>365</v>
      </c>
      <c r="AD171" s="43">
        <v>0.1</v>
      </c>
      <c r="AE171" s="42" t="s">
        <v>698</v>
      </c>
      <c r="AF171" s="42" t="s">
        <v>699</v>
      </c>
      <c r="AG171" s="42" t="s">
        <v>755</v>
      </c>
      <c r="AH171" s="42" t="s">
        <v>451</v>
      </c>
      <c r="AI171" s="42" t="s">
        <v>198</v>
      </c>
      <c r="AJ171" s="50">
        <v>1.3999999999999999E-2</v>
      </c>
      <c r="AK171" s="50">
        <v>0.55200000000000005</v>
      </c>
      <c r="AL171" s="50">
        <v>0.55200000000000005</v>
      </c>
      <c r="AM171" s="46">
        <v>3.0800000000000001E-2</v>
      </c>
      <c r="AN171" s="46">
        <v>2.2000000000000001E-3</v>
      </c>
      <c r="AO171" s="42" t="s">
        <v>198</v>
      </c>
      <c r="AP171" s="46">
        <f t="shared" si="36"/>
        <v>0.40099999999999997</v>
      </c>
      <c r="AQ171" s="42" t="s">
        <v>198</v>
      </c>
      <c r="AR171" s="42" t="s">
        <v>198</v>
      </c>
      <c r="AS171" s="42" t="s">
        <v>198</v>
      </c>
      <c r="AT171" s="47">
        <f t="shared" si="37"/>
        <v>0.66494904585729031</v>
      </c>
      <c r="AU171" s="47">
        <f t="shared" si="38"/>
        <v>0.66494904585729031</v>
      </c>
      <c r="AV171" s="47">
        <f t="shared" si="41"/>
        <v>0.54535685427803005</v>
      </c>
      <c r="AW171" s="48">
        <f t="shared" si="39"/>
        <v>292.60645621290718</v>
      </c>
      <c r="AX171" s="42" t="s">
        <v>198</v>
      </c>
      <c r="AY171" s="42" t="s">
        <v>198</v>
      </c>
      <c r="AZ171" s="42" t="s">
        <v>198</v>
      </c>
      <c r="BA171" s="42">
        <v>38.200000000000003</v>
      </c>
      <c r="BB171" s="42">
        <v>525.4</v>
      </c>
      <c r="BC171" s="49">
        <f t="shared" si="40"/>
        <v>0.32599999999999996</v>
      </c>
      <c r="BD171" s="45">
        <v>0.66</v>
      </c>
      <c r="BE171" s="42" t="s">
        <v>711</v>
      </c>
      <c r="BF171" s="42" t="s">
        <v>198</v>
      </c>
      <c r="BG171" s="42" t="s">
        <v>198</v>
      </c>
      <c r="BH171" s="42" t="s">
        <v>198</v>
      </c>
      <c r="BI171" s="42">
        <v>44.1</v>
      </c>
      <c r="BJ171" s="42" t="s">
        <v>198</v>
      </c>
      <c r="BK171" s="42" t="s">
        <v>198</v>
      </c>
      <c r="BL171" s="42" t="s">
        <v>198</v>
      </c>
      <c r="BM171" s="42" t="s">
        <v>198</v>
      </c>
      <c r="BN171" s="42" t="s">
        <v>198</v>
      </c>
    </row>
    <row r="172" spans="2:66" x14ac:dyDescent="0.3">
      <c r="B172" s="42">
        <v>164</v>
      </c>
      <c r="C172" s="42">
        <v>2</v>
      </c>
      <c r="D172" s="42" t="s">
        <v>687</v>
      </c>
      <c r="E172" s="42" t="s">
        <v>744</v>
      </c>
      <c r="F172" s="42">
        <v>3</v>
      </c>
      <c r="G172" s="42" t="s">
        <v>751</v>
      </c>
      <c r="H172" s="42" t="s">
        <v>635</v>
      </c>
      <c r="I172" s="42"/>
      <c r="J172" s="42" t="s">
        <v>754</v>
      </c>
      <c r="K172" s="42" t="s">
        <v>694</v>
      </c>
      <c r="L172" s="42">
        <v>525</v>
      </c>
      <c r="M172" s="42">
        <v>180</v>
      </c>
      <c r="N172" s="42">
        <v>30</v>
      </c>
      <c r="O172" s="42" t="s">
        <v>695</v>
      </c>
      <c r="P172" s="43">
        <v>0</v>
      </c>
      <c r="Q172" s="43">
        <v>1</v>
      </c>
      <c r="R172" s="43">
        <v>0</v>
      </c>
      <c r="S172" s="43">
        <v>0</v>
      </c>
      <c r="T172" s="42" t="s">
        <v>756</v>
      </c>
      <c r="U172" s="44">
        <v>0.65</v>
      </c>
      <c r="V172" s="42" t="s">
        <v>198</v>
      </c>
      <c r="W172" s="42" t="s">
        <v>198</v>
      </c>
      <c r="X172" s="42" t="s">
        <v>757</v>
      </c>
      <c r="Y172" s="42" t="s">
        <v>1412</v>
      </c>
      <c r="Z172" s="42" t="s">
        <v>696</v>
      </c>
      <c r="AA172" s="42" t="s">
        <v>454</v>
      </c>
      <c r="AB172" s="42">
        <v>32</v>
      </c>
      <c r="AC172" s="42">
        <v>365</v>
      </c>
      <c r="AD172" s="43">
        <v>0.1</v>
      </c>
      <c r="AE172" s="42" t="s">
        <v>698</v>
      </c>
      <c r="AF172" s="42" t="s">
        <v>699</v>
      </c>
      <c r="AG172" s="42" t="s">
        <v>755</v>
      </c>
      <c r="AH172" s="42" t="s">
        <v>451</v>
      </c>
      <c r="AI172" s="42" t="s">
        <v>198</v>
      </c>
      <c r="AJ172" s="50">
        <v>6.8000000000000005E-2</v>
      </c>
      <c r="AK172" s="50">
        <v>0.75099999999999989</v>
      </c>
      <c r="AL172" s="50">
        <v>0.75099999999999989</v>
      </c>
      <c r="AM172" s="46">
        <v>2.87E-2</v>
      </c>
      <c r="AN172" s="46">
        <v>2.8500000000000001E-3</v>
      </c>
      <c r="AO172" s="42" t="s">
        <v>198</v>
      </c>
      <c r="AP172" s="46">
        <f t="shared" si="36"/>
        <v>0.14945000000000006</v>
      </c>
      <c r="AQ172" s="42" t="s">
        <v>198</v>
      </c>
      <c r="AR172" s="42" t="s">
        <v>198</v>
      </c>
      <c r="AS172" s="42" t="s">
        <v>198</v>
      </c>
      <c r="AT172" s="47">
        <f t="shared" si="37"/>
        <v>0.45542690975191252</v>
      </c>
      <c r="AU172" s="47">
        <f t="shared" si="38"/>
        <v>0.45542690975191252</v>
      </c>
      <c r="AV172" s="47">
        <f t="shared" si="41"/>
        <v>0.1493934178975401</v>
      </c>
      <c r="AW172" s="48">
        <f t="shared" si="39"/>
        <v>307.30001713384507</v>
      </c>
      <c r="AX172" s="42" t="s">
        <v>198</v>
      </c>
      <c r="AY172" s="42" t="s">
        <v>198</v>
      </c>
      <c r="AZ172" s="42" t="s">
        <v>198</v>
      </c>
      <c r="BA172" s="42">
        <v>139.69999999999999</v>
      </c>
      <c r="BB172" s="42">
        <v>501.2</v>
      </c>
      <c r="BC172" s="49">
        <f t="shared" si="40"/>
        <v>0.56799999999999995</v>
      </c>
      <c r="BD172" s="45">
        <v>0.36399999999999999</v>
      </c>
      <c r="BE172" s="42" t="s">
        <v>711</v>
      </c>
      <c r="BF172" s="42" t="s">
        <v>198</v>
      </c>
      <c r="BG172" s="42" t="s">
        <v>198</v>
      </c>
      <c r="BH172" s="42" t="s">
        <v>198</v>
      </c>
      <c r="BI172" s="42">
        <v>29.2</v>
      </c>
      <c r="BJ172" s="42" t="s">
        <v>198</v>
      </c>
      <c r="BK172" s="42" t="s">
        <v>198</v>
      </c>
      <c r="BL172" s="42" t="s">
        <v>198</v>
      </c>
      <c r="BM172" s="42" t="s">
        <v>198</v>
      </c>
      <c r="BN172" s="42" t="s">
        <v>198</v>
      </c>
    </row>
    <row r="173" spans="2:66" x14ac:dyDescent="0.3">
      <c r="B173" s="42">
        <v>165</v>
      </c>
      <c r="C173" s="42">
        <v>2</v>
      </c>
      <c r="D173" s="42" t="s">
        <v>687</v>
      </c>
      <c r="E173" s="42" t="s">
        <v>745</v>
      </c>
      <c r="F173" s="42">
        <v>3</v>
      </c>
      <c r="G173" s="42" t="s">
        <v>751</v>
      </c>
      <c r="H173" s="42" t="s">
        <v>635</v>
      </c>
      <c r="I173" s="42"/>
      <c r="J173" s="42" t="s">
        <v>754</v>
      </c>
      <c r="K173" s="42" t="s">
        <v>694</v>
      </c>
      <c r="L173" s="42">
        <v>650</v>
      </c>
      <c r="M173" s="42">
        <v>180</v>
      </c>
      <c r="N173" s="42">
        <v>31</v>
      </c>
      <c r="O173" s="42" t="s">
        <v>695</v>
      </c>
      <c r="P173" s="43">
        <v>0</v>
      </c>
      <c r="Q173" s="43">
        <v>1</v>
      </c>
      <c r="R173" s="43">
        <v>0</v>
      </c>
      <c r="S173" s="43">
        <v>0</v>
      </c>
      <c r="T173" s="42" t="s">
        <v>756</v>
      </c>
      <c r="U173" s="44">
        <v>0.65</v>
      </c>
      <c r="V173" s="42" t="s">
        <v>198</v>
      </c>
      <c r="W173" s="42" t="s">
        <v>198</v>
      </c>
      <c r="X173" s="42" t="s">
        <v>757</v>
      </c>
      <c r="Y173" s="42" t="s">
        <v>1412</v>
      </c>
      <c r="Z173" s="42" t="s">
        <v>696</v>
      </c>
      <c r="AA173" s="42" t="s">
        <v>454</v>
      </c>
      <c r="AB173" s="42">
        <v>32</v>
      </c>
      <c r="AC173" s="42">
        <v>365</v>
      </c>
      <c r="AD173" s="43">
        <v>0.1</v>
      </c>
      <c r="AE173" s="42" t="s">
        <v>698</v>
      </c>
      <c r="AF173" s="42" t="s">
        <v>699</v>
      </c>
      <c r="AG173" s="42" t="s">
        <v>755</v>
      </c>
      <c r="AH173" s="42" t="s">
        <v>451</v>
      </c>
      <c r="AI173" s="42" t="s">
        <v>198</v>
      </c>
      <c r="AJ173" s="50">
        <v>3.7000000000000005E-2</v>
      </c>
      <c r="AK173" s="50">
        <v>0.78799999999999992</v>
      </c>
      <c r="AL173" s="50">
        <v>0.78799999999999992</v>
      </c>
      <c r="AM173" s="46">
        <v>2.7650000000000001E-2</v>
      </c>
      <c r="AN173" s="46">
        <v>3.3E-3</v>
      </c>
      <c r="AO173" s="42" t="s">
        <v>198</v>
      </c>
      <c r="AP173" s="46">
        <f t="shared" si="36"/>
        <v>0.14405000000000004</v>
      </c>
      <c r="AQ173" s="42" t="s">
        <v>198</v>
      </c>
      <c r="AR173" s="42" t="s">
        <v>198</v>
      </c>
      <c r="AS173" s="42" t="s">
        <v>198</v>
      </c>
      <c r="AT173" s="47">
        <f t="shared" si="37"/>
        <v>0.41816304210522504</v>
      </c>
      <c r="AU173" s="47">
        <f t="shared" si="38"/>
        <v>0.41816304210522504</v>
      </c>
      <c r="AV173" s="47">
        <f t="shared" si="41"/>
        <v>0.13723425409202292</v>
      </c>
      <c r="AW173" s="48">
        <f t="shared" si="39"/>
        <v>278.47087861808069</v>
      </c>
      <c r="AX173" s="42" t="s">
        <v>198</v>
      </c>
      <c r="AY173" s="42" t="s">
        <v>198</v>
      </c>
      <c r="AZ173" s="42" t="s">
        <v>198</v>
      </c>
      <c r="BA173" s="42">
        <v>2.9</v>
      </c>
      <c r="BB173" s="42">
        <v>410.8</v>
      </c>
      <c r="BC173" s="49">
        <f t="shared" si="40"/>
        <v>0.75600000000000001</v>
      </c>
      <c r="BD173" s="45">
        <v>0.20699999999999999</v>
      </c>
      <c r="BE173" s="42" t="s">
        <v>711</v>
      </c>
      <c r="BF173" s="42" t="s">
        <v>198</v>
      </c>
      <c r="BG173" s="42" t="s">
        <v>198</v>
      </c>
      <c r="BH173" s="42" t="s">
        <v>198</v>
      </c>
      <c r="BI173" s="42">
        <v>32.1</v>
      </c>
      <c r="BJ173" s="42" t="s">
        <v>198</v>
      </c>
      <c r="BK173" s="42" t="s">
        <v>198</v>
      </c>
      <c r="BL173" s="42" t="s">
        <v>198</v>
      </c>
      <c r="BM173" s="42" t="s">
        <v>198</v>
      </c>
      <c r="BN173" s="42" t="s">
        <v>198</v>
      </c>
    </row>
    <row r="174" spans="2:66" x14ac:dyDescent="0.3">
      <c r="B174" s="42">
        <v>166</v>
      </c>
      <c r="C174" s="42">
        <v>2</v>
      </c>
      <c r="D174" s="42" t="s">
        <v>687</v>
      </c>
      <c r="E174" s="42" t="s">
        <v>746</v>
      </c>
      <c r="F174" s="42">
        <v>3</v>
      </c>
      <c r="G174" s="42" t="s">
        <v>752</v>
      </c>
      <c r="H174" s="42" t="s">
        <v>635</v>
      </c>
      <c r="I174" s="42"/>
      <c r="J174" s="42" t="s">
        <v>754</v>
      </c>
      <c r="K174" s="42" t="s">
        <v>694</v>
      </c>
      <c r="L174" s="42">
        <v>525</v>
      </c>
      <c r="M174" s="42">
        <v>180</v>
      </c>
      <c r="N174" s="42">
        <v>32</v>
      </c>
      <c r="O174" s="42" t="s">
        <v>695</v>
      </c>
      <c r="P174" s="43">
        <v>0</v>
      </c>
      <c r="Q174" s="43">
        <v>1</v>
      </c>
      <c r="R174" s="43">
        <v>0</v>
      </c>
      <c r="S174" s="43">
        <v>0</v>
      </c>
      <c r="T174" s="42" t="s">
        <v>756</v>
      </c>
      <c r="U174" s="44">
        <v>0.65</v>
      </c>
      <c r="V174" s="42" t="s">
        <v>198</v>
      </c>
      <c r="W174" s="42" t="s">
        <v>198</v>
      </c>
      <c r="X174" s="42" t="s">
        <v>757</v>
      </c>
      <c r="Y174" s="42" t="s">
        <v>1412</v>
      </c>
      <c r="Z174" s="42" t="s">
        <v>696</v>
      </c>
      <c r="AA174" s="42" t="s">
        <v>454</v>
      </c>
      <c r="AB174" s="42">
        <v>32</v>
      </c>
      <c r="AC174" s="42">
        <v>365</v>
      </c>
      <c r="AD174" s="43">
        <v>0.1</v>
      </c>
      <c r="AE174" s="42" t="s">
        <v>698</v>
      </c>
      <c r="AF174" s="42" t="s">
        <v>699</v>
      </c>
      <c r="AG174" s="42" t="s">
        <v>755</v>
      </c>
      <c r="AH174" s="42" t="s">
        <v>451</v>
      </c>
      <c r="AI174" s="42" t="s">
        <v>198</v>
      </c>
      <c r="AJ174" s="50">
        <v>1.2E-2</v>
      </c>
      <c r="AK174" s="50">
        <v>0.80599999999999994</v>
      </c>
      <c r="AL174" s="50">
        <v>0.80599999999999994</v>
      </c>
      <c r="AM174" s="46">
        <v>5.1200000000000002E-2</v>
      </c>
      <c r="AN174" s="46">
        <v>2.9499999999999999E-3</v>
      </c>
      <c r="AO174" s="42" t="s">
        <v>198</v>
      </c>
      <c r="AP174" s="46">
        <f t="shared" si="36"/>
        <v>0.12785000000000005</v>
      </c>
      <c r="AQ174" s="42" t="s">
        <v>198</v>
      </c>
      <c r="AR174" s="42" t="s">
        <v>198</v>
      </c>
      <c r="AS174" s="42" t="s">
        <v>198</v>
      </c>
      <c r="AT174" s="47">
        <f t="shared" si="37"/>
        <v>0.75702748516149521</v>
      </c>
      <c r="AU174" s="47">
        <f t="shared" si="38"/>
        <v>0.75702748516149521</v>
      </c>
      <c r="AV174" s="47">
        <f t="shared" si="41"/>
        <v>0.11908064314503533</v>
      </c>
      <c r="AW174" s="48">
        <f t="shared" si="39"/>
        <v>318.62550242982496</v>
      </c>
      <c r="AX174" s="42" t="s">
        <v>198</v>
      </c>
      <c r="AY174" s="42" t="s">
        <v>198</v>
      </c>
      <c r="AZ174" s="42" t="s">
        <v>198</v>
      </c>
      <c r="BA174" s="42">
        <v>206.1</v>
      </c>
      <c r="BB174" s="42">
        <v>396.4</v>
      </c>
      <c r="BC174" s="49">
        <f t="shared" si="40"/>
        <v>0.73099999999999998</v>
      </c>
      <c r="BD174" s="45">
        <v>0.25700000000000001</v>
      </c>
      <c r="BE174" s="42" t="s">
        <v>711</v>
      </c>
      <c r="BF174" s="42" t="s">
        <v>198</v>
      </c>
      <c r="BG174" s="42" t="s">
        <v>198</v>
      </c>
      <c r="BH174" s="42" t="s">
        <v>198</v>
      </c>
      <c r="BI174" s="42">
        <v>37.799999999999997</v>
      </c>
      <c r="BJ174" s="42" t="s">
        <v>198</v>
      </c>
      <c r="BK174" s="42" t="s">
        <v>198</v>
      </c>
      <c r="BL174" s="42" t="s">
        <v>198</v>
      </c>
      <c r="BM174" s="42" t="s">
        <v>198</v>
      </c>
      <c r="BN174" s="42" t="s">
        <v>198</v>
      </c>
    </row>
    <row r="175" spans="2:66" x14ac:dyDescent="0.3">
      <c r="B175" s="42">
        <v>167</v>
      </c>
      <c r="C175" s="42">
        <v>2</v>
      </c>
      <c r="D175" s="42" t="s">
        <v>687</v>
      </c>
      <c r="E175" s="42" t="s">
        <v>747</v>
      </c>
      <c r="F175" s="42">
        <v>3</v>
      </c>
      <c r="G175" s="42" t="s">
        <v>752</v>
      </c>
      <c r="H175" s="42" t="s">
        <v>635</v>
      </c>
      <c r="I175" s="42"/>
      <c r="J175" s="42" t="s">
        <v>754</v>
      </c>
      <c r="K175" s="42" t="s">
        <v>694</v>
      </c>
      <c r="L175" s="42">
        <v>650</v>
      </c>
      <c r="M175" s="42">
        <v>180</v>
      </c>
      <c r="N175" s="42">
        <v>33</v>
      </c>
      <c r="O175" s="42" t="s">
        <v>695</v>
      </c>
      <c r="P175" s="43">
        <v>0</v>
      </c>
      <c r="Q175" s="43">
        <v>1</v>
      </c>
      <c r="R175" s="43">
        <v>0</v>
      </c>
      <c r="S175" s="43">
        <v>0</v>
      </c>
      <c r="T175" s="42" t="s">
        <v>756</v>
      </c>
      <c r="U175" s="44">
        <v>0.65</v>
      </c>
      <c r="V175" s="42" t="s">
        <v>198</v>
      </c>
      <c r="W175" s="42" t="s">
        <v>198</v>
      </c>
      <c r="X175" s="42" t="s">
        <v>757</v>
      </c>
      <c r="Y175" s="42" t="s">
        <v>1412</v>
      </c>
      <c r="Z175" s="42" t="s">
        <v>696</v>
      </c>
      <c r="AA175" s="42" t="s">
        <v>454</v>
      </c>
      <c r="AB175" s="42">
        <v>32</v>
      </c>
      <c r="AC175" s="42">
        <v>365</v>
      </c>
      <c r="AD175" s="43">
        <v>0.1</v>
      </c>
      <c r="AE175" s="42" t="s">
        <v>698</v>
      </c>
      <c r="AF175" s="42" t="s">
        <v>699</v>
      </c>
      <c r="AG175" s="42" t="s">
        <v>755</v>
      </c>
      <c r="AH175" s="42" t="s">
        <v>451</v>
      </c>
      <c r="AI175" s="42" t="s">
        <v>198</v>
      </c>
      <c r="AJ175" s="50">
        <v>1.1000000000000001E-2</v>
      </c>
      <c r="AK175" s="50">
        <v>0.83</v>
      </c>
      <c r="AL175" s="50">
        <v>0.83</v>
      </c>
      <c r="AM175" s="46">
        <v>4.5899999999999996E-2</v>
      </c>
      <c r="AN175" s="46">
        <v>2.0999999999999999E-3</v>
      </c>
      <c r="AO175" s="42" t="s">
        <v>198</v>
      </c>
      <c r="AP175" s="46">
        <f t="shared" si="36"/>
        <v>0.11100000000000003</v>
      </c>
      <c r="AQ175" s="42" t="s">
        <v>198</v>
      </c>
      <c r="AR175" s="42" t="s">
        <v>198</v>
      </c>
      <c r="AS175" s="42" t="s">
        <v>198</v>
      </c>
      <c r="AT175" s="47">
        <f t="shared" si="37"/>
        <v>0.65903931251279113</v>
      </c>
      <c r="AU175" s="47">
        <f t="shared" si="38"/>
        <v>0.65903931251279113</v>
      </c>
      <c r="AV175" s="47">
        <f t="shared" si="41"/>
        <v>0.10039691486742021</v>
      </c>
      <c r="AW175" s="48">
        <f t="shared" si="39"/>
        <v>460.92079800273331</v>
      </c>
      <c r="AX175" s="42" t="s">
        <v>198</v>
      </c>
      <c r="AY175" s="42" t="s">
        <v>198</v>
      </c>
      <c r="AZ175" s="42" t="s">
        <v>198</v>
      </c>
      <c r="BA175" s="42">
        <v>393.9</v>
      </c>
      <c r="BB175" s="42">
        <v>585.70000000000005</v>
      </c>
      <c r="BC175" s="49">
        <f t="shared" si="40"/>
        <v>0.73699999999999999</v>
      </c>
      <c r="BD175" s="45">
        <v>0.252</v>
      </c>
      <c r="BE175" s="42" t="s">
        <v>711</v>
      </c>
      <c r="BF175" s="42" t="s">
        <v>198</v>
      </c>
      <c r="BG175" s="42" t="s">
        <v>198</v>
      </c>
      <c r="BH175" s="42" t="s">
        <v>198</v>
      </c>
      <c r="BI175" s="42">
        <v>26.6</v>
      </c>
      <c r="BJ175" s="42" t="s">
        <v>198</v>
      </c>
      <c r="BK175" s="42" t="s">
        <v>198</v>
      </c>
      <c r="BL175" s="42" t="s">
        <v>198</v>
      </c>
      <c r="BM175" s="42" t="s">
        <v>198</v>
      </c>
      <c r="BN175" s="42" t="s">
        <v>198</v>
      </c>
    </row>
    <row r="176" spans="2:66" x14ac:dyDescent="0.3">
      <c r="B176" s="57">
        <v>168</v>
      </c>
      <c r="C176" s="57">
        <v>32</v>
      </c>
      <c r="D176" s="57" t="s">
        <v>391</v>
      </c>
      <c r="E176" s="57" t="s">
        <v>1242</v>
      </c>
      <c r="F176" s="57">
        <v>4</v>
      </c>
      <c r="G176" s="57" t="s">
        <v>1052</v>
      </c>
      <c r="H176" s="57" t="s">
        <v>693</v>
      </c>
      <c r="I176" s="57"/>
      <c r="J176" s="57" t="s">
        <v>1053</v>
      </c>
      <c r="K176" s="57" t="s">
        <v>1049</v>
      </c>
      <c r="L176" s="57">
        <v>1200</v>
      </c>
      <c r="M176" s="57"/>
      <c r="N176" s="57"/>
      <c r="O176" s="57" t="s">
        <v>1058</v>
      </c>
      <c r="P176" s="95">
        <v>7.0000000000000007E-2</v>
      </c>
      <c r="Q176" s="95">
        <v>0.4</v>
      </c>
      <c r="R176" s="95">
        <f>1-P176-Q176</f>
        <v>0.52999999999999992</v>
      </c>
      <c r="S176" s="57"/>
      <c r="T176" s="57"/>
      <c r="U176" s="57"/>
      <c r="V176" s="57">
        <v>5.5</v>
      </c>
      <c r="W176" s="57" t="s">
        <v>198</v>
      </c>
      <c r="X176" s="57" t="s">
        <v>1076</v>
      </c>
      <c r="Y176" s="57" t="s">
        <v>1399</v>
      </c>
      <c r="Z176" s="57" t="s">
        <v>647</v>
      </c>
      <c r="AA176" s="57" t="s">
        <v>453</v>
      </c>
      <c r="AB176" s="57">
        <v>11</v>
      </c>
      <c r="AC176" s="57">
        <v>164</v>
      </c>
      <c r="AD176" s="57"/>
      <c r="AE176" s="57"/>
      <c r="AF176" s="57" t="s">
        <v>661</v>
      </c>
      <c r="AG176" s="57" t="s">
        <v>1078</v>
      </c>
      <c r="AH176" s="57"/>
      <c r="AI176" s="96">
        <v>0.39300000000000002</v>
      </c>
      <c r="AJ176" s="57" t="s">
        <v>198</v>
      </c>
      <c r="AK176" s="97">
        <v>0.56100000000000005</v>
      </c>
      <c r="AL176" s="57"/>
      <c r="AM176" s="97">
        <v>2.3E-2</v>
      </c>
      <c r="AN176" s="97">
        <v>1.3500000000000002E-2</v>
      </c>
      <c r="AO176" s="57"/>
      <c r="AP176" s="57"/>
      <c r="AQ176" s="57"/>
      <c r="AR176" s="57"/>
      <c r="AS176" s="57"/>
      <c r="AT176" s="57"/>
      <c r="AU176" s="57">
        <v>0.5</v>
      </c>
      <c r="AV176" s="57"/>
      <c r="AW176" s="57"/>
      <c r="AX176" s="57"/>
      <c r="AY176" s="57"/>
      <c r="AZ176" s="57"/>
      <c r="BA176" s="57"/>
      <c r="BB176" s="57"/>
      <c r="BC176" s="57"/>
      <c r="BD176" s="57"/>
      <c r="BE176" s="57"/>
      <c r="BF176" s="57"/>
      <c r="BG176" s="57"/>
      <c r="BH176" s="57"/>
      <c r="BI176" s="57" t="s">
        <v>198</v>
      </c>
      <c r="BJ176" s="57">
        <v>-13.8</v>
      </c>
      <c r="BK176" s="57"/>
      <c r="BL176" s="42" t="s">
        <v>198</v>
      </c>
      <c r="BM176" s="42" t="s">
        <v>198</v>
      </c>
      <c r="BN176" s="42" t="s">
        <v>198</v>
      </c>
    </row>
    <row r="177" spans="2:66" x14ac:dyDescent="0.3">
      <c r="B177" s="42">
        <v>169</v>
      </c>
      <c r="C177" s="42">
        <v>72</v>
      </c>
      <c r="D177" s="42" t="s">
        <v>1478</v>
      </c>
      <c r="E177" s="42" t="s">
        <v>1482</v>
      </c>
      <c r="F177" s="42">
        <v>3</v>
      </c>
      <c r="G177" s="42" t="s">
        <v>1488</v>
      </c>
      <c r="H177" s="42" t="s">
        <v>635</v>
      </c>
      <c r="J177" s="42" t="s">
        <v>1496</v>
      </c>
      <c r="K177" s="42" t="s">
        <v>1056</v>
      </c>
      <c r="L177" s="42">
        <v>105</v>
      </c>
      <c r="M177">
        <f>5*60</f>
        <v>300</v>
      </c>
      <c r="N177">
        <f>50/60</f>
        <v>0.83333333333333337</v>
      </c>
      <c r="O177" s="42" t="s">
        <v>1493</v>
      </c>
      <c r="P177" s="87">
        <v>0.15</v>
      </c>
      <c r="Q177" s="87">
        <v>0.6</v>
      </c>
      <c r="R177" s="87">
        <v>0.27</v>
      </c>
      <c r="S177" s="17">
        <f>2.264%*1.72</f>
        <v>3.8940799999999991E-2</v>
      </c>
      <c r="T177" s="42" t="s">
        <v>1491</v>
      </c>
      <c r="U177" s="87">
        <v>0.55000000000000004</v>
      </c>
      <c r="X177" t="s">
        <v>1492</v>
      </c>
      <c r="Z177" s="42" t="s">
        <v>696</v>
      </c>
      <c r="AA177" s="42" t="s">
        <v>454</v>
      </c>
      <c r="AB177" s="42">
        <v>25</v>
      </c>
      <c r="AC177" s="42">
        <v>745</v>
      </c>
      <c r="AE177" s="42" t="s">
        <v>1490</v>
      </c>
      <c r="AF177" s="42" t="s">
        <v>1489</v>
      </c>
      <c r="AG177" s="42" t="s">
        <v>1215</v>
      </c>
      <c r="AH177" s="42" t="s">
        <v>451</v>
      </c>
      <c r="AK177" s="12">
        <v>0.46400000000000002</v>
      </c>
      <c r="AL177" t="s">
        <v>198</v>
      </c>
      <c r="AM177" s="12">
        <v>5.3999999999999999E-2</v>
      </c>
      <c r="AN177" s="12">
        <v>2.8E-3</v>
      </c>
      <c r="AO177" s="42" t="s">
        <v>198</v>
      </c>
      <c r="AP177" s="87">
        <v>0.47</v>
      </c>
      <c r="AQ177" s="42" t="s">
        <v>198</v>
      </c>
      <c r="AR177" s="42" t="s">
        <v>198</v>
      </c>
      <c r="AS177" s="42" t="s">
        <v>198</v>
      </c>
      <c r="AT177" s="42" t="s">
        <v>198</v>
      </c>
      <c r="AU177" s="47">
        <f t="shared" si="38"/>
        <v>1.3869235024990283</v>
      </c>
      <c r="AW177" s="42">
        <f t="shared" ref="AW177:AW191" si="42">AK177/AN177*14.0067/12.0107</f>
        <v>193.25353940355566</v>
      </c>
      <c r="AX177">
        <v>5.34</v>
      </c>
      <c r="BA177" s="42">
        <v>2.6</v>
      </c>
      <c r="BB177" t="s">
        <v>198</v>
      </c>
      <c r="BE177" s="42" t="s">
        <v>1495</v>
      </c>
      <c r="BI177" s="42">
        <v>100</v>
      </c>
      <c r="BK177">
        <v>-26.22</v>
      </c>
      <c r="BL177" s="42" t="s">
        <v>198</v>
      </c>
      <c r="BM177" s="42" t="s">
        <v>198</v>
      </c>
      <c r="BN177" s="42" t="s">
        <v>198</v>
      </c>
    </row>
    <row r="178" spans="2:66" x14ac:dyDescent="0.3">
      <c r="B178" s="42">
        <v>170</v>
      </c>
      <c r="C178" s="42">
        <v>72</v>
      </c>
      <c r="D178" s="42" t="s">
        <v>1478</v>
      </c>
      <c r="E178" s="42" t="s">
        <v>1483</v>
      </c>
      <c r="F178" s="42">
        <v>3</v>
      </c>
      <c r="G178" s="42" t="s">
        <v>1488</v>
      </c>
      <c r="H178" s="42" t="s">
        <v>635</v>
      </c>
      <c r="J178" s="42" t="s">
        <v>1496</v>
      </c>
      <c r="K178" s="42" t="s">
        <v>1056</v>
      </c>
      <c r="L178" s="42">
        <v>105</v>
      </c>
      <c r="M178">
        <f t="shared" ref="M178:M182" si="43">5*60</f>
        <v>300</v>
      </c>
      <c r="N178">
        <f t="shared" ref="N178:N182" si="44">50/60</f>
        <v>0.83333333333333337</v>
      </c>
      <c r="O178" s="42" t="s">
        <v>1494</v>
      </c>
      <c r="P178" s="87">
        <v>0.25</v>
      </c>
      <c r="Q178" s="87">
        <v>0.63</v>
      </c>
      <c r="R178" s="87">
        <v>0.16</v>
      </c>
      <c r="S178" s="17">
        <f>1.683%*1.72</f>
        <v>2.89476E-2</v>
      </c>
      <c r="T178" s="42" t="s">
        <v>1491</v>
      </c>
      <c r="U178" s="87">
        <v>0.55000000000000004</v>
      </c>
      <c r="X178" t="s">
        <v>1492</v>
      </c>
      <c r="Z178" s="42" t="s">
        <v>696</v>
      </c>
      <c r="AA178" s="42" t="s">
        <v>454</v>
      </c>
      <c r="AB178" s="42">
        <v>25</v>
      </c>
      <c r="AC178" s="42">
        <v>745</v>
      </c>
      <c r="AE178" s="42" t="s">
        <v>1490</v>
      </c>
      <c r="AF178" s="42" t="s">
        <v>1489</v>
      </c>
      <c r="AG178" s="42" t="s">
        <v>1215</v>
      </c>
      <c r="AH178" s="42" t="s">
        <v>451</v>
      </c>
      <c r="AK178" s="12">
        <v>0.46400000000000002</v>
      </c>
      <c r="AL178" t="s">
        <v>198</v>
      </c>
      <c r="AM178" s="12">
        <v>5.3999999999999999E-2</v>
      </c>
      <c r="AN178" s="12">
        <v>2.8E-3</v>
      </c>
      <c r="AO178" s="42" t="s">
        <v>198</v>
      </c>
      <c r="AP178" s="87">
        <v>0.47</v>
      </c>
      <c r="AQ178" s="42" t="s">
        <v>198</v>
      </c>
      <c r="AR178" s="42" t="s">
        <v>198</v>
      </c>
      <c r="AS178" s="42" t="s">
        <v>198</v>
      </c>
      <c r="AT178" s="42" t="s">
        <v>198</v>
      </c>
      <c r="AU178" s="47">
        <f t="shared" si="38"/>
        <v>1.3869235024990283</v>
      </c>
      <c r="AW178" s="42">
        <f t="shared" si="42"/>
        <v>193.25353940355566</v>
      </c>
      <c r="AX178">
        <v>5.34</v>
      </c>
      <c r="BA178" s="42">
        <v>2.6</v>
      </c>
      <c r="BB178" t="s">
        <v>198</v>
      </c>
      <c r="BE178" s="42" t="s">
        <v>1495</v>
      </c>
      <c r="BI178" s="42">
        <v>100</v>
      </c>
      <c r="BK178">
        <v>-25.29</v>
      </c>
      <c r="BL178" s="42" t="s">
        <v>198</v>
      </c>
      <c r="BM178" s="42" t="s">
        <v>198</v>
      </c>
      <c r="BN178" s="42" t="s">
        <v>198</v>
      </c>
    </row>
    <row r="179" spans="2:66" x14ac:dyDescent="0.3">
      <c r="B179" s="42">
        <v>171</v>
      </c>
      <c r="C179" s="42">
        <v>72</v>
      </c>
      <c r="D179" s="42" t="s">
        <v>1478</v>
      </c>
      <c r="E179" s="42" t="s">
        <v>1484</v>
      </c>
      <c r="F179" s="42">
        <v>3</v>
      </c>
      <c r="G179" s="42" t="s">
        <v>1488</v>
      </c>
      <c r="H179" s="42" t="s">
        <v>635</v>
      </c>
      <c r="J179" s="42" t="s">
        <v>1496</v>
      </c>
      <c r="K179" s="42" t="s">
        <v>694</v>
      </c>
      <c r="L179">
        <v>300</v>
      </c>
      <c r="M179">
        <f t="shared" si="43"/>
        <v>300</v>
      </c>
      <c r="N179">
        <f t="shared" si="44"/>
        <v>0.83333333333333337</v>
      </c>
      <c r="O179" s="42" t="s">
        <v>1493</v>
      </c>
      <c r="P179" s="87">
        <v>0.15</v>
      </c>
      <c r="Q179" s="87">
        <v>0.6</v>
      </c>
      <c r="R179" s="87">
        <v>0.27</v>
      </c>
      <c r="S179" s="17">
        <f>2.264%*1.72</f>
        <v>3.8940799999999991E-2</v>
      </c>
      <c r="T179" s="42" t="s">
        <v>1491</v>
      </c>
      <c r="U179" s="87">
        <v>0.55000000000000004</v>
      </c>
      <c r="X179" t="s">
        <v>1492</v>
      </c>
      <c r="Z179" s="42" t="s">
        <v>696</v>
      </c>
      <c r="AA179" s="42" t="s">
        <v>454</v>
      </c>
      <c r="AB179" s="42">
        <v>25</v>
      </c>
      <c r="AC179" s="42">
        <v>745</v>
      </c>
      <c r="AE179" s="42" t="s">
        <v>1490</v>
      </c>
      <c r="AF179" s="42" t="s">
        <v>1489</v>
      </c>
      <c r="AG179" s="42" t="s">
        <v>1215</v>
      </c>
      <c r="AH179" s="42" t="s">
        <v>451</v>
      </c>
      <c r="AK179" s="12">
        <v>0.66900000000000004</v>
      </c>
      <c r="AL179" t="s">
        <v>198</v>
      </c>
      <c r="AM179" s="12">
        <v>4.5999999999999999E-2</v>
      </c>
      <c r="AN179" s="12">
        <v>5.4000000000000003E-3</v>
      </c>
      <c r="AO179" s="42" t="s">
        <v>198</v>
      </c>
      <c r="AP179" s="12">
        <v>0.28599999999999998</v>
      </c>
      <c r="AQ179" s="42" t="s">
        <v>198</v>
      </c>
      <c r="AR179" s="42" t="s">
        <v>198</v>
      </c>
      <c r="AS179" s="42" t="s">
        <v>198</v>
      </c>
      <c r="AT179" s="42" t="s">
        <v>198</v>
      </c>
      <c r="AU179" s="47">
        <f t="shared" si="38"/>
        <v>0.81942355193874927</v>
      </c>
      <c r="AW179" s="42">
        <f t="shared" si="42"/>
        <v>144.47738266712182</v>
      </c>
      <c r="AX179">
        <v>7.49</v>
      </c>
      <c r="BA179">
        <v>4.3</v>
      </c>
      <c r="BB179" t="s">
        <v>198</v>
      </c>
      <c r="BE179" s="42" t="s">
        <v>1495</v>
      </c>
      <c r="BI179" s="42">
        <v>45</v>
      </c>
      <c r="BK179">
        <v>-26.22</v>
      </c>
      <c r="BL179" s="42" t="s">
        <v>198</v>
      </c>
      <c r="BM179" s="42" t="s">
        <v>198</v>
      </c>
      <c r="BN179" s="42" t="s">
        <v>198</v>
      </c>
    </row>
    <row r="180" spans="2:66" x14ac:dyDescent="0.3">
      <c r="B180" s="42">
        <v>172</v>
      </c>
      <c r="C180" s="42">
        <v>72</v>
      </c>
      <c r="D180" s="42" t="s">
        <v>1478</v>
      </c>
      <c r="E180" s="42" t="s">
        <v>1485</v>
      </c>
      <c r="F180" s="42">
        <v>3</v>
      </c>
      <c r="G180" s="42" t="s">
        <v>1488</v>
      </c>
      <c r="H180" s="42" t="s">
        <v>635</v>
      </c>
      <c r="J180" s="42" t="s">
        <v>1496</v>
      </c>
      <c r="K180" s="42" t="s">
        <v>694</v>
      </c>
      <c r="L180">
        <v>300</v>
      </c>
      <c r="M180">
        <f t="shared" si="43"/>
        <v>300</v>
      </c>
      <c r="N180">
        <f t="shared" si="44"/>
        <v>0.83333333333333337</v>
      </c>
      <c r="O180" s="42" t="s">
        <v>1494</v>
      </c>
      <c r="P180" s="87">
        <v>0.25</v>
      </c>
      <c r="Q180" s="87">
        <v>0.63</v>
      </c>
      <c r="R180" s="87">
        <v>0.16</v>
      </c>
      <c r="S180" s="17">
        <f>1.683%*1.72</f>
        <v>2.89476E-2</v>
      </c>
      <c r="T180" s="42" t="s">
        <v>1491</v>
      </c>
      <c r="U180" s="87">
        <v>0.55000000000000004</v>
      </c>
      <c r="X180" t="s">
        <v>1492</v>
      </c>
      <c r="Z180" s="42" t="s">
        <v>696</v>
      </c>
      <c r="AA180" s="42" t="s">
        <v>454</v>
      </c>
      <c r="AB180" s="42">
        <v>25</v>
      </c>
      <c r="AC180" s="42">
        <v>745</v>
      </c>
      <c r="AE180" s="42" t="s">
        <v>1490</v>
      </c>
      <c r="AF180" s="42" t="s">
        <v>1489</v>
      </c>
      <c r="AG180" s="42" t="s">
        <v>1215</v>
      </c>
      <c r="AH180" s="42" t="s">
        <v>451</v>
      </c>
      <c r="AK180" s="12">
        <v>0.66900000000000004</v>
      </c>
      <c r="AL180" t="s">
        <v>198</v>
      </c>
      <c r="AM180" s="12">
        <v>4.5999999999999999E-2</v>
      </c>
      <c r="AN180" s="12">
        <v>5.4000000000000003E-3</v>
      </c>
      <c r="AO180" s="42" t="s">
        <v>198</v>
      </c>
      <c r="AP180" s="12">
        <v>0.28599999999999998</v>
      </c>
      <c r="AQ180" s="42" t="s">
        <v>198</v>
      </c>
      <c r="AR180" s="42" t="s">
        <v>198</v>
      </c>
      <c r="AS180" s="42" t="s">
        <v>198</v>
      </c>
      <c r="AT180" s="42" t="s">
        <v>198</v>
      </c>
      <c r="AU180" s="47">
        <f t="shared" si="38"/>
        <v>0.81942355193874927</v>
      </c>
      <c r="AW180" s="42">
        <f t="shared" si="42"/>
        <v>144.47738266712182</v>
      </c>
      <c r="AX180">
        <v>7.49</v>
      </c>
      <c r="BA180">
        <v>4.3</v>
      </c>
      <c r="BB180" t="s">
        <v>198</v>
      </c>
      <c r="BE180" s="42" t="s">
        <v>1495</v>
      </c>
      <c r="BI180" s="42">
        <v>45</v>
      </c>
      <c r="BK180">
        <v>-25.29</v>
      </c>
      <c r="BL180" s="42" t="s">
        <v>198</v>
      </c>
      <c r="BM180" s="42" t="s">
        <v>198</v>
      </c>
      <c r="BN180" s="42" t="s">
        <v>198</v>
      </c>
    </row>
    <row r="181" spans="2:66" x14ac:dyDescent="0.3">
      <c r="B181" s="42">
        <v>173</v>
      </c>
      <c r="C181" s="42">
        <v>72</v>
      </c>
      <c r="D181" s="42" t="s">
        <v>1478</v>
      </c>
      <c r="E181" s="42" t="s">
        <v>1486</v>
      </c>
      <c r="F181" s="42">
        <v>3</v>
      </c>
      <c r="G181" s="42" t="s">
        <v>1488</v>
      </c>
      <c r="H181" s="42" t="s">
        <v>635</v>
      </c>
      <c r="J181" s="42" t="s">
        <v>1496</v>
      </c>
      <c r="K181" s="42" t="s">
        <v>694</v>
      </c>
      <c r="L181">
        <v>450</v>
      </c>
      <c r="M181">
        <f t="shared" si="43"/>
        <v>300</v>
      </c>
      <c r="N181">
        <f t="shared" si="44"/>
        <v>0.83333333333333337</v>
      </c>
      <c r="O181" s="42" t="s">
        <v>1493</v>
      </c>
      <c r="P181" s="87">
        <v>0.15</v>
      </c>
      <c r="Q181" s="87">
        <v>0.6</v>
      </c>
      <c r="R181" s="87">
        <v>0.27</v>
      </c>
      <c r="S181" s="17">
        <f>2.264%*1.72</f>
        <v>3.8940799999999991E-2</v>
      </c>
      <c r="T181" s="42" t="s">
        <v>1491</v>
      </c>
      <c r="U181" s="87">
        <v>0.55000000000000004</v>
      </c>
      <c r="X181" t="s">
        <v>1492</v>
      </c>
      <c r="Z181" s="42" t="s">
        <v>696</v>
      </c>
      <c r="AA181" s="42" t="s">
        <v>454</v>
      </c>
      <c r="AB181" s="42">
        <v>25</v>
      </c>
      <c r="AC181" s="42">
        <v>745</v>
      </c>
      <c r="AE181" s="42" t="s">
        <v>1490</v>
      </c>
      <c r="AF181" s="42" t="s">
        <v>1489</v>
      </c>
      <c r="AG181" s="42" t="s">
        <v>1215</v>
      </c>
      <c r="AH181" s="42" t="s">
        <v>451</v>
      </c>
      <c r="AK181" s="12">
        <v>0.78600000000000003</v>
      </c>
      <c r="AL181" t="s">
        <v>198</v>
      </c>
      <c r="AM181" s="12">
        <v>2.9000000000000001E-2</v>
      </c>
      <c r="AN181" s="12">
        <v>5.4000000000000003E-3</v>
      </c>
      <c r="AO181" s="42" t="s">
        <v>198</v>
      </c>
      <c r="AP181" s="12">
        <v>0.19700000000000001</v>
      </c>
      <c r="AQ181" s="42" t="s">
        <v>198</v>
      </c>
      <c r="AR181" s="42" t="s">
        <v>198</v>
      </c>
      <c r="AS181" s="42" t="s">
        <v>198</v>
      </c>
      <c r="AT181" s="42" t="s">
        <v>198</v>
      </c>
      <c r="AU181" s="47">
        <f t="shared" si="38"/>
        <v>0.43969566133321375</v>
      </c>
      <c r="AW181" s="42">
        <f t="shared" si="42"/>
        <v>169.74472761787405</v>
      </c>
      <c r="AX181">
        <v>9.06</v>
      </c>
      <c r="BA181">
        <v>13</v>
      </c>
      <c r="BB181" t="s">
        <v>198</v>
      </c>
      <c r="BE181" s="42" t="s">
        <v>1495</v>
      </c>
      <c r="BI181" s="42">
        <v>27</v>
      </c>
      <c r="BK181">
        <v>-26.22</v>
      </c>
      <c r="BL181" s="42" t="s">
        <v>198</v>
      </c>
      <c r="BM181" s="42" t="s">
        <v>198</v>
      </c>
      <c r="BN181" s="42" t="s">
        <v>198</v>
      </c>
    </row>
    <row r="182" spans="2:66" x14ac:dyDescent="0.3">
      <c r="B182" s="42">
        <v>174</v>
      </c>
      <c r="C182" s="42">
        <v>72</v>
      </c>
      <c r="D182" s="42" t="s">
        <v>1478</v>
      </c>
      <c r="E182" s="42" t="s">
        <v>1487</v>
      </c>
      <c r="F182" s="42">
        <v>3</v>
      </c>
      <c r="G182" s="42" t="s">
        <v>1488</v>
      </c>
      <c r="H182" s="42" t="s">
        <v>635</v>
      </c>
      <c r="J182" s="42" t="s">
        <v>1496</v>
      </c>
      <c r="K182" s="42" t="s">
        <v>694</v>
      </c>
      <c r="L182">
        <v>450</v>
      </c>
      <c r="M182">
        <f t="shared" si="43"/>
        <v>300</v>
      </c>
      <c r="N182">
        <f t="shared" si="44"/>
        <v>0.83333333333333337</v>
      </c>
      <c r="O182" s="42" t="s">
        <v>1494</v>
      </c>
      <c r="P182" s="87">
        <v>0.25</v>
      </c>
      <c r="Q182" s="87">
        <v>0.63</v>
      </c>
      <c r="R182" s="87">
        <v>0.16</v>
      </c>
      <c r="S182" s="17">
        <f>1.683%*1.72</f>
        <v>2.89476E-2</v>
      </c>
      <c r="T182" s="42" t="s">
        <v>1491</v>
      </c>
      <c r="U182" s="87">
        <v>0.55000000000000004</v>
      </c>
      <c r="X182" t="s">
        <v>1492</v>
      </c>
      <c r="Z182" s="42" t="s">
        <v>696</v>
      </c>
      <c r="AA182" s="42" t="s">
        <v>454</v>
      </c>
      <c r="AB182" s="42">
        <v>25</v>
      </c>
      <c r="AC182" s="42">
        <v>745</v>
      </c>
      <c r="AE182" s="42" t="s">
        <v>1490</v>
      </c>
      <c r="AF182" s="42" t="s">
        <v>1489</v>
      </c>
      <c r="AG182" s="42" t="s">
        <v>1215</v>
      </c>
      <c r="AH182" s="42" t="s">
        <v>451</v>
      </c>
      <c r="AK182" s="12">
        <v>0.78600000000000003</v>
      </c>
      <c r="AL182" t="s">
        <v>198</v>
      </c>
      <c r="AM182" s="12">
        <v>2.9000000000000001E-2</v>
      </c>
      <c r="AN182" s="12">
        <v>5.4000000000000003E-3</v>
      </c>
      <c r="AO182" s="42" t="s">
        <v>198</v>
      </c>
      <c r="AP182" s="12">
        <v>0.19700000000000001</v>
      </c>
      <c r="AQ182" s="42" t="s">
        <v>198</v>
      </c>
      <c r="AR182" s="42" t="s">
        <v>198</v>
      </c>
      <c r="AS182" s="42" t="s">
        <v>198</v>
      </c>
      <c r="AT182" s="42" t="s">
        <v>198</v>
      </c>
      <c r="AU182" s="47">
        <f t="shared" si="38"/>
        <v>0.43969566133321375</v>
      </c>
      <c r="AW182" s="42">
        <f t="shared" si="42"/>
        <v>169.74472761787405</v>
      </c>
      <c r="AX182">
        <v>9.06</v>
      </c>
      <c r="BA182">
        <v>13</v>
      </c>
      <c r="BB182" t="s">
        <v>198</v>
      </c>
      <c r="BE182" s="42" t="s">
        <v>1495</v>
      </c>
      <c r="BI182" s="42">
        <v>27</v>
      </c>
      <c r="BK182">
        <v>-25.29</v>
      </c>
      <c r="BL182" s="42" t="s">
        <v>198</v>
      </c>
      <c r="BM182" s="42" t="s">
        <v>198</v>
      </c>
      <c r="BN182" s="42" t="s">
        <v>198</v>
      </c>
    </row>
    <row r="183" spans="2:66" x14ac:dyDescent="0.3">
      <c r="B183" s="42">
        <v>175</v>
      </c>
      <c r="C183" s="42">
        <v>51</v>
      </c>
      <c r="D183" s="13" t="s">
        <v>585</v>
      </c>
      <c r="E183" s="42" t="s">
        <v>1517</v>
      </c>
      <c r="F183" s="42">
        <v>3</v>
      </c>
      <c r="G183" s="42" t="s">
        <v>1520</v>
      </c>
      <c r="H183" s="42" t="s">
        <v>693</v>
      </c>
      <c r="J183" s="42" t="s">
        <v>1054</v>
      </c>
      <c r="K183" s="42" t="s">
        <v>1056</v>
      </c>
      <c r="L183">
        <v>105</v>
      </c>
      <c r="M183" s="42" t="s">
        <v>198</v>
      </c>
      <c r="N183" s="42" t="s">
        <v>198</v>
      </c>
      <c r="O183" s="42" t="s">
        <v>1522</v>
      </c>
      <c r="P183" s="12">
        <v>9.4E-2</v>
      </c>
      <c r="Q183" s="12">
        <v>0.81499999999999995</v>
      </c>
      <c r="R183" s="87">
        <v>9.0999999999999998E-2</v>
      </c>
      <c r="S183" s="17">
        <f>0.14%*1.72</f>
        <v>2.4080000000000004E-3</v>
      </c>
      <c r="U183" s="87">
        <v>0.75</v>
      </c>
      <c r="V183">
        <v>8.33</v>
      </c>
      <c r="X183" t="s">
        <v>1524</v>
      </c>
      <c r="Z183" s="42" t="s">
        <v>696</v>
      </c>
      <c r="AA183" s="42" t="s">
        <v>454</v>
      </c>
      <c r="AB183" s="42">
        <v>20</v>
      </c>
      <c r="AC183" s="42">
        <v>200</v>
      </c>
      <c r="AD183" s="14">
        <f>5/100</f>
        <v>0.05</v>
      </c>
      <c r="AE183" s="42" t="s">
        <v>1523</v>
      </c>
      <c r="AF183" s="30" t="s">
        <v>661</v>
      </c>
      <c r="AG183" s="42" t="s">
        <v>1215</v>
      </c>
      <c r="AH183" s="42" t="s">
        <v>451</v>
      </c>
      <c r="AI183" t="s">
        <v>198</v>
      </c>
      <c r="AJ183" s="12">
        <v>0.17499999999999999</v>
      </c>
      <c r="AK183" s="12">
        <v>0.34510000000000002</v>
      </c>
      <c r="AL183" t="s">
        <v>198</v>
      </c>
      <c r="AM183" s="12">
        <v>5.5500000000000001E-2</v>
      </c>
      <c r="AN183" s="12">
        <v>9.7999999999999997E-3</v>
      </c>
      <c r="AO183" s="42" t="s">
        <v>198</v>
      </c>
      <c r="AP183" s="12">
        <v>0.4148</v>
      </c>
      <c r="AQ183" s="42" t="s">
        <v>198</v>
      </c>
      <c r="AR183" s="42" t="s">
        <v>198</v>
      </c>
      <c r="AS183" s="42" t="s">
        <v>198</v>
      </c>
      <c r="AT183" s="42" t="s">
        <v>198</v>
      </c>
      <c r="AU183" s="47">
        <f t="shared" si="38"/>
        <v>1.916570292902485</v>
      </c>
      <c r="AW183" s="42">
        <f t="shared" si="42"/>
        <v>41.066377123255577</v>
      </c>
      <c r="AX183">
        <v>6.84</v>
      </c>
      <c r="BA183">
        <v>42.828000000000003</v>
      </c>
      <c r="BB183" t="s">
        <v>198</v>
      </c>
      <c r="BI183" t="s">
        <v>198</v>
      </c>
      <c r="BJ183">
        <v>-28.33</v>
      </c>
      <c r="BK183">
        <v>-25.216999999999999</v>
      </c>
      <c r="BL183" s="42" t="s">
        <v>198</v>
      </c>
      <c r="BM183" s="42" t="s">
        <v>198</v>
      </c>
      <c r="BN183" s="42" t="s">
        <v>198</v>
      </c>
    </row>
    <row r="184" spans="2:66" x14ac:dyDescent="0.3">
      <c r="B184" s="42">
        <v>176</v>
      </c>
      <c r="C184" s="42">
        <v>51</v>
      </c>
      <c r="D184" s="13" t="s">
        <v>585</v>
      </c>
      <c r="E184" s="42" t="s">
        <v>1518</v>
      </c>
      <c r="F184" s="42">
        <v>3</v>
      </c>
      <c r="G184" s="42" t="s">
        <v>1520</v>
      </c>
      <c r="H184" s="42" t="s">
        <v>693</v>
      </c>
      <c r="J184" s="42" t="s">
        <v>1521</v>
      </c>
      <c r="K184" s="42" t="s">
        <v>694</v>
      </c>
      <c r="L184">
        <v>400</v>
      </c>
      <c r="M184">
        <f>6*60</f>
        <v>360</v>
      </c>
      <c r="N184">
        <f>5/60</f>
        <v>8.3333333333333329E-2</v>
      </c>
      <c r="O184" s="42" t="s">
        <v>1522</v>
      </c>
      <c r="P184" s="12">
        <v>9.4E-2</v>
      </c>
      <c r="Q184" s="12">
        <v>0.81499999999999995</v>
      </c>
      <c r="R184" s="87">
        <v>9.0999999999999998E-2</v>
      </c>
      <c r="S184" s="17">
        <f>0.14%*1.72</f>
        <v>2.4080000000000004E-3</v>
      </c>
      <c r="U184" s="87">
        <v>0.75</v>
      </c>
      <c r="V184">
        <v>8.33</v>
      </c>
      <c r="X184" t="s">
        <v>1524</v>
      </c>
      <c r="Z184" s="42" t="s">
        <v>696</v>
      </c>
      <c r="AA184" s="42" t="s">
        <v>454</v>
      </c>
      <c r="AB184" s="42">
        <v>20</v>
      </c>
      <c r="AC184" s="42">
        <v>200</v>
      </c>
      <c r="AD184" s="14">
        <f>2/100</f>
        <v>0.02</v>
      </c>
      <c r="AE184" s="42" t="s">
        <v>1523</v>
      </c>
      <c r="AF184" s="30" t="s">
        <v>661</v>
      </c>
      <c r="AG184" s="42" t="s">
        <v>1215</v>
      </c>
      <c r="AH184" s="42" t="s">
        <v>451</v>
      </c>
      <c r="AI184" t="s">
        <v>198</v>
      </c>
      <c r="AJ184" s="12">
        <v>0.41599999999999998</v>
      </c>
      <c r="AK184" s="12">
        <v>0.37440000000000001</v>
      </c>
      <c r="AL184" t="s">
        <v>198</v>
      </c>
      <c r="AM184" s="12">
        <v>2.4899999999999999E-2</v>
      </c>
      <c r="AN184" s="12">
        <v>1.2500000000000001E-2</v>
      </c>
      <c r="AO184" s="42" t="s">
        <v>198</v>
      </c>
      <c r="AP184" s="12">
        <v>0.17199999999999999</v>
      </c>
      <c r="AQ184" s="42" t="s">
        <v>198</v>
      </c>
      <c r="AR184" s="42" t="s">
        <v>198</v>
      </c>
      <c r="AS184" s="42" t="s">
        <v>198</v>
      </c>
      <c r="AT184" s="42" t="s">
        <v>198</v>
      </c>
      <c r="AU184" s="47">
        <f t="shared" si="38"/>
        <v>0.7925747555828967</v>
      </c>
      <c r="AW184" s="42">
        <f t="shared" si="42"/>
        <v>34.929577659919907</v>
      </c>
      <c r="AX184">
        <v>9.59</v>
      </c>
      <c r="BA184">
        <v>17.265999999999998</v>
      </c>
      <c r="BB184" t="s">
        <v>198</v>
      </c>
      <c r="BI184">
        <v>38.200000000000003</v>
      </c>
      <c r="BJ184">
        <v>-28.521000000000001</v>
      </c>
      <c r="BK184">
        <v>-25.216999999999999</v>
      </c>
      <c r="BL184" s="42" t="s">
        <v>198</v>
      </c>
      <c r="BM184" s="42" t="s">
        <v>198</v>
      </c>
      <c r="BN184" s="42" t="s">
        <v>198</v>
      </c>
    </row>
    <row r="185" spans="2:66" x14ac:dyDescent="0.3">
      <c r="B185" s="42">
        <v>177</v>
      </c>
      <c r="C185" s="42">
        <v>51</v>
      </c>
      <c r="D185" s="13" t="s">
        <v>585</v>
      </c>
      <c r="E185" s="42" t="s">
        <v>1519</v>
      </c>
      <c r="F185" s="42">
        <v>3</v>
      </c>
      <c r="G185" s="42" t="s">
        <v>1520</v>
      </c>
      <c r="H185" s="42" t="s">
        <v>693</v>
      </c>
      <c r="J185" s="42" t="s">
        <v>1521</v>
      </c>
      <c r="K185" s="42" t="s">
        <v>694</v>
      </c>
      <c r="L185">
        <v>700</v>
      </c>
      <c r="M185">
        <f>6*60</f>
        <v>360</v>
      </c>
      <c r="N185">
        <f>5/60</f>
        <v>8.3333333333333329E-2</v>
      </c>
      <c r="O185" s="42" t="s">
        <v>1522</v>
      </c>
      <c r="P185" s="12">
        <v>9.4E-2</v>
      </c>
      <c r="Q185" s="12">
        <v>0.81499999999999995</v>
      </c>
      <c r="R185" s="87">
        <v>9.0999999999999998E-2</v>
      </c>
      <c r="S185" s="17">
        <f>0.14%*1.72</f>
        <v>2.4080000000000004E-3</v>
      </c>
      <c r="U185" s="87">
        <v>0.75</v>
      </c>
      <c r="V185">
        <v>8.33</v>
      </c>
      <c r="X185" t="s">
        <v>1524</v>
      </c>
      <c r="Z185" s="42" t="s">
        <v>696</v>
      </c>
      <c r="AA185" s="42" t="s">
        <v>454</v>
      </c>
      <c r="AB185" s="42">
        <v>20</v>
      </c>
      <c r="AC185" s="100">
        <v>200</v>
      </c>
      <c r="AD185" s="14">
        <f>1.55/100</f>
        <v>1.55E-2</v>
      </c>
      <c r="AE185" s="42" t="s">
        <v>1523</v>
      </c>
      <c r="AF185" s="30" t="s">
        <v>661</v>
      </c>
      <c r="AG185" s="42" t="s">
        <v>1215</v>
      </c>
      <c r="AH185" s="42" t="s">
        <v>451</v>
      </c>
      <c r="AI185" t="s">
        <v>198</v>
      </c>
      <c r="AJ185" s="12">
        <v>0.498</v>
      </c>
      <c r="AK185" s="12">
        <v>0.3478</v>
      </c>
      <c r="AL185" t="s">
        <v>198</v>
      </c>
      <c r="AM185" s="12">
        <v>1.4800000000000001E-2</v>
      </c>
      <c r="AN185" s="12">
        <v>9.7000000000000003E-3</v>
      </c>
      <c r="AO185" s="42" t="s">
        <v>198</v>
      </c>
      <c r="AP185" s="87">
        <v>0.13</v>
      </c>
      <c r="AQ185" s="42" t="s">
        <v>198</v>
      </c>
      <c r="AR185" s="42" t="s">
        <v>198</v>
      </c>
      <c r="AS185" s="42" t="s">
        <v>198</v>
      </c>
      <c r="AT185" s="42" t="s">
        <v>198</v>
      </c>
      <c r="AU185" s="47">
        <f t="shared" si="38"/>
        <v>0.50711781336449879</v>
      </c>
      <c r="AW185" s="42">
        <f t="shared" si="42"/>
        <v>41.81435007393322</v>
      </c>
      <c r="AX185">
        <v>10.79</v>
      </c>
      <c r="BA185">
        <v>161.304</v>
      </c>
      <c r="BB185" t="s">
        <v>198</v>
      </c>
      <c r="BI185">
        <v>31</v>
      </c>
      <c r="BJ185">
        <v>-28.599</v>
      </c>
      <c r="BK185">
        <v>-25.216999999999999</v>
      </c>
      <c r="BL185" s="42" t="s">
        <v>198</v>
      </c>
      <c r="BM185" s="42" t="s">
        <v>198</v>
      </c>
      <c r="BN185" s="42" t="s">
        <v>198</v>
      </c>
    </row>
    <row r="186" spans="2:66" x14ac:dyDescent="0.3">
      <c r="B186" s="42">
        <v>178</v>
      </c>
      <c r="C186" s="42">
        <v>73</v>
      </c>
      <c r="D186" s="13" t="s">
        <v>1539</v>
      </c>
      <c r="E186" s="42" t="s">
        <v>1544</v>
      </c>
      <c r="F186" s="42">
        <v>3</v>
      </c>
      <c r="G186" s="42" t="s">
        <v>1549</v>
      </c>
      <c r="H186" s="42" t="s">
        <v>692</v>
      </c>
      <c r="J186" s="42" t="s">
        <v>1551</v>
      </c>
      <c r="K186" s="42" t="s">
        <v>694</v>
      </c>
      <c r="L186">
        <v>550</v>
      </c>
      <c r="M186">
        <v>10</v>
      </c>
      <c r="N186" t="s">
        <v>198</v>
      </c>
      <c r="O186" s="42" t="s">
        <v>1552</v>
      </c>
      <c r="P186" t="s">
        <v>198</v>
      </c>
      <c r="Q186" t="s">
        <v>198</v>
      </c>
      <c r="R186" t="s">
        <v>198</v>
      </c>
      <c r="S186" t="s">
        <v>198</v>
      </c>
      <c r="U186" s="87">
        <v>0.6</v>
      </c>
      <c r="X186" t="s">
        <v>1553</v>
      </c>
      <c r="Z186" s="42" t="s">
        <v>696</v>
      </c>
      <c r="AA186" s="42" t="s">
        <v>454</v>
      </c>
      <c r="AB186" s="42">
        <v>20</v>
      </c>
      <c r="AC186" s="100">
        <v>365</v>
      </c>
      <c r="AE186" s="42" t="s">
        <v>1554</v>
      </c>
      <c r="AF186" s="30" t="s">
        <v>661</v>
      </c>
      <c r="AG186" s="42" t="s">
        <v>1555</v>
      </c>
      <c r="AH186" s="42" t="s">
        <v>452</v>
      </c>
      <c r="AI186" s="107" t="s">
        <v>198</v>
      </c>
      <c r="AJ186" s="12">
        <v>0.13600000000000001</v>
      </c>
      <c r="AK186" s="12">
        <v>0.77800000000000002</v>
      </c>
      <c r="AL186" t="s">
        <v>198</v>
      </c>
      <c r="AM186" s="12">
        <v>1.2999999999999999E-2</v>
      </c>
      <c r="AN186" s="12">
        <v>4.0000000000000001E-3</v>
      </c>
      <c r="AO186" s="42" t="s">
        <v>198</v>
      </c>
      <c r="AP186" s="12">
        <v>1.7999999999999999E-2</v>
      </c>
      <c r="AQ186" s="42" t="s">
        <v>198</v>
      </c>
      <c r="AR186" s="42" t="s">
        <v>198</v>
      </c>
      <c r="AS186" s="42" t="s">
        <v>198</v>
      </c>
      <c r="AT186" s="42" t="s">
        <v>198</v>
      </c>
      <c r="AU186" s="47">
        <f t="shared" si="38"/>
        <v>0.19913173776716503</v>
      </c>
      <c r="AW186" s="42">
        <f>AK186/AN186*14.0067/12.0107</f>
        <v>226.82301198098364</v>
      </c>
      <c r="AX186">
        <v>10.4</v>
      </c>
      <c r="AY186" t="s">
        <v>198</v>
      </c>
      <c r="AZ186" t="s">
        <v>198</v>
      </c>
      <c r="BA186" t="s">
        <v>198</v>
      </c>
      <c r="BB186" t="s">
        <v>198</v>
      </c>
      <c r="BC186" s="12">
        <v>0.63600000000000001</v>
      </c>
      <c r="BD186" s="12">
        <v>0.22800000000000001</v>
      </c>
      <c r="BE186" t="s">
        <v>198</v>
      </c>
      <c r="BF186" t="s">
        <v>198</v>
      </c>
      <c r="BG186" t="s">
        <v>198</v>
      </c>
      <c r="BH186" t="s">
        <v>198</v>
      </c>
      <c r="BI186" t="s">
        <v>198</v>
      </c>
      <c r="BJ186">
        <v>-14.9</v>
      </c>
      <c r="BK186" t="s">
        <v>198</v>
      </c>
      <c r="BL186" s="42" t="s">
        <v>198</v>
      </c>
      <c r="BM186" s="42" t="s">
        <v>198</v>
      </c>
      <c r="BN186" s="42" t="s">
        <v>198</v>
      </c>
    </row>
    <row r="187" spans="2:66" x14ac:dyDescent="0.3">
      <c r="B187" s="42">
        <v>179</v>
      </c>
      <c r="C187" s="42">
        <v>73</v>
      </c>
      <c r="D187" s="13" t="s">
        <v>1539</v>
      </c>
      <c r="E187" s="42" t="s">
        <v>1545</v>
      </c>
      <c r="F187" s="42">
        <v>3</v>
      </c>
      <c r="G187" s="42" t="s">
        <v>1549</v>
      </c>
      <c r="H187" s="42" t="s">
        <v>692</v>
      </c>
      <c r="J187" s="42" t="s">
        <v>1551</v>
      </c>
      <c r="K187" s="42" t="s">
        <v>694</v>
      </c>
      <c r="L187">
        <v>550</v>
      </c>
      <c r="M187">
        <v>10</v>
      </c>
      <c r="N187" t="s">
        <v>198</v>
      </c>
      <c r="O187" s="42" t="s">
        <v>1552</v>
      </c>
      <c r="P187" t="s">
        <v>198</v>
      </c>
      <c r="Q187" t="s">
        <v>198</v>
      </c>
      <c r="R187" t="s">
        <v>198</v>
      </c>
      <c r="S187" t="s">
        <v>198</v>
      </c>
      <c r="U187" s="87">
        <v>0.6</v>
      </c>
      <c r="X187" t="s">
        <v>1553</v>
      </c>
      <c r="Z187" s="42" t="s">
        <v>696</v>
      </c>
      <c r="AA187" s="42" t="s">
        <v>454</v>
      </c>
      <c r="AB187" s="42">
        <v>20</v>
      </c>
      <c r="AC187" s="100">
        <v>365</v>
      </c>
      <c r="AE187" s="42" t="s">
        <v>1554</v>
      </c>
      <c r="AF187" s="30" t="s">
        <v>661</v>
      </c>
      <c r="AG187" s="42" t="s">
        <v>1556</v>
      </c>
      <c r="AH187" s="42" t="s">
        <v>452</v>
      </c>
      <c r="AI187" s="107" t="s">
        <v>198</v>
      </c>
      <c r="AJ187" s="12">
        <v>0.14400000000000002</v>
      </c>
      <c r="AK187" s="12">
        <v>0.74199999999999999</v>
      </c>
      <c r="AL187" t="s">
        <v>198</v>
      </c>
      <c r="AM187" s="12">
        <v>1.6E-2</v>
      </c>
      <c r="AN187" s="12">
        <v>4.0000000000000001E-3</v>
      </c>
      <c r="AO187" s="42" t="s">
        <v>198</v>
      </c>
      <c r="AP187" s="12">
        <v>5.8000000000000003E-2</v>
      </c>
      <c r="AQ187" s="42" t="s">
        <v>198</v>
      </c>
      <c r="AR187" s="42" t="s">
        <v>198</v>
      </c>
      <c r="AS187" s="42" t="s">
        <v>198</v>
      </c>
      <c r="AT187" s="42" t="s">
        <v>198</v>
      </c>
      <c r="AU187" s="47">
        <f t="shared" si="38"/>
        <v>0.25697614262136337</v>
      </c>
      <c r="AW187" s="42">
        <f>AK187/AN187*14.0067/12.0107</f>
        <v>216.327345616825</v>
      </c>
      <c r="AX187">
        <v>9.4</v>
      </c>
      <c r="AY187" t="s">
        <v>198</v>
      </c>
      <c r="AZ187" t="s">
        <v>198</v>
      </c>
      <c r="BA187" t="s">
        <v>198</v>
      </c>
      <c r="BB187" t="s">
        <v>198</v>
      </c>
      <c r="BC187" s="12">
        <v>0.67800000000000005</v>
      </c>
      <c r="BD187" s="12">
        <v>0.17799999999999999</v>
      </c>
      <c r="BE187" t="s">
        <v>198</v>
      </c>
      <c r="BF187" t="s">
        <v>198</v>
      </c>
      <c r="BG187" t="s">
        <v>198</v>
      </c>
      <c r="BH187" t="s">
        <v>198</v>
      </c>
      <c r="BI187" t="s">
        <v>198</v>
      </c>
      <c r="BJ187">
        <v>-14.5</v>
      </c>
      <c r="BK187" t="s">
        <v>198</v>
      </c>
      <c r="BL187" s="42" t="s">
        <v>198</v>
      </c>
      <c r="BM187" s="42" t="s">
        <v>198</v>
      </c>
      <c r="BN187" s="42" t="s">
        <v>198</v>
      </c>
    </row>
    <row r="188" spans="2:66" x14ac:dyDescent="0.3">
      <c r="B188" s="42">
        <v>180</v>
      </c>
      <c r="C188" s="42">
        <v>73</v>
      </c>
      <c r="D188" s="13" t="s">
        <v>1539</v>
      </c>
      <c r="E188" s="42" t="s">
        <v>1546</v>
      </c>
      <c r="F188" s="42">
        <v>3</v>
      </c>
      <c r="G188" s="42" t="s">
        <v>1549</v>
      </c>
      <c r="H188" s="42" t="s">
        <v>692</v>
      </c>
      <c r="J188" s="42" t="s">
        <v>1551</v>
      </c>
      <c r="K188" s="42" t="s">
        <v>694</v>
      </c>
      <c r="L188">
        <v>550</v>
      </c>
      <c r="M188">
        <v>10</v>
      </c>
      <c r="N188" t="s">
        <v>198</v>
      </c>
      <c r="O188" s="42" t="s">
        <v>1552</v>
      </c>
      <c r="P188" t="s">
        <v>198</v>
      </c>
      <c r="Q188" t="s">
        <v>198</v>
      </c>
      <c r="R188" t="s">
        <v>198</v>
      </c>
      <c r="S188" t="s">
        <v>198</v>
      </c>
      <c r="U188" s="87">
        <v>0.6</v>
      </c>
      <c r="X188" t="s">
        <v>1553</v>
      </c>
      <c r="Z188" s="42" t="s">
        <v>696</v>
      </c>
      <c r="AA188" s="42" t="s">
        <v>454</v>
      </c>
      <c r="AB188" s="42">
        <v>20</v>
      </c>
      <c r="AC188" s="100">
        <v>365</v>
      </c>
      <c r="AE188" s="42" t="s">
        <v>1554</v>
      </c>
      <c r="AF188" s="30" t="s">
        <v>661</v>
      </c>
      <c r="AG188" s="42" t="s">
        <v>1555</v>
      </c>
      <c r="AH188" s="42" t="s">
        <v>452</v>
      </c>
      <c r="AI188" s="107" t="s">
        <v>198</v>
      </c>
      <c r="AJ188" s="12">
        <v>0.13600000000000001</v>
      </c>
      <c r="AK188" s="12">
        <v>0.77800000000000002</v>
      </c>
      <c r="AL188" t="s">
        <v>198</v>
      </c>
      <c r="AM188" s="12">
        <v>1.2999999999999999E-2</v>
      </c>
      <c r="AN188" s="12">
        <v>4.0000000000000001E-3</v>
      </c>
      <c r="AO188" s="42" t="s">
        <v>198</v>
      </c>
      <c r="AP188" s="12">
        <v>1.7999999999999999E-2</v>
      </c>
      <c r="AQ188" s="42" t="s">
        <v>198</v>
      </c>
      <c r="AR188" s="42" t="s">
        <v>198</v>
      </c>
      <c r="AS188" s="42" t="s">
        <v>198</v>
      </c>
      <c r="AT188" s="42" t="s">
        <v>198</v>
      </c>
      <c r="AU188" s="47">
        <f t="shared" si="38"/>
        <v>0.19913173776716503</v>
      </c>
      <c r="AW188" s="42">
        <f t="shared" si="42"/>
        <v>226.82301198098364</v>
      </c>
      <c r="AX188">
        <v>10.4</v>
      </c>
      <c r="AY188" t="s">
        <v>198</v>
      </c>
      <c r="AZ188" t="s">
        <v>198</v>
      </c>
      <c r="BA188" t="s">
        <v>198</v>
      </c>
      <c r="BB188" t="s">
        <v>198</v>
      </c>
      <c r="BC188" s="12">
        <v>0.63600000000000001</v>
      </c>
      <c r="BD188" s="12">
        <v>0.22800000000000001</v>
      </c>
      <c r="BE188" t="s">
        <v>198</v>
      </c>
      <c r="BF188" t="s">
        <v>198</v>
      </c>
      <c r="BG188" t="s">
        <v>198</v>
      </c>
      <c r="BH188" t="s">
        <v>198</v>
      </c>
      <c r="BI188" t="s">
        <v>198</v>
      </c>
      <c r="BJ188">
        <v>-14.9</v>
      </c>
      <c r="BK188">
        <v>-28.9</v>
      </c>
      <c r="BL188" s="42" t="s">
        <v>198</v>
      </c>
      <c r="BM188" s="42" t="s">
        <v>198</v>
      </c>
      <c r="BN188" s="42" t="s">
        <v>198</v>
      </c>
    </row>
    <row r="189" spans="2:66" x14ac:dyDescent="0.3">
      <c r="B189" s="42">
        <v>181</v>
      </c>
      <c r="C189" s="42">
        <v>73</v>
      </c>
      <c r="D189" s="13" t="s">
        <v>1539</v>
      </c>
      <c r="E189" s="42" t="s">
        <v>1547</v>
      </c>
      <c r="F189" s="42">
        <v>3</v>
      </c>
      <c r="G189" s="42" t="s">
        <v>1549</v>
      </c>
      <c r="H189" s="42" t="s">
        <v>692</v>
      </c>
      <c r="J189" s="42" t="s">
        <v>1551</v>
      </c>
      <c r="K189" s="42" t="s">
        <v>694</v>
      </c>
      <c r="L189">
        <v>550</v>
      </c>
      <c r="M189">
        <v>10</v>
      </c>
      <c r="N189" t="s">
        <v>198</v>
      </c>
      <c r="O189" s="42" t="s">
        <v>1552</v>
      </c>
      <c r="P189" t="s">
        <v>198</v>
      </c>
      <c r="Q189" t="s">
        <v>198</v>
      </c>
      <c r="R189" t="s">
        <v>198</v>
      </c>
      <c r="S189" t="s">
        <v>198</v>
      </c>
      <c r="U189" s="87">
        <v>0.6</v>
      </c>
      <c r="X189" t="s">
        <v>1553</v>
      </c>
      <c r="Z189" s="42" t="s">
        <v>696</v>
      </c>
      <c r="AA189" s="42" t="s">
        <v>454</v>
      </c>
      <c r="AB189" s="42">
        <v>20</v>
      </c>
      <c r="AC189" s="100">
        <v>365</v>
      </c>
      <c r="AE189" s="42" t="s">
        <v>1554</v>
      </c>
      <c r="AF189" s="30" t="s">
        <v>661</v>
      </c>
      <c r="AG189" s="42" t="s">
        <v>1556</v>
      </c>
      <c r="AH189" s="42" t="s">
        <v>452</v>
      </c>
      <c r="AI189" s="107" t="s">
        <v>198</v>
      </c>
      <c r="AJ189" s="12">
        <v>0.14400000000000002</v>
      </c>
      <c r="AK189" s="12">
        <v>0.74199999999999999</v>
      </c>
      <c r="AL189" t="s">
        <v>198</v>
      </c>
      <c r="AM189" s="12">
        <v>1.6E-2</v>
      </c>
      <c r="AN189" s="12">
        <v>4.0000000000000001E-3</v>
      </c>
      <c r="AO189" s="42" t="s">
        <v>198</v>
      </c>
      <c r="AP189" s="12">
        <v>5.8000000000000003E-2</v>
      </c>
      <c r="AQ189" s="42" t="s">
        <v>198</v>
      </c>
      <c r="AR189" s="42" t="s">
        <v>198</v>
      </c>
      <c r="AS189" s="42" t="s">
        <v>198</v>
      </c>
      <c r="AT189" s="42" t="s">
        <v>198</v>
      </c>
      <c r="AU189" s="47">
        <f t="shared" si="38"/>
        <v>0.25697614262136337</v>
      </c>
      <c r="AW189" s="42">
        <f t="shared" si="42"/>
        <v>216.327345616825</v>
      </c>
      <c r="AX189">
        <v>9.4</v>
      </c>
      <c r="AY189" t="s">
        <v>198</v>
      </c>
      <c r="AZ189" t="s">
        <v>198</v>
      </c>
      <c r="BA189" t="s">
        <v>198</v>
      </c>
      <c r="BB189" t="s">
        <v>198</v>
      </c>
      <c r="BC189" s="12">
        <v>0.67800000000000005</v>
      </c>
      <c r="BD189" s="12">
        <v>0.17799999999999999</v>
      </c>
      <c r="BE189" t="s">
        <v>198</v>
      </c>
      <c r="BF189" t="s">
        <v>198</v>
      </c>
      <c r="BG189" t="s">
        <v>198</v>
      </c>
      <c r="BH189" t="s">
        <v>198</v>
      </c>
      <c r="BI189" t="s">
        <v>198</v>
      </c>
      <c r="BJ189">
        <v>-14.5</v>
      </c>
      <c r="BK189">
        <v>-29.2</v>
      </c>
      <c r="BL189" s="42" t="s">
        <v>198</v>
      </c>
      <c r="BM189" s="42" t="s">
        <v>198</v>
      </c>
      <c r="BN189" s="42" t="s">
        <v>198</v>
      </c>
    </row>
    <row r="190" spans="2:66" x14ac:dyDescent="0.3">
      <c r="B190" s="42">
        <v>182</v>
      </c>
      <c r="C190" s="42">
        <v>73</v>
      </c>
      <c r="D190" s="13" t="s">
        <v>1539</v>
      </c>
      <c r="E190" s="42" t="s">
        <v>1548</v>
      </c>
      <c r="F190" s="42">
        <v>3</v>
      </c>
      <c r="G190" s="42" t="s">
        <v>1550</v>
      </c>
      <c r="H190" s="42" t="s">
        <v>693</v>
      </c>
      <c r="J190" s="42" t="s">
        <v>1551</v>
      </c>
      <c r="K190" s="42" t="s">
        <v>694</v>
      </c>
      <c r="L190">
        <v>450</v>
      </c>
      <c r="M190">
        <v>10</v>
      </c>
      <c r="N190" t="s">
        <v>198</v>
      </c>
      <c r="O190" s="42" t="s">
        <v>1552</v>
      </c>
      <c r="P190" t="s">
        <v>198</v>
      </c>
      <c r="Q190" t="s">
        <v>198</v>
      </c>
      <c r="R190" t="s">
        <v>198</v>
      </c>
      <c r="S190" t="s">
        <v>198</v>
      </c>
      <c r="U190" s="87">
        <v>0.6</v>
      </c>
      <c r="X190" t="s">
        <v>1553</v>
      </c>
      <c r="Z190" s="42" t="s">
        <v>696</v>
      </c>
      <c r="AA190" s="42" t="s">
        <v>454</v>
      </c>
      <c r="AB190" s="42">
        <v>20</v>
      </c>
      <c r="AC190" s="100">
        <v>365</v>
      </c>
      <c r="AE190" s="42" t="s">
        <v>1554</v>
      </c>
      <c r="AF190" s="30" t="s">
        <v>661</v>
      </c>
      <c r="AG190" s="42" t="s">
        <v>1555</v>
      </c>
      <c r="AH190" s="42" t="s">
        <v>452</v>
      </c>
      <c r="AI190" s="107" t="s">
        <v>198</v>
      </c>
      <c r="AJ190" s="12">
        <v>0.28499999999999998</v>
      </c>
      <c r="AK190" s="12">
        <v>0.59099999999999997</v>
      </c>
      <c r="AL190" t="s">
        <v>198</v>
      </c>
      <c r="AM190" s="12">
        <v>2.1000000000000001E-2</v>
      </c>
      <c r="AN190" s="12">
        <v>8.0000000000000002E-3</v>
      </c>
      <c r="AO190" s="42" t="s">
        <v>198</v>
      </c>
      <c r="AP190" s="12">
        <v>4.8000000000000001E-2</v>
      </c>
      <c r="AQ190" s="42" t="s">
        <v>198</v>
      </c>
      <c r="AR190" s="42" t="s">
        <v>198</v>
      </c>
      <c r="AS190" s="42" t="s">
        <v>198</v>
      </c>
      <c r="AT190" s="42" t="s">
        <v>198</v>
      </c>
      <c r="AU190" s="47">
        <f t="shared" si="38"/>
        <v>0.42345624516984809</v>
      </c>
      <c r="AW190" s="42">
        <f t="shared" si="42"/>
        <v>86.151928072468706</v>
      </c>
      <c r="AX190">
        <v>10.5</v>
      </c>
      <c r="AY190" t="s">
        <v>198</v>
      </c>
      <c r="AZ190" t="s">
        <v>198</v>
      </c>
      <c r="BA190" t="s">
        <v>198</v>
      </c>
      <c r="BB190" t="s">
        <v>198</v>
      </c>
      <c r="BC190" s="12">
        <v>0.45600000000000002</v>
      </c>
      <c r="BD190" s="12">
        <v>0.25900000000000001</v>
      </c>
      <c r="BE190" t="s">
        <v>198</v>
      </c>
      <c r="BF190" t="s">
        <v>198</v>
      </c>
      <c r="BG190" t="s">
        <v>198</v>
      </c>
      <c r="BH190" t="s">
        <v>198</v>
      </c>
      <c r="BI190" t="s">
        <v>198</v>
      </c>
      <c r="BJ190">
        <v>-15.3</v>
      </c>
      <c r="BK190">
        <v>-28.9</v>
      </c>
      <c r="BL190" s="42" t="s">
        <v>198</v>
      </c>
      <c r="BM190" s="42" t="s">
        <v>198</v>
      </c>
      <c r="BN190" s="42" t="s">
        <v>198</v>
      </c>
    </row>
    <row r="191" spans="2:66" x14ac:dyDescent="0.3">
      <c r="B191" s="42">
        <v>183</v>
      </c>
      <c r="C191" s="42">
        <v>73</v>
      </c>
      <c r="D191" s="13" t="s">
        <v>1539</v>
      </c>
      <c r="E191" s="42" t="s">
        <v>1557</v>
      </c>
      <c r="F191" s="42">
        <v>3</v>
      </c>
      <c r="G191" s="42" t="s">
        <v>1550</v>
      </c>
      <c r="H191" s="42" t="s">
        <v>693</v>
      </c>
      <c r="J191" s="42" t="s">
        <v>1551</v>
      </c>
      <c r="K191" s="42" t="s">
        <v>694</v>
      </c>
      <c r="L191">
        <v>450</v>
      </c>
      <c r="M191">
        <v>10</v>
      </c>
      <c r="N191" t="s">
        <v>198</v>
      </c>
      <c r="O191" s="42" t="s">
        <v>1552</v>
      </c>
      <c r="P191" t="s">
        <v>198</v>
      </c>
      <c r="Q191" t="s">
        <v>198</v>
      </c>
      <c r="R191" t="s">
        <v>198</v>
      </c>
      <c r="S191" t="s">
        <v>198</v>
      </c>
      <c r="U191" s="87">
        <v>0.6</v>
      </c>
      <c r="X191" t="s">
        <v>1553</v>
      </c>
      <c r="Z191" s="42" t="s">
        <v>696</v>
      </c>
      <c r="AA191" s="42" t="s">
        <v>454</v>
      </c>
      <c r="AB191" s="42">
        <v>20</v>
      </c>
      <c r="AC191" s="100">
        <v>365</v>
      </c>
      <c r="AE191" s="42" t="s">
        <v>1554</v>
      </c>
      <c r="AF191" s="30" t="s">
        <v>661</v>
      </c>
      <c r="AG191" s="42" t="s">
        <v>1556</v>
      </c>
      <c r="AH191" s="42" t="s">
        <v>452</v>
      </c>
      <c r="AI191" s="107" t="s">
        <v>198</v>
      </c>
      <c r="AJ191" s="12">
        <v>0.23499999999999999</v>
      </c>
      <c r="AK191" s="12">
        <v>0.61799999999999999</v>
      </c>
      <c r="AL191" t="s">
        <v>198</v>
      </c>
      <c r="AM191" s="12">
        <v>2.1000000000000001E-2</v>
      </c>
      <c r="AN191" s="12">
        <v>8.9999999999999993E-3</v>
      </c>
      <c r="AO191" s="42" t="s">
        <v>198</v>
      </c>
      <c r="AP191" s="12">
        <v>7.5999999999999998E-2</v>
      </c>
      <c r="AQ191" s="42" t="s">
        <v>198</v>
      </c>
      <c r="AR191" s="42" t="s">
        <v>198</v>
      </c>
      <c r="AS191" s="42" t="s">
        <v>198</v>
      </c>
      <c r="AT191" s="42" t="s">
        <v>198</v>
      </c>
      <c r="AU191" s="47">
        <f t="shared" si="38"/>
        <v>0.40495572960417514</v>
      </c>
      <c r="AW191" s="42">
        <f t="shared" si="42"/>
        <v>80.078047074691739</v>
      </c>
      <c r="AX191">
        <v>8.6999999999999993</v>
      </c>
      <c r="AY191" t="s">
        <v>198</v>
      </c>
      <c r="AZ191" t="s">
        <v>198</v>
      </c>
      <c r="BA191" t="s">
        <v>198</v>
      </c>
      <c r="BB191" t="s">
        <v>198</v>
      </c>
      <c r="BC191" s="12">
        <v>0.40799999999999997</v>
      </c>
      <c r="BD191" s="12">
        <v>0.35699999999999998</v>
      </c>
      <c r="BE191" t="s">
        <v>198</v>
      </c>
      <c r="BF191" t="s">
        <v>198</v>
      </c>
      <c r="BG191" t="s">
        <v>198</v>
      </c>
      <c r="BH191" t="s">
        <v>198</v>
      </c>
      <c r="BI191" t="s">
        <v>198</v>
      </c>
      <c r="BJ191">
        <v>-15.3</v>
      </c>
      <c r="BK191">
        <v>-29.2</v>
      </c>
      <c r="BL191" s="42" t="s">
        <v>198</v>
      </c>
      <c r="BM191" s="42" t="s">
        <v>198</v>
      </c>
      <c r="BN191" s="42" t="s">
        <v>198</v>
      </c>
    </row>
  </sheetData>
  <sortState xmlns:xlrd2="http://schemas.microsoft.com/office/spreadsheetml/2017/richdata2" ref="B11:BN176">
    <sortCondition ref="B11:B176"/>
  </sortState>
  <phoneticPr fontId="6" type="noConversion"/>
  <conditionalFormatting sqref="A121:R126">
    <cfRule type="notContainsBlanks" dxfId="35" priority="116">
      <formula>LEN(TRIM(A121))&gt;0</formula>
    </cfRule>
  </conditionalFormatting>
  <conditionalFormatting sqref="A107:W120">
    <cfRule type="notContainsBlanks" dxfId="34" priority="118">
      <formula>LEN(TRIM(A107))&gt;0</formula>
    </cfRule>
  </conditionalFormatting>
  <conditionalFormatting sqref="A11:XFD106 H127:R127 K128:R135 K136:O136 H137:O137 A138:XFD176 L177:W177 L178:L180 L183:L189 BM118:XFD127 BL118:BL135 X119:AI119 AT119:BG119 AK119:AS135 BH119:BK135 AJ119:AJ136 X120:AH120 AT120:AV135 AI120:AI136 AW120:BG136 S121:AH135 A127:G137 BP128:XFD133 BM128:BN135 BO134:XFD135 AG136:AI136 AK136:AV136 BH136:XFD136 AG137:XFD137 A177:J177 Y177:AP177 AU177:BK177 BO177:XFD177 BA178:BA180 M178:O182 BI178:BI182 AO178:AO191 BB180:BB185 BA183:BA185 O183:O191 M184:M185 BI184:BI185">
    <cfRule type="notContainsBlanks" dxfId="33" priority="119">
      <formula>LEN(TRIM(A11))&gt;0</formula>
    </cfRule>
  </conditionalFormatting>
  <conditionalFormatting sqref="B178:H182 B183:C191">
    <cfRule type="notContainsBlanks" dxfId="32" priority="95">
      <formula>LEN(TRIM(B178))&gt;0</formula>
    </cfRule>
  </conditionalFormatting>
  <conditionalFormatting sqref="E183:H191">
    <cfRule type="notContainsBlanks" dxfId="31" priority="19">
      <formula>LEN(TRIM(E183))&gt;0</formula>
    </cfRule>
  </conditionalFormatting>
  <conditionalFormatting sqref="H128:J136">
    <cfRule type="notContainsBlanks" dxfId="30" priority="113">
      <formula>LEN(TRIM(H128))&gt;0</formula>
    </cfRule>
  </conditionalFormatting>
  <conditionalFormatting sqref="J178">
    <cfRule type="notContainsBlanks" dxfId="29" priority="53">
      <formula>LEN(TRIM(J178))&gt;0</formula>
    </cfRule>
  </conditionalFormatting>
  <conditionalFormatting sqref="J179:K191">
    <cfRule type="notContainsBlanks" dxfId="28" priority="13">
      <formula>LEN(TRIM(J179))&gt;0</formula>
    </cfRule>
  </conditionalFormatting>
  <conditionalFormatting sqref="K177:K178">
    <cfRule type="notContainsBlanks" dxfId="27" priority="23">
      <formula>LEN(TRIM(K177))&gt;0</formula>
    </cfRule>
  </conditionalFormatting>
  <conditionalFormatting sqref="L11:L111">
    <cfRule type="cellIs" dxfId="26" priority="26" operator="lessThan">
      <formula>200</formula>
    </cfRule>
  </conditionalFormatting>
  <conditionalFormatting sqref="L11:L189">
    <cfRule type="cellIs" dxfId="25" priority="25" operator="lessThan">
      <formula>250</formula>
    </cfRule>
  </conditionalFormatting>
  <conditionalFormatting sqref="M183:N183">
    <cfRule type="notContainsBlanks" dxfId="24" priority="49">
      <formula>LEN(TRIM(M183))&gt;0</formula>
    </cfRule>
  </conditionalFormatting>
  <conditionalFormatting sqref="P179:S179">
    <cfRule type="notContainsBlanks" dxfId="23" priority="64">
      <formula>LEN(TRIM(P179))&gt;0</formula>
    </cfRule>
  </conditionalFormatting>
  <conditionalFormatting sqref="P181:S181">
    <cfRule type="notContainsBlanks" dxfId="22" priority="63">
      <formula>LEN(TRIM(P181))&gt;0</formula>
    </cfRule>
  </conditionalFormatting>
  <conditionalFormatting sqref="P186:S191">
    <cfRule type="notContainsBlanks" dxfId="21" priority="7">
      <formula>LEN(TRIM(P186))&gt;0</formula>
    </cfRule>
  </conditionalFormatting>
  <conditionalFormatting sqref="P136:AF137">
    <cfRule type="notContainsBlanks" dxfId="20" priority="102">
      <formula>LEN(TRIM(P136))&gt;0</formula>
    </cfRule>
  </conditionalFormatting>
  <conditionalFormatting sqref="T178:U182">
    <cfRule type="notContainsBlanks" dxfId="19" priority="67">
      <formula>LEN(TRIM(T178))&gt;0</formula>
    </cfRule>
  </conditionalFormatting>
  <conditionalFormatting sqref="X107:XFD114 BJ115:XFD117 X115:BI118">
    <cfRule type="notContainsBlanks" dxfId="18" priority="111">
      <formula>LEN(TRIM(X107))&gt;0</formula>
    </cfRule>
  </conditionalFormatting>
  <conditionalFormatting sqref="Z178:AC191">
    <cfRule type="notContainsBlanks" dxfId="17" priority="46">
      <formula>LEN(TRIM(Z178))&gt;0</formula>
    </cfRule>
  </conditionalFormatting>
  <conditionalFormatting sqref="AE178:AH185 AL186:AL191 AM187">
    <cfRule type="notContainsBlanks" dxfId="16" priority="40">
      <formula>LEN(TRIM(AE178))&gt;0</formula>
    </cfRule>
  </conditionalFormatting>
  <conditionalFormatting sqref="AE186:AI191">
    <cfRule type="notContainsBlanks" dxfId="15" priority="3">
      <formula>LEN(TRIM(AE186))&gt;0</formula>
    </cfRule>
  </conditionalFormatting>
  <conditionalFormatting sqref="AK178">
    <cfRule type="notContainsBlanks" dxfId="14" priority="94">
      <formula>LEN(TRIM(AK178))&gt;0</formula>
    </cfRule>
  </conditionalFormatting>
  <conditionalFormatting sqref="AM178">
    <cfRule type="notContainsBlanks" dxfId="13" priority="92">
      <formula>LEN(TRIM(AM178))&gt;0</formula>
    </cfRule>
  </conditionalFormatting>
  <conditionalFormatting sqref="AM189">
    <cfRule type="notContainsBlanks" dxfId="12" priority="2">
      <formula>LEN(TRIM(AM189))&gt;0</formula>
    </cfRule>
  </conditionalFormatting>
  <conditionalFormatting sqref="AP178">
    <cfRule type="notContainsBlanks" dxfId="11" priority="93">
      <formula>LEN(TRIM(AP178))&gt;0</formula>
    </cfRule>
  </conditionalFormatting>
  <conditionalFormatting sqref="AQ177:AT191">
    <cfRule type="notContainsBlanks" dxfId="10" priority="36">
      <formula>LEN(TRIM(AQ177))&gt;0</formula>
    </cfRule>
  </conditionalFormatting>
  <conditionalFormatting sqref="AU178:AU191">
    <cfRule type="notContainsBlanks" dxfId="9" priority="87">
      <formula>LEN(TRIM(AU178))&gt;0</formula>
    </cfRule>
  </conditionalFormatting>
  <conditionalFormatting sqref="AW178:AW191">
    <cfRule type="notContainsBlanks" dxfId="8" priority="28">
      <formula>LEN(TRIM(AW178))&gt;0</formula>
    </cfRule>
  </conditionalFormatting>
  <conditionalFormatting sqref="AX178">
    <cfRule type="notContainsBlanks" dxfId="7" priority="59">
      <formula>LEN(TRIM(AX178))&gt;0</formula>
    </cfRule>
  </conditionalFormatting>
  <conditionalFormatting sqref="BE178:BE182">
    <cfRule type="notContainsBlanks" dxfId="6" priority="62">
      <formula>LEN(TRIM(BE178))&gt;0</formula>
    </cfRule>
  </conditionalFormatting>
  <conditionalFormatting sqref="BJ118:BK118">
    <cfRule type="notContainsBlanks" dxfId="5" priority="112">
      <formula>LEN(TRIM(BJ118))&gt;0</formula>
    </cfRule>
  </conditionalFormatting>
  <conditionalFormatting sqref="BK179">
    <cfRule type="notContainsBlanks" dxfId="4" priority="61">
      <formula>LEN(TRIM(BK179))&gt;0</formula>
    </cfRule>
  </conditionalFormatting>
  <conditionalFormatting sqref="BK181">
    <cfRule type="notContainsBlanks" dxfId="3" priority="60">
      <formula>LEN(TRIM(BK181))&gt;0</formula>
    </cfRule>
  </conditionalFormatting>
  <conditionalFormatting sqref="BL177:BN191">
    <cfRule type="notContainsBlanks" dxfId="2" priority="1">
      <formula>LEN(TRIM(BL177))&gt;0</formula>
    </cfRule>
  </conditionalFormatting>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F155"/>
  <sheetViews>
    <sheetView zoomScale="55" zoomScaleNormal="55" workbookViewId="0">
      <pane xSplit="2" ySplit="5" topLeftCell="C129" activePane="bottomRight" state="frozen"/>
      <selection pane="topRight" activeCell="C1" sqref="C1"/>
      <selection pane="bottomLeft" activeCell="A6" sqref="A6"/>
      <selection pane="bottomRight" activeCell="BL155" sqref="BL155"/>
    </sheetView>
  </sheetViews>
  <sheetFormatPr defaultRowHeight="14.4" x14ac:dyDescent="0.3"/>
  <cols>
    <col min="1" max="2" width="9" style="102" customWidth="1"/>
    <col min="3" max="3" width="16.44140625" style="102" customWidth="1"/>
    <col min="4" max="4" width="9" style="102" customWidth="1"/>
    <col min="5" max="5" width="20" style="102" customWidth="1"/>
    <col min="6" max="6" width="17" style="102" customWidth="1"/>
    <col min="7" max="7" width="16" style="102" customWidth="1"/>
    <col min="8" max="8" width="15.44140625" style="102" customWidth="1"/>
    <col min="9" max="9" width="22.33203125" style="102" customWidth="1"/>
    <col min="10" max="10" width="17.33203125" style="102" customWidth="1"/>
    <col min="11" max="11" width="22" style="102" customWidth="1"/>
    <col min="12" max="12" width="19" style="102" customWidth="1"/>
    <col min="13" max="13" width="23.21875" style="102" customWidth="1"/>
    <col min="14" max="14" width="17.33203125" style="102" customWidth="1"/>
    <col min="15" max="15" width="16" style="102" customWidth="1"/>
    <col min="16" max="16" width="13" style="102" customWidth="1"/>
    <col min="17" max="17" width="15" style="102" customWidth="1"/>
    <col min="18" max="18" width="12" style="102" customWidth="1"/>
    <col min="19" max="19" width="15" style="102" customWidth="1"/>
    <col min="20" max="20" width="12" style="102" customWidth="1"/>
    <col min="21" max="21" width="22" style="102" customWidth="1"/>
    <col min="22" max="22" width="19" style="102" customWidth="1"/>
    <col min="23" max="23" width="30" style="102" customWidth="1"/>
    <col min="24" max="24" width="27" style="102" customWidth="1"/>
    <col min="25" max="25" width="30" style="102" customWidth="1"/>
    <col min="26" max="26" width="27" style="102" customWidth="1"/>
    <col min="27" max="27" width="30" style="102" customWidth="1"/>
    <col min="28" max="28" width="27" style="102" customWidth="1"/>
    <col min="29" max="29" width="28" style="102" customWidth="1"/>
    <col min="30" max="30" width="29.6640625" style="102" customWidth="1"/>
    <col min="31" max="31" width="34" style="102" customWidth="1"/>
    <col min="32" max="32" width="31" style="102" customWidth="1"/>
    <col min="33" max="33" width="29" style="102" customWidth="1"/>
    <col min="34" max="34" width="26" style="102" customWidth="1"/>
    <col min="35" max="35" width="20" style="102" customWidth="1"/>
    <col min="36" max="36" width="17" style="102" customWidth="1"/>
    <col min="37" max="37" width="23" style="102" customWidth="1"/>
    <col min="38" max="38" width="20" style="102" customWidth="1"/>
    <col min="39" max="39" width="23" style="102" customWidth="1"/>
    <col min="40" max="40" width="20" style="102" customWidth="1"/>
    <col min="41" max="41" width="28" style="102" customWidth="1"/>
    <col min="42" max="42" width="25" style="102" customWidth="1"/>
    <col min="43" max="43" width="21" style="102" customWidth="1"/>
    <col min="44" max="44" width="18" style="102" customWidth="1"/>
    <col min="45" max="45" width="23" style="102" customWidth="1"/>
    <col min="46" max="46" width="20" style="102" customWidth="1"/>
    <col min="47" max="47" width="34" style="102" customWidth="1"/>
    <col min="48" max="49" width="31" style="102" customWidth="1"/>
    <col min="50" max="51" width="28" style="102" customWidth="1"/>
    <col min="52" max="52" width="25" style="102" customWidth="1"/>
    <col min="53" max="53" width="33" style="102" customWidth="1"/>
    <col min="54" max="54" width="30" style="102" customWidth="1"/>
    <col min="55" max="55" width="37" style="102" customWidth="1"/>
    <col min="56" max="56" width="34" style="102" customWidth="1"/>
    <col min="57" max="57" width="39" style="102" customWidth="1"/>
    <col min="58" max="58" width="36" style="102" customWidth="1"/>
    <col min="59" max="59" width="26.44140625" style="102" customWidth="1"/>
    <col min="60" max="60" width="21.6640625" style="102" customWidth="1"/>
    <col min="61" max="61" width="19" style="102" customWidth="1"/>
    <col min="62" max="62" width="16" style="102" customWidth="1"/>
    <col min="63" max="63" width="19" style="102" customWidth="1"/>
    <col min="64" max="64" width="16" style="102" customWidth="1"/>
    <col min="65" max="65" width="19" style="102" customWidth="1"/>
    <col min="66" max="66" width="16" style="102" customWidth="1"/>
    <col min="67" max="67" width="28" style="102" customWidth="1"/>
    <col min="68" max="68" width="25" style="102" customWidth="1"/>
    <col min="69" max="69" width="21" style="102" customWidth="1"/>
    <col min="70" max="70" width="18" style="102" customWidth="1"/>
    <col min="71" max="71" width="21" style="102" customWidth="1"/>
    <col min="72" max="72" width="18" style="102" customWidth="1"/>
    <col min="73" max="73" width="20" style="102" customWidth="1"/>
    <col min="74" max="74" width="17" style="102" customWidth="1"/>
    <col min="75" max="75" width="19" style="102" customWidth="1"/>
    <col min="76" max="76" width="16" style="102" customWidth="1"/>
    <col min="77" max="77" width="22" style="102" customWidth="1"/>
    <col min="78" max="78" width="19" style="102" customWidth="1"/>
    <col min="79" max="79" width="22" style="102" customWidth="1"/>
    <col min="80" max="80" width="19" style="102" customWidth="1"/>
    <col min="81" max="81" width="20" style="102" customWidth="1"/>
    <col min="82" max="82" width="17" style="102" customWidth="1"/>
    <col min="83" max="83" width="20" style="102" customWidth="1"/>
    <col min="84" max="84" width="17" style="102" customWidth="1"/>
    <col min="85" max="85" width="20" style="102" customWidth="1"/>
    <col min="86" max="86" width="17" style="102" customWidth="1"/>
    <col min="87" max="87" width="16" style="102" customWidth="1"/>
    <col min="88" max="88" width="13" style="102" customWidth="1"/>
    <col min="89" max="89" width="19" style="102" customWidth="1"/>
    <col min="90" max="90" width="16" style="102" customWidth="1"/>
    <col min="91" max="91" width="21" style="102" customWidth="1"/>
    <col min="92" max="92" width="18" style="102" customWidth="1"/>
    <col min="93" max="93" width="16" style="102" customWidth="1"/>
    <col min="94" max="94" width="13" style="102" customWidth="1"/>
    <col min="95" max="95" width="18" style="102" customWidth="1"/>
    <col min="96" max="96" width="15" style="102" customWidth="1"/>
    <col min="97" max="97" width="19" style="102" customWidth="1"/>
    <col min="98" max="98" width="16" style="102" customWidth="1"/>
    <col min="99" max="99" width="24" style="102" customWidth="1"/>
    <col min="100" max="100" width="21" style="102" customWidth="1"/>
    <col min="101" max="101" width="27" style="102" customWidth="1"/>
    <col min="102" max="102" width="24" style="102" customWidth="1"/>
    <col min="103" max="103" width="25" style="102" customWidth="1"/>
    <col min="104" max="104" width="22" style="102" customWidth="1"/>
    <col min="105" max="105" width="24" style="102" customWidth="1"/>
    <col min="106" max="106" width="21" style="102" customWidth="1"/>
    <col min="107" max="107" width="24" style="102" customWidth="1"/>
    <col min="108" max="108" width="21" style="102" customWidth="1"/>
    <col min="109" max="109" width="26" style="102" customWidth="1"/>
    <col min="110" max="110" width="23" style="102" customWidth="1"/>
    <col min="111" max="16384" width="8.88671875" style="102"/>
  </cols>
  <sheetData>
    <row r="1" spans="1:110" x14ac:dyDescent="0.3">
      <c r="A1" s="1" t="s">
        <v>0</v>
      </c>
      <c r="B1" s="102" t="s">
        <v>255</v>
      </c>
    </row>
    <row r="2" spans="1:110" x14ac:dyDescent="0.3">
      <c r="A2" s="1" t="s">
        <v>2</v>
      </c>
      <c r="B2" s="102" t="s">
        <v>256</v>
      </c>
    </row>
    <row r="3" spans="1:110" x14ac:dyDescent="0.3">
      <c r="A3" s="1"/>
      <c r="B3" s="1"/>
      <c r="C3" s="1"/>
      <c r="D3" s="1"/>
    </row>
    <row r="4" spans="1:110" x14ac:dyDescent="0.3">
      <c r="A4" s="2" t="s">
        <v>4</v>
      </c>
      <c r="B4" s="2" t="s">
        <v>60</v>
      </c>
      <c r="C4" s="2" t="s">
        <v>1534</v>
      </c>
      <c r="D4" s="2" t="s">
        <v>1535</v>
      </c>
      <c r="E4" s="2" t="s">
        <v>257</v>
      </c>
      <c r="F4" s="2" t="s">
        <v>258</v>
      </c>
      <c r="G4" s="2" t="s">
        <v>259</v>
      </c>
      <c r="H4" s="2" t="s">
        <v>260</v>
      </c>
      <c r="I4" s="2" t="s">
        <v>261</v>
      </c>
      <c r="J4" s="2" t="s">
        <v>262</v>
      </c>
      <c r="K4" s="2" t="s">
        <v>263</v>
      </c>
      <c r="L4" s="2" t="s">
        <v>264</v>
      </c>
      <c r="M4" s="2" t="s">
        <v>265</v>
      </c>
      <c r="N4" s="2" t="s">
        <v>266</v>
      </c>
      <c r="O4" s="2" t="s">
        <v>267</v>
      </c>
      <c r="P4" s="2" t="s">
        <v>268</v>
      </c>
      <c r="Q4" s="2" t="s">
        <v>269</v>
      </c>
      <c r="R4" s="2" t="s">
        <v>270</v>
      </c>
      <c r="S4" s="2" t="s">
        <v>271</v>
      </c>
      <c r="T4" s="2" t="s">
        <v>272</v>
      </c>
      <c r="U4" s="2" t="s">
        <v>273</v>
      </c>
      <c r="V4" s="2" t="s">
        <v>274</v>
      </c>
      <c r="W4" s="2" t="s">
        <v>275</v>
      </c>
      <c r="X4" s="2" t="s">
        <v>276</v>
      </c>
      <c r="Y4" s="2" t="s">
        <v>277</v>
      </c>
      <c r="Z4" s="2" t="s">
        <v>278</v>
      </c>
      <c r="AA4" s="2" t="s">
        <v>279</v>
      </c>
      <c r="AB4" s="2" t="s">
        <v>280</v>
      </c>
      <c r="AC4" s="2" t="s">
        <v>281</v>
      </c>
      <c r="AD4" s="2" t="s">
        <v>282</v>
      </c>
      <c r="AE4" s="2" t="s">
        <v>283</v>
      </c>
      <c r="AF4" s="2" t="s">
        <v>284</v>
      </c>
      <c r="AG4" s="2" t="s">
        <v>285</v>
      </c>
      <c r="AH4" s="2" t="s">
        <v>286</v>
      </c>
      <c r="AI4" s="2" t="s">
        <v>287</v>
      </c>
      <c r="AJ4" s="2" t="s">
        <v>288</v>
      </c>
      <c r="AK4" s="2" t="s">
        <v>289</v>
      </c>
      <c r="AL4" s="2" t="s">
        <v>290</v>
      </c>
      <c r="AM4" s="2" t="s">
        <v>291</v>
      </c>
      <c r="AN4" s="2" t="s">
        <v>292</v>
      </c>
      <c r="AO4" s="2" t="s">
        <v>293</v>
      </c>
      <c r="AP4" s="2" t="s">
        <v>294</v>
      </c>
      <c r="AQ4" s="2" t="s">
        <v>295</v>
      </c>
      <c r="AR4" s="2" t="s">
        <v>296</v>
      </c>
      <c r="AS4" s="2" t="s">
        <v>297</v>
      </c>
      <c r="AT4" s="2" t="s">
        <v>298</v>
      </c>
      <c r="AU4" s="2" t="s">
        <v>299</v>
      </c>
      <c r="AV4" s="2" t="s">
        <v>300</v>
      </c>
      <c r="AW4" s="2" t="s">
        <v>301</v>
      </c>
      <c r="AX4" s="2" t="s">
        <v>302</v>
      </c>
      <c r="AY4" s="2" t="s">
        <v>303</v>
      </c>
      <c r="AZ4" s="2" t="s">
        <v>304</v>
      </c>
      <c r="BA4" s="2" t="s">
        <v>305</v>
      </c>
      <c r="BB4" s="2" t="s">
        <v>306</v>
      </c>
      <c r="BC4" s="2" t="s">
        <v>307</v>
      </c>
      <c r="BD4" s="2" t="s">
        <v>308</v>
      </c>
      <c r="BE4" s="2" t="s">
        <v>309</v>
      </c>
      <c r="BF4" s="2" t="s">
        <v>310</v>
      </c>
      <c r="BG4" s="2" t="s">
        <v>311</v>
      </c>
      <c r="BH4" s="2" t="s">
        <v>312</v>
      </c>
      <c r="BI4" s="2" t="s">
        <v>313</v>
      </c>
      <c r="BJ4" s="2" t="s">
        <v>314</v>
      </c>
      <c r="BK4" s="2" t="s">
        <v>315</v>
      </c>
      <c r="BL4" s="2" t="s">
        <v>316</v>
      </c>
      <c r="BM4" s="2" t="s">
        <v>317</v>
      </c>
      <c r="BN4" s="2" t="s">
        <v>318</v>
      </c>
      <c r="BO4" s="2" t="s">
        <v>319</v>
      </c>
      <c r="BP4" s="2" t="s">
        <v>320</v>
      </c>
      <c r="BQ4" s="2" t="s">
        <v>321</v>
      </c>
      <c r="BR4" s="2" t="s">
        <v>322</v>
      </c>
      <c r="BS4" s="2" t="s">
        <v>323</v>
      </c>
      <c r="BT4" s="2" t="s">
        <v>324</v>
      </c>
      <c r="BU4" s="2" t="s">
        <v>325</v>
      </c>
      <c r="BV4" s="2" t="s">
        <v>326</v>
      </c>
      <c r="BW4" s="2" t="s">
        <v>327</v>
      </c>
      <c r="BX4" s="2" t="s">
        <v>328</v>
      </c>
      <c r="BY4" s="2" t="s">
        <v>329</v>
      </c>
      <c r="BZ4" s="2" t="s">
        <v>330</v>
      </c>
      <c r="CA4" s="2" t="s">
        <v>331</v>
      </c>
      <c r="CB4" s="2" t="s">
        <v>332</v>
      </c>
      <c r="CC4" s="2" t="s">
        <v>333</v>
      </c>
      <c r="CD4" s="2" t="s">
        <v>334</v>
      </c>
      <c r="CE4" s="2" t="s">
        <v>335</v>
      </c>
      <c r="CF4" s="2" t="s">
        <v>336</v>
      </c>
      <c r="CG4" s="2" t="s">
        <v>337</v>
      </c>
      <c r="CH4" s="2" t="s">
        <v>338</v>
      </c>
      <c r="CI4" s="2" t="s">
        <v>339</v>
      </c>
      <c r="CJ4" s="2" t="s">
        <v>340</v>
      </c>
      <c r="CK4" s="2" t="s">
        <v>341</v>
      </c>
      <c r="CL4" s="2" t="s">
        <v>342</v>
      </c>
      <c r="CM4" s="2" t="s">
        <v>343</v>
      </c>
      <c r="CN4" s="2" t="s">
        <v>344</v>
      </c>
      <c r="CO4" s="2" t="s">
        <v>345</v>
      </c>
      <c r="CP4" s="2" t="s">
        <v>346</v>
      </c>
      <c r="CQ4" s="2" t="s">
        <v>347</v>
      </c>
      <c r="CR4" s="2" t="s">
        <v>348</v>
      </c>
      <c r="CS4" s="2" t="s">
        <v>349</v>
      </c>
      <c r="CT4" s="2" t="s">
        <v>350</v>
      </c>
      <c r="CU4" s="2" t="s">
        <v>351</v>
      </c>
      <c r="CV4" s="2" t="s">
        <v>352</v>
      </c>
      <c r="CW4" s="2" t="s">
        <v>353</v>
      </c>
      <c r="CX4" s="2" t="s">
        <v>354</v>
      </c>
      <c r="CY4" s="2" t="s">
        <v>355</v>
      </c>
      <c r="CZ4" s="2" t="s">
        <v>356</v>
      </c>
      <c r="DA4" s="2" t="s">
        <v>357</v>
      </c>
      <c r="DB4" s="2" t="s">
        <v>358</v>
      </c>
      <c r="DC4" s="2" t="s">
        <v>359</v>
      </c>
      <c r="DD4" s="2" t="s">
        <v>360</v>
      </c>
      <c r="DE4" s="2" t="s">
        <v>361</v>
      </c>
      <c r="DF4" s="2" t="s">
        <v>362</v>
      </c>
    </row>
    <row r="5" spans="1:110" x14ac:dyDescent="0.3">
      <c r="A5" s="2" t="s">
        <v>36</v>
      </c>
      <c r="B5" s="103" t="s">
        <v>37</v>
      </c>
      <c r="C5" s="103" t="s">
        <v>38</v>
      </c>
      <c r="D5" s="103" t="s">
        <v>38</v>
      </c>
      <c r="E5" s="103" t="s">
        <v>38</v>
      </c>
      <c r="F5" s="103" t="s">
        <v>38</v>
      </c>
      <c r="G5" s="103" t="s">
        <v>38</v>
      </c>
      <c r="H5" s="103" t="s">
        <v>38</v>
      </c>
      <c r="I5" s="103" t="s">
        <v>38</v>
      </c>
      <c r="J5" s="103" t="s">
        <v>38</v>
      </c>
      <c r="K5" s="103" t="s">
        <v>38</v>
      </c>
      <c r="L5" s="103" t="s">
        <v>38</v>
      </c>
      <c r="M5" s="103" t="s">
        <v>38</v>
      </c>
      <c r="N5" s="103" t="s">
        <v>38</v>
      </c>
      <c r="O5" s="103" t="s">
        <v>38</v>
      </c>
      <c r="P5" s="103" t="s">
        <v>38</v>
      </c>
      <c r="Q5" s="103" t="s">
        <v>38</v>
      </c>
      <c r="R5" s="103" t="s">
        <v>38</v>
      </c>
      <c r="S5" s="103" t="s">
        <v>38</v>
      </c>
      <c r="T5" s="103" t="s">
        <v>38</v>
      </c>
      <c r="U5" s="103" t="s">
        <v>38</v>
      </c>
      <c r="V5" s="103" t="s">
        <v>38</v>
      </c>
      <c r="W5" s="103" t="s">
        <v>38</v>
      </c>
      <c r="X5" s="103" t="s">
        <v>38</v>
      </c>
      <c r="Y5" s="103" t="s">
        <v>38</v>
      </c>
      <c r="Z5" s="103" t="s">
        <v>38</v>
      </c>
      <c r="AA5" s="103" t="s">
        <v>38</v>
      </c>
      <c r="AB5" s="103" t="s">
        <v>38</v>
      </c>
      <c r="AC5" s="103" t="s">
        <v>38</v>
      </c>
      <c r="AD5" s="103" t="s">
        <v>38</v>
      </c>
      <c r="AE5" s="103" t="s">
        <v>38</v>
      </c>
      <c r="AF5" s="103" t="s">
        <v>38</v>
      </c>
      <c r="AG5" s="103" t="s">
        <v>38</v>
      </c>
      <c r="AH5" s="103" t="s">
        <v>38</v>
      </c>
      <c r="AI5" s="103" t="s">
        <v>38</v>
      </c>
      <c r="AJ5" s="103" t="s">
        <v>38</v>
      </c>
      <c r="AK5" s="103" t="s">
        <v>38</v>
      </c>
      <c r="AL5" s="103" t="s">
        <v>38</v>
      </c>
      <c r="AM5" s="103" t="s">
        <v>38</v>
      </c>
      <c r="AN5" s="103" t="s">
        <v>38</v>
      </c>
      <c r="AO5" s="103" t="s">
        <v>38</v>
      </c>
      <c r="AP5" s="103" t="s">
        <v>38</v>
      </c>
      <c r="AQ5" s="103" t="s">
        <v>38</v>
      </c>
      <c r="AR5" s="103" t="s">
        <v>38</v>
      </c>
      <c r="AS5" s="103" t="s">
        <v>38</v>
      </c>
      <c r="AT5" s="103" t="s">
        <v>38</v>
      </c>
      <c r="AU5" s="103" t="s">
        <v>38</v>
      </c>
      <c r="AV5" s="103" t="s">
        <v>38</v>
      </c>
      <c r="AW5" s="103" t="s">
        <v>38</v>
      </c>
      <c r="AX5" s="103" t="s">
        <v>38</v>
      </c>
      <c r="AY5" s="103" t="s">
        <v>38</v>
      </c>
      <c r="AZ5" s="103" t="s">
        <v>38</v>
      </c>
      <c r="BA5" s="103" t="s">
        <v>38</v>
      </c>
      <c r="BB5" s="103" t="s">
        <v>38</v>
      </c>
      <c r="BC5" s="103" t="s">
        <v>38</v>
      </c>
      <c r="BD5" s="103" t="s">
        <v>38</v>
      </c>
      <c r="BE5" s="103" t="s">
        <v>38</v>
      </c>
      <c r="BF5" s="103" t="s">
        <v>38</v>
      </c>
      <c r="BG5" s="103" t="s">
        <v>38</v>
      </c>
      <c r="BH5" s="103" t="s">
        <v>38</v>
      </c>
      <c r="BI5" s="103" t="s">
        <v>38</v>
      </c>
      <c r="BJ5" s="103" t="s">
        <v>38</v>
      </c>
      <c r="BK5" s="103" t="s">
        <v>38</v>
      </c>
      <c r="BL5" s="103" t="s">
        <v>38</v>
      </c>
      <c r="BM5" s="103" t="s">
        <v>38</v>
      </c>
      <c r="BN5" s="103" t="s">
        <v>38</v>
      </c>
      <c r="BO5" s="103" t="s">
        <v>38</v>
      </c>
      <c r="BP5" s="103" t="s">
        <v>38</v>
      </c>
      <c r="BQ5" s="103" t="s">
        <v>38</v>
      </c>
      <c r="BR5" s="103" t="s">
        <v>38</v>
      </c>
      <c r="BS5" s="103" t="s">
        <v>38</v>
      </c>
      <c r="BT5" s="103" t="s">
        <v>38</v>
      </c>
      <c r="BU5" s="103" t="s">
        <v>38</v>
      </c>
      <c r="BV5" s="103" t="s">
        <v>38</v>
      </c>
      <c r="BW5" s="103" t="s">
        <v>38</v>
      </c>
      <c r="BX5" s="103" t="s">
        <v>38</v>
      </c>
      <c r="BY5" s="103" t="s">
        <v>38</v>
      </c>
      <c r="BZ5" s="103" t="s">
        <v>38</v>
      </c>
      <c r="CA5" s="103" t="s">
        <v>38</v>
      </c>
      <c r="CB5" s="103" t="s">
        <v>38</v>
      </c>
      <c r="CC5" s="103" t="s">
        <v>38</v>
      </c>
      <c r="CD5" s="103" t="s">
        <v>38</v>
      </c>
      <c r="CE5" s="103" t="s">
        <v>38</v>
      </c>
      <c r="CF5" s="103" t="s">
        <v>38</v>
      </c>
      <c r="CG5" s="103" t="s">
        <v>38</v>
      </c>
      <c r="CH5" s="103" t="s">
        <v>38</v>
      </c>
      <c r="CI5" s="103" t="s">
        <v>38</v>
      </c>
      <c r="CJ5" s="103" t="s">
        <v>38</v>
      </c>
      <c r="CK5" s="103" t="s">
        <v>38</v>
      </c>
      <c r="CL5" s="103" t="s">
        <v>38</v>
      </c>
      <c r="CM5" s="103" t="s">
        <v>38</v>
      </c>
      <c r="CN5" s="103" t="s">
        <v>38</v>
      </c>
      <c r="CO5" s="103" t="s">
        <v>38</v>
      </c>
      <c r="CP5" s="103" t="s">
        <v>38</v>
      </c>
      <c r="CQ5" s="103" t="s">
        <v>38</v>
      </c>
      <c r="CR5" s="103" t="s">
        <v>38</v>
      </c>
      <c r="CS5" s="103" t="s">
        <v>38</v>
      </c>
      <c r="CT5" s="103" t="s">
        <v>38</v>
      </c>
      <c r="CU5" s="103" t="s">
        <v>38</v>
      </c>
      <c r="CV5" s="103" t="s">
        <v>38</v>
      </c>
      <c r="CW5" s="103" t="s">
        <v>38</v>
      </c>
      <c r="CX5" s="103" t="s">
        <v>38</v>
      </c>
      <c r="CY5" s="103" t="s">
        <v>38</v>
      </c>
      <c r="CZ5" s="103" t="s">
        <v>38</v>
      </c>
      <c r="DA5" s="103" t="s">
        <v>38</v>
      </c>
      <c r="DB5" s="103" t="s">
        <v>38</v>
      </c>
      <c r="DC5" s="103" t="s">
        <v>38</v>
      </c>
      <c r="DD5" s="103" t="s">
        <v>38</v>
      </c>
      <c r="DE5" s="103" t="s">
        <v>38</v>
      </c>
      <c r="DF5" s="103" t="s">
        <v>38</v>
      </c>
    </row>
    <row r="6" spans="1:110" x14ac:dyDescent="0.3">
      <c r="B6" s="104">
        <v>1</v>
      </c>
      <c r="C6" s="105"/>
      <c r="D6" s="105"/>
      <c r="E6" s="105" t="s">
        <v>198</v>
      </c>
      <c r="F6" s="105" t="s">
        <v>634</v>
      </c>
      <c r="G6" s="105" t="s">
        <v>198</v>
      </c>
      <c r="H6" s="105" t="s">
        <v>198</v>
      </c>
      <c r="I6" s="105" t="s">
        <v>636</v>
      </c>
      <c r="J6" s="105" t="s">
        <v>198</v>
      </c>
      <c r="K6" s="105" t="s">
        <v>637</v>
      </c>
      <c r="L6" s="105" t="s">
        <v>639</v>
      </c>
      <c r="M6" s="105" t="s">
        <v>640</v>
      </c>
      <c r="N6" s="105" t="s">
        <v>198</v>
      </c>
      <c r="O6" s="105" t="s">
        <v>641</v>
      </c>
      <c r="P6" s="105" t="s">
        <v>634</v>
      </c>
      <c r="Q6" s="105" t="s">
        <v>642</v>
      </c>
      <c r="R6" s="105" t="s">
        <v>634</v>
      </c>
      <c r="S6" s="105" t="s">
        <v>643</v>
      </c>
      <c r="T6" s="105" t="s">
        <v>198</v>
      </c>
      <c r="U6" s="105" t="s">
        <v>644</v>
      </c>
      <c r="V6" s="105" t="s">
        <v>620</v>
      </c>
      <c r="W6" s="105" t="s">
        <v>645</v>
      </c>
      <c r="X6" s="105" t="s">
        <v>646</v>
      </c>
      <c r="Y6" s="105" t="s">
        <v>645</v>
      </c>
      <c r="Z6" s="105" t="s">
        <v>646</v>
      </c>
      <c r="AA6" s="105" t="s">
        <v>645</v>
      </c>
      <c r="AB6" s="105" t="s">
        <v>646</v>
      </c>
      <c r="AC6" s="105" t="s">
        <v>645</v>
      </c>
      <c r="AD6" s="105" t="s">
        <v>646</v>
      </c>
      <c r="AE6" s="105" t="s">
        <v>198</v>
      </c>
      <c r="AF6" s="105" t="s">
        <v>198</v>
      </c>
      <c r="AG6" s="105" t="s">
        <v>198</v>
      </c>
      <c r="AH6" s="105" t="s">
        <v>198</v>
      </c>
      <c r="AI6" s="105" t="s">
        <v>198</v>
      </c>
      <c r="AJ6" s="105" t="s">
        <v>198</v>
      </c>
      <c r="AK6" s="105" t="s">
        <v>198</v>
      </c>
      <c r="AL6" s="105" t="s">
        <v>198</v>
      </c>
      <c r="AM6" s="105" t="s">
        <v>198</v>
      </c>
      <c r="AN6" s="105" t="s">
        <v>620</v>
      </c>
      <c r="AO6" s="105" t="s">
        <v>623</v>
      </c>
      <c r="AP6" s="105" t="s">
        <v>620</v>
      </c>
      <c r="AQ6" s="105" t="s">
        <v>648</v>
      </c>
      <c r="AR6" s="105" t="s">
        <v>649</v>
      </c>
      <c r="AS6" s="105" t="s">
        <v>651</v>
      </c>
      <c r="AT6" s="105" t="s">
        <v>652</v>
      </c>
      <c r="AU6" s="105" t="s">
        <v>653</v>
      </c>
      <c r="AV6" s="105" t="s">
        <v>654</v>
      </c>
      <c r="AW6" s="105" t="s">
        <v>656</v>
      </c>
      <c r="AX6" s="105" t="s">
        <v>657</v>
      </c>
      <c r="AY6" s="105" t="s">
        <v>1178</v>
      </c>
      <c r="AZ6" s="105" t="s">
        <v>658</v>
      </c>
      <c r="BA6" s="105" t="s">
        <v>660</v>
      </c>
      <c r="BB6" s="105" t="s">
        <v>655</v>
      </c>
      <c r="BC6" s="105" t="s">
        <v>664</v>
      </c>
      <c r="BD6" s="105" t="s">
        <v>665</v>
      </c>
      <c r="BE6" s="105" t="s">
        <v>198</v>
      </c>
      <c r="BF6" s="105" t="s">
        <v>198</v>
      </c>
      <c r="BG6" s="105" t="s">
        <v>662</v>
      </c>
      <c r="BH6" s="105" t="s">
        <v>650</v>
      </c>
      <c r="BI6" s="105" t="s">
        <v>666</v>
      </c>
      <c r="BJ6" s="105" t="s">
        <v>663</v>
      </c>
      <c r="BK6" s="105" t="s">
        <v>198</v>
      </c>
      <c r="BL6" s="105" t="s">
        <v>198</v>
      </c>
      <c r="BM6" s="105" t="s">
        <v>669</v>
      </c>
      <c r="BN6" s="105" t="s">
        <v>663</v>
      </c>
      <c r="BO6" s="105" t="s">
        <v>198</v>
      </c>
      <c r="BP6" s="105" t="s">
        <v>198</v>
      </c>
      <c r="BQ6" s="105" t="s">
        <v>671</v>
      </c>
      <c r="BR6" s="105" t="s">
        <v>663</v>
      </c>
      <c r="BS6" s="105" t="s">
        <v>670</v>
      </c>
      <c r="BT6" s="105" t="s">
        <v>663</v>
      </c>
      <c r="BU6" s="105" t="s">
        <v>198</v>
      </c>
      <c r="BV6" s="105" t="s">
        <v>198</v>
      </c>
      <c r="BW6" s="105" t="s">
        <v>672</v>
      </c>
      <c r="BX6" s="105" t="s">
        <v>663</v>
      </c>
      <c r="BY6" s="105" t="s">
        <v>198</v>
      </c>
      <c r="BZ6" s="105" t="s">
        <v>663</v>
      </c>
      <c r="CA6" s="105" t="s">
        <v>198</v>
      </c>
      <c r="CB6" s="105" t="s">
        <v>663</v>
      </c>
      <c r="CC6" s="105" t="s">
        <v>198</v>
      </c>
      <c r="CD6" s="105" t="s">
        <v>198</v>
      </c>
      <c r="CE6" s="105" t="s">
        <v>938</v>
      </c>
      <c r="CF6" s="105" t="s">
        <v>663</v>
      </c>
      <c r="CG6" s="105" t="s">
        <v>674</v>
      </c>
      <c r="CH6" s="105" t="s">
        <v>663</v>
      </c>
      <c r="CI6" s="105" t="s">
        <v>673</v>
      </c>
      <c r="CJ6" s="105" t="s">
        <v>663</v>
      </c>
      <c r="CK6" s="105" t="s">
        <v>667</v>
      </c>
      <c r="CL6" s="105" t="s">
        <v>663</v>
      </c>
      <c r="CM6" s="105" t="s">
        <v>198</v>
      </c>
      <c r="CN6" s="105" t="s">
        <v>198</v>
      </c>
      <c r="CO6" s="105" t="s">
        <v>675</v>
      </c>
      <c r="CP6" s="105" t="s">
        <v>663</v>
      </c>
      <c r="CQ6" s="105" t="s">
        <v>198</v>
      </c>
      <c r="CR6" s="105" t="s">
        <v>198</v>
      </c>
      <c r="CS6" s="105" t="s">
        <v>198</v>
      </c>
      <c r="CT6" s="105" t="s">
        <v>198</v>
      </c>
      <c r="CU6" s="105" t="s">
        <v>198</v>
      </c>
      <c r="CV6" s="105" t="s">
        <v>198</v>
      </c>
      <c r="CW6" s="105" t="s">
        <v>198</v>
      </c>
      <c r="CX6" s="105" t="s">
        <v>198</v>
      </c>
      <c r="CY6" s="105" t="s">
        <v>668</v>
      </c>
      <c r="CZ6" s="105" t="s">
        <v>634</v>
      </c>
      <c r="DA6" s="105" t="s">
        <v>198</v>
      </c>
      <c r="DB6" s="105" t="s">
        <v>198</v>
      </c>
      <c r="DC6" s="105" t="s">
        <v>677</v>
      </c>
      <c r="DD6" s="105" t="s">
        <v>198</v>
      </c>
      <c r="DE6" s="105" t="s">
        <v>677</v>
      </c>
      <c r="DF6" s="105" t="s">
        <v>198</v>
      </c>
    </row>
    <row r="7" spans="1:110" x14ac:dyDescent="0.3">
      <c r="B7" s="104">
        <v>3</v>
      </c>
      <c r="C7" s="105"/>
      <c r="D7" s="105"/>
      <c r="E7" s="105"/>
      <c r="F7" s="105"/>
      <c r="G7" s="105"/>
      <c r="H7" s="105"/>
      <c r="I7" s="105"/>
      <c r="J7" s="105"/>
      <c r="K7" s="105"/>
      <c r="L7" s="105"/>
      <c r="M7" s="105"/>
      <c r="N7" s="105"/>
      <c r="O7" s="105"/>
      <c r="P7" s="105"/>
      <c r="Q7" s="105"/>
      <c r="R7" s="105"/>
      <c r="S7" s="105"/>
      <c r="T7" s="105"/>
      <c r="U7" s="105" t="s">
        <v>198</v>
      </c>
      <c r="V7" s="105" t="s">
        <v>1331</v>
      </c>
      <c r="W7" s="105" t="s">
        <v>198</v>
      </c>
      <c r="X7" s="105" t="s">
        <v>1330</v>
      </c>
      <c r="Y7" s="105" t="s">
        <v>198</v>
      </c>
      <c r="Z7" s="105" t="s">
        <v>1330</v>
      </c>
      <c r="AA7" s="105" t="s">
        <v>198</v>
      </c>
      <c r="AB7" s="105" t="s">
        <v>1330</v>
      </c>
      <c r="AC7" s="105" t="s">
        <v>198</v>
      </c>
      <c r="AD7" s="105" t="s">
        <v>1330</v>
      </c>
      <c r="AE7" s="105"/>
      <c r="AF7" s="105"/>
      <c r="AG7" s="105" t="s">
        <v>1332</v>
      </c>
      <c r="AH7" s="105" t="s">
        <v>1333</v>
      </c>
      <c r="AI7" s="105" t="s">
        <v>1334</v>
      </c>
      <c r="AJ7" s="105" t="s">
        <v>1330</v>
      </c>
      <c r="AK7" s="105" t="s">
        <v>198</v>
      </c>
      <c r="AL7" s="105" t="s">
        <v>198</v>
      </c>
      <c r="AM7" s="105"/>
      <c r="AN7" s="105"/>
      <c r="AO7" s="105"/>
      <c r="AP7" s="105"/>
      <c r="AQ7" s="105"/>
      <c r="AR7" s="105"/>
      <c r="AS7" s="105"/>
      <c r="AT7" s="105"/>
      <c r="AU7" s="105"/>
      <c r="AV7" s="105"/>
      <c r="AW7" s="105"/>
      <c r="AX7" s="105"/>
      <c r="AY7" s="105"/>
      <c r="AZ7" s="105"/>
      <c r="BA7" s="105"/>
      <c r="BB7" s="105"/>
      <c r="BC7" s="105"/>
      <c r="BD7" s="105"/>
      <c r="BE7" s="105"/>
      <c r="BF7" s="105"/>
      <c r="BG7" s="105" t="s">
        <v>198</v>
      </c>
      <c r="BH7" s="105" t="s">
        <v>1333</v>
      </c>
      <c r="BI7" s="105" t="s">
        <v>1338</v>
      </c>
      <c r="BJ7" s="105" t="s">
        <v>198</v>
      </c>
      <c r="BK7" s="105" t="s">
        <v>1338</v>
      </c>
      <c r="BL7" s="105" t="s">
        <v>198</v>
      </c>
      <c r="BM7" s="105" t="s">
        <v>1339</v>
      </c>
      <c r="BN7" s="105" t="s">
        <v>1336</v>
      </c>
      <c r="BO7" s="105" t="s">
        <v>198</v>
      </c>
      <c r="BP7" s="105" t="s">
        <v>1330</v>
      </c>
      <c r="BQ7" s="105" t="s">
        <v>1338</v>
      </c>
      <c r="BR7" s="105" t="s">
        <v>198</v>
      </c>
      <c r="BS7" s="105" t="s">
        <v>1338</v>
      </c>
      <c r="BT7" s="105" t="s">
        <v>198</v>
      </c>
      <c r="BU7" s="105" t="s">
        <v>198</v>
      </c>
      <c r="BV7" s="105" t="s">
        <v>198</v>
      </c>
      <c r="BW7" s="105" t="s">
        <v>1337</v>
      </c>
      <c r="BX7" s="105" t="s">
        <v>1336</v>
      </c>
      <c r="BY7" s="105" t="s">
        <v>198</v>
      </c>
      <c r="BZ7" s="105" t="s">
        <v>198</v>
      </c>
      <c r="CA7" s="105" t="s">
        <v>198</v>
      </c>
      <c r="CB7" s="105" t="s">
        <v>198</v>
      </c>
      <c r="CC7" s="105"/>
      <c r="CD7" s="105"/>
      <c r="CE7" s="105"/>
      <c r="CF7" s="105"/>
      <c r="CG7" s="105" t="s">
        <v>1340</v>
      </c>
      <c r="CH7" s="105" t="s">
        <v>1336</v>
      </c>
      <c r="CI7" s="105" t="s">
        <v>1236</v>
      </c>
      <c r="CJ7" s="105" t="s">
        <v>198</v>
      </c>
      <c r="CK7" s="105" t="s">
        <v>1335</v>
      </c>
      <c r="CL7" s="105" t="s">
        <v>1330</v>
      </c>
      <c r="CM7" s="105"/>
      <c r="CN7" s="105"/>
      <c r="CO7" s="105"/>
      <c r="CP7" s="105"/>
      <c r="CQ7" s="105"/>
      <c r="CR7" s="105"/>
      <c r="CS7" s="105"/>
      <c r="CT7" s="105"/>
      <c r="CU7" s="105"/>
      <c r="CV7" s="105"/>
      <c r="CW7" s="105"/>
      <c r="CX7" s="105"/>
      <c r="CY7" s="105"/>
      <c r="CZ7" s="105"/>
      <c r="DA7" s="105"/>
      <c r="DB7" s="105"/>
      <c r="DC7" s="105"/>
      <c r="DD7" s="105"/>
      <c r="DE7" s="105"/>
      <c r="DF7" s="105"/>
    </row>
    <row r="8" spans="1:110" x14ac:dyDescent="0.3">
      <c r="B8" s="104">
        <v>4</v>
      </c>
      <c r="C8" s="105"/>
      <c r="D8" s="105"/>
      <c r="E8" s="105"/>
      <c r="F8" s="105"/>
      <c r="G8" s="105"/>
      <c r="H8" s="105"/>
      <c r="I8" s="105"/>
      <c r="J8" s="105"/>
      <c r="K8" s="105"/>
      <c r="L8" s="105"/>
      <c r="M8" s="105"/>
      <c r="N8" s="105"/>
      <c r="O8" s="105"/>
      <c r="P8" s="105"/>
      <c r="Q8" s="105"/>
      <c r="R8" s="105"/>
      <c r="S8" s="105"/>
      <c r="T8" s="105"/>
      <c r="U8" s="105" t="s">
        <v>198</v>
      </c>
      <c r="V8" s="105" t="s">
        <v>1331</v>
      </c>
      <c r="W8" s="105" t="s">
        <v>198</v>
      </c>
      <c r="X8" s="105" t="s">
        <v>1330</v>
      </c>
      <c r="Y8" s="105" t="s">
        <v>198</v>
      </c>
      <c r="Z8" s="105" t="s">
        <v>1330</v>
      </c>
      <c r="AA8" s="105" t="s">
        <v>198</v>
      </c>
      <c r="AB8" s="105" t="s">
        <v>1330</v>
      </c>
      <c r="AC8" s="105" t="s">
        <v>198</v>
      </c>
      <c r="AD8" s="105" t="s">
        <v>1330</v>
      </c>
      <c r="AE8" s="105"/>
      <c r="AF8" s="105"/>
      <c r="AG8" s="105" t="s">
        <v>1332</v>
      </c>
      <c r="AH8" s="105" t="s">
        <v>1333</v>
      </c>
      <c r="AI8" s="105" t="s">
        <v>1334</v>
      </c>
      <c r="AJ8" s="105" t="s">
        <v>1330</v>
      </c>
      <c r="AK8" s="105" t="s">
        <v>198</v>
      </c>
      <c r="AL8" s="105" t="s">
        <v>198</v>
      </c>
      <c r="AM8" s="105"/>
      <c r="AN8" s="105"/>
      <c r="AO8" s="105"/>
      <c r="AP8" s="105"/>
      <c r="AQ8" s="105"/>
      <c r="AR8" s="105"/>
      <c r="AS8" s="105"/>
      <c r="AT8" s="105"/>
      <c r="AU8" s="105"/>
      <c r="AV8" s="105"/>
      <c r="AW8" s="105"/>
      <c r="AX8" s="105"/>
      <c r="AY8" s="105"/>
      <c r="AZ8" s="105"/>
      <c r="BA8" s="105"/>
      <c r="BB8" s="105"/>
      <c r="BC8" s="105"/>
      <c r="BD8" s="105"/>
      <c r="BE8" s="105"/>
      <c r="BF8" s="105"/>
      <c r="BG8" s="105" t="s">
        <v>198</v>
      </c>
      <c r="BH8" s="105" t="s">
        <v>1333</v>
      </c>
      <c r="BI8" s="105" t="s">
        <v>1338</v>
      </c>
      <c r="BJ8" s="105" t="s">
        <v>198</v>
      </c>
      <c r="BK8" s="105" t="s">
        <v>1338</v>
      </c>
      <c r="BL8" s="105" t="s">
        <v>198</v>
      </c>
      <c r="BM8" s="105" t="s">
        <v>1339</v>
      </c>
      <c r="BN8" s="105" t="s">
        <v>1336</v>
      </c>
      <c r="BO8" s="105" t="s">
        <v>198</v>
      </c>
      <c r="BP8" s="105" t="s">
        <v>1330</v>
      </c>
      <c r="BQ8" s="105" t="s">
        <v>1338</v>
      </c>
      <c r="BR8" s="105" t="s">
        <v>198</v>
      </c>
      <c r="BS8" s="105" t="s">
        <v>1338</v>
      </c>
      <c r="BT8" s="105" t="s">
        <v>198</v>
      </c>
      <c r="BU8" s="105" t="s">
        <v>198</v>
      </c>
      <c r="BV8" s="105" t="s">
        <v>198</v>
      </c>
      <c r="BW8" s="105" t="s">
        <v>1337</v>
      </c>
      <c r="BX8" s="105" t="s">
        <v>1336</v>
      </c>
      <c r="BY8" s="105" t="s">
        <v>198</v>
      </c>
      <c r="BZ8" s="105" t="s">
        <v>198</v>
      </c>
      <c r="CA8" s="105" t="s">
        <v>198</v>
      </c>
      <c r="CB8" s="105" t="s">
        <v>198</v>
      </c>
      <c r="CC8" s="105"/>
      <c r="CD8" s="105"/>
      <c r="CE8" s="105"/>
      <c r="CF8" s="105"/>
      <c r="CG8" s="105" t="s">
        <v>1341</v>
      </c>
      <c r="CH8" s="105" t="s">
        <v>1342</v>
      </c>
      <c r="CI8" s="105" t="s">
        <v>1236</v>
      </c>
      <c r="CJ8" s="105" t="s">
        <v>198</v>
      </c>
      <c r="CK8" s="105" t="s">
        <v>1335</v>
      </c>
      <c r="CL8" s="105" t="s">
        <v>1330</v>
      </c>
      <c r="CM8" s="105"/>
      <c r="CN8" s="105"/>
      <c r="CO8" s="105"/>
      <c r="CP8" s="105"/>
      <c r="CQ8" s="105"/>
      <c r="CR8" s="105"/>
      <c r="CS8" s="105"/>
      <c r="CT8" s="105"/>
      <c r="CU8" s="105"/>
      <c r="CV8" s="105"/>
      <c r="CW8" s="105"/>
      <c r="CX8" s="105"/>
      <c r="CY8" s="105"/>
      <c r="CZ8" s="105"/>
      <c r="DA8" s="105"/>
      <c r="DB8" s="105"/>
      <c r="DC8" s="105"/>
      <c r="DD8" s="105"/>
      <c r="DE8" s="105"/>
      <c r="DF8" s="105"/>
    </row>
    <row r="9" spans="1:110" x14ac:dyDescent="0.3">
      <c r="B9" s="104">
        <v>5</v>
      </c>
      <c r="C9" s="105"/>
      <c r="D9" s="105"/>
      <c r="E9" s="105"/>
      <c r="F9" s="105"/>
      <c r="G9" s="105"/>
      <c r="H9" s="105"/>
      <c r="I9" s="105"/>
      <c r="J9" s="105"/>
      <c r="K9" s="105"/>
      <c r="L9" s="105"/>
      <c r="M9" s="105"/>
      <c r="N9" s="105"/>
      <c r="O9" s="105"/>
      <c r="P9" s="105"/>
      <c r="Q9" s="105"/>
      <c r="R9" s="105"/>
      <c r="S9" s="105"/>
      <c r="T9" s="105"/>
      <c r="U9" s="105" t="s">
        <v>198</v>
      </c>
      <c r="V9" s="105" t="s">
        <v>1331</v>
      </c>
      <c r="W9" s="105" t="s">
        <v>198</v>
      </c>
      <c r="X9" s="105" t="s">
        <v>1330</v>
      </c>
      <c r="Y9" s="105" t="s">
        <v>198</v>
      </c>
      <c r="Z9" s="105" t="s">
        <v>1330</v>
      </c>
      <c r="AA9" s="105" t="s">
        <v>198</v>
      </c>
      <c r="AB9" s="105" t="s">
        <v>1330</v>
      </c>
      <c r="AC9" s="105" t="s">
        <v>198</v>
      </c>
      <c r="AD9" s="105" t="s">
        <v>1330</v>
      </c>
      <c r="AE9" s="105"/>
      <c r="AF9" s="105"/>
      <c r="AG9" s="105" t="s">
        <v>1332</v>
      </c>
      <c r="AH9" s="105" t="s">
        <v>1333</v>
      </c>
      <c r="AI9" s="105" t="s">
        <v>1334</v>
      </c>
      <c r="AJ9" s="105" t="s">
        <v>1330</v>
      </c>
      <c r="AK9" s="105" t="s">
        <v>198</v>
      </c>
      <c r="AL9" s="105" t="s">
        <v>198</v>
      </c>
      <c r="AM9" s="105"/>
      <c r="AN9" s="105"/>
      <c r="AO9" s="105"/>
      <c r="AP9" s="105"/>
      <c r="AQ9" s="105"/>
      <c r="AR9" s="105"/>
      <c r="AS9" s="105"/>
      <c r="AT9" s="105"/>
      <c r="AU9" s="105"/>
      <c r="AV9" s="105"/>
      <c r="AW9" s="105"/>
      <c r="AX9" s="105"/>
      <c r="AY9" s="105"/>
      <c r="AZ9" s="105"/>
      <c r="BA9" s="105"/>
      <c r="BB9" s="105"/>
      <c r="BC9" s="105"/>
      <c r="BD9" s="105"/>
      <c r="BE9" s="105"/>
      <c r="BF9" s="105"/>
      <c r="BG9" s="105" t="s">
        <v>198</v>
      </c>
      <c r="BH9" s="105" t="s">
        <v>1333</v>
      </c>
      <c r="BI9" s="105" t="s">
        <v>1338</v>
      </c>
      <c r="BJ9" s="105" t="s">
        <v>198</v>
      </c>
      <c r="BK9" s="105" t="s">
        <v>1338</v>
      </c>
      <c r="BL9" s="105" t="s">
        <v>198</v>
      </c>
      <c r="BM9" s="105" t="s">
        <v>1339</v>
      </c>
      <c r="BN9" s="105" t="s">
        <v>1336</v>
      </c>
      <c r="BO9" s="105" t="s">
        <v>198</v>
      </c>
      <c r="BP9" s="105" t="s">
        <v>1330</v>
      </c>
      <c r="BQ9" s="105" t="s">
        <v>1338</v>
      </c>
      <c r="BR9" s="105" t="s">
        <v>198</v>
      </c>
      <c r="BS9" s="105" t="s">
        <v>1338</v>
      </c>
      <c r="BT9" s="105" t="s">
        <v>198</v>
      </c>
      <c r="BU9" s="105" t="s">
        <v>198</v>
      </c>
      <c r="BV9" s="105" t="s">
        <v>198</v>
      </c>
      <c r="BW9" s="105" t="s">
        <v>1337</v>
      </c>
      <c r="BX9" s="105" t="s">
        <v>1336</v>
      </c>
      <c r="BY9" s="105" t="s">
        <v>198</v>
      </c>
      <c r="BZ9" s="105" t="s">
        <v>198</v>
      </c>
      <c r="CA9" s="105" t="s">
        <v>198</v>
      </c>
      <c r="CB9" s="105" t="s">
        <v>198</v>
      </c>
      <c r="CC9" s="105"/>
      <c r="CD9" s="105"/>
      <c r="CE9" s="105"/>
      <c r="CF9" s="105"/>
      <c r="CG9" s="105" t="s">
        <v>1343</v>
      </c>
      <c r="CH9" s="105" t="s">
        <v>1344</v>
      </c>
      <c r="CI9" s="105" t="s">
        <v>1236</v>
      </c>
      <c r="CJ9" s="105" t="s">
        <v>198</v>
      </c>
      <c r="CK9" s="105" t="s">
        <v>1335</v>
      </c>
      <c r="CL9" s="105" t="s">
        <v>1330</v>
      </c>
      <c r="CM9" s="105"/>
      <c r="CN9" s="105"/>
      <c r="CO9" s="105"/>
      <c r="CP9" s="105"/>
      <c r="CQ9" s="105"/>
      <c r="CR9" s="105"/>
      <c r="CS9" s="105"/>
      <c r="CT9" s="105"/>
      <c r="CU9" s="105"/>
      <c r="CV9" s="105"/>
      <c r="CW9" s="105"/>
      <c r="CX9" s="105"/>
      <c r="CY9" s="105"/>
      <c r="CZ9" s="105"/>
      <c r="DA9" s="105"/>
      <c r="DB9" s="105"/>
      <c r="DC9" s="105"/>
      <c r="DD9" s="105"/>
      <c r="DE9" s="105"/>
      <c r="DF9" s="105"/>
    </row>
    <row r="10" spans="1:110" x14ac:dyDescent="0.3">
      <c r="B10" s="104">
        <v>6</v>
      </c>
      <c r="C10" s="105"/>
      <c r="D10" s="105"/>
      <c r="E10" s="105"/>
      <c r="F10" s="105"/>
      <c r="G10" s="105"/>
      <c r="H10" s="105"/>
      <c r="I10" s="105"/>
      <c r="J10" s="105"/>
      <c r="K10" s="105"/>
      <c r="L10" s="105"/>
      <c r="M10" s="105"/>
      <c r="N10" s="105"/>
      <c r="O10" s="105"/>
      <c r="P10" s="105"/>
      <c r="Q10" s="105"/>
      <c r="R10" s="105"/>
      <c r="S10" s="105"/>
      <c r="T10" s="105"/>
      <c r="U10" s="105" t="s">
        <v>198</v>
      </c>
      <c r="V10" s="105" t="s">
        <v>1331</v>
      </c>
      <c r="W10" s="105" t="s">
        <v>198</v>
      </c>
      <c r="X10" s="105" t="s">
        <v>1330</v>
      </c>
      <c r="Y10" s="105" t="s">
        <v>198</v>
      </c>
      <c r="Z10" s="105" t="s">
        <v>1330</v>
      </c>
      <c r="AA10" s="105" t="s">
        <v>198</v>
      </c>
      <c r="AB10" s="105" t="s">
        <v>1330</v>
      </c>
      <c r="AC10" s="105" t="s">
        <v>198</v>
      </c>
      <c r="AD10" s="105" t="s">
        <v>1330</v>
      </c>
      <c r="AE10" s="105"/>
      <c r="AF10" s="105"/>
      <c r="AG10" s="105" t="s">
        <v>1332</v>
      </c>
      <c r="AH10" s="105" t="s">
        <v>1333</v>
      </c>
      <c r="AI10" s="105" t="s">
        <v>1334</v>
      </c>
      <c r="AJ10" s="105" t="s">
        <v>1330</v>
      </c>
      <c r="AK10" s="105" t="s">
        <v>198</v>
      </c>
      <c r="AL10" s="105" t="s">
        <v>198</v>
      </c>
      <c r="AM10" s="105"/>
      <c r="AN10" s="105"/>
      <c r="AO10" s="105"/>
      <c r="AP10" s="105"/>
      <c r="AQ10" s="105"/>
      <c r="AR10" s="105"/>
      <c r="AS10" s="105"/>
      <c r="AT10" s="105"/>
      <c r="AU10" s="105"/>
      <c r="AV10" s="105"/>
      <c r="AW10" s="105"/>
      <c r="AX10" s="105"/>
      <c r="AY10" s="105"/>
      <c r="AZ10" s="105"/>
      <c r="BA10" s="105"/>
      <c r="BB10" s="105"/>
      <c r="BC10" s="105"/>
      <c r="BD10" s="105"/>
      <c r="BE10" s="105"/>
      <c r="BF10" s="105"/>
      <c r="BG10" s="105" t="s">
        <v>198</v>
      </c>
      <c r="BH10" s="105" t="s">
        <v>1333</v>
      </c>
      <c r="BI10" s="105" t="s">
        <v>1338</v>
      </c>
      <c r="BJ10" s="105" t="s">
        <v>198</v>
      </c>
      <c r="BK10" s="105" t="s">
        <v>1338</v>
      </c>
      <c r="BL10" s="105" t="s">
        <v>198</v>
      </c>
      <c r="BM10" s="105" t="s">
        <v>1339</v>
      </c>
      <c r="BN10" s="105" t="s">
        <v>1336</v>
      </c>
      <c r="BO10" s="105" t="s">
        <v>198</v>
      </c>
      <c r="BP10" s="105" t="s">
        <v>1330</v>
      </c>
      <c r="BQ10" s="105" t="s">
        <v>1338</v>
      </c>
      <c r="BR10" s="105" t="s">
        <v>198</v>
      </c>
      <c r="BS10" s="105" t="s">
        <v>1338</v>
      </c>
      <c r="BT10" s="105" t="s">
        <v>198</v>
      </c>
      <c r="BU10" s="105" t="s">
        <v>198</v>
      </c>
      <c r="BV10" s="105" t="s">
        <v>198</v>
      </c>
      <c r="BW10" s="105" t="s">
        <v>1337</v>
      </c>
      <c r="BX10" s="105" t="s">
        <v>1336</v>
      </c>
      <c r="BY10" s="105" t="s">
        <v>198</v>
      </c>
      <c r="BZ10" s="105" t="s">
        <v>198</v>
      </c>
      <c r="CA10" s="105" t="s">
        <v>198</v>
      </c>
      <c r="CB10" s="105" t="s">
        <v>198</v>
      </c>
      <c r="CC10" s="105"/>
      <c r="CD10" s="105"/>
      <c r="CE10" s="105"/>
      <c r="CF10" s="105"/>
      <c r="CG10" s="105" t="s">
        <v>1345</v>
      </c>
      <c r="CH10" s="105" t="s">
        <v>1346</v>
      </c>
      <c r="CI10" s="105" t="s">
        <v>1236</v>
      </c>
      <c r="CJ10" s="105" t="s">
        <v>198</v>
      </c>
      <c r="CK10" s="105" t="s">
        <v>1335</v>
      </c>
      <c r="CL10" s="105" t="s">
        <v>1330</v>
      </c>
      <c r="CM10" s="105"/>
      <c r="CN10" s="105"/>
      <c r="CO10" s="105"/>
      <c r="CP10" s="105"/>
      <c r="CQ10" s="105"/>
      <c r="CR10" s="105"/>
      <c r="CS10" s="105"/>
      <c r="CT10" s="105"/>
      <c r="CU10" s="105"/>
      <c r="CV10" s="105"/>
      <c r="CW10" s="105"/>
      <c r="CX10" s="105"/>
      <c r="CY10" s="105"/>
      <c r="CZ10" s="105"/>
      <c r="DA10" s="105"/>
      <c r="DB10" s="105"/>
      <c r="DC10" s="105"/>
      <c r="DD10" s="105"/>
      <c r="DE10" s="105"/>
      <c r="DF10" s="105"/>
    </row>
    <row r="11" spans="1:110" x14ac:dyDescent="0.3">
      <c r="B11" s="104">
        <v>7</v>
      </c>
      <c r="C11" s="105"/>
      <c r="D11" s="105"/>
      <c r="E11" s="105"/>
      <c r="F11" s="105"/>
      <c r="G11" s="105"/>
      <c r="H11" s="105"/>
      <c r="I11" s="105"/>
      <c r="J11" s="105"/>
      <c r="K11" s="105"/>
      <c r="L11" s="105"/>
      <c r="M11" s="105"/>
      <c r="N11" s="105"/>
      <c r="O11" s="105"/>
      <c r="P11" s="105"/>
      <c r="Q11" s="105"/>
      <c r="R11" s="105"/>
      <c r="S11" s="105"/>
      <c r="T11" s="105"/>
      <c r="U11" s="105" t="s">
        <v>198</v>
      </c>
      <c r="V11" s="105" t="s">
        <v>1331</v>
      </c>
      <c r="W11" s="105" t="s">
        <v>198</v>
      </c>
      <c r="X11" s="105" t="s">
        <v>1330</v>
      </c>
      <c r="Y11" s="105" t="s">
        <v>198</v>
      </c>
      <c r="Z11" s="105" t="s">
        <v>1330</v>
      </c>
      <c r="AA11" s="105" t="s">
        <v>198</v>
      </c>
      <c r="AB11" s="105" t="s">
        <v>1330</v>
      </c>
      <c r="AC11" s="105" t="s">
        <v>198</v>
      </c>
      <c r="AD11" s="105" t="s">
        <v>1330</v>
      </c>
      <c r="AE11" s="105"/>
      <c r="AF11" s="105"/>
      <c r="AG11" s="105" t="s">
        <v>1332</v>
      </c>
      <c r="AH11" s="105" t="s">
        <v>1333</v>
      </c>
      <c r="AI11" s="105" t="s">
        <v>1334</v>
      </c>
      <c r="AJ11" s="105" t="s">
        <v>1330</v>
      </c>
      <c r="AK11" s="105" t="s">
        <v>198</v>
      </c>
      <c r="AL11" s="105" t="s">
        <v>198</v>
      </c>
      <c r="AM11" s="105"/>
      <c r="AN11" s="105"/>
      <c r="AO11" s="105"/>
      <c r="AP11" s="105"/>
      <c r="AQ11" s="105"/>
      <c r="AR11" s="105"/>
      <c r="AS11" s="105"/>
      <c r="AT11" s="105"/>
      <c r="AU11" s="105"/>
      <c r="AV11" s="105"/>
      <c r="AW11" s="105"/>
      <c r="AX11" s="105"/>
      <c r="AY11" s="105"/>
      <c r="AZ11" s="105"/>
      <c r="BA11" s="105"/>
      <c r="BB11" s="105"/>
      <c r="BC11" s="105"/>
      <c r="BD11" s="105"/>
      <c r="BE11" s="105"/>
      <c r="BF11" s="105"/>
      <c r="BG11" s="105" t="s">
        <v>198</v>
      </c>
      <c r="BH11" s="105" t="s">
        <v>1333</v>
      </c>
      <c r="BI11" s="105" t="s">
        <v>1338</v>
      </c>
      <c r="BJ11" s="105" t="s">
        <v>198</v>
      </c>
      <c r="BK11" s="105" t="s">
        <v>1338</v>
      </c>
      <c r="BL11" s="105" t="s">
        <v>198</v>
      </c>
      <c r="BM11" s="105" t="s">
        <v>1339</v>
      </c>
      <c r="BN11" s="105" t="s">
        <v>1336</v>
      </c>
      <c r="BO11" s="105" t="s">
        <v>198</v>
      </c>
      <c r="BP11" s="105" t="s">
        <v>1330</v>
      </c>
      <c r="BQ11" s="105" t="s">
        <v>1338</v>
      </c>
      <c r="BR11" s="105" t="s">
        <v>198</v>
      </c>
      <c r="BS11" s="105" t="s">
        <v>1338</v>
      </c>
      <c r="BT11" s="105" t="s">
        <v>198</v>
      </c>
      <c r="BU11" s="105" t="s">
        <v>198</v>
      </c>
      <c r="BV11" s="105" t="s">
        <v>198</v>
      </c>
      <c r="BW11" s="105" t="s">
        <v>1337</v>
      </c>
      <c r="BX11" s="105" t="s">
        <v>1336</v>
      </c>
      <c r="BY11" s="105" t="s">
        <v>198</v>
      </c>
      <c r="BZ11" s="105" t="s">
        <v>198</v>
      </c>
      <c r="CA11" s="105" t="s">
        <v>198</v>
      </c>
      <c r="CB11" s="105" t="s">
        <v>198</v>
      </c>
      <c r="CC11" s="105"/>
      <c r="CD11" s="105"/>
      <c r="CE11" s="105"/>
      <c r="CF11" s="105"/>
      <c r="CG11" s="105" t="s">
        <v>1347</v>
      </c>
      <c r="CH11" s="105" t="s">
        <v>1348</v>
      </c>
      <c r="CI11" s="105" t="s">
        <v>1236</v>
      </c>
      <c r="CJ11" s="105" t="s">
        <v>198</v>
      </c>
      <c r="CK11" s="105" t="s">
        <v>1335</v>
      </c>
      <c r="CL11" s="105" t="s">
        <v>1330</v>
      </c>
      <c r="CM11" s="105"/>
      <c r="CN11" s="105"/>
      <c r="CO11" s="105"/>
      <c r="CP11" s="105"/>
      <c r="CQ11" s="105"/>
      <c r="CR11" s="105"/>
      <c r="CS11" s="105"/>
      <c r="CT11" s="105"/>
      <c r="CU11" s="105"/>
      <c r="CV11" s="105"/>
      <c r="CW11" s="105"/>
      <c r="CX11" s="105"/>
      <c r="CY11" s="105"/>
      <c r="CZ11" s="105"/>
      <c r="DA11" s="105"/>
      <c r="DB11" s="105"/>
      <c r="DC11" s="105"/>
      <c r="DD11" s="105"/>
      <c r="DE11" s="105"/>
      <c r="DF11" s="105"/>
    </row>
    <row r="12" spans="1:110" x14ac:dyDescent="0.3">
      <c r="B12" s="104">
        <v>8</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t="s">
        <v>198</v>
      </c>
      <c r="AN12" s="105" t="s">
        <v>946</v>
      </c>
      <c r="AO12" s="105" t="s">
        <v>198</v>
      </c>
      <c r="AP12" s="105" t="s">
        <v>946</v>
      </c>
      <c r="AQ12" s="105"/>
      <c r="AR12" s="105"/>
      <c r="AS12" s="105"/>
      <c r="AT12" s="105"/>
      <c r="AU12" s="105"/>
      <c r="AV12" s="105"/>
      <c r="AW12" s="105"/>
      <c r="AX12" s="105"/>
      <c r="AY12" s="105" t="s">
        <v>198</v>
      </c>
      <c r="AZ12" s="105" t="s">
        <v>981</v>
      </c>
      <c r="BA12" s="105" t="s">
        <v>980</v>
      </c>
      <c r="BB12" s="105" t="s">
        <v>981</v>
      </c>
      <c r="BC12" s="105" t="s">
        <v>198</v>
      </c>
      <c r="BD12" s="105" t="s">
        <v>981</v>
      </c>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row>
    <row r="13" spans="1:110" x14ac:dyDescent="0.3">
      <c r="B13" s="104">
        <v>9</v>
      </c>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t="s">
        <v>198</v>
      </c>
      <c r="AN13" s="105" t="s">
        <v>947</v>
      </c>
      <c r="AO13" s="105" t="s">
        <v>198</v>
      </c>
      <c r="AP13" s="105" t="s">
        <v>947</v>
      </c>
      <c r="AQ13" s="105"/>
      <c r="AR13" s="105"/>
      <c r="AS13" s="105"/>
      <c r="AT13" s="105"/>
      <c r="AU13" s="105"/>
      <c r="AV13" s="105"/>
      <c r="AW13" s="105"/>
      <c r="AX13" s="105"/>
      <c r="AY13" s="105" t="s">
        <v>198</v>
      </c>
      <c r="AZ13" s="105" t="s">
        <v>981</v>
      </c>
      <c r="BA13" s="105" t="s">
        <v>980</v>
      </c>
      <c r="BB13" s="105" t="s">
        <v>981</v>
      </c>
      <c r="BC13" s="105" t="s">
        <v>198</v>
      </c>
      <c r="BD13" s="105" t="s">
        <v>981</v>
      </c>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row>
    <row r="14" spans="1:110" x14ac:dyDescent="0.3">
      <c r="B14" s="104">
        <v>10</v>
      </c>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t="s">
        <v>198</v>
      </c>
      <c r="AN14" s="105" t="s">
        <v>948</v>
      </c>
      <c r="AO14" s="105" t="s">
        <v>198</v>
      </c>
      <c r="AP14" s="105" t="s">
        <v>948</v>
      </c>
      <c r="AQ14" s="105"/>
      <c r="AR14" s="105"/>
      <c r="AS14" s="105"/>
      <c r="AT14" s="105"/>
      <c r="AU14" s="105"/>
      <c r="AV14" s="105"/>
      <c r="AW14" s="105"/>
      <c r="AX14" s="105"/>
      <c r="AY14" s="105" t="s">
        <v>198</v>
      </c>
      <c r="AZ14" s="105" t="s">
        <v>981</v>
      </c>
      <c r="BA14" s="105" t="s">
        <v>980</v>
      </c>
      <c r="BB14" s="105" t="s">
        <v>981</v>
      </c>
      <c r="BC14" s="105" t="s">
        <v>198</v>
      </c>
      <c r="BD14" s="105" t="s">
        <v>981</v>
      </c>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row>
    <row r="15" spans="1:110" x14ac:dyDescent="0.3">
      <c r="B15" s="104">
        <v>11</v>
      </c>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t="s">
        <v>198</v>
      </c>
      <c r="AN15" s="105" t="s">
        <v>949</v>
      </c>
      <c r="AO15" s="105" t="s">
        <v>198</v>
      </c>
      <c r="AP15" s="105" t="s">
        <v>949</v>
      </c>
      <c r="AQ15" s="105"/>
      <c r="AR15" s="105"/>
      <c r="AS15" s="105"/>
      <c r="AT15" s="105"/>
      <c r="AU15" s="105"/>
      <c r="AV15" s="105"/>
      <c r="AW15" s="105"/>
      <c r="AX15" s="105"/>
      <c r="AY15" s="105" t="s">
        <v>198</v>
      </c>
      <c r="AZ15" s="105" t="s">
        <v>981</v>
      </c>
      <c r="BA15" s="105" t="s">
        <v>980</v>
      </c>
      <c r="BB15" s="105" t="s">
        <v>981</v>
      </c>
      <c r="BC15" s="105" t="s">
        <v>198</v>
      </c>
      <c r="BD15" s="105" t="s">
        <v>981</v>
      </c>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row>
    <row r="16" spans="1:110" x14ac:dyDescent="0.3">
      <c r="B16" s="104">
        <v>12</v>
      </c>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t="s">
        <v>198</v>
      </c>
      <c r="AN16" s="105" t="s">
        <v>950</v>
      </c>
      <c r="AO16" s="105" t="s">
        <v>198</v>
      </c>
      <c r="AP16" s="105" t="s">
        <v>950</v>
      </c>
      <c r="AQ16" s="105"/>
      <c r="AR16" s="105"/>
      <c r="AS16" s="105"/>
      <c r="AT16" s="105"/>
      <c r="AU16" s="105"/>
      <c r="AV16" s="105"/>
      <c r="AW16" s="105"/>
      <c r="AX16" s="105"/>
      <c r="AY16" s="105" t="s">
        <v>198</v>
      </c>
      <c r="AZ16" s="105" t="s">
        <v>981</v>
      </c>
      <c r="BA16" s="105" t="s">
        <v>980</v>
      </c>
      <c r="BB16" s="105" t="s">
        <v>981</v>
      </c>
      <c r="BC16" s="105" t="s">
        <v>198</v>
      </c>
      <c r="BD16" s="105" t="s">
        <v>981</v>
      </c>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row>
    <row r="17" spans="2:110" x14ac:dyDescent="0.3">
      <c r="B17" s="104">
        <v>13</v>
      </c>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t="s">
        <v>198</v>
      </c>
      <c r="AN17" s="105" t="s">
        <v>951</v>
      </c>
      <c r="AO17" s="105" t="s">
        <v>198</v>
      </c>
      <c r="AP17" s="105" t="s">
        <v>951</v>
      </c>
      <c r="AQ17" s="105"/>
      <c r="AR17" s="105"/>
      <c r="AS17" s="105"/>
      <c r="AT17" s="105"/>
      <c r="AU17" s="105"/>
      <c r="AV17" s="105"/>
      <c r="AW17" s="105"/>
      <c r="AX17" s="105"/>
      <c r="AY17" s="105" t="s">
        <v>198</v>
      </c>
      <c r="AZ17" s="105" t="s">
        <v>981</v>
      </c>
      <c r="BA17" s="105" t="s">
        <v>980</v>
      </c>
      <c r="BB17" s="105" t="s">
        <v>981</v>
      </c>
      <c r="BC17" s="105" t="s">
        <v>198</v>
      </c>
      <c r="BD17" s="105" t="s">
        <v>981</v>
      </c>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row>
    <row r="18" spans="2:110" x14ac:dyDescent="0.3">
      <c r="B18" s="104">
        <v>14</v>
      </c>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t="s">
        <v>198</v>
      </c>
      <c r="AN18" s="105" t="s">
        <v>952</v>
      </c>
      <c r="AO18" s="105" t="s">
        <v>198</v>
      </c>
      <c r="AP18" s="105" t="s">
        <v>952</v>
      </c>
      <c r="AQ18" s="105"/>
      <c r="AR18" s="105"/>
      <c r="AS18" s="105"/>
      <c r="AT18" s="105"/>
      <c r="AU18" s="105"/>
      <c r="AV18" s="105"/>
      <c r="AW18" s="105"/>
      <c r="AX18" s="105"/>
      <c r="AY18" s="105" t="s">
        <v>941</v>
      </c>
      <c r="AZ18" s="105" t="s">
        <v>198</v>
      </c>
      <c r="BA18" s="105" t="s">
        <v>980</v>
      </c>
      <c r="BB18" s="105" t="s">
        <v>981</v>
      </c>
      <c r="BC18" s="105" t="s">
        <v>198</v>
      </c>
      <c r="BD18" s="105" t="s">
        <v>981</v>
      </c>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row>
    <row r="19" spans="2:110" x14ac:dyDescent="0.3">
      <c r="B19" s="104">
        <v>15</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t="s">
        <v>198</v>
      </c>
      <c r="AN19" s="105" t="s">
        <v>953</v>
      </c>
      <c r="AO19" s="105" t="s">
        <v>198</v>
      </c>
      <c r="AP19" s="105" t="s">
        <v>953</v>
      </c>
      <c r="AQ19" s="105"/>
      <c r="AR19" s="105"/>
      <c r="AS19" s="105"/>
      <c r="AT19" s="105"/>
      <c r="AU19" s="105"/>
      <c r="AV19" s="105"/>
      <c r="AW19" s="105"/>
      <c r="AX19" s="105"/>
      <c r="AY19" s="105" t="s">
        <v>941</v>
      </c>
      <c r="AZ19" s="105" t="s">
        <v>198</v>
      </c>
      <c r="BA19" s="105" t="s">
        <v>980</v>
      </c>
      <c r="BB19" s="105" t="s">
        <v>981</v>
      </c>
      <c r="BC19" s="105" t="s">
        <v>198</v>
      </c>
      <c r="BD19" s="105" t="s">
        <v>981</v>
      </c>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row>
    <row r="20" spans="2:110" x14ac:dyDescent="0.3">
      <c r="B20" s="104">
        <v>16</v>
      </c>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t="s">
        <v>198</v>
      </c>
      <c r="AN20" s="105" t="s">
        <v>954</v>
      </c>
      <c r="AO20" s="105" t="s">
        <v>198</v>
      </c>
      <c r="AP20" s="105" t="s">
        <v>954</v>
      </c>
      <c r="AQ20" s="105"/>
      <c r="AR20" s="105"/>
      <c r="AS20" s="105"/>
      <c r="AT20" s="105"/>
      <c r="AU20" s="105"/>
      <c r="AV20" s="105"/>
      <c r="AW20" s="105"/>
      <c r="AX20" s="105"/>
      <c r="AY20" s="105" t="s">
        <v>941</v>
      </c>
      <c r="AZ20" s="105" t="s">
        <v>198</v>
      </c>
      <c r="BA20" s="105" t="s">
        <v>980</v>
      </c>
      <c r="BB20" s="105" t="s">
        <v>981</v>
      </c>
      <c r="BC20" s="105" t="s">
        <v>198</v>
      </c>
      <c r="BD20" s="105" t="s">
        <v>981</v>
      </c>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row>
    <row r="21" spans="2:110" x14ac:dyDescent="0.3">
      <c r="B21" s="104">
        <v>17</v>
      </c>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t="s">
        <v>198</v>
      </c>
      <c r="AN21" s="105" t="s">
        <v>955</v>
      </c>
      <c r="AO21" s="105" t="s">
        <v>198</v>
      </c>
      <c r="AP21" s="105" t="s">
        <v>955</v>
      </c>
      <c r="AQ21" s="105"/>
      <c r="AR21" s="105"/>
      <c r="AS21" s="105"/>
      <c r="AT21" s="105"/>
      <c r="AU21" s="105"/>
      <c r="AV21" s="105"/>
      <c r="AW21" s="105"/>
      <c r="AX21" s="105"/>
      <c r="AY21" s="105" t="s">
        <v>941</v>
      </c>
      <c r="AZ21" s="105" t="s">
        <v>198</v>
      </c>
      <c r="BA21" s="105" t="s">
        <v>980</v>
      </c>
      <c r="BB21" s="105" t="s">
        <v>981</v>
      </c>
      <c r="BC21" s="105" t="s">
        <v>198</v>
      </c>
      <c r="BD21" s="105" t="s">
        <v>981</v>
      </c>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row>
    <row r="22" spans="2:110" x14ac:dyDescent="0.3">
      <c r="B22" s="104">
        <v>18</v>
      </c>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t="s">
        <v>198</v>
      </c>
      <c r="AN22" s="105" t="s">
        <v>956</v>
      </c>
      <c r="AO22" s="105" t="s">
        <v>198</v>
      </c>
      <c r="AP22" s="105" t="s">
        <v>956</v>
      </c>
      <c r="AQ22" s="105"/>
      <c r="AR22" s="105"/>
      <c r="AS22" s="105"/>
      <c r="AT22" s="105"/>
      <c r="AU22" s="105"/>
      <c r="AV22" s="105"/>
      <c r="AW22" s="105"/>
      <c r="AX22" s="105"/>
      <c r="AY22" s="105" t="s">
        <v>941</v>
      </c>
      <c r="AZ22" s="105" t="s">
        <v>198</v>
      </c>
      <c r="BA22" s="105" t="s">
        <v>980</v>
      </c>
      <c r="BB22" s="105" t="s">
        <v>981</v>
      </c>
      <c r="BC22" s="105" t="s">
        <v>198</v>
      </c>
      <c r="BD22" s="105" t="s">
        <v>981</v>
      </c>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row>
    <row r="23" spans="2:110" x14ac:dyDescent="0.3">
      <c r="B23" s="104">
        <v>19</v>
      </c>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t="s">
        <v>198</v>
      </c>
      <c r="AN23" s="105" t="s">
        <v>957</v>
      </c>
      <c r="AO23" s="105" t="s">
        <v>198</v>
      </c>
      <c r="AP23" s="105" t="s">
        <v>957</v>
      </c>
      <c r="AQ23" s="105"/>
      <c r="AR23" s="105"/>
      <c r="AS23" s="105"/>
      <c r="AT23" s="105"/>
      <c r="AU23" s="105"/>
      <c r="AV23" s="105"/>
      <c r="AW23" s="105"/>
      <c r="AX23" s="105"/>
      <c r="AY23" s="105" t="s">
        <v>941</v>
      </c>
      <c r="AZ23" s="105" t="s">
        <v>198</v>
      </c>
      <c r="BA23" s="105" t="s">
        <v>980</v>
      </c>
      <c r="BB23" s="105" t="s">
        <v>981</v>
      </c>
      <c r="BC23" s="105" t="s">
        <v>198</v>
      </c>
      <c r="BD23" s="105" t="s">
        <v>981</v>
      </c>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row>
    <row r="24" spans="2:110" x14ac:dyDescent="0.3">
      <c r="B24" s="104">
        <v>20</v>
      </c>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t="s">
        <v>198</v>
      </c>
      <c r="AN24" s="105" t="s">
        <v>958</v>
      </c>
      <c r="AO24" s="105" t="s">
        <v>198</v>
      </c>
      <c r="AP24" s="105" t="s">
        <v>958</v>
      </c>
      <c r="AQ24" s="105"/>
      <c r="AR24" s="105"/>
      <c r="AS24" s="105"/>
      <c r="AT24" s="105"/>
      <c r="AU24" s="105"/>
      <c r="AV24" s="105"/>
      <c r="AW24" s="105"/>
      <c r="AX24" s="105"/>
      <c r="AY24" s="105" t="s">
        <v>198</v>
      </c>
      <c r="AZ24" s="105" t="s">
        <v>981</v>
      </c>
      <c r="BA24" s="105" t="s">
        <v>980</v>
      </c>
      <c r="BB24" s="105" t="s">
        <v>981</v>
      </c>
      <c r="BC24" s="105" t="s">
        <v>198</v>
      </c>
      <c r="BD24" s="105" t="s">
        <v>981</v>
      </c>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row>
    <row r="25" spans="2:110" x14ac:dyDescent="0.3">
      <c r="B25" s="104">
        <v>21</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t="s">
        <v>198</v>
      </c>
      <c r="AN25" s="105" t="s">
        <v>959</v>
      </c>
      <c r="AO25" s="105" t="s">
        <v>198</v>
      </c>
      <c r="AP25" s="105" t="s">
        <v>959</v>
      </c>
      <c r="AQ25" s="105"/>
      <c r="AR25" s="105"/>
      <c r="AS25" s="105"/>
      <c r="AT25" s="105"/>
      <c r="AU25" s="105"/>
      <c r="AV25" s="105"/>
      <c r="AW25" s="105"/>
      <c r="AX25" s="105"/>
      <c r="AY25" s="105" t="s">
        <v>198</v>
      </c>
      <c r="AZ25" s="105" t="s">
        <v>981</v>
      </c>
      <c r="BA25" s="105" t="s">
        <v>980</v>
      </c>
      <c r="BB25" s="105" t="s">
        <v>981</v>
      </c>
      <c r="BC25" s="105" t="s">
        <v>198</v>
      </c>
      <c r="BD25" s="105" t="s">
        <v>981</v>
      </c>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row>
    <row r="26" spans="2:110" x14ac:dyDescent="0.3">
      <c r="B26" s="104">
        <v>22</v>
      </c>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t="s">
        <v>198</v>
      </c>
      <c r="AN26" s="105" t="s">
        <v>960</v>
      </c>
      <c r="AO26" s="105" t="s">
        <v>198</v>
      </c>
      <c r="AP26" s="105" t="s">
        <v>960</v>
      </c>
      <c r="AQ26" s="105"/>
      <c r="AR26" s="105"/>
      <c r="AS26" s="105"/>
      <c r="AT26" s="105"/>
      <c r="AU26" s="105"/>
      <c r="AV26" s="105"/>
      <c r="AW26" s="105"/>
      <c r="AX26" s="105"/>
      <c r="AY26" s="105" t="s">
        <v>198</v>
      </c>
      <c r="AZ26" s="105" t="s">
        <v>981</v>
      </c>
      <c r="BA26" s="105" t="s">
        <v>980</v>
      </c>
      <c r="BB26" s="105" t="s">
        <v>981</v>
      </c>
      <c r="BC26" s="105" t="s">
        <v>198</v>
      </c>
      <c r="BD26" s="105" t="s">
        <v>981</v>
      </c>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row>
    <row r="27" spans="2:110" x14ac:dyDescent="0.3">
      <c r="B27" s="104">
        <v>23</v>
      </c>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t="s">
        <v>198</v>
      </c>
      <c r="AN27" s="105" t="s">
        <v>961</v>
      </c>
      <c r="AO27" s="105" t="s">
        <v>198</v>
      </c>
      <c r="AP27" s="105" t="s">
        <v>961</v>
      </c>
      <c r="AQ27" s="105"/>
      <c r="AR27" s="105"/>
      <c r="AS27" s="105"/>
      <c r="AT27" s="105"/>
      <c r="AU27" s="105"/>
      <c r="AV27" s="105"/>
      <c r="AW27" s="105"/>
      <c r="AX27" s="105"/>
      <c r="AY27" s="105" t="s">
        <v>198</v>
      </c>
      <c r="AZ27" s="105" t="s">
        <v>981</v>
      </c>
      <c r="BA27" s="105" t="s">
        <v>980</v>
      </c>
      <c r="BB27" s="105" t="s">
        <v>981</v>
      </c>
      <c r="BC27" s="105" t="s">
        <v>198</v>
      </c>
      <c r="BD27" s="105" t="s">
        <v>981</v>
      </c>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row>
    <row r="28" spans="2:110" x14ac:dyDescent="0.3">
      <c r="B28" s="104">
        <v>24</v>
      </c>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t="s">
        <v>198</v>
      </c>
      <c r="AN28" s="105" t="s">
        <v>962</v>
      </c>
      <c r="AO28" s="105" t="s">
        <v>198</v>
      </c>
      <c r="AP28" s="105" t="s">
        <v>962</v>
      </c>
      <c r="AQ28" s="105"/>
      <c r="AR28" s="105"/>
      <c r="AS28" s="105"/>
      <c r="AT28" s="105"/>
      <c r="AU28" s="105"/>
      <c r="AV28" s="105"/>
      <c r="AW28" s="105"/>
      <c r="AX28" s="105"/>
      <c r="AY28" s="105" t="s">
        <v>198</v>
      </c>
      <c r="AZ28" s="105" t="s">
        <v>981</v>
      </c>
      <c r="BA28" s="105" t="s">
        <v>980</v>
      </c>
      <c r="BB28" s="105" t="s">
        <v>981</v>
      </c>
      <c r="BC28" s="105" t="s">
        <v>198</v>
      </c>
      <c r="BD28" s="105" t="s">
        <v>981</v>
      </c>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row>
    <row r="29" spans="2:110" x14ac:dyDescent="0.3">
      <c r="B29" s="104">
        <v>25</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t="s">
        <v>198</v>
      </c>
      <c r="AN29" s="105" t="s">
        <v>963</v>
      </c>
      <c r="AO29" s="105" t="s">
        <v>198</v>
      </c>
      <c r="AP29" s="105" t="s">
        <v>963</v>
      </c>
      <c r="AQ29" s="105"/>
      <c r="AR29" s="105"/>
      <c r="AS29" s="105"/>
      <c r="AT29" s="105"/>
      <c r="AU29" s="105"/>
      <c r="AV29" s="105"/>
      <c r="AW29" s="105"/>
      <c r="AX29" s="105"/>
      <c r="AY29" s="105" t="s">
        <v>198</v>
      </c>
      <c r="AZ29" s="105" t="s">
        <v>981</v>
      </c>
      <c r="BA29" s="105" t="s">
        <v>980</v>
      </c>
      <c r="BB29" s="105" t="s">
        <v>981</v>
      </c>
      <c r="BC29" s="105" t="s">
        <v>198</v>
      </c>
      <c r="BD29" s="105" t="s">
        <v>981</v>
      </c>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row>
    <row r="30" spans="2:110" x14ac:dyDescent="0.3">
      <c r="B30" s="104">
        <v>26</v>
      </c>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t="s">
        <v>198</v>
      </c>
      <c r="AN30" s="105" t="s">
        <v>964</v>
      </c>
      <c r="AO30" s="105" t="s">
        <v>198</v>
      </c>
      <c r="AP30" s="105" t="s">
        <v>964</v>
      </c>
      <c r="AQ30" s="105"/>
      <c r="AR30" s="105"/>
      <c r="AS30" s="105"/>
      <c r="AT30" s="105"/>
      <c r="AU30" s="105"/>
      <c r="AV30" s="105"/>
      <c r="AW30" s="105"/>
      <c r="AX30" s="105"/>
      <c r="AY30" s="105" t="s">
        <v>198</v>
      </c>
      <c r="AZ30" s="105" t="s">
        <v>981</v>
      </c>
      <c r="BA30" s="105" t="s">
        <v>980</v>
      </c>
      <c r="BB30" s="105" t="s">
        <v>981</v>
      </c>
      <c r="BC30" s="105" t="s">
        <v>198</v>
      </c>
      <c r="BD30" s="105" t="s">
        <v>981</v>
      </c>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row>
    <row r="31" spans="2:110" x14ac:dyDescent="0.3">
      <c r="B31" s="104">
        <v>27</v>
      </c>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t="s">
        <v>198</v>
      </c>
      <c r="AN31" s="105" t="s">
        <v>965</v>
      </c>
      <c r="AO31" s="105" t="s">
        <v>198</v>
      </c>
      <c r="AP31" s="105" t="s">
        <v>965</v>
      </c>
      <c r="AQ31" s="105"/>
      <c r="AR31" s="105"/>
      <c r="AS31" s="105"/>
      <c r="AT31" s="105"/>
      <c r="AU31" s="105"/>
      <c r="AV31" s="105"/>
      <c r="AW31" s="105"/>
      <c r="AX31" s="105"/>
      <c r="AY31" s="105" t="s">
        <v>198</v>
      </c>
      <c r="AZ31" s="105" t="s">
        <v>981</v>
      </c>
      <c r="BA31" s="105" t="s">
        <v>980</v>
      </c>
      <c r="BB31" s="105" t="s">
        <v>981</v>
      </c>
      <c r="BC31" s="105" t="s">
        <v>198</v>
      </c>
      <c r="BD31" s="105" t="s">
        <v>981</v>
      </c>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row>
    <row r="32" spans="2:110" x14ac:dyDescent="0.3">
      <c r="B32" s="104">
        <v>28</v>
      </c>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t="s">
        <v>198</v>
      </c>
      <c r="AN32" s="105" t="s">
        <v>966</v>
      </c>
      <c r="AO32" s="105" t="s">
        <v>198</v>
      </c>
      <c r="AP32" s="105" t="s">
        <v>966</v>
      </c>
      <c r="AQ32" s="105"/>
      <c r="AR32" s="105"/>
      <c r="AS32" s="105"/>
      <c r="AT32" s="105"/>
      <c r="AU32" s="105"/>
      <c r="AV32" s="105"/>
      <c r="AW32" s="105"/>
      <c r="AX32" s="105"/>
      <c r="AY32" s="105" t="s">
        <v>198</v>
      </c>
      <c r="AZ32" s="105" t="s">
        <v>981</v>
      </c>
      <c r="BA32" s="105" t="s">
        <v>980</v>
      </c>
      <c r="BB32" s="105" t="s">
        <v>981</v>
      </c>
      <c r="BC32" s="105" t="s">
        <v>198</v>
      </c>
      <c r="BD32" s="105" t="s">
        <v>981</v>
      </c>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row>
    <row r="33" spans="2:110" x14ac:dyDescent="0.3">
      <c r="B33" s="104">
        <v>29</v>
      </c>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t="s">
        <v>198</v>
      </c>
      <c r="AN33" s="105" t="s">
        <v>967</v>
      </c>
      <c r="AO33" s="105" t="s">
        <v>198</v>
      </c>
      <c r="AP33" s="105" t="s">
        <v>967</v>
      </c>
      <c r="AQ33" s="105"/>
      <c r="AR33" s="105"/>
      <c r="AS33" s="105"/>
      <c r="AT33" s="105"/>
      <c r="AU33" s="105"/>
      <c r="AV33" s="105"/>
      <c r="AW33" s="105"/>
      <c r="AX33" s="105"/>
      <c r="AY33" s="105" t="s">
        <v>198</v>
      </c>
      <c r="AZ33" s="105" t="s">
        <v>981</v>
      </c>
      <c r="BA33" s="105" t="s">
        <v>980</v>
      </c>
      <c r="BB33" s="105" t="s">
        <v>981</v>
      </c>
      <c r="BC33" s="105" t="s">
        <v>198</v>
      </c>
      <c r="BD33" s="105" t="s">
        <v>981</v>
      </c>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row>
    <row r="34" spans="2:110" x14ac:dyDescent="0.3">
      <c r="B34" s="104">
        <v>30</v>
      </c>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t="s">
        <v>198</v>
      </c>
      <c r="AN34" s="105" t="s">
        <v>968</v>
      </c>
      <c r="AO34" s="105" t="s">
        <v>198</v>
      </c>
      <c r="AP34" s="105" t="s">
        <v>968</v>
      </c>
      <c r="AQ34" s="105"/>
      <c r="AR34" s="105"/>
      <c r="AS34" s="105"/>
      <c r="AT34" s="105"/>
      <c r="AU34" s="105"/>
      <c r="AV34" s="105"/>
      <c r="AW34" s="105"/>
      <c r="AX34" s="105"/>
      <c r="AY34" s="105" t="s">
        <v>198</v>
      </c>
      <c r="AZ34" s="105" t="s">
        <v>981</v>
      </c>
      <c r="BA34" s="105" t="s">
        <v>980</v>
      </c>
      <c r="BB34" s="105" t="s">
        <v>981</v>
      </c>
      <c r="BC34" s="105" t="s">
        <v>198</v>
      </c>
      <c r="BD34" s="105" t="s">
        <v>981</v>
      </c>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row>
    <row r="35" spans="2:110" x14ac:dyDescent="0.3">
      <c r="B35" s="104">
        <v>31</v>
      </c>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t="s">
        <v>198</v>
      </c>
      <c r="AN35" s="105" t="s">
        <v>969</v>
      </c>
      <c r="AO35" s="105" t="s">
        <v>198</v>
      </c>
      <c r="AP35" s="105" t="s">
        <v>969</v>
      </c>
      <c r="AQ35" s="105"/>
      <c r="AR35" s="105"/>
      <c r="AS35" s="105"/>
      <c r="AT35" s="105"/>
      <c r="AU35" s="105"/>
      <c r="AV35" s="105"/>
      <c r="AW35" s="105"/>
      <c r="AX35" s="105"/>
      <c r="AY35" s="105" t="s">
        <v>198</v>
      </c>
      <c r="AZ35" s="105" t="s">
        <v>981</v>
      </c>
      <c r="BA35" s="105" t="s">
        <v>980</v>
      </c>
      <c r="BB35" s="105" t="s">
        <v>981</v>
      </c>
      <c r="BC35" s="105" t="s">
        <v>198</v>
      </c>
      <c r="BD35" s="105" t="s">
        <v>981</v>
      </c>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row>
    <row r="36" spans="2:110" x14ac:dyDescent="0.3">
      <c r="B36" s="104">
        <v>32</v>
      </c>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t="s">
        <v>198</v>
      </c>
      <c r="AN36" s="105" t="s">
        <v>970</v>
      </c>
      <c r="AO36" s="105" t="s">
        <v>198</v>
      </c>
      <c r="AP36" s="105" t="s">
        <v>970</v>
      </c>
      <c r="AQ36" s="105"/>
      <c r="AR36" s="105"/>
      <c r="AS36" s="105"/>
      <c r="AT36" s="105"/>
      <c r="AU36" s="105"/>
      <c r="AV36" s="105"/>
      <c r="AW36" s="105"/>
      <c r="AX36" s="105"/>
      <c r="AY36" s="105" t="s">
        <v>198</v>
      </c>
      <c r="AZ36" s="105" t="s">
        <v>981</v>
      </c>
      <c r="BA36" s="105" t="s">
        <v>980</v>
      </c>
      <c r="BB36" s="105" t="s">
        <v>981</v>
      </c>
      <c r="BC36" s="105" t="s">
        <v>198</v>
      </c>
      <c r="BD36" s="105" t="s">
        <v>981</v>
      </c>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row>
    <row r="37" spans="2:110" x14ac:dyDescent="0.3">
      <c r="B37" s="104">
        <v>33</v>
      </c>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t="s">
        <v>198</v>
      </c>
      <c r="AN37" s="105" t="s">
        <v>971</v>
      </c>
      <c r="AO37" s="105" t="s">
        <v>198</v>
      </c>
      <c r="AP37" s="105" t="s">
        <v>971</v>
      </c>
      <c r="AQ37" s="105"/>
      <c r="AR37" s="105"/>
      <c r="AS37" s="105"/>
      <c r="AT37" s="105"/>
      <c r="AU37" s="105"/>
      <c r="AV37" s="105"/>
      <c r="AW37" s="105"/>
      <c r="AX37" s="105"/>
      <c r="AY37" s="105" t="s">
        <v>198</v>
      </c>
      <c r="AZ37" s="105" t="s">
        <v>981</v>
      </c>
      <c r="BA37" s="105" t="s">
        <v>980</v>
      </c>
      <c r="BB37" s="105" t="s">
        <v>981</v>
      </c>
      <c r="BC37" s="105" t="s">
        <v>198</v>
      </c>
      <c r="BD37" s="105" t="s">
        <v>981</v>
      </c>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row>
    <row r="38" spans="2:110" x14ac:dyDescent="0.3">
      <c r="B38" s="104">
        <v>34</v>
      </c>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t="s">
        <v>198</v>
      </c>
      <c r="AN38" s="105" t="s">
        <v>972</v>
      </c>
      <c r="AO38" s="105" t="s">
        <v>198</v>
      </c>
      <c r="AP38" s="105" t="s">
        <v>972</v>
      </c>
      <c r="AQ38" s="105"/>
      <c r="AR38" s="105"/>
      <c r="AS38" s="105"/>
      <c r="AT38" s="105"/>
      <c r="AU38" s="105"/>
      <c r="AV38" s="105"/>
      <c r="AW38" s="105"/>
      <c r="AX38" s="105"/>
      <c r="AY38" s="105" t="s">
        <v>198</v>
      </c>
      <c r="AZ38" s="105" t="s">
        <v>981</v>
      </c>
      <c r="BA38" s="105" t="s">
        <v>980</v>
      </c>
      <c r="BB38" s="105" t="s">
        <v>981</v>
      </c>
      <c r="BC38" s="105" t="s">
        <v>198</v>
      </c>
      <c r="BD38" s="105" t="s">
        <v>981</v>
      </c>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row>
    <row r="39" spans="2:110" x14ac:dyDescent="0.3">
      <c r="B39" s="104">
        <v>35</v>
      </c>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t="s">
        <v>198</v>
      </c>
      <c r="AN39" s="105" t="s">
        <v>973</v>
      </c>
      <c r="AO39" s="105" t="s">
        <v>198</v>
      </c>
      <c r="AP39" s="105" t="s">
        <v>973</v>
      </c>
      <c r="AQ39" s="105"/>
      <c r="AR39" s="105"/>
      <c r="AS39" s="105"/>
      <c r="AT39" s="105"/>
      <c r="AU39" s="105"/>
      <c r="AV39" s="105"/>
      <c r="AW39" s="105"/>
      <c r="AX39" s="105"/>
      <c r="AY39" s="105" t="s">
        <v>198</v>
      </c>
      <c r="AZ39" s="105" t="s">
        <v>981</v>
      </c>
      <c r="BA39" s="105" t="s">
        <v>980</v>
      </c>
      <c r="BB39" s="105" t="s">
        <v>981</v>
      </c>
      <c r="BC39" s="105" t="s">
        <v>198</v>
      </c>
      <c r="BD39" s="105" t="s">
        <v>981</v>
      </c>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row>
    <row r="40" spans="2:110" x14ac:dyDescent="0.3">
      <c r="B40" s="104">
        <v>36</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t="s">
        <v>198</v>
      </c>
      <c r="AN40" s="105" t="s">
        <v>974</v>
      </c>
      <c r="AO40" s="105" t="s">
        <v>198</v>
      </c>
      <c r="AP40" s="105" t="s">
        <v>974</v>
      </c>
      <c r="AQ40" s="105"/>
      <c r="AR40" s="105"/>
      <c r="AS40" s="105"/>
      <c r="AT40" s="105"/>
      <c r="AU40" s="105"/>
      <c r="AV40" s="105"/>
      <c r="AW40" s="105"/>
      <c r="AX40" s="105"/>
      <c r="AY40" s="105" t="s">
        <v>198</v>
      </c>
      <c r="AZ40" s="105" t="s">
        <v>981</v>
      </c>
      <c r="BA40" s="105" t="s">
        <v>980</v>
      </c>
      <c r="BB40" s="105" t="s">
        <v>981</v>
      </c>
      <c r="BC40" s="105" t="s">
        <v>198</v>
      </c>
      <c r="BD40" s="105" t="s">
        <v>981</v>
      </c>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row>
    <row r="41" spans="2:110" x14ac:dyDescent="0.3">
      <c r="B41" s="104">
        <v>37</v>
      </c>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t="s">
        <v>198</v>
      </c>
      <c r="AN41" s="105" t="s">
        <v>975</v>
      </c>
      <c r="AO41" s="105" t="s">
        <v>198</v>
      </c>
      <c r="AP41" s="105" t="s">
        <v>975</v>
      </c>
      <c r="AQ41" s="105"/>
      <c r="AR41" s="105"/>
      <c r="AS41" s="105"/>
      <c r="AT41" s="105"/>
      <c r="AU41" s="105"/>
      <c r="AV41" s="105"/>
      <c r="AW41" s="105"/>
      <c r="AX41" s="105"/>
      <c r="AY41" s="105" t="s">
        <v>198</v>
      </c>
      <c r="AZ41" s="105" t="s">
        <v>981</v>
      </c>
      <c r="BA41" s="105" t="s">
        <v>980</v>
      </c>
      <c r="BB41" s="105" t="s">
        <v>981</v>
      </c>
      <c r="BC41" s="105" t="s">
        <v>198</v>
      </c>
      <c r="BD41" s="105" t="s">
        <v>981</v>
      </c>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row>
    <row r="42" spans="2:110" x14ac:dyDescent="0.3">
      <c r="B42" s="104">
        <v>39</v>
      </c>
      <c r="C42" s="105"/>
      <c r="D42" s="105"/>
      <c r="E42" s="105"/>
      <c r="F42" s="105"/>
      <c r="G42" s="105"/>
      <c r="H42" s="105"/>
      <c r="I42" s="105"/>
      <c r="J42" s="105"/>
      <c r="K42" s="105"/>
      <c r="L42" s="105"/>
      <c r="M42" s="105"/>
      <c r="N42" s="105"/>
      <c r="O42" s="105"/>
      <c r="P42" s="105"/>
      <c r="Q42" s="105"/>
      <c r="R42" s="105"/>
      <c r="S42" s="105"/>
      <c r="T42" s="105"/>
      <c r="U42" s="105"/>
      <c r="V42" s="105"/>
      <c r="W42" s="105" t="s">
        <v>645</v>
      </c>
      <c r="X42" s="105" t="s">
        <v>646</v>
      </c>
      <c r="Y42" s="105" t="s">
        <v>645</v>
      </c>
      <c r="Z42" s="105" t="s">
        <v>646</v>
      </c>
      <c r="AA42" s="105" t="s">
        <v>645</v>
      </c>
      <c r="AB42" s="105" t="s">
        <v>646</v>
      </c>
      <c r="AC42" s="105" t="s">
        <v>645</v>
      </c>
      <c r="AD42" s="105" t="s">
        <v>646</v>
      </c>
      <c r="AE42" s="105"/>
      <c r="AF42" s="105"/>
      <c r="AG42" s="105"/>
      <c r="AH42" s="105"/>
      <c r="AI42" s="105" t="s">
        <v>1020</v>
      </c>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t="s">
        <v>1024</v>
      </c>
      <c r="BJ42" s="105" t="s">
        <v>198</v>
      </c>
      <c r="BK42" s="105" t="s">
        <v>1024</v>
      </c>
      <c r="BL42" s="105" t="s">
        <v>198</v>
      </c>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row>
    <row r="43" spans="2:110" x14ac:dyDescent="0.3">
      <c r="B43" s="104">
        <v>40</v>
      </c>
      <c r="C43" s="105"/>
      <c r="D43" s="105"/>
      <c r="E43" s="105"/>
      <c r="F43" s="105"/>
      <c r="G43" s="105" t="s">
        <v>198</v>
      </c>
      <c r="H43" s="105" t="s">
        <v>198</v>
      </c>
      <c r="I43" s="105"/>
      <c r="J43" s="105"/>
      <c r="K43" s="105" t="s">
        <v>1003</v>
      </c>
      <c r="L43" s="105" t="s">
        <v>1004</v>
      </c>
      <c r="M43" s="105"/>
      <c r="N43" s="105"/>
      <c r="O43" s="105"/>
      <c r="P43" s="105"/>
      <c r="Q43" s="105"/>
      <c r="R43" s="105"/>
      <c r="S43" s="105"/>
      <c r="T43" s="105"/>
      <c r="U43" s="105"/>
      <c r="V43" s="105"/>
      <c r="W43" s="105"/>
      <c r="X43" s="105"/>
      <c r="Y43" s="105"/>
      <c r="Z43" s="105"/>
      <c r="AA43" s="105"/>
      <c r="AB43" s="105"/>
      <c r="AC43" s="105"/>
      <c r="AD43" s="105"/>
      <c r="AE43" s="105" t="s">
        <v>1012</v>
      </c>
      <c r="AF43" s="105" t="s">
        <v>1011</v>
      </c>
      <c r="AG43" s="105"/>
      <c r="AH43" s="105"/>
      <c r="AI43" s="105"/>
      <c r="AJ43" s="105"/>
      <c r="AK43" s="105"/>
      <c r="AL43" s="105"/>
      <c r="AM43" s="105"/>
      <c r="AN43" s="105"/>
      <c r="AO43" s="105"/>
      <c r="AP43" s="105"/>
      <c r="AQ43" s="105"/>
      <c r="AR43" s="105"/>
      <c r="AS43" s="105"/>
      <c r="AT43" s="105"/>
      <c r="AU43" s="105"/>
      <c r="AV43" s="105"/>
      <c r="AW43" s="105"/>
      <c r="AX43" s="105"/>
      <c r="AY43" s="105" t="s">
        <v>1010</v>
      </c>
      <c r="AZ43" s="105"/>
      <c r="BA43" s="105" t="s">
        <v>1015</v>
      </c>
      <c r="BB43" s="105"/>
      <c r="BC43" s="105" t="s">
        <v>1014</v>
      </c>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row>
    <row r="44" spans="2:110" x14ac:dyDescent="0.3">
      <c r="B44" s="104">
        <v>41</v>
      </c>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t="s">
        <v>1012</v>
      </c>
      <c r="AF44" s="105" t="s">
        <v>1011</v>
      </c>
      <c r="AG44" s="105"/>
      <c r="AH44" s="105"/>
      <c r="AI44" s="105"/>
      <c r="AJ44" s="105"/>
      <c r="AK44" s="105"/>
      <c r="AL44" s="105"/>
      <c r="AM44" s="105"/>
      <c r="AN44" s="105"/>
      <c r="AO44" s="105"/>
      <c r="AP44" s="105"/>
      <c r="AQ44" s="105"/>
      <c r="AR44" s="105"/>
      <c r="AS44" s="105"/>
      <c r="AT44" s="105"/>
      <c r="AU44" s="105"/>
      <c r="AV44" s="105"/>
      <c r="AW44" s="105"/>
      <c r="AX44" s="105"/>
      <c r="AY44" s="105" t="s">
        <v>1010</v>
      </c>
      <c r="AZ44" s="105"/>
      <c r="BA44" s="105" t="s">
        <v>1015</v>
      </c>
      <c r="BB44" s="105"/>
      <c r="BC44" s="105" t="s">
        <v>1014</v>
      </c>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row>
    <row r="45" spans="2:110" x14ac:dyDescent="0.3">
      <c r="B45" s="104">
        <v>42</v>
      </c>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t="s">
        <v>1537</v>
      </c>
      <c r="AV45" s="105" t="s">
        <v>1538</v>
      </c>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row>
    <row r="46" spans="2:110" x14ac:dyDescent="0.3">
      <c r="B46" s="104">
        <v>43</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t="s">
        <v>1537</v>
      </c>
      <c r="AV46" s="105" t="s">
        <v>1538</v>
      </c>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row>
    <row r="47" spans="2:110" x14ac:dyDescent="0.3">
      <c r="B47" s="104">
        <v>44</v>
      </c>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t="s">
        <v>1537</v>
      </c>
      <c r="AV47" s="105" t="s">
        <v>1538</v>
      </c>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row>
    <row r="48" spans="2:110" x14ac:dyDescent="0.3">
      <c r="B48" s="104">
        <v>45</v>
      </c>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t="s">
        <v>1537</v>
      </c>
      <c r="AV48" s="105" t="s">
        <v>1538</v>
      </c>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row>
    <row r="49" spans="2:110" x14ac:dyDescent="0.3">
      <c r="B49" s="104">
        <v>46</v>
      </c>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row>
    <row r="50" spans="2:110" x14ac:dyDescent="0.3">
      <c r="B50" s="104">
        <v>47</v>
      </c>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row>
    <row r="51" spans="2:110" x14ac:dyDescent="0.3">
      <c r="B51" s="104">
        <v>48</v>
      </c>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row>
    <row r="52" spans="2:110" x14ac:dyDescent="0.3">
      <c r="B52" s="104">
        <v>49</v>
      </c>
      <c r="C52" s="105"/>
      <c r="D52" s="105"/>
      <c r="E52" s="105" t="s">
        <v>198</v>
      </c>
      <c r="F52" s="105" t="s">
        <v>1377</v>
      </c>
      <c r="G52" s="105" t="s">
        <v>198</v>
      </c>
      <c r="H52" s="105" t="s">
        <v>198</v>
      </c>
      <c r="I52" s="105"/>
      <c r="J52" s="105"/>
      <c r="K52" s="105" t="s">
        <v>198</v>
      </c>
      <c r="L52" s="105" t="s">
        <v>1379</v>
      </c>
      <c r="M52" s="105" t="s">
        <v>198</v>
      </c>
      <c r="N52" s="105" t="s">
        <v>198</v>
      </c>
      <c r="O52" s="105" t="s">
        <v>198</v>
      </c>
      <c r="P52" s="105" t="s">
        <v>1392</v>
      </c>
      <c r="Q52" s="105" t="s">
        <v>198</v>
      </c>
      <c r="R52" s="105" t="s">
        <v>198</v>
      </c>
      <c r="S52" s="105" t="s">
        <v>198</v>
      </c>
      <c r="T52" s="105" t="s">
        <v>198</v>
      </c>
      <c r="U52" s="105" t="s">
        <v>198</v>
      </c>
      <c r="V52" s="105" t="s">
        <v>1372</v>
      </c>
      <c r="W52" s="105" t="s">
        <v>198</v>
      </c>
      <c r="X52" s="105" t="s">
        <v>1372</v>
      </c>
      <c r="Y52" s="105" t="s">
        <v>198</v>
      </c>
      <c r="Z52" s="105" t="s">
        <v>1372</v>
      </c>
      <c r="AA52" s="105" t="s">
        <v>198</v>
      </c>
      <c r="AB52" s="105" t="s">
        <v>1372</v>
      </c>
      <c r="AC52" s="105" t="s">
        <v>198</v>
      </c>
      <c r="AD52" s="105" t="s">
        <v>1372</v>
      </c>
      <c r="AE52" s="105" t="s">
        <v>198</v>
      </c>
      <c r="AF52" s="105" t="s">
        <v>1372</v>
      </c>
      <c r="AG52" s="105" t="s">
        <v>1396</v>
      </c>
      <c r="AH52" s="105" t="s">
        <v>1372</v>
      </c>
      <c r="AI52" s="105" t="s">
        <v>1358</v>
      </c>
      <c r="AJ52" s="105" t="s">
        <v>1372</v>
      </c>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t="s">
        <v>1366</v>
      </c>
      <c r="BJ52" s="105" t="s">
        <v>1413</v>
      </c>
      <c r="BK52" s="105" t="s">
        <v>198</v>
      </c>
      <c r="BL52" s="105" t="s">
        <v>198</v>
      </c>
      <c r="BM52" s="105" t="s">
        <v>1415</v>
      </c>
      <c r="BN52" s="105" t="s">
        <v>1414</v>
      </c>
      <c r="BO52" s="105" t="s">
        <v>198</v>
      </c>
      <c r="BP52" s="105" t="s">
        <v>198</v>
      </c>
      <c r="BQ52" s="105" t="s">
        <v>1415</v>
      </c>
      <c r="BR52" s="105" t="s">
        <v>1414</v>
      </c>
      <c r="BS52" s="105" t="s">
        <v>1415</v>
      </c>
      <c r="BT52" s="105" t="s">
        <v>1414</v>
      </c>
      <c r="BU52" s="105" t="s">
        <v>198</v>
      </c>
      <c r="BV52" s="105" t="s">
        <v>198</v>
      </c>
      <c r="BW52" s="105" t="s">
        <v>1416</v>
      </c>
      <c r="BX52" s="105" t="s">
        <v>1414</v>
      </c>
      <c r="BY52" s="105" t="s">
        <v>1417</v>
      </c>
      <c r="BZ52" s="105" t="s">
        <v>1392</v>
      </c>
      <c r="CA52" s="105" t="s">
        <v>1417</v>
      </c>
      <c r="CB52" s="105" t="s">
        <v>1392</v>
      </c>
      <c r="CC52" s="105"/>
      <c r="CD52" s="105"/>
      <c r="CE52" s="105" t="s">
        <v>1418</v>
      </c>
      <c r="CF52" s="105" t="s">
        <v>1392</v>
      </c>
      <c r="CG52" s="105" t="s">
        <v>1419</v>
      </c>
      <c r="CH52" s="105" t="s">
        <v>1392</v>
      </c>
      <c r="CI52" s="105" t="s">
        <v>1420</v>
      </c>
      <c r="CJ52" s="105" t="s">
        <v>198</v>
      </c>
      <c r="CK52" s="105" t="s">
        <v>1421</v>
      </c>
      <c r="CL52" s="105" t="s">
        <v>1422</v>
      </c>
      <c r="CM52" s="105" t="s">
        <v>198</v>
      </c>
      <c r="CN52" s="105" t="s">
        <v>198</v>
      </c>
      <c r="CO52" s="105"/>
      <c r="CP52" s="105"/>
      <c r="CQ52" s="105" t="s">
        <v>1423</v>
      </c>
      <c r="CR52" s="105" t="s">
        <v>1424</v>
      </c>
      <c r="CS52" s="105" t="s">
        <v>198</v>
      </c>
      <c r="CT52" s="105" t="s">
        <v>198</v>
      </c>
      <c r="CU52" s="105" t="s">
        <v>1425</v>
      </c>
      <c r="CV52" s="105" t="s">
        <v>1424</v>
      </c>
      <c r="CW52" s="105" t="s">
        <v>1426</v>
      </c>
      <c r="CX52" s="105" t="s">
        <v>1424</v>
      </c>
      <c r="CY52" s="105"/>
      <c r="CZ52" s="105"/>
      <c r="DA52" s="105"/>
      <c r="DB52" s="105"/>
      <c r="DC52" s="105"/>
      <c r="DD52" s="105"/>
      <c r="DE52" s="105"/>
      <c r="DF52" s="105"/>
    </row>
    <row r="53" spans="2:110" x14ac:dyDescent="0.3">
      <c r="B53" s="104">
        <v>50</v>
      </c>
      <c r="C53" s="105"/>
      <c r="D53" s="105"/>
      <c r="E53" s="105" t="s">
        <v>198</v>
      </c>
      <c r="F53" s="105" t="s">
        <v>1377</v>
      </c>
      <c r="G53" s="105" t="s">
        <v>198</v>
      </c>
      <c r="H53" s="105" t="s">
        <v>198</v>
      </c>
      <c r="I53" s="105"/>
      <c r="J53" s="105"/>
      <c r="K53" s="105" t="s">
        <v>198</v>
      </c>
      <c r="L53" s="105" t="s">
        <v>1379</v>
      </c>
      <c r="M53" s="105" t="s">
        <v>198</v>
      </c>
      <c r="N53" s="105" t="s">
        <v>198</v>
      </c>
      <c r="O53" s="105" t="s">
        <v>198</v>
      </c>
      <c r="P53" s="105" t="s">
        <v>1392</v>
      </c>
      <c r="Q53" s="105" t="s">
        <v>1395</v>
      </c>
      <c r="R53" s="105" t="s">
        <v>1379</v>
      </c>
      <c r="S53" s="105" t="s">
        <v>198</v>
      </c>
      <c r="T53" s="105" t="s">
        <v>198</v>
      </c>
      <c r="U53" s="105" t="s">
        <v>198</v>
      </c>
      <c r="V53" s="105" t="s">
        <v>1372</v>
      </c>
      <c r="W53" s="105" t="s">
        <v>198</v>
      </c>
      <c r="X53" s="105" t="s">
        <v>1372</v>
      </c>
      <c r="Y53" s="105" t="s">
        <v>198</v>
      </c>
      <c r="Z53" s="105" t="s">
        <v>1372</v>
      </c>
      <c r="AA53" s="105" t="s">
        <v>198</v>
      </c>
      <c r="AB53" s="105" t="s">
        <v>1372</v>
      </c>
      <c r="AC53" s="105" t="s">
        <v>198</v>
      </c>
      <c r="AD53" s="105" t="s">
        <v>1372</v>
      </c>
      <c r="AE53" s="105" t="s">
        <v>198</v>
      </c>
      <c r="AF53" s="105" t="s">
        <v>1372</v>
      </c>
      <c r="AG53" s="105" t="s">
        <v>1396</v>
      </c>
      <c r="AH53" s="105" t="s">
        <v>1372</v>
      </c>
      <c r="AI53" s="105" t="s">
        <v>1358</v>
      </c>
      <c r="AJ53" s="105" t="s">
        <v>1372</v>
      </c>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t="s">
        <v>1366</v>
      </c>
      <c r="BJ53" s="105" t="s">
        <v>1413</v>
      </c>
      <c r="BK53" s="105" t="s">
        <v>198</v>
      </c>
      <c r="BL53" s="105" t="s">
        <v>198</v>
      </c>
      <c r="BM53" s="105" t="s">
        <v>1415</v>
      </c>
      <c r="BN53" s="105" t="s">
        <v>1414</v>
      </c>
      <c r="BO53" s="105" t="s">
        <v>198</v>
      </c>
      <c r="BP53" s="105" t="s">
        <v>198</v>
      </c>
      <c r="BQ53" s="105" t="s">
        <v>1415</v>
      </c>
      <c r="BR53" s="105" t="s">
        <v>1414</v>
      </c>
      <c r="BS53" s="105" t="s">
        <v>1415</v>
      </c>
      <c r="BT53" s="105" t="s">
        <v>1414</v>
      </c>
      <c r="BU53" s="105" t="s">
        <v>198</v>
      </c>
      <c r="BV53" s="105" t="s">
        <v>198</v>
      </c>
      <c r="BW53" s="105" t="s">
        <v>1416</v>
      </c>
      <c r="BX53" s="105" t="s">
        <v>1414</v>
      </c>
      <c r="BY53" s="105" t="s">
        <v>1417</v>
      </c>
      <c r="BZ53" s="105" t="s">
        <v>1392</v>
      </c>
      <c r="CA53" s="105" t="s">
        <v>1417</v>
      </c>
      <c r="CB53" s="105" t="s">
        <v>1392</v>
      </c>
      <c r="CC53" s="105"/>
      <c r="CD53" s="105"/>
      <c r="CE53" s="105" t="s">
        <v>1418</v>
      </c>
      <c r="CF53" s="105" t="s">
        <v>1392</v>
      </c>
      <c r="CG53" s="105" t="s">
        <v>1419</v>
      </c>
      <c r="CH53" s="105" t="s">
        <v>1392</v>
      </c>
      <c r="CI53" s="105" t="s">
        <v>1420</v>
      </c>
      <c r="CJ53" s="105" t="s">
        <v>198</v>
      </c>
      <c r="CK53" s="105" t="s">
        <v>1421</v>
      </c>
      <c r="CL53" s="105" t="s">
        <v>1422</v>
      </c>
      <c r="CM53" s="105" t="s">
        <v>198</v>
      </c>
      <c r="CN53" s="105" t="s">
        <v>198</v>
      </c>
      <c r="CO53" s="105"/>
      <c r="CP53" s="105"/>
      <c r="CQ53" s="105" t="s">
        <v>1423</v>
      </c>
      <c r="CR53" s="105" t="s">
        <v>1424</v>
      </c>
      <c r="CS53" s="105" t="s">
        <v>198</v>
      </c>
      <c r="CT53" s="105" t="s">
        <v>198</v>
      </c>
      <c r="CU53" s="105" t="s">
        <v>1425</v>
      </c>
      <c r="CV53" s="105" t="s">
        <v>1424</v>
      </c>
      <c r="CW53" s="105" t="s">
        <v>1426</v>
      </c>
      <c r="CX53" s="105" t="s">
        <v>1424</v>
      </c>
      <c r="CY53" s="105"/>
      <c r="CZ53" s="105"/>
      <c r="DA53" s="105"/>
      <c r="DB53" s="105"/>
      <c r="DC53" s="105"/>
      <c r="DD53" s="105"/>
      <c r="DE53" s="105"/>
      <c r="DF53" s="105"/>
    </row>
    <row r="54" spans="2:110" x14ac:dyDescent="0.3">
      <c r="B54" s="104">
        <v>51</v>
      </c>
      <c r="C54" s="105"/>
      <c r="D54" s="105"/>
      <c r="E54" s="105" t="s">
        <v>198</v>
      </c>
      <c r="F54" s="105" t="s">
        <v>1377</v>
      </c>
      <c r="G54" s="105" t="s">
        <v>198</v>
      </c>
      <c r="H54" s="105" t="s">
        <v>198</v>
      </c>
      <c r="I54" s="105"/>
      <c r="J54" s="105"/>
      <c r="K54" s="105" t="s">
        <v>1378</v>
      </c>
      <c r="L54" s="105" t="s">
        <v>1379</v>
      </c>
      <c r="M54" s="105" t="s">
        <v>198</v>
      </c>
      <c r="N54" s="105" t="s">
        <v>198</v>
      </c>
      <c r="O54" s="105" t="s">
        <v>198</v>
      </c>
      <c r="P54" s="105" t="s">
        <v>1392</v>
      </c>
      <c r="Q54" s="105" t="s">
        <v>1394</v>
      </c>
      <c r="R54" s="105" t="s">
        <v>1379</v>
      </c>
      <c r="S54" s="105" t="s">
        <v>198</v>
      </c>
      <c r="T54" s="105" t="s">
        <v>198</v>
      </c>
      <c r="U54" s="105" t="s">
        <v>198</v>
      </c>
      <c r="V54" s="105" t="s">
        <v>1372</v>
      </c>
      <c r="W54" s="105" t="s">
        <v>198</v>
      </c>
      <c r="X54" s="105" t="s">
        <v>1372</v>
      </c>
      <c r="Y54" s="105" t="s">
        <v>198</v>
      </c>
      <c r="Z54" s="105" t="s">
        <v>1372</v>
      </c>
      <c r="AA54" s="105" t="s">
        <v>198</v>
      </c>
      <c r="AB54" s="105" t="s">
        <v>1372</v>
      </c>
      <c r="AC54" s="105" t="s">
        <v>198</v>
      </c>
      <c r="AD54" s="105" t="s">
        <v>1372</v>
      </c>
      <c r="AE54" s="105" t="s">
        <v>198</v>
      </c>
      <c r="AF54" s="105" t="s">
        <v>1372</v>
      </c>
      <c r="AG54" s="105" t="s">
        <v>1396</v>
      </c>
      <c r="AH54" s="105" t="s">
        <v>1372</v>
      </c>
      <c r="AI54" s="105" t="s">
        <v>1358</v>
      </c>
      <c r="AJ54" s="105" t="s">
        <v>1372</v>
      </c>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t="s">
        <v>1366</v>
      </c>
      <c r="BJ54" s="105" t="s">
        <v>1413</v>
      </c>
      <c r="BK54" s="105" t="s">
        <v>198</v>
      </c>
      <c r="BL54" s="105" t="s">
        <v>198</v>
      </c>
      <c r="BM54" s="105" t="s">
        <v>1415</v>
      </c>
      <c r="BN54" s="105" t="s">
        <v>1414</v>
      </c>
      <c r="BO54" s="105" t="s">
        <v>198</v>
      </c>
      <c r="BP54" s="105" t="s">
        <v>198</v>
      </c>
      <c r="BQ54" s="105" t="s">
        <v>1415</v>
      </c>
      <c r="BR54" s="105" t="s">
        <v>1414</v>
      </c>
      <c r="BS54" s="105" t="s">
        <v>1415</v>
      </c>
      <c r="BT54" s="105" t="s">
        <v>1414</v>
      </c>
      <c r="BU54" s="105" t="s">
        <v>198</v>
      </c>
      <c r="BV54" s="105" t="s">
        <v>198</v>
      </c>
      <c r="BW54" s="105" t="s">
        <v>1416</v>
      </c>
      <c r="BX54" s="105" t="s">
        <v>1414</v>
      </c>
      <c r="BY54" s="105" t="s">
        <v>1417</v>
      </c>
      <c r="BZ54" s="105" t="s">
        <v>1392</v>
      </c>
      <c r="CA54" s="105" t="s">
        <v>1417</v>
      </c>
      <c r="CB54" s="105" t="s">
        <v>1392</v>
      </c>
      <c r="CC54" s="105"/>
      <c r="CD54" s="105"/>
      <c r="CE54" s="105" t="s">
        <v>1418</v>
      </c>
      <c r="CF54" s="105" t="s">
        <v>1392</v>
      </c>
      <c r="CG54" s="105" t="s">
        <v>1419</v>
      </c>
      <c r="CH54" s="105" t="s">
        <v>1392</v>
      </c>
      <c r="CI54" s="105" t="s">
        <v>1420</v>
      </c>
      <c r="CJ54" s="105" t="s">
        <v>198</v>
      </c>
      <c r="CK54" s="105" t="s">
        <v>1421</v>
      </c>
      <c r="CL54" s="105" t="s">
        <v>1422</v>
      </c>
      <c r="CM54" s="105" t="s">
        <v>198</v>
      </c>
      <c r="CN54" s="105" t="s">
        <v>198</v>
      </c>
      <c r="CO54" s="105"/>
      <c r="CP54" s="105"/>
      <c r="CQ54" s="105" t="s">
        <v>1423</v>
      </c>
      <c r="CR54" s="105" t="s">
        <v>1424</v>
      </c>
      <c r="CS54" s="105" t="s">
        <v>198</v>
      </c>
      <c r="CT54" s="105" t="s">
        <v>198</v>
      </c>
      <c r="CU54" s="105" t="s">
        <v>1425</v>
      </c>
      <c r="CV54" s="105" t="s">
        <v>1424</v>
      </c>
      <c r="CW54" s="105" t="s">
        <v>1426</v>
      </c>
      <c r="CX54" s="105" t="s">
        <v>1424</v>
      </c>
      <c r="CY54" s="105"/>
      <c r="CZ54" s="105"/>
      <c r="DA54" s="105"/>
      <c r="DB54" s="105"/>
      <c r="DC54" s="105"/>
      <c r="DD54" s="105"/>
      <c r="DE54" s="105"/>
      <c r="DF54" s="105"/>
    </row>
    <row r="55" spans="2:110" x14ac:dyDescent="0.3">
      <c r="B55" s="104">
        <v>52</v>
      </c>
      <c r="C55" s="105"/>
      <c r="D55" s="105"/>
      <c r="E55" s="105" t="s">
        <v>198</v>
      </c>
      <c r="F55" s="105" t="s">
        <v>1377</v>
      </c>
      <c r="G55" s="105" t="s">
        <v>198</v>
      </c>
      <c r="H55" s="105" t="s">
        <v>198</v>
      </c>
      <c r="I55" s="105"/>
      <c r="J55" s="105"/>
      <c r="K55" s="105" t="s">
        <v>198</v>
      </c>
      <c r="L55" s="105" t="s">
        <v>1379</v>
      </c>
      <c r="M55" s="105" t="s">
        <v>198</v>
      </c>
      <c r="N55" s="105" t="s">
        <v>198</v>
      </c>
      <c r="O55" s="105" t="s">
        <v>198</v>
      </c>
      <c r="P55" s="105" t="s">
        <v>1392</v>
      </c>
      <c r="Q55" s="105" t="s">
        <v>1393</v>
      </c>
      <c r="R55" s="105" t="s">
        <v>1379</v>
      </c>
      <c r="S55" s="105" t="s">
        <v>198</v>
      </c>
      <c r="T55" s="105" t="s">
        <v>1379</v>
      </c>
      <c r="U55" s="105" t="s">
        <v>198</v>
      </c>
      <c r="V55" s="105" t="s">
        <v>1372</v>
      </c>
      <c r="W55" s="105" t="s">
        <v>198</v>
      </c>
      <c r="X55" s="105" t="s">
        <v>1372</v>
      </c>
      <c r="Y55" s="105" t="s">
        <v>198</v>
      </c>
      <c r="Z55" s="105" t="s">
        <v>1372</v>
      </c>
      <c r="AA55" s="105" t="s">
        <v>198</v>
      </c>
      <c r="AB55" s="105" t="s">
        <v>1372</v>
      </c>
      <c r="AC55" s="105" t="s">
        <v>198</v>
      </c>
      <c r="AD55" s="105" t="s">
        <v>1372</v>
      </c>
      <c r="AE55" s="105" t="s">
        <v>198</v>
      </c>
      <c r="AF55" s="105" t="s">
        <v>1372</v>
      </c>
      <c r="AG55" s="105" t="s">
        <v>1396</v>
      </c>
      <c r="AH55" s="105" t="s">
        <v>1372</v>
      </c>
      <c r="AI55" s="105" t="s">
        <v>1358</v>
      </c>
      <c r="AJ55" s="105" t="s">
        <v>1372</v>
      </c>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t="s">
        <v>1366</v>
      </c>
      <c r="BJ55" s="105" t="s">
        <v>1413</v>
      </c>
      <c r="BK55" s="105" t="s">
        <v>198</v>
      </c>
      <c r="BL55" s="105" t="s">
        <v>198</v>
      </c>
      <c r="BM55" s="105" t="s">
        <v>1415</v>
      </c>
      <c r="BN55" s="105" t="s">
        <v>1414</v>
      </c>
      <c r="BO55" s="105" t="s">
        <v>198</v>
      </c>
      <c r="BP55" s="105" t="s">
        <v>198</v>
      </c>
      <c r="BQ55" s="105" t="s">
        <v>1415</v>
      </c>
      <c r="BR55" s="105" t="s">
        <v>1414</v>
      </c>
      <c r="BS55" s="105" t="s">
        <v>1415</v>
      </c>
      <c r="BT55" s="105" t="s">
        <v>1414</v>
      </c>
      <c r="BU55" s="105" t="s">
        <v>198</v>
      </c>
      <c r="BV55" s="105" t="s">
        <v>198</v>
      </c>
      <c r="BW55" s="105" t="s">
        <v>1416</v>
      </c>
      <c r="BX55" s="105" t="s">
        <v>1414</v>
      </c>
      <c r="BY55" s="105" t="s">
        <v>1417</v>
      </c>
      <c r="BZ55" s="105" t="s">
        <v>1392</v>
      </c>
      <c r="CA55" s="105" t="s">
        <v>1417</v>
      </c>
      <c r="CB55" s="105" t="s">
        <v>1392</v>
      </c>
      <c r="CC55" s="105"/>
      <c r="CD55" s="105"/>
      <c r="CE55" s="105" t="s">
        <v>1418</v>
      </c>
      <c r="CF55" s="105" t="s">
        <v>1392</v>
      </c>
      <c r="CG55" s="105" t="s">
        <v>1419</v>
      </c>
      <c r="CH55" s="105" t="s">
        <v>1392</v>
      </c>
      <c r="CI55" s="105" t="s">
        <v>1420</v>
      </c>
      <c r="CJ55" s="105" t="s">
        <v>198</v>
      </c>
      <c r="CK55" s="105" t="s">
        <v>1421</v>
      </c>
      <c r="CL55" s="105" t="s">
        <v>1422</v>
      </c>
      <c r="CM55" s="105" t="s">
        <v>198</v>
      </c>
      <c r="CN55" s="105" t="s">
        <v>198</v>
      </c>
      <c r="CO55" s="105"/>
      <c r="CP55" s="105"/>
      <c r="CQ55" s="105" t="s">
        <v>1423</v>
      </c>
      <c r="CR55" s="105" t="s">
        <v>1424</v>
      </c>
      <c r="CS55" s="105" t="s">
        <v>198</v>
      </c>
      <c r="CT55" s="105" t="s">
        <v>198</v>
      </c>
      <c r="CU55" s="105" t="s">
        <v>1425</v>
      </c>
      <c r="CV55" s="105" t="s">
        <v>1424</v>
      </c>
      <c r="CW55" s="105" t="s">
        <v>1426</v>
      </c>
      <c r="CX55" s="105" t="s">
        <v>1424</v>
      </c>
      <c r="CY55" s="105"/>
      <c r="CZ55" s="105"/>
      <c r="DA55" s="105"/>
      <c r="DB55" s="105"/>
      <c r="DC55" s="105"/>
      <c r="DD55" s="105"/>
      <c r="DE55" s="105"/>
      <c r="DF55" s="105"/>
    </row>
    <row r="56" spans="2:110" x14ac:dyDescent="0.3">
      <c r="B56" s="104">
        <v>53</v>
      </c>
      <c r="C56" s="105"/>
      <c r="D56" s="105"/>
      <c r="E56" s="105" t="s">
        <v>198</v>
      </c>
      <c r="F56" s="105" t="s">
        <v>1377</v>
      </c>
      <c r="G56" s="105" t="s">
        <v>198</v>
      </c>
      <c r="H56" s="105" t="s">
        <v>198</v>
      </c>
      <c r="I56" s="105"/>
      <c r="J56" s="105"/>
      <c r="K56" s="105" t="s">
        <v>198</v>
      </c>
      <c r="L56" s="105" t="s">
        <v>1379</v>
      </c>
      <c r="M56" s="105" t="s">
        <v>198</v>
      </c>
      <c r="N56" s="105" t="s">
        <v>198</v>
      </c>
      <c r="O56" s="105" t="s">
        <v>198</v>
      </c>
      <c r="P56" s="105" t="s">
        <v>1392</v>
      </c>
      <c r="Q56" s="105" t="s">
        <v>1393</v>
      </c>
      <c r="R56" s="105" t="s">
        <v>1379</v>
      </c>
      <c r="S56" s="105" t="s">
        <v>198</v>
      </c>
      <c r="T56" s="105" t="s">
        <v>1379</v>
      </c>
      <c r="U56" s="105" t="s">
        <v>198</v>
      </c>
      <c r="V56" s="105" t="s">
        <v>1372</v>
      </c>
      <c r="W56" s="105" t="s">
        <v>198</v>
      </c>
      <c r="X56" s="105" t="s">
        <v>1372</v>
      </c>
      <c r="Y56" s="105" t="s">
        <v>198</v>
      </c>
      <c r="Z56" s="105" t="s">
        <v>1372</v>
      </c>
      <c r="AA56" s="105" t="s">
        <v>198</v>
      </c>
      <c r="AB56" s="105" t="s">
        <v>1372</v>
      </c>
      <c r="AC56" s="105" t="s">
        <v>198</v>
      </c>
      <c r="AD56" s="105" t="s">
        <v>1372</v>
      </c>
      <c r="AE56" s="105" t="s">
        <v>198</v>
      </c>
      <c r="AF56" s="105" t="s">
        <v>1372</v>
      </c>
      <c r="AG56" s="105" t="s">
        <v>1396</v>
      </c>
      <c r="AH56" s="105" t="s">
        <v>1372</v>
      </c>
      <c r="AI56" s="105" t="s">
        <v>1358</v>
      </c>
      <c r="AJ56" s="105" t="s">
        <v>1372</v>
      </c>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t="s">
        <v>1366</v>
      </c>
      <c r="BJ56" s="105" t="s">
        <v>1413</v>
      </c>
      <c r="BK56" s="105" t="s">
        <v>198</v>
      </c>
      <c r="BL56" s="105" t="s">
        <v>198</v>
      </c>
      <c r="BM56" s="105" t="s">
        <v>1415</v>
      </c>
      <c r="BN56" s="105" t="s">
        <v>1414</v>
      </c>
      <c r="BO56" s="105" t="s">
        <v>198</v>
      </c>
      <c r="BP56" s="105" t="s">
        <v>198</v>
      </c>
      <c r="BQ56" s="105" t="s">
        <v>1415</v>
      </c>
      <c r="BR56" s="105" t="s">
        <v>1414</v>
      </c>
      <c r="BS56" s="105" t="s">
        <v>1415</v>
      </c>
      <c r="BT56" s="105" t="s">
        <v>1414</v>
      </c>
      <c r="BU56" s="105" t="s">
        <v>198</v>
      </c>
      <c r="BV56" s="105" t="s">
        <v>198</v>
      </c>
      <c r="BW56" s="105" t="s">
        <v>1416</v>
      </c>
      <c r="BX56" s="105" t="s">
        <v>1414</v>
      </c>
      <c r="BY56" s="105" t="s">
        <v>1417</v>
      </c>
      <c r="BZ56" s="105" t="s">
        <v>1392</v>
      </c>
      <c r="CA56" s="105" t="s">
        <v>1417</v>
      </c>
      <c r="CB56" s="105" t="s">
        <v>1392</v>
      </c>
      <c r="CC56" s="105"/>
      <c r="CD56" s="105"/>
      <c r="CE56" s="105" t="s">
        <v>1418</v>
      </c>
      <c r="CF56" s="105" t="s">
        <v>1392</v>
      </c>
      <c r="CG56" s="105" t="s">
        <v>1419</v>
      </c>
      <c r="CH56" s="105" t="s">
        <v>1392</v>
      </c>
      <c r="CI56" s="105" t="s">
        <v>1420</v>
      </c>
      <c r="CJ56" s="105" t="s">
        <v>198</v>
      </c>
      <c r="CK56" s="105" t="s">
        <v>1421</v>
      </c>
      <c r="CL56" s="105" t="s">
        <v>1422</v>
      </c>
      <c r="CM56" s="105" t="s">
        <v>198</v>
      </c>
      <c r="CN56" s="105" t="s">
        <v>198</v>
      </c>
      <c r="CO56" s="105"/>
      <c r="CP56" s="105"/>
      <c r="CQ56" s="105" t="s">
        <v>1423</v>
      </c>
      <c r="CR56" s="105" t="s">
        <v>1424</v>
      </c>
      <c r="CS56" s="105" t="s">
        <v>198</v>
      </c>
      <c r="CT56" s="105" t="s">
        <v>198</v>
      </c>
      <c r="CU56" s="105" t="s">
        <v>1425</v>
      </c>
      <c r="CV56" s="105" t="s">
        <v>1424</v>
      </c>
      <c r="CW56" s="105" t="s">
        <v>1426</v>
      </c>
      <c r="CX56" s="105" t="s">
        <v>1424</v>
      </c>
      <c r="CY56" s="105"/>
      <c r="CZ56" s="105"/>
      <c r="DA56" s="105"/>
      <c r="DB56" s="105"/>
      <c r="DC56" s="105"/>
      <c r="DD56" s="105"/>
      <c r="DE56" s="105"/>
      <c r="DF56" s="105"/>
    </row>
    <row r="57" spans="2:110" x14ac:dyDescent="0.3">
      <c r="B57" s="104">
        <v>54</v>
      </c>
      <c r="C57" s="105"/>
      <c r="D57" s="105"/>
      <c r="E57" s="105" t="s">
        <v>198</v>
      </c>
      <c r="F57" s="105" t="s">
        <v>1377</v>
      </c>
      <c r="G57" s="105" t="s">
        <v>198</v>
      </c>
      <c r="H57" s="105" t="s">
        <v>198</v>
      </c>
      <c r="I57" s="105"/>
      <c r="J57" s="105"/>
      <c r="K57" s="105" t="s">
        <v>198</v>
      </c>
      <c r="L57" s="105" t="s">
        <v>1379</v>
      </c>
      <c r="M57" s="105" t="s">
        <v>198</v>
      </c>
      <c r="N57" s="105" t="s">
        <v>198</v>
      </c>
      <c r="O57" s="105" t="s">
        <v>198</v>
      </c>
      <c r="P57" s="105" t="s">
        <v>1392</v>
      </c>
      <c r="Q57" s="105" t="s">
        <v>1393</v>
      </c>
      <c r="R57" s="105" t="s">
        <v>1379</v>
      </c>
      <c r="S57" s="105" t="s">
        <v>198</v>
      </c>
      <c r="T57" s="105" t="s">
        <v>1379</v>
      </c>
      <c r="U57" s="105" t="s">
        <v>198</v>
      </c>
      <c r="V57" s="105" t="s">
        <v>1372</v>
      </c>
      <c r="W57" s="105" t="s">
        <v>198</v>
      </c>
      <c r="X57" s="105" t="s">
        <v>1372</v>
      </c>
      <c r="Y57" s="105" t="s">
        <v>198</v>
      </c>
      <c r="Z57" s="105" t="s">
        <v>1372</v>
      </c>
      <c r="AA57" s="105" t="s">
        <v>198</v>
      </c>
      <c r="AB57" s="105" t="s">
        <v>1372</v>
      </c>
      <c r="AC57" s="105" t="s">
        <v>198</v>
      </c>
      <c r="AD57" s="105" t="s">
        <v>1372</v>
      </c>
      <c r="AE57" s="105" t="s">
        <v>198</v>
      </c>
      <c r="AF57" s="105" t="s">
        <v>1372</v>
      </c>
      <c r="AG57" s="105" t="s">
        <v>1396</v>
      </c>
      <c r="AH57" s="105" t="s">
        <v>1372</v>
      </c>
      <c r="AI57" s="105" t="s">
        <v>1358</v>
      </c>
      <c r="AJ57" s="105" t="s">
        <v>1372</v>
      </c>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t="s">
        <v>1366</v>
      </c>
      <c r="BJ57" s="105" t="s">
        <v>1413</v>
      </c>
      <c r="BK57" s="105" t="s">
        <v>198</v>
      </c>
      <c r="BL57" s="105" t="s">
        <v>198</v>
      </c>
      <c r="BM57" s="105" t="s">
        <v>1415</v>
      </c>
      <c r="BN57" s="105" t="s">
        <v>1414</v>
      </c>
      <c r="BO57" s="105" t="s">
        <v>198</v>
      </c>
      <c r="BP57" s="105" t="s">
        <v>198</v>
      </c>
      <c r="BQ57" s="105" t="s">
        <v>1415</v>
      </c>
      <c r="BR57" s="105" t="s">
        <v>1414</v>
      </c>
      <c r="BS57" s="105" t="s">
        <v>1415</v>
      </c>
      <c r="BT57" s="105" t="s">
        <v>1414</v>
      </c>
      <c r="BU57" s="105" t="s">
        <v>198</v>
      </c>
      <c r="BV57" s="105" t="s">
        <v>198</v>
      </c>
      <c r="BW57" s="105" t="s">
        <v>1416</v>
      </c>
      <c r="BX57" s="105" t="s">
        <v>1414</v>
      </c>
      <c r="BY57" s="105" t="s">
        <v>1417</v>
      </c>
      <c r="BZ57" s="105" t="s">
        <v>1392</v>
      </c>
      <c r="CA57" s="105" t="s">
        <v>1417</v>
      </c>
      <c r="CB57" s="105" t="s">
        <v>1392</v>
      </c>
      <c r="CC57" s="105"/>
      <c r="CD57" s="105"/>
      <c r="CE57" s="105" t="s">
        <v>1418</v>
      </c>
      <c r="CF57" s="105" t="s">
        <v>1392</v>
      </c>
      <c r="CG57" s="105" t="s">
        <v>1419</v>
      </c>
      <c r="CH57" s="105" t="s">
        <v>1392</v>
      </c>
      <c r="CI57" s="105" t="s">
        <v>1420</v>
      </c>
      <c r="CJ57" s="105" t="s">
        <v>198</v>
      </c>
      <c r="CK57" s="105" t="s">
        <v>1421</v>
      </c>
      <c r="CL57" s="105" t="s">
        <v>1422</v>
      </c>
      <c r="CM57" s="105" t="s">
        <v>198</v>
      </c>
      <c r="CN57" s="105" t="s">
        <v>198</v>
      </c>
      <c r="CO57" s="105"/>
      <c r="CP57" s="105"/>
      <c r="CQ57" s="105" t="s">
        <v>1423</v>
      </c>
      <c r="CR57" s="105" t="s">
        <v>1424</v>
      </c>
      <c r="CS57" s="105" t="s">
        <v>198</v>
      </c>
      <c r="CT57" s="105" t="s">
        <v>198</v>
      </c>
      <c r="CU57" s="105" t="s">
        <v>1425</v>
      </c>
      <c r="CV57" s="105" t="s">
        <v>1424</v>
      </c>
      <c r="CW57" s="105" t="s">
        <v>1426</v>
      </c>
      <c r="CX57" s="105" t="s">
        <v>1424</v>
      </c>
      <c r="CY57" s="105"/>
      <c r="CZ57" s="105"/>
      <c r="DA57" s="105"/>
      <c r="DB57" s="105"/>
      <c r="DC57" s="105"/>
      <c r="DD57" s="105"/>
      <c r="DE57" s="105"/>
      <c r="DF57" s="105"/>
    </row>
    <row r="58" spans="2:110" x14ac:dyDescent="0.3">
      <c r="B58" s="104">
        <v>55</v>
      </c>
      <c r="C58" s="105"/>
      <c r="D58" s="105"/>
      <c r="E58" s="105" t="s">
        <v>198</v>
      </c>
      <c r="F58" s="105" t="s">
        <v>1377</v>
      </c>
      <c r="G58" s="105" t="s">
        <v>198</v>
      </c>
      <c r="H58" s="105" t="s">
        <v>198</v>
      </c>
      <c r="I58" s="105"/>
      <c r="J58" s="105"/>
      <c r="K58" s="105" t="s">
        <v>198</v>
      </c>
      <c r="L58" s="105" t="s">
        <v>1379</v>
      </c>
      <c r="M58" s="105" t="s">
        <v>198</v>
      </c>
      <c r="N58" s="105" t="s">
        <v>198</v>
      </c>
      <c r="O58" s="105" t="s">
        <v>198</v>
      </c>
      <c r="P58" s="105" t="s">
        <v>1392</v>
      </c>
      <c r="Q58" s="105" t="s">
        <v>1393</v>
      </c>
      <c r="R58" s="105" t="s">
        <v>1379</v>
      </c>
      <c r="S58" s="105" t="s">
        <v>198</v>
      </c>
      <c r="T58" s="105" t="s">
        <v>1379</v>
      </c>
      <c r="U58" s="105" t="s">
        <v>198</v>
      </c>
      <c r="V58" s="105" t="s">
        <v>1372</v>
      </c>
      <c r="W58" s="105" t="s">
        <v>198</v>
      </c>
      <c r="X58" s="105" t="s">
        <v>1372</v>
      </c>
      <c r="Y58" s="105" t="s">
        <v>198</v>
      </c>
      <c r="Z58" s="105" t="s">
        <v>1372</v>
      </c>
      <c r="AA58" s="105" t="s">
        <v>198</v>
      </c>
      <c r="AB58" s="105" t="s">
        <v>1372</v>
      </c>
      <c r="AC58" s="105" t="s">
        <v>198</v>
      </c>
      <c r="AD58" s="105" t="s">
        <v>1372</v>
      </c>
      <c r="AE58" s="105" t="s">
        <v>198</v>
      </c>
      <c r="AF58" s="105" t="s">
        <v>1372</v>
      </c>
      <c r="AG58" s="105" t="s">
        <v>1396</v>
      </c>
      <c r="AH58" s="105" t="s">
        <v>1372</v>
      </c>
      <c r="AI58" s="105" t="s">
        <v>1358</v>
      </c>
      <c r="AJ58" s="105" t="s">
        <v>1372</v>
      </c>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t="s">
        <v>1366</v>
      </c>
      <c r="BJ58" s="105" t="s">
        <v>1413</v>
      </c>
      <c r="BK58" s="105" t="s">
        <v>198</v>
      </c>
      <c r="BL58" s="105" t="s">
        <v>198</v>
      </c>
      <c r="BM58" s="105" t="s">
        <v>1415</v>
      </c>
      <c r="BN58" s="105" t="s">
        <v>1414</v>
      </c>
      <c r="BO58" s="105" t="s">
        <v>198</v>
      </c>
      <c r="BP58" s="105" t="s">
        <v>198</v>
      </c>
      <c r="BQ58" s="105" t="s">
        <v>1415</v>
      </c>
      <c r="BR58" s="105" t="s">
        <v>1414</v>
      </c>
      <c r="BS58" s="105" t="s">
        <v>1415</v>
      </c>
      <c r="BT58" s="105" t="s">
        <v>1414</v>
      </c>
      <c r="BU58" s="105" t="s">
        <v>198</v>
      </c>
      <c r="BV58" s="105" t="s">
        <v>198</v>
      </c>
      <c r="BW58" s="105" t="s">
        <v>1416</v>
      </c>
      <c r="BX58" s="105" t="s">
        <v>1414</v>
      </c>
      <c r="BY58" s="105" t="s">
        <v>1417</v>
      </c>
      <c r="BZ58" s="105" t="s">
        <v>1392</v>
      </c>
      <c r="CA58" s="105" t="s">
        <v>1417</v>
      </c>
      <c r="CB58" s="105" t="s">
        <v>1392</v>
      </c>
      <c r="CC58" s="105"/>
      <c r="CD58" s="105"/>
      <c r="CE58" s="105" t="s">
        <v>1418</v>
      </c>
      <c r="CF58" s="105" t="s">
        <v>1392</v>
      </c>
      <c r="CG58" s="105" t="s">
        <v>1419</v>
      </c>
      <c r="CH58" s="105" t="s">
        <v>1392</v>
      </c>
      <c r="CI58" s="105" t="s">
        <v>1420</v>
      </c>
      <c r="CJ58" s="105" t="s">
        <v>198</v>
      </c>
      <c r="CK58" s="105" t="s">
        <v>1421</v>
      </c>
      <c r="CL58" s="105" t="s">
        <v>1422</v>
      </c>
      <c r="CM58" s="105" t="s">
        <v>198</v>
      </c>
      <c r="CN58" s="105" t="s">
        <v>198</v>
      </c>
      <c r="CO58" s="105"/>
      <c r="CP58" s="105"/>
      <c r="CQ58" s="105" t="s">
        <v>1423</v>
      </c>
      <c r="CR58" s="105" t="s">
        <v>1424</v>
      </c>
      <c r="CS58" s="105" t="s">
        <v>198</v>
      </c>
      <c r="CT58" s="105" t="s">
        <v>198</v>
      </c>
      <c r="CU58" s="105" t="s">
        <v>1425</v>
      </c>
      <c r="CV58" s="105" t="s">
        <v>1424</v>
      </c>
      <c r="CW58" s="105" t="s">
        <v>1426</v>
      </c>
      <c r="CX58" s="105" t="s">
        <v>1424</v>
      </c>
      <c r="CY58" s="105"/>
      <c r="CZ58" s="105"/>
      <c r="DA58" s="105"/>
      <c r="DB58" s="105"/>
      <c r="DC58" s="105"/>
      <c r="DD58" s="105"/>
      <c r="DE58" s="105"/>
      <c r="DF58" s="105"/>
    </row>
    <row r="59" spans="2:110" x14ac:dyDescent="0.3">
      <c r="B59" s="104">
        <v>56</v>
      </c>
      <c r="C59" s="105"/>
      <c r="D59" s="105"/>
      <c r="E59" s="105" t="s">
        <v>198</v>
      </c>
      <c r="F59" s="105" t="s">
        <v>1377</v>
      </c>
      <c r="G59" s="105" t="s">
        <v>198</v>
      </c>
      <c r="H59" s="105" t="s">
        <v>198</v>
      </c>
      <c r="I59" s="105"/>
      <c r="J59" s="105"/>
      <c r="K59" s="105" t="s">
        <v>198</v>
      </c>
      <c r="L59" s="105" t="s">
        <v>1379</v>
      </c>
      <c r="M59" s="105" t="s">
        <v>198</v>
      </c>
      <c r="N59" s="105" t="s">
        <v>198</v>
      </c>
      <c r="O59" s="105" t="s">
        <v>198</v>
      </c>
      <c r="P59" s="105" t="s">
        <v>1392</v>
      </c>
      <c r="Q59" s="105" t="s">
        <v>198</v>
      </c>
      <c r="R59" s="105" t="s">
        <v>198</v>
      </c>
      <c r="S59" s="105" t="s">
        <v>198</v>
      </c>
      <c r="T59" s="105" t="s">
        <v>198</v>
      </c>
      <c r="U59" s="105" t="s">
        <v>198</v>
      </c>
      <c r="V59" s="105" t="s">
        <v>1372</v>
      </c>
      <c r="W59" s="105" t="s">
        <v>198</v>
      </c>
      <c r="X59" s="105" t="s">
        <v>1372</v>
      </c>
      <c r="Y59" s="105" t="s">
        <v>198</v>
      </c>
      <c r="Z59" s="105" t="s">
        <v>1372</v>
      </c>
      <c r="AA59" s="105" t="s">
        <v>198</v>
      </c>
      <c r="AB59" s="105" t="s">
        <v>1372</v>
      </c>
      <c r="AC59" s="105" t="s">
        <v>198</v>
      </c>
      <c r="AD59" s="105" t="s">
        <v>1372</v>
      </c>
      <c r="AE59" s="105" t="s">
        <v>198</v>
      </c>
      <c r="AF59" s="105" t="s">
        <v>1372</v>
      </c>
      <c r="AG59" s="105" t="s">
        <v>1396</v>
      </c>
      <c r="AH59" s="105" t="s">
        <v>1372</v>
      </c>
      <c r="AI59" s="105" t="s">
        <v>1358</v>
      </c>
      <c r="AJ59" s="105" t="s">
        <v>1372</v>
      </c>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t="s">
        <v>1366</v>
      </c>
      <c r="BJ59" s="105" t="s">
        <v>1413</v>
      </c>
      <c r="BK59" s="105" t="s">
        <v>198</v>
      </c>
      <c r="BL59" s="105" t="s">
        <v>198</v>
      </c>
      <c r="BM59" s="105" t="s">
        <v>1415</v>
      </c>
      <c r="BN59" s="105" t="s">
        <v>1414</v>
      </c>
      <c r="BO59" s="105" t="s">
        <v>198</v>
      </c>
      <c r="BP59" s="105" t="s">
        <v>198</v>
      </c>
      <c r="BQ59" s="105" t="s">
        <v>1415</v>
      </c>
      <c r="BR59" s="105" t="s">
        <v>1414</v>
      </c>
      <c r="BS59" s="105" t="s">
        <v>1415</v>
      </c>
      <c r="BT59" s="105" t="s">
        <v>1414</v>
      </c>
      <c r="BU59" s="105" t="s">
        <v>198</v>
      </c>
      <c r="BV59" s="105" t="s">
        <v>198</v>
      </c>
      <c r="BW59" s="105" t="s">
        <v>1416</v>
      </c>
      <c r="BX59" s="105" t="s">
        <v>1414</v>
      </c>
      <c r="BY59" s="105" t="s">
        <v>1417</v>
      </c>
      <c r="BZ59" s="105" t="s">
        <v>1392</v>
      </c>
      <c r="CA59" s="105" t="s">
        <v>1417</v>
      </c>
      <c r="CB59" s="105" t="s">
        <v>1392</v>
      </c>
      <c r="CC59" s="105"/>
      <c r="CD59" s="105"/>
      <c r="CE59" s="105" t="s">
        <v>1418</v>
      </c>
      <c r="CF59" s="105" t="s">
        <v>1392</v>
      </c>
      <c r="CG59" s="105" t="s">
        <v>1419</v>
      </c>
      <c r="CH59" s="105" t="s">
        <v>1392</v>
      </c>
      <c r="CI59" s="105" t="s">
        <v>1420</v>
      </c>
      <c r="CJ59" s="105" t="s">
        <v>198</v>
      </c>
      <c r="CK59" s="105" t="s">
        <v>1421</v>
      </c>
      <c r="CL59" s="105" t="s">
        <v>1422</v>
      </c>
      <c r="CM59" s="105" t="s">
        <v>198</v>
      </c>
      <c r="CN59" s="105" t="s">
        <v>198</v>
      </c>
      <c r="CO59" s="105"/>
      <c r="CP59" s="105"/>
      <c r="CQ59" s="105" t="s">
        <v>1423</v>
      </c>
      <c r="CR59" s="105" t="s">
        <v>1424</v>
      </c>
      <c r="CS59" s="105" t="s">
        <v>198</v>
      </c>
      <c r="CT59" s="105" t="s">
        <v>198</v>
      </c>
      <c r="CU59" s="105" t="s">
        <v>1425</v>
      </c>
      <c r="CV59" s="105" t="s">
        <v>1424</v>
      </c>
      <c r="CW59" s="105" t="s">
        <v>1426</v>
      </c>
      <c r="CX59" s="105" t="s">
        <v>1424</v>
      </c>
      <c r="CY59" s="105"/>
      <c r="CZ59" s="105"/>
      <c r="DA59" s="105"/>
      <c r="DB59" s="105"/>
      <c r="DC59" s="105"/>
      <c r="DD59" s="105"/>
      <c r="DE59" s="105"/>
      <c r="DF59" s="105"/>
    </row>
    <row r="60" spans="2:110" x14ac:dyDescent="0.3">
      <c r="B60" s="104">
        <v>57</v>
      </c>
      <c r="C60" s="105"/>
      <c r="D60" s="105"/>
      <c r="E60" s="105" t="s">
        <v>198</v>
      </c>
      <c r="F60" s="105" t="s">
        <v>1377</v>
      </c>
      <c r="G60" s="105" t="s">
        <v>198</v>
      </c>
      <c r="H60" s="105" t="s">
        <v>198</v>
      </c>
      <c r="I60" s="105"/>
      <c r="J60" s="105"/>
      <c r="K60" s="105" t="s">
        <v>198</v>
      </c>
      <c r="L60" s="105" t="s">
        <v>1379</v>
      </c>
      <c r="M60" s="105" t="s">
        <v>198</v>
      </c>
      <c r="N60" s="105" t="s">
        <v>198</v>
      </c>
      <c r="O60" s="105" t="s">
        <v>198</v>
      </c>
      <c r="P60" s="105" t="s">
        <v>1392</v>
      </c>
      <c r="Q60" s="105" t="s">
        <v>1395</v>
      </c>
      <c r="R60" s="105" t="s">
        <v>1379</v>
      </c>
      <c r="S60" s="105" t="s">
        <v>198</v>
      </c>
      <c r="T60" s="105" t="s">
        <v>198</v>
      </c>
      <c r="U60" s="105" t="s">
        <v>198</v>
      </c>
      <c r="V60" s="105" t="s">
        <v>1372</v>
      </c>
      <c r="W60" s="105" t="s">
        <v>198</v>
      </c>
      <c r="X60" s="105" t="s">
        <v>1372</v>
      </c>
      <c r="Y60" s="105" t="s">
        <v>198</v>
      </c>
      <c r="Z60" s="105" t="s">
        <v>1372</v>
      </c>
      <c r="AA60" s="105" t="s">
        <v>198</v>
      </c>
      <c r="AB60" s="105" t="s">
        <v>1372</v>
      </c>
      <c r="AC60" s="105" t="s">
        <v>198</v>
      </c>
      <c r="AD60" s="105" t="s">
        <v>1372</v>
      </c>
      <c r="AE60" s="105" t="s">
        <v>198</v>
      </c>
      <c r="AF60" s="105" t="s">
        <v>1372</v>
      </c>
      <c r="AG60" s="105" t="s">
        <v>1396</v>
      </c>
      <c r="AH60" s="105" t="s">
        <v>1372</v>
      </c>
      <c r="AI60" s="105" t="s">
        <v>1358</v>
      </c>
      <c r="AJ60" s="105" t="s">
        <v>1372</v>
      </c>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t="s">
        <v>1366</v>
      </c>
      <c r="BJ60" s="105" t="s">
        <v>1413</v>
      </c>
      <c r="BK60" s="105" t="s">
        <v>198</v>
      </c>
      <c r="BL60" s="105" t="s">
        <v>198</v>
      </c>
      <c r="BM60" s="105" t="s">
        <v>1415</v>
      </c>
      <c r="BN60" s="105" t="s">
        <v>1414</v>
      </c>
      <c r="BO60" s="105" t="s">
        <v>198</v>
      </c>
      <c r="BP60" s="105" t="s">
        <v>198</v>
      </c>
      <c r="BQ60" s="105" t="s">
        <v>1415</v>
      </c>
      <c r="BR60" s="105" t="s">
        <v>1414</v>
      </c>
      <c r="BS60" s="105" t="s">
        <v>1415</v>
      </c>
      <c r="BT60" s="105" t="s">
        <v>1414</v>
      </c>
      <c r="BU60" s="105" t="s">
        <v>198</v>
      </c>
      <c r="BV60" s="105" t="s">
        <v>198</v>
      </c>
      <c r="BW60" s="105" t="s">
        <v>1416</v>
      </c>
      <c r="BX60" s="105" t="s">
        <v>1414</v>
      </c>
      <c r="BY60" s="105" t="s">
        <v>1417</v>
      </c>
      <c r="BZ60" s="105" t="s">
        <v>1392</v>
      </c>
      <c r="CA60" s="105" t="s">
        <v>1417</v>
      </c>
      <c r="CB60" s="105" t="s">
        <v>1392</v>
      </c>
      <c r="CC60" s="105"/>
      <c r="CD60" s="105"/>
      <c r="CE60" s="105" t="s">
        <v>1418</v>
      </c>
      <c r="CF60" s="105" t="s">
        <v>1392</v>
      </c>
      <c r="CG60" s="105" t="s">
        <v>1419</v>
      </c>
      <c r="CH60" s="105" t="s">
        <v>1392</v>
      </c>
      <c r="CI60" s="105" t="s">
        <v>1420</v>
      </c>
      <c r="CJ60" s="105" t="s">
        <v>198</v>
      </c>
      <c r="CK60" s="105" t="s">
        <v>1421</v>
      </c>
      <c r="CL60" s="105" t="s">
        <v>1422</v>
      </c>
      <c r="CM60" s="105" t="s">
        <v>198</v>
      </c>
      <c r="CN60" s="105" t="s">
        <v>198</v>
      </c>
      <c r="CO60" s="105"/>
      <c r="CP60" s="105"/>
      <c r="CQ60" s="105" t="s">
        <v>1423</v>
      </c>
      <c r="CR60" s="105" t="s">
        <v>1424</v>
      </c>
      <c r="CS60" s="105" t="s">
        <v>198</v>
      </c>
      <c r="CT60" s="105" t="s">
        <v>198</v>
      </c>
      <c r="CU60" s="105" t="s">
        <v>1425</v>
      </c>
      <c r="CV60" s="105" t="s">
        <v>1424</v>
      </c>
      <c r="CW60" s="105" t="s">
        <v>1426</v>
      </c>
      <c r="CX60" s="105" t="s">
        <v>1424</v>
      </c>
      <c r="CY60" s="105"/>
      <c r="CZ60" s="105"/>
      <c r="DA60" s="105"/>
      <c r="DB60" s="105"/>
      <c r="DC60" s="105"/>
      <c r="DD60" s="105"/>
      <c r="DE60" s="105"/>
      <c r="DF60" s="105"/>
    </row>
    <row r="61" spans="2:110" x14ac:dyDescent="0.3">
      <c r="B61" s="104">
        <v>58</v>
      </c>
      <c r="C61" s="105"/>
      <c r="D61" s="105"/>
      <c r="E61" s="105" t="s">
        <v>198</v>
      </c>
      <c r="F61" s="105" t="s">
        <v>1377</v>
      </c>
      <c r="G61" s="105" t="s">
        <v>198</v>
      </c>
      <c r="H61" s="105" t="s">
        <v>198</v>
      </c>
      <c r="I61" s="105"/>
      <c r="J61" s="105"/>
      <c r="K61" s="105" t="s">
        <v>198</v>
      </c>
      <c r="L61" s="105" t="s">
        <v>1379</v>
      </c>
      <c r="M61" s="105" t="s">
        <v>198</v>
      </c>
      <c r="N61" s="105" t="s">
        <v>198</v>
      </c>
      <c r="O61" s="105" t="s">
        <v>198</v>
      </c>
      <c r="P61" s="105" t="s">
        <v>1392</v>
      </c>
      <c r="Q61" s="105" t="s">
        <v>1393</v>
      </c>
      <c r="R61" s="105" t="s">
        <v>1379</v>
      </c>
      <c r="S61" s="105" t="s">
        <v>198</v>
      </c>
      <c r="T61" s="105" t="s">
        <v>1379</v>
      </c>
      <c r="U61" s="105" t="s">
        <v>198</v>
      </c>
      <c r="V61" s="105" t="s">
        <v>1372</v>
      </c>
      <c r="W61" s="105" t="s">
        <v>198</v>
      </c>
      <c r="X61" s="105" t="s">
        <v>1372</v>
      </c>
      <c r="Y61" s="105" t="s">
        <v>198</v>
      </c>
      <c r="Z61" s="105" t="s">
        <v>1372</v>
      </c>
      <c r="AA61" s="105" t="s">
        <v>198</v>
      </c>
      <c r="AB61" s="105" t="s">
        <v>1372</v>
      </c>
      <c r="AC61" s="105" t="s">
        <v>198</v>
      </c>
      <c r="AD61" s="105" t="s">
        <v>1372</v>
      </c>
      <c r="AE61" s="105" t="s">
        <v>198</v>
      </c>
      <c r="AF61" s="105" t="s">
        <v>1372</v>
      </c>
      <c r="AG61" s="105" t="s">
        <v>1396</v>
      </c>
      <c r="AH61" s="105" t="s">
        <v>1372</v>
      </c>
      <c r="AI61" s="105" t="s">
        <v>1358</v>
      </c>
      <c r="AJ61" s="105" t="s">
        <v>1372</v>
      </c>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t="s">
        <v>1366</v>
      </c>
      <c r="BJ61" s="105" t="s">
        <v>1413</v>
      </c>
      <c r="BK61" s="105" t="s">
        <v>198</v>
      </c>
      <c r="BL61" s="105" t="s">
        <v>198</v>
      </c>
      <c r="BM61" s="105" t="s">
        <v>1415</v>
      </c>
      <c r="BN61" s="105" t="s">
        <v>1414</v>
      </c>
      <c r="BO61" s="105" t="s">
        <v>198</v>
      </c>
      <c r="BP61" s="105" t="s">
        <v>198</v>
      </c>
      <c r="BQ61" s="105" t="s">
        <v>1415</v>
      </c>
      <c r="BR61" s="105" t="s">
        <v>1414</v>
      </c>
      <c r="BS61" s="105" t="s">
        <v>1415</v>
      </c>
      <c r="BT61" s="105" t="s">
        <v>1414</v>
      </c>
      <c r="BU61" s="105" t="s">
        <v>198</v>
      </c>
      <c r="BV61" s="105" t="s">
        <v>198</v>
      </c>
      <c r="BW61" s="105" t="s">
        <v>1416</v>
      </c>
      <c r="BX61" s="105" t="s">
        <v>1414</v>
      </c>
      <c r="BY61" s="105" t="s">
        <v>1417</v>
      </c>
      <c r="BZ61" s="105" t="s">
        <v>1392</v>
      </c>
      <c r="CA61" s="105" t="s">
        <v>1417</v>
      </c>
      <c r="CB61" s="105" t="s">
        <v>1392</v>
      </c>
      <c r="CC61" s="105"/>
      <c r="CD61" s="105"/>
      <c r="CE61" s="105" t="s">
        <v>1418</v>
      </c>
      <c r="CF61" s="105" t="s">
        <v>1392</v>
      </c>
      <c r="CG61" s="105" t="s">
        <v>1419</v>
      </c>
      <c r="CH61" s="105" t="s">
        <v>1392</v>
      </c>
      <c r="CI61" s="105" t="s">
        <v>1420</v>
      </c>
      <c r="CJ61" s="105" t="s">
        <v>198</v>
      </c>
      <c r="CK61" s="105" t="s">
        <v>1421</v>
      </c>
      <c r="CL61" s="105" t="s">
        <v>1422</v>
      </c>
      <c r="CM61" s="105" t="s">
        <v>198</v>
      </c>
      <c r="CN61" s="105" t="s">
        <v>198</v>
      </c>
      <c r="CO61" s="105"/>
      <c r="CP61" s="105"/>
      <c r="CQ61" s="105" t="s">
        <v>1423</v>
      </c>
      <c r="CR61" s="105" t="s">
        <v>1424</v>
      </c>
      <c r="CS61" s="105" t="s">
        <v>198</v>
      </c>
      <c r="CT61" s="105" t="s">
        <v>198</v>
      </c>
      <c r="CU61" s="105" t="s">
        <v>1425</v>
      </c>
      <c r="CV61" s="105" t="s">
        <v>1424</v>
      </c>
      <c r="CW61" s="105" t="s">
        <v>1426</v>
      </c>
      <c r="CX61" s="105" t="s">
        <v>1424</v>
      </c>
      <c r="CY61" s="105"/>
      <c r="CZ61" s="105"/>
      <c r="DA61" s="105"/>
      <c r="DB61" s="105"/>
      <c r="DC61" s="105"/>
      <c r="DD61" s="105"/>
      <c r="DE61" s="105"/>
      <c r="DF61" s="105"/>
    </row>
    <row r="62" spans="2:110" x14ac:dyDescent="0.3">
      <c r="B62" s="104">
        <v>59</v>
      </c>
      <c r="C62" s="105"/>
      <c r="D62" s="105"/>
      <c r="E62" s="105" t="s">
        <v>198</v>
      </c>
      <c r="F62" s="105" t="s">
        <v>1377</v>
      </c>
      <c r="G62" s="105" t="s">
        <v>198</v>
      </c>
      <c r="H62" s="105" t="s">
        <v>198</v>
      </c>
      <c r="I62" s="105"/>
      <c r="J62" s="105"/>
      <c r="K62" s="105" t="s">
        <v>198</v>
      </c>
      <c r="L62" s="105" t="s">
        <v>1379</v>
      </c>
      <c r="M62" s="105" t="s">
        <v>198</v>
      </c>
      <c r="N62" s="105" t="s">
        <v>198</v>
      </c>
      <c r="O62" s="105" t="s">
        <v>198</v>
      </c>
      <c r="P62" s="105" t="s">
        <v>1392</v>
      </c>
      <c r="Q62" s="105" t="s">
        <v>1393</v>
      </c>
      <c r="R62" s="105" t="s">
        <v>1379</v>
      </c>
      <c r="S62" s="105" t="s">
        <v>198</v>
      </c>
      <c r="T62" s="105" t="s">
        <v>1379</v>
      </c>
      <c r="U62" s="105" t="s">
        <v>198</v>
      </c>
      <c r="V62" s="105" t="s">
        <v>1372</v>
      </c>
      <c r="W62" s="105" t="s">
        <v>198</v>
      </c>
      <c r="X62" s="105" t="s">
        <v>1372</v>
      </c>
      <c r="Y62" s="105" t="s">
        <v>198</v>
      </c>
      <c r="Z62" s="105" t="s">
        <v>1372</v>
      </c>
      <c r="AA62" s="105" t="s">
        <v>198</v>
      </c>
      <c r="AB62" s="105" t="s">
        <v>1372</v>
      </c>
      <c r="AC62" s="105" t="s">
        <v>198</v>
      </c>
      <c r="AD62" s="105" t="s">
        <v>1372</v>
      </c>
      <c r="AE62" s="105" t="s">
        <v>198</v>
      </c>
      <c r="AF62" s="105" t="s">
        <v>1372</v>
      </c>
      <c r="AG62" s="105" t="s">
        <v>1396</v>
      </c>
      <c r="AH62" s="105" t="s">
        <v>1372</v>
      </c>
      <c r="AI62" s="105" t="s">
        <v>1358</v>
      </c>
      <c r="AJ62" s="105" t="s">
        <v>1372</v>
      </c>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t="s">
        <v>1366</v>
      </c>
      <c r="BJ62" s="105" t="s">
        <v>1413</v>
      </c>
      <c r="BK62" s="105" t="s">
        <v>198</v>
      </c>
      <c r="BL62" s="105" t="s">
        <v>198</v>
      </c>
      <c r="BM62" s="105" t="s">
        <v>1415</v>
      </c>
      <c r="BN62" s="105" t="s">
        <v>1414</v>
      </c>
      <c r="BO62" s="105" t="s">
        <v>198</v>
      </c>
      <c r="BP62" s="105" t="s">
        <v>198</v>
      </c>
      <c r="BQ62" s="105" t="s">
        <v>1415</v>
      </c>
      <c r="BR62" s="105" t="s">
        <v>1414</v>
      </c>
      <c r="BS62" s="105" t="s">
        <v>1415</v>
      </c>
      <c r="BT62" s="105" t="s">
        <v>1414</v>
      </c>
      <c r="BU62" s="105" t="s">
        <v>198</v>
      </c>
      <c r="BV62" s="105" t="s">
        <v>198</v>
      </c>
      <c r="BW62" s="105" t="s">
        <v>1416</v>
      </c>
      <c r="BX62" s="105" t="s">
        <v>1414</v>
      </c>
      <c r="BY62" s="105" t="s">
        <v>1417</v>
      </c>
      <c r="BZ62" s="105" t="s">
        <v>1392</v>
      </c>
      <c r="CA62" s="105" t="s">
        <v>1417</v>
      </c>
      <c r="CB62" s="105" t="s">
        <v>1392</v>
      </c>
      <c r="CC62" s="105"/>
      <c r="CD62" s="105"/>
      <c r="CE62" s="105" t="s">
        <v>1418</v>
      </c>
      <c r="CF62" s="105" t="s">
        <v>1392</v>
      </c>
      <c r="CG62" s="105" t="s">
        <v>1419</v>
      </c>
      <c r="CH62" s="105" t="s">
        <v>1392</v>
      </c>
      <c r="CI62" s="105" t="s">
        <v>1420</v>
      </c>
      <c r="CJ62" s="105" t="s">
        <v>198</v>
      </c>
      <c r="CK62" s="105" t="s">
        <v>1421</v>
      </c>
      <c r="CL62" s="105" t="s">
        <v>1422</v>
      </c>
      <c r="CM62" s="105" t="s">
        <v>198</v>
      </c>
      <c r="CN62" s="105" t="s">
        <v>198</v>
      </c>
      <c r="CO62" s="105"/>
      <c r="CP62" s="105"/>
      <c r="CQ62" s="105" t="s">
        <v>1423</v>
      </c>
      <c r="CR62" s="105" t="s">
        <v>1424</v>
      </c>
      <c r="CS62" s="105" t="s">
        <v>198</v>
      </c>
      <c r="CT62" s="105" t="s">
        <v>198</v>
      </c>
      <c r="CU62" s="105" t="s">
        <v>1425</v>
      </c>
      <c r="CV62" s="105" t="s">
        <v>1424</v>
      </c>
      <c r="CW62" s="105" t="s">
        <v>1426</v>
      </c>
      <c r="CX62" s="105" t="s">
        <v>1424</v>
      </c>
      <c r="CY62" s="105"/>
      <c r="CZ62" s="105"/>
      <c r="DA62" s="105"/>
      <c r="DB62" s="105"/>
      <c r="DC62" s="105"/>
      <c r="DD62" s="105"/>
      <c r="DE62" s="105"/>
      <c r="DF62" s="105"/>
    </row>
    <row r="63" spans="2:110" x14ac:dyDescent="0.3">
      <c r="B63" s="104">
        <v>60</v>
      </c>
      <c r="C63" s="105"/>
      <c r="D63" s="105"/>
      <c r="E63" s="105" t="s">
        <v>198</v>
      </c>
      <c r="F63" s="105" t="s">
        <v>1377</v>
      </c>
      <c r="G63" s="105" t="s">
        <v>198</v>
      </c>
      <c r="H63" s="105" t="s">
        <v>198</v>
      </c>
      <c r="I63" s="105"/>
      <c r="J63" s="105"/>
      <c r="K63" s="105" t="s">
        <v>198</v>
      </c>
      <c r="L63" s="105" t="s">
        <v>1379</v>
      </c>
      <c r="M63" s="105" t="s">
        <v>198</v>
      </c>
      <c r="N63" s="105" t="s">
        <v>198</v>
      </c>
      <c r="O63" s="105" t="s">
        <v>198</v>
      </c>
      <c r="P63" s="105" t="s">
        <v>1392</v>
      </c>
      <c r="Q63" s="105" t="s">
        <v>1393</v>
      </c>
      <c r="R63" s="105" t="s">
        <v>1379</v>
      </c>
      <c r="S63" s="105" t="s">
        <v>198</v>
      </c>
      <c r="T63" s="105" t="s">
        <v>1379</v>
      </c>
      <c r="U63" s="105" t="s">
        <v>198</v>
      </c>
      <c r="V63" s="105" t="s">
        <v>1372</v>
      </c>
      <c r="W63" s="105" t="s">
        <v>198</v>
      </c>
      <c r="X63" s="105" t="s">
        <v>1372</v>
      </c>
      <c r="Y63" s="105" t="s">
        <v>198</v>
      </c>
      <c r="Z63" s="105" t="s">
        <v>1372</v>
      </c>
      <c r="AA63" s="105" t="s">
        <v>198</v>
      </c>
      <c r="AB63" s="105" t="s">
        <v>1372</v>
      </c>
      <c r="AC63" s="105" t="s">
        <v>198</v>
      </c>
      <c r="AD63" s="105" t="s">
        <v>1372</v>
      </c>
      <c r="AE63" s="105" t="s">
        <v>198</v>
      </c>
      <c r="AF63" s="105" t="s">
        <v>1372</v>
      </c>
      <c r="AG63" s="105" t="s">
        <v>1396</v>
      </c>
      <c r="AH63" s="105" t="s">
        <v>1372</v>
      </c>
      <c r="AI63" s="105" t="s">
        <v>1358</v>
      </c>
      <c r="AJ63" s="105" t="s">
        <v>1372</v>
      </c>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t="s">
        <v>1366</v>
      </c>
      <c r="BJ63" s="105" t="s">
        <v>1413</v>
      </c>
      <c r="BK63" s="105" t="s">
        <v>198</v>
      </c>
      <c r="BL63" s="105" t="s">
        <v>198</v>
      </c>
      <c r="BM63" s="105" t="s">
        <v>1415</v>
      </c>
      <c r="BN63" s="105" t="s">
        <v>1414</v>
      </c>
      <c r="BO63" s="105" t="s">
        <v>198</v>
      </c>
      <c r="BP63" s="105" t="s">
        <v>198</v>
      </c>
      <c r="BQ63" s="105" t="s">
        <v>1415</v>
      </c>
      <c r="BR63" s="105" t="s">
        <v>1414</v>
      </c>
      <c r="BS63" s="105" t="s">
        <v>1415</v>
      </c>
      <c r="BT63" s="105" t="s">
        <v>1414</v>
      </c>
      <c r="BU63" s="105" t="s">
        <v>198</v>
      </c>
      <c r="BV63" s="105" t="s">
        <v>198</v>
      </c>
      <c r="BW63" s="105" t="s">
        <v>1416</v>
      </c>
      <c r="BX63" s="105" t="s">
        <v>1414</v>
      </c>
      <c r="BY63" s="105" t="s">
        <v>1417</v>
      </c>
      <c r="BZ63" s="105" t="s">
        <v>1392</v>
      </c>
      <c r="CA63" s="105" t="s">
        <v>1417</v>
      </c>
      <c r="CB63" s="105" t="s">
        <v>1392</v>
      </c>
      <c r="CC63" s="105"/>
      <c r="CD63" s="105"/>
      <c r="CE63" s="105" t="s">
        <v>1418</v>
      </c>
      <c r="CF63" s="105" t="s">
        <v>1392</v>
      </c>
      <c r="CG63" s="105" t="s">
        <v>1419</v>
      </c>
      <c r="CH63" s="105" t="s">
        <v>1392</v>
      </c>
      <c r="CI63" s="105" t="s">
        <v>1420</v>
      </c>
      <c r="CJ63" s="105" t="s">
        <v>198</v>
      </c>
      <c r="CK63" s="105" t="s">
        <v>1421</v>
      </c>
      <c r="CL63" s="105" t="s">
        <v>1422</v>
      </c>
      <c r="CM63" s="105" t="s">
        <v>198</v>
      </c>
      <c r="CN63" s="105" t="s">
        <v>198</v>
      </c>
      <c r="CO63" s="105"/>
      <c r="CP63" s="105"/>
      <c r="CQ63" s="105" t="s">
        <v>1423</v>
      </c>
      <c r="CR63" s="105" t="s">
        <v>1424</v>
      </c>
      <c r="CS63" s="105" t="s">
        <v>198</v>
      </c>
      <c r="CT63" s="105" t="s">
        <v>198</v>
      </c>
      <c r="CU63" s="105" t="s">
        <v>1425</v>
      </c>
      <c r="CV63" s="105" t="s">
        <v>1424</v>
      </c>
      <c r="CW63" s="105" t="s">
        <v>1426</v>
      </c>
      <c r="CX63" s="105" t="s">
        <v>1424</v>
      </c>
      <c r="CY63" s="105"/>
      <c r="CZ63" s="105"/>
      <c r="DA63" s="105"/>
      <c r="DB63" s="105"/>
      <c r="DC63" s="105"/>
      <c r="DD63" s="105"/>
      <c r="DE63" s="105"/>
      <c r="DF63" s="105"/>
    </row>
    <row r="64" spans="2:110" x14ac:dyDescent="0.3">
      <c r="B64" s="104">
        <v>61</v>
      </c>
      <c r="C64" s="105"/>
      <c r="D64" s="105"/>
      <c r="E64" s="105" t="s">
        <v>198</v>
      </c>
      <c r="F64" s="105" t="s">
        <v>1377</v>
      </c>
      <c r="G64" s="105" t="s">
        <v>198</v>
      </c>
      <c r="H64" s="105" t="s">
        <v>198</v>
      </c>
      <c r="I64" s="105"/>
      <c r="J64" s="105"/>
      <c r="K64" s="105" t="s">
        <v>198</v>
      </c>
      <c r="L64" s="105" t="s">
        <v>1379</v>
      </c>
      <c r="M64" s="105" t="s">
        <v>198</v>
      </c>
      <c r="N64" s="105" t="s">
        <v>198</v>
      </c>
      <c r="O64" s="105" t="s">
        <v>198</v>
      </c>
      <c r="P64" s="105" t="s">
        <v>1392</v>
      </c>
      <c r="Q64" s="105" t="s">
        <v>1393</v>
      </c>
      <c r="R64" s="105" t="s">
        <v>1379</v>
      </c>
      <c r="S64" s="105" t="s">
        <v>198</v>
      </c>
      <c r="T64" s="105" t="s">
        <v>1379</v>
      </c>
      <c r="U64" s="105" t="s">
        <v>198</v>
      </c>
      <c r="V64" s="105" t="s">
        <v>1372</v>
      </c>
      <c r="W64" s="105" t="s">
        <v>198</v>
      </c>
      <c r="X64" s="105" t="s">
        <v>1372</v>
      </c>
      <c r="Y64" s="105" t="s">
        <v>198</v>
      </c>
      <c r="Z64" s="105" t="s">
        <v>1372</v>
      </c>
      <c r="AA64" s="105" t="s">
        <v>198</v>
      </c>
      <c r="AB64" s="105" t="s">
        <v>1372</v>
      </c>
      <c r="AC64" s="105" t="s">
        <v>198</v>
      </c>
      <c r="AD64" s="105" t="s">
        <v>1372</v>
      </c>
      <c r="AE64" s="105" t="s">
        <v>198</v>
      </c>
      <c r="AF64" s="105" t="s">
        <v>1372</v>
      </c>
      <c r="AG64" s="105" t="s">
        <v>1396</v>
      </c>
      <c r="AH64" s="105" t="s">
        <v>1372</v>
      </c>
      <c r="AI64" s="105" t="s">
        <v>1358</v>
      </c>
      <c r="AJ64" s="105" t="s">
        <v>1372</v>
      </c>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t="s">
        <v>1366</v>
      </c>
      <c r="BJ64" s="105" t="s">
        <v>1413</v>
      </c>
      <c r="BK64" s="105" t="s">
        <v>198</v>
      </c>
      <c r="BL64" s="105" t="s">
        <v>198</v>
      </c>
      <c r="BM64" s="105" t="s">
        <v>1415</v>
      </c>
      <c r="BN64" s="105" t="s">
        <v>1414</v>
      </c>
      <c r="BO64" s="105" t="s">
        <v>198</v>
      </c>
      <c r="BP64" s="105" t="s">
        <v>198</v>
      </c>
      <c r="BQ64" s="105" t="s">
        <v>1415</v>
      </c>
      <c r="BR64" s="105" t="s">
        <v>1414</v>
      </c>
      <c r="BS64" s="105" t="s">
        <v>1415</v>
      </c>
      <c r="BT64" s="105" t="s">
        <v>1414</v>
      </c>
      <c r="BU64" s="105" t="s">
        <v>198</v>
      </c>
      <c r="BV64" s="105" t="s">
        <v>198</v>
      </c>
      <c r="BW64" s="105" t="s">
        <v>1416</v>
      </c>
      <c r="BX64" s="105" t="s">
        <v>1414</v>
      </c>
      <c r="BY64" s="105" t="s">
        <v>1417</v>
      </c>
      <c r="BZ64" s="105" t="s">
        <v>1392</v>
      </c>
      <c r="CA64" s="105" t="s">
        <v>1417</v>
      </c>
      <c r="CB64" s="105" t="s">
        <v>1392</v>
      </c>
      <c r="CC64" s="105"/>
      <c r="CD64" s="105"/>
      <c r="CE64" s="105" t="s">
        <v>1418</v>
      </c>
      <c r="CF64" s="105" t="s">
        <v>1392</v>
      </c>
      <c r="CG64" s="105" t="s">
        <v>1419</v>
      </c>
      <c r="CH64" s="105" t="s">
        <v>1392</v>
      </c>
      <c r="CI64" s="105" t="s">
        <v>1420</v>
      </c>
      <c r="CJ64" s="105" t="s">
        <v>198</v>
      </c>
      <c r="CK64" s="105" t="s">
        <v>1421</v>
      </c>
      <c r="CL64" s="105" t="s">
        <v>1422</v>
      </c>
      <c r="CM64" s="105" t="s">
        <v>198</v>
      </c>
      <c r="CN64" s="105" t="s">
        <v>198</v>
      </c>
      <c r="CO64" s="105"/>
      <c r="CP64" s="105"/>
      <c r="CQ64" s="105" t="s">
        <v>1423</v>
      </c>
      <c r="CR64" s="105" t="s">
        <v>1424</v>
      </c>
      <c r="CS64" s="105" t="s">
        <v>198</v>
      </c>
      <c r="CT64" s="105" t="s">
        <v>198</v>
      </c>
      <c r="CU64" s="105" t="s">
        <v>1425</v>
      </c>
      <c r="CV64" s="105" t="s">
        <v>1424</v>
      </c>
      <c r="CW64" s="105" t="s">
        <v>1426</v>
      </c>
      <c r="CX64" s="105" t="s">
        <v>1424</v>
      </c>
      <c r="CY64" s="105"/>
      <c r="CZ64" s="105"/>
      <c r="DA64" s="105"/>
      <c r="DB64" s="105"/>
      <c r="DC64" s="105"/>
      <c r="DD64" s="105"/>
      <c r="DE64" s="105"/>
      <c r="DF64" s="105"/>
    </row>
    <row r="65" spans="2:110" x14ac:dyDescent="0.3">
      <c r="B65" s="104">
        <v>62</v>
      </c>
      <c r="C65" s="105"/>
      <c r="D65" s="105"/>
      <c r="E65" s="105" t="s">
        <v>198</v>
      </c>
      <c r="F65" s="105" t="s">
        <v>1377</v>
      </c>
      <c r="G65" s="105" t="s">
        <v>198</v>
      </c>
      <c r="H65" s="105" t="s">
        <v>198</v>
      </c>
      <c r="I65" s="105"/>
      <c r="J65" s="105"/>
      <c r="K65" s="105" t="s">
        <v>198</v>
      </c>
      <c r="L65" s="105" t="s">
        <v>1379</v>
      </c>
      <c r="M65" s="105" t="s">
        <v>198</v>
      </c>
      <c r="N65" s="105" t="s">
        <v>198</v>
      </c>
      <c r="O65" s="105" t="s">
        <v>198</v>
      </c>
      <c r="P65" s="105" t="s">
        <v>1392</v>
      </c>
      <c r="Q65" s="105" t="s">
        <v>1393</v>
      </c>
      <c r="R65" s="105" t="s">
        <v>1379</v>
      </c>
      <c r="S65" s="105" t="s">
        <v>198</v>
      </c>
      <c r="T65" s="105" t="s">
        <v>1379</v>
      </c>
      <c r="U65" s="105" t="s">
        <v>198</v>
      </c>
      <c r="V65" s="105" t="s">
        <v>1372</v>
      </c>
      <c r="W65" s="105" t="s">
        <v>198</v>
      </c>
      <c r="X65" s="105" t="s">
        <v>1372</v>
      </c>
      <c r="Y65" s="105" t="s">
        <v>198</v>
      </c>
      <c r="Z65" s="105" t="s">
        <v>1372</v>
      </c>
      <c r="AA65" s="105" t="s">
        <v>198</v>
      </c>
      <c r="AB65" s="105" t="s">
        <v>1372</v>
      </c>
      <c r="AC65" s="105" t="s">
        <v>198</v>
      </c>
      <c r="AD65" s="105" t="s">
        <v>1372</v>
      </c>
      <c r="AE65" s="105" t="s">
        <v>198</v>
      </c>
      <c r="AF65" s="105" t="s">
        <v>1372</v>
      </c>
      <c r="AG65" s="105" t="s">
        <v>1396</v>
      </c>
      <c r="AH65" s="105" t="s">
        <v>1372</v>
      </c>
      <c r="AI65" s="105" t="s">
        <v>1358</v>
      </c>
      <c r="AJ65" s="105" t="s">
        <v>1372</v>
      </c>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t="s">
        <v>1366</v>
      </c>
      <c r="BJ65" s="105" t="s">
        <v>1413</v>
      </c>
      <c r="BK65" s="105" t="s">
        <v>198</v>
      </c>
      <c r="BL65" s="105" t="s">
        <v>198</v>
      </c>
      <c r="BM65" s="105" t="s">
        <v>1415</v>
      </c>
      <c r="BN65" s="105" t="s">
        <v>1414</v>
      </c>
      <c r="BO65" s="105" t="s">
        <v>198</v>
      </c>
      <c r="BP65" s="105" t="s">
        <v>198</v>
      </c>
      <c r="BQ65" s="105" t="s">
        <v>1415</v>
      </c>
      <c r="BR65" s="105" t="s">
        <v>1414</v>
      </c>
      <c r="BS65" s="105" t="s">
        <v>1415</v>
      </c>
      <c r="BT65" s="105" t="s">
        <v>1414</v>
      </c>
      <c r="BU65" s="105" t="s">
        <v>198</v>
      </c>
      <c r="BV65" s="105" t="s">
        <v>198</v>
      </c>
      <c r="BW65" s="105" t="s">
        <v>1416</v>
      </c>
      <c r="BX65" s="105" t="s">
        <v>1414</v>
      </c>
      <c r="BY65" s="105" t="s">
        <v>1417</v>
      </c>
      <c r="BZ65" s="105" t="s">
        <v>1392</v>
      </c>
      <c r="CA65" s="105" t="s">
        <v>1417</v>
      </c>
      <c r="CB65" s="105" t="s">
        <v>1392</v>
      </c>
      <c r="CC65" s="105"/>
      <c r="CD65" s="105"/>
      <c r="CE65" s="105" t="s">
        <v>1418</v>
      </c>
      <c r="CF65" s="105" t="s">
        <v>1392</v>
      </c>
      <c r="CG65" s="105" t="s">
        <v>1419</v>
      </c>
      <c r="CH65" s="105" t="s">
        <v>1392</v>
      </c>
      <c r="CI65" s="105" t="s">
        <v>1420</v>
      </c>
      <c r="CJ65" s="105" t="s">
        <v>198</v>
      </c>
      <c r="CK65" s="105" t="s">
        <v>1421</v>
      </c>
      <c r="CL65" s="105" t="s">
        <v>1422</v>
      </c>
      <c r="CM65" s="105" t="s">
        <v>198</v>
      </c>
      <c r="CN65" s="105" t="s">
        <v>198</v>
      </c>
      <c r="CO65" s="105"/>
      <c r="CP65" s="105"/>
      <c r="CQ65" s="105" t="s">
        <v>1423</v>
      </c>
      <c r="CR65" s="105" t="s">
        <v>1424</v>
      </c>
      <c r="CS65" s="105" t="s">
        <v>198</v>
      </c>
      <c r="CT65" s="105" t="s">
        <v>198</v>
      </c>
      <c r="CU65" s="105" t="s">
        <v>1425</v>
      </c>
      <c r="CV65" s="105" t="s">
        <v>1424</v>
      </c>
      <c r="CW65" s="105" t="s">
        <v>1426</v>
      </c>
      <c r="CX65" s="105" t="s">
        <v>1424</v>
      </c>
      <c r="CY65" s="105"/>
      <c r="CZ65" s="105"/>
      <c r="DA65" s="105"/>
      <c r="DB65" s="105"/>
      <c r="DC65" s="105"/>
      <c r="DD65" s="105"/>
      <c r="DE65" s="105"/>
      <c r="DF65" s="105"/>
    </row>
    <row r="66" spans="2:110" x14ac:dyDescent="0.3">
      <c r="B66" s="104">
        <v>63</v>
      </c>
      <c r="C66" s="105"/>
      <c r="D66" s="105"/>
      <c r="E66" s="105" t="s">
        <v>198</v>
      </c>
      <c r="F66" s="105" t="s">
        <v>1377</v>
      </c>
      <c r="G66" s="105" t="s">
        <v>198</v>
      </c>
      <c r="H66" s="105" t="s">
        <v>198</v>
      </c>
      <c r="I66" s="105"/>
      <c r="J66" s="105"/>
      <c r="K66" s="105" t="s">
        <v>198</v>
      </c>
      <c r="L66" s="105" t="s">
        <v>1379</v>
      </c>
      <c r="M66" s="105" t="s">
        <v>198</v>
      </c>
      <c r="N66" s="105" t="s">
        <v>198</v>
      </c>
      <c r="O66" s="105" t="s">
        <v>198</v>
      </c>
      <c r="P66" s="105" t="s">
        <v>1392</v>
      </c>
      <c r="Q66" s="105" t="s">
        <v>1393</v>
      </c>
      <c r="R66" s="105" t="s">
        <v>1379</v>
      </c>
      <c r="S66" s="105" t="s">
        <v>198</v>
      </c>
      <c r="T66" s="105" t="s">
        <v>1379</v>
      </c>
      <c r="U66" s="105" t="s">
        <v>198</v>
      </c>
      <c r="V66" s="105" t="s">
        <v>1372</v>
      </c>
      <c r="W66" s="105" t="s">
        <v>198</v>
      </c>
      <c r="X66" s="105" t="s">
        <v>1372</v>
      </c>
      <c r="Y66" s="105" t="s">
        <v>198</v>
      </c>
      <c r="Z66" s="105" t="s">
        <v>1372</v>
      </c>
      <c r="AA66" s="105" t="s">
        <v>198</v>
      </c>
      <c r="AB66" s="105" t="s">
        <v>1372</v>
      </c>
      <c r="AC66" s="105" t="s">
        <v>198</v>
      </c>
      <c r="AD66" s="105" t="s">
        <v>1372</v>
      </c>
      <c r="AE66" s="105" t="s">
        <v>198</v>
      </c>
      <c r="AF66" s="105" t="s">
        <v>1372</v>
      </c>
      <c r="AG66" s="105" t="s">
        <v>1396</v>
      </c>
      <c r="AH66" s="105" t="s">
        <v>1372</v>
      </c>
      <c r="AI66" s="105" t="s">
        <v>1358</v>
      </c>
      <c r="AJ66" s="105" t="s">
        <v>1372</v>
      </c>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t="s">
        <v>1366</v>
      </c>
      <c r="BJ66" s="105" t="s">
        <v>1413</v>
      </c>
      <c r="BK66" s="105" t="s">
        <v>198</v>
      </c>
      <c r="BL66" s="105" t="s">
        <v>198</v>
      </c>
      <c r="BM66" s="105" t="s">
        <v>1415</v>
      </c>
      <c r="BN66" s="105" t="s">
        <v>1414</v>
      </c>
      <c r="BO66" s="105" t="s">
        <v>198</v>
      </c>
      <c r="BP66" s="105" t="s">
        <v>198</v>
      </c>
      <c r="BQ66" s="105" t="s">
        <v>1415</v>
      </c>
      <c r="BR66" s="105" t="s">
        <v>1414</v>
      </c>
      <c r="BS66" s="105" t="s">
        <v>1415</v>
      </c>
      <c r="BT66" s="105" t="s">
        <v>1414</v>
      </c>
      <c r="BU66" s="105" t="s">
        <v>198</v>
      </c>
      <c r="BV66" s="105" t="s">
        <v>198</v>
      </c>
      <c r="BW66" s="105" t="s">
        <v>1416</v>
      </c>
      <c r="BX66" s="105" t="s">
        <v>1414</v>
      </c>
      <c r="BY66" s="105" t="s">
        <v>1417</v>
      </c>
      <c r="BZ66" s="105" t="s">
        <v>1392</v>
      </c>
      <c r="CA66" s="105" t="s">
        <v>1417</v>
      </c>
      <c r="CB66" s="105" t="s">
        <v>1392</v>
      </c>
      <c r="CC66" s="105"/>
      <c r="CD66" s="105"/>
      <c r="CE66" s="105" t="s">
        <v>1418</v>
      </c>
      <c r="CF66" s="105" t="s">
        <v>1392</v>
      </c>
      <c r="CG66" s="105" t="s">
        <v>1419</v>
      </c>
      <c r="CH66" s="105" t="s">
        <v>1392</v>
      </c>
      <c r="CI66" s="105" t="s">
        <v>1420</v>
      </c>
      <c r="CJ66" s="105" t="s">
        <v>198</v>
      </c>
      <c r="CK66" s="105" t="s">
        <v>1421</v>
      </c>
      <c r="CL66" s="105" t="s">
        <v>1422</v>
      </c>
      <c r="CM66" s="105" t="s">
        <v>198</v>
      </c>
      <c r="CN66" s="105" t="s">
        <v>198</v>
      </c>
      <c r="CO66" s="105"/>
      <c r="CP66" s="105"/>
      <c r="CQ66" s="105" t="s">
        <v>1423</v>
      </c>
      <c r="CR66" s="105" t="s">
        <v>1424</v>
      </c>
      <c r="CS66" s="105" t="s">
        <v>198</v>
      </c>
      <c r="CT66" s="105" t="s">
        <v>198</v>
      </c>
      <c r="CU66" s="105" t="s">
        <v>1425</v>
      </c>
      <c r="CV66" s="105" t="s">
        <v>1424</v>
      </c>
      <c r="CW66" s="105" t="s">
        <v>1426</v>
      </c>
      <c r="CX66" s="105" t="s">
        <v>1424</v>
      </c>
      <c r="CY66" s="105"/>
      <c r="CZ66" s="105"/>
      <c r="DA66" s="105"/>
      <c r="DB66" s="105"/>
      <c r="DC66" s="105"/>
      <c r="DD66" s="105"/>
      <c r="DE66" s="105"/>
      <c r="DF66" s="105"/>
    </row>
    <row r="67" spans="2:110" x14ac:dyDescent="0.3">
      <c r="B67" s="104">
        <v>64</v>
      </c>
      <c r="C67" s="105"/>
      <c r="D67" s="105"/>
      <c r="E67" s="105" t="s">
        <v>198</v>
      </c>
      <c r="F67" s="105" t="s">
        <v>1377</v>
      </c>
      <c r="G67" s="105" t="s">
        <v>198</v>
      </c>
      <c r="H67" s="105" t="s">
        <v>198</v>
      </c>
      <c r="I67" s="105"/>
      <c r="J67" s="105"/>
      <c r="K67" s="105" t="s">
        <v>198</v>
      </c>
      <c r="L67" s="105" t="s">
        <v>1379</v>
      </c>
      <c r="M67" s="105" t="s">
        <v>198</v>
      </c>
      <c r="N67" s="105" t="s">
        <v>198</v>
      </c>
      <c r="O67" s="105" t="s">
        <v>198</v>
      </c>
      <c r="P67" s="105" t="s">
        <v>1392</v>
      </c>
      <c r="Q67" s="105" t="s">
        <v>1393</v>
      </c>
      <c r="R67" s="105" t="s">
        <v>1379</v>
      </c>
      <c r="S67" s="105" t="s">
        <v>198</v>
      </c>
      <c r="T67" s="105" t="s">
        <v>1379</v>
      </c>
      <c r="U67" s="105" t="s">
        <v>198</v>
      </c>
      <c r="V67" s="105" t="s">
        <v>1372</v>
      </c>
      <c r="W67" s="105" t="s">
        <v>198</v>
      </c>
      <c r="X67" s="105" t="s">
        <v>1372</v>
      </c>
      <c r="Y67" s="105" t="s">
        <v>198</v>
      </c>
      <c r="Z67" s="105" t="s">
        <v>1372</v>
      </c>
      <c r="AA67" s="105" t="s">
        <v>198</v>
      </c>
      <c r="AB67" s="105" t="s">
        <v>1372</v>
      </c>
      <c r="AC67" s="105" t="s">
        <v>198</v>
      </c>
      <c r="AD67" s="105" t="s">
        <v>1372</v>
      </c>
      <c r="AE67" s="105" t="s">
        <v>198</v>
      </c>
      <c r="AF67" s="105" t="s">
        <v>1372</v>
      </c>
      <c r="AG67" s="105" t="s">
        <v>1396</v>
      </c>
      <c r="AH67" s="105" t="s">
        <v>1372</v>
      </c>
      <c r="AI67" s="105" t="s">
        <v>1358</v>
      </c>
      <c r="AJ67" s="105" t="s">
        <v>1372</v>
      </c>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t="s">
        <v>1366</v>
      </c>
      <c r="BJ67" s="105" t="s">
        <v>1413</v>
      </c>
      <c r="BK67" s="105" t="s">
        <v>198</v>
      </c>
      <c r="BL67" s="105" t="s">
        <v>198</v>
      </c>
      <c r="BM67" s="105" t="s">
        <v>1415</v>
      </c>
      <c r="BN67" s="105" t="s">
        <v>1414</v>
      </c>
      <c r="BO67" s="105" t="s">
        <v>198</v>
      </c>
      <c r="BP67" s="105" t="s">
        <v>198</v>
      </c>
      <c r="BQ67" s="105" t="s">
        <v>1415</v>
      </c>
      <c r="BR67" s="105" t="s">
        <v>1414</v>
      </c>
      <c r="BS67" s="105" t="s">
        <v>1415</v>
      </c>
      <c r="BT67" s="105" t="s">
        <v>1414</v>
      </c>
      <c r="BU67" s="105" t="s">
        <v>198</v>
      </c>
      <c r="BV67" s="105" t="s">
        <v>198</v>
      </c>
      <c r="BW67" s="105" t="s">
        <v>1416</v>
      </c>
      <c r="BX67" s="105" t="s">
        <v>1414</v>
      </c>
      <c r="BY67" s="105" t="s">
        <v>1417</v>
      </c>
      <c r="BZ67" s="105" t="s">
        <v>1392</v>
      </c>
      <c r="CA67" s="105" t="s">
        <v>1417</v>
      </c>
      <c r="CB67" s="105" t="s">
        <v>1392</v>
      </c>
      <c r="CC67" s="105"/>
      <c r="CD67" s="105"/>
      <c r="CE67" s="105" t="s">
        <v>1418</v>
      </c>
      <c r="CF67" s="105" t="s">
        <v>1392</v>
      </c>
      <c r="CG67" s="105" t="s">
        <v>1419</v>
      </c>
      <c r="CH67" s="105" t="s">
        <v>1392</v>
      </c>
      <c r="CI67" s="105" t="s">
        <v>1420</v>
      </c>
      <c r="CJ67" s="105" t="s">
        <v>198</v>
      </c>
      <c r="CK67" s="105" t="s">
        <v>1421</v>
      </c>
      <c r="CL67" s="105" t="s">
        <v>1422</v>
      </c>
      <c r="CM67" s="105" t="s">
        <v>198</v>
      </c>
      <c r="CN67" s="105" t="s">
        <v>198</v>
      </c>
      <c r="CO67" s="105"/>
      <c r="CP67" s="105"/>
      <c r="CQ67" s="105" t="s">
        <v>1423</v>
      </c>
      <c r="CR67" s="105" t="s">
        <v>1424</v>
      </c>
      <c r="CS67" s="105" t="s">
        <v>198</v>
      </c>
      <c r="CT67" s="105" t="s">
        <v>198</v>
      </c>
      <c r="CU67" s="105" t="s">
        <v>1425</v>
      </c>
      <c r="CV67" s="105" t="s">
        <v>1424</v>
      </c>
      <c r="CW67" s="105" t="s">
        <v>1426</v>
      </c>
      <c r="CX67" s="105" t="s">
        <v>1424</v>
      </c>
      <c r="CY67" s="105"/>
      <c r="CZ67" s="105"/>
      <c r="DA67" s="105"/>
      <c r="DB67" s="105"/>
      <c r="DC67" s="105"/>
      <c r="DD67" s="105"/>
      <c r="DE67" s="105"/>
      <c r="DF67" s="105"/>
    </row>
    <row r="68" spans="2:110" x14ac:dyDescent="0.3">
      <c r="B68" s="104">
        <v>65</v>
      </c>
      <c r="C68" s="105"/>
      <c r="D68" s="105"/>
      <c r="E68" s="105" t="s">
        <v>198</v>
      </c>
      <c r="F68" s="105" t="s">
        <v>1377</v>
      </c>
      <c r="G68" s="105" t="s">
        <v>198</v>
      </c>
      <c r="H68" s="105" t="s">
        <v>198</v>
      </c>
      <c r="I68" s="105"/>
      <c r="J68" s="105"/>
      <c r="K68" s="105" t="s">
        <v>198</v>
      </c>
      <c r="L68" s="105" t="s">
        <v>1379</v>
      </c>
      <c r="M68" s="105" t="s">
        <v>198</v>
      </c>
      <c r="N68" s="105" t="s">
        <v>198</v>
      </c>
      <c r="O68" s="105" t="s">
        <v>198</v>
      </c>
      <c r="P68" s="105" t="s">
        <v>1392</v>
      </c>
      <c r="Q68" s="105" t="s">
        <v>1393</v>
      </c>
      <c r="R68" s="105" t="s">
        <v>1379</v>
      </c>
      <c r="S68" s="105" t="s">
        <v>198</v>
      </c>
      <c r="T68" s="105" t="s">
        <v>1379</v>
      </c>
      <c r="U68" s="105" t="s">
        <v>198</v>
      </c>
      <c r="V68" s="105" t="s">
        <v>1372</v>
      </c>
      <c r="W68" s="105" t="s">
        <v>198</v>
      </c>
      <c r="X68" s="105" t="s">
        <v>1372</v>
      </c>
      <c r="Y68" s="105" t="s">
        <v>198</v>
      </c>
      <c r="Z68" s="105" t="s">
        <v>1372</v>
      </c>
      <c r="AA68" s="105" t="s">
        <v>198</v>
      </c>
      <c r="AB68" s="105" t="s">
        <v>1372</v>
      </c>
      <c r="AC68" s="105" t="s">
        <v>198</v>
      </c>
      <c r="AD68" s="105" t="s">
        <v>1372</v>
      </c>
      <c r="AE68" s="105" t="s">
        <v>198</v>
      </c>
      <c r="AF68" s="105" t="s">
        <v>1372</v>
      </c>
      <c r="AG68" s="105" t="s">
        <v>1396</v>
      </c>
      <c r="AH68" s="105" t="s">
        <v>1372</v>
      </c>
      <c r="AI68" s="105" t="s">
        <v>1358</v>
      </c>
      <c r="AJ68" s="105" t="s">
        <v>1372</v>
      </c>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t="s">
        <v>1366</v>
      </c>
      <c r="BJ68" s="105" t="s">
        <v>1413</v>
      </c>
      <c r="BK68" s="105" t="s">
        <v>198</v>
      </c>
      <c r="BL68" s="105" t="s">
        <v>198</v>
      </c>
      <c r="BM68" s="105" t="s">
        <v>1415</v>
      </c>
      <c r="BN68" s="105" t="s">
        <v>1414</v>
      </c>
      <c r="BO68" s="105" t="s">
        <v>198</v>
      </c>
      <c r="BP68" s="105" t="s">
        <v>198</v>
      </c>
      <c r="BQ68" s="105" t="s">
        <v>1415</v>
      </c>
      <c r="BR68" s="105" t="s">
        <v>1414</v>
      </c>
      <c r="BS68" s="105" t="s">
        <v>1415</v>
      </c>
      <c r="BT68" s="105" t="s">
        <v>1414</v>
      </c>
      <c r="BU68" s="105" t="s">
        <v>198</v>
      </c>
      <c r="BV68" s="105" t="s">
        <v>198</v>
      </c>
      <c r="BW68" s="105" t="s">
        <v>1416</v>
      </c>
      <c r="BX68" s="105" t="s">
        <v>1414</v>
      </c>
      <c r="BY68" s="105" t="s">
        <v>1417</v>
      </c>
      <c r="BZ68" s="105" t="s">
        <v>1392</v>
      </c>
      <c r="CA68" s="105" t="s">
        <v>1417</v>
      </c>
      <c r="CB68" s="105" t="s">
        <v>1392</v>
      </c>
      <c r="CC68" s="105"/>
      <c r="CD68" s="105"/>
      <c r="CE68" s="105" t="s">
        <v>1418</v>
      </c>
      <c r="CF68" s="105" t="s">
        <v>1392</v>
      </c>
      <c r="CG68" s="105" t="s">
        <v>1419</v>
      </c>
      <c r="CH68" s="105" t="s">
        <v>1392</v>
      </c>
      <c r="CI68" s="105" t="s">
        <v>1420</v>
      </c>
      <c r="CJ68" s="105" t="s">
        <v>198</v>
      </c>
      <c r="CK68" s="105" t="s">
        <v>1421</v>
      </c>
      <c r="CL68" s="105" t="s">
        <v>1422</v>
      </c>
      <c r="CM68" s="105" t="s">
        <v>198</v>
      </c>
      <c r="CN68" s="105" t="s">
        <v>198</v>
      </c>
      <c r="CO68" s="105"/>
      <c r="CP68" s="105"/>
      <c r="CQ68" s="105" t="s">
        <v>1423</v>
      </c>
      <c r="CR68" s="105" t="s">
        <v>1424</v>
      </c>
      <c r="CS68" s="105" t="s">
        <v>198</v>
      </c>
      <c r="CT68" s="105" t="s">
        <v>198</v>
      </c>
      <c r="CU68" s="105" t="s">
        <v>1425</v>
      </c>
      <c r="CV68" s="105" t="s">
        <v>1424</v>
      </c>
      <c r="CW68" s="105" t="s">
        <v>1426</v>
      </c>
      <c r="CX68" s="105" t="s">
        <v>1424</v>
      </c>
      <c r="CY68" s="105"/>
      <c r="CZ68" s="105"/>
      <c r="DA68" s="105"/>
      <c r="DB68" s="105"/>
      <c r="DC68" s="105"/>
      <c r="DD68" s="105"/>
      <c r="DE68" s="105"/>
      <c r="DF68" s="105"/>
    </row>
    <row r="69" spans="2:110" x14ac:dyDescent="0.3">
      <c r="B69" s="104">
        <v>66</v>
      </c>
      <c r="C69" s="105"/>
      <c r="D69" s="105"/>
      <c r="E69" s="105" t="s">
        <v>198</v>
      </c>
      <c r="F69" s="105" t="s">
        <v>713</v>
      </c>
      <c r="G69" s="105" t="s">
        <v>198</v>
      </c>
      <c r="H69" s="105" t="s">
        <v>198</v>
      </c>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t="s">
        <v>815</v>
      </c>
      <c r="AI69" s="105"/>
      <c r="AJ69" s="105"/>
      <c r="AK69" s="105"/>
      <c r="AL69" s="105"/>
      <c r="AM69" s="105" t="s">
        <v>1410</v>
      </c>
      <c r="AN69" s="105" t="s">
        <v>1409</v>
      </c>
      <c r="AO69" s="105" t="s">
        <v>1411</v>
      </c>
      <c r="AP69" s="105" t="s">
        <v>198</v>
      </c>
      <c r="AQ69" s="105"/>
      <c r="AR69" s="105"/>
      <c r="AS69" s="105"/>
      <c r="AT69" s="105"/>
      <c r="AU69" s="105"/>
      <c r="AV69" s="105"/>
      <c r="AW69" s="105"/>
      <c r="AX69" s="105"/>
      <c r="AY69" s="105" t="s">
        <v>697</v>
      </c>
      <c r="AZ69" s="105"/>
      <c r="BA69" s="105"/>
      <c r="BB69" s="105"/>
      <c r="BC69" s="105"/>
      <c r="BD69" s="105"/>
      <c r="BE69" s="105"/>
      <c r="BF69" s="105"/>
      <c r="BG69" s="105"/>
      <c r="BH69" s="105"/>
      <c r="BI69" s="105" t="s">
        <v>198</v>
      </c>
      <c r="BJ69" s="105" t="s">
        <v>198</v>
      </c>
      <c r="BK69" s="105" t="s">
        <v>700</v>
      </c>
      <c r="BL69" s="105" t="s">
        <v>701</v>
      </c>
      <c r="BM69" s="105" t="s">
        <v>702</v>
      </c>
      <c r="BN69" s="105" t="s">
        <v>703</v>
      </c>
      <c r="BO69" s="105" t="s">
        <v>706</v>
      </c>
      <c r="BP69" s="105" t="s">
        <v>705</v>
      </c>
      <c r="BQ69" s="105" t="s">
        <v>932</v>
      </c>
      <c r="BR69" s="105" t="s">
        <v>703</v>
      </c>
      <c r="BS69" s="105" t="s">
        <v>933</v>
      </c>
      <c r="BT69" s="105" t="s">
        <v>703</v>
      </c>
      <c r="BU69" s="105" t="s">
        <v>198</v>
      </c>
      <c r="BV69" s="105" t="s">
        <v>198</v>
      </c>
      <c r="BW69" s="105" t="s">
        <v>936</v>
      </c>
      <c r="BX69" s="105" t="s">
        <v>704</v>
      </c>
      <c r="BY69" s="105" t="s">
        <v>198</v>
      </c>
      <c r="BZ69" s="105" t="s">
        <v>198</v>
      </c>
      <c r="CA69" s="105" t="s">
        <v>198</v>
      </c>
      <c r="CB69" s="105" t="s">
        <v>198</v>
      </c>
      <c r="CC69" s="105" t="s">
        <v>937</v>
      </c>
      <c r="CD69" s="105" t="s">
        <v>198</v>
      </c>
      <c r="CE69" s="105" t="s">
        <v>937</v>
      </c>
      <c r="CF69" s="105" t="s">
        <v>198</v>
      </c>
      <c r="CG69" s="105" t="s">
        <v>939</v>
      </c>
      <c r="CH69" s="105" t="s">
        <v>198</v>
      </c>
      <c r="CI69" s="105" t="s">
        <v>940</v>
      </c>
      <c r="CJ69" s="105" t="s">
        <v>198</v>
      </c>
      <c r="CK69" s="105" t="s">
        <v>198</v>
      </c>
      <c r="CL69" s="105" t="s">
        <v>198</v>
      </c>
      <c r="CM69" s="105" t="s">
        <v>198</v>
      </c>
      <c r="CN69" s="105" t="s">
        <v>198</v>
      </c>
      <c r="CO69" s="105" t="s">
        <v>198</v>
      </c>
      <c r="CP69" s="105" t="s">
        <v>198</v>
      </c>
      <c r="CQ69" s="105" t="s">
        <v>198</v>
      </c>
      <c r="CR69" s="105" t="s">
        <v>705</v>
      </c>
      <c r="CS69" s="105" t="s">
        <v>198</v>
      </c>
      <c r="CT69" s="105" t="s">
        <v>705</v>
      </c>
      <c r="CU69" s="105" t="s">
        <v>816</v>
      </c>
      <c r="CV69" s="105" t="s">
        <v>198</v>
      </c>
      <c r="CW69" s="105" t="s">
        <v>198</v>
      </c>
      <c r="CX69" s="105" t="s">
        <v>705</v>
      </c>
      <c r="CY69" s="105" t="s">
        <v>712</v>
      </c>
      <c r="CZ69" s="105" t="s">
        <v>713</v>
      </c>
      <c r="DA69" s="105" t="s">
        <v>198</v>
      </c>
      <c r="DB69" s="105" t="s">
        <v>198</v>
      </c>
      <c r="DC69" s="105" t="s">
        <v>198</v>
      </c>
      <c r="DD69" s="105" t="s">
        <v>198</v>
      </c>
      <c r="DE69" s="105" t="s">
        <v>198</v>
      </c>
      <c r="DF69" s="105" t="s">
        <v>198</v>
      </c>
    </row>
    <row r="70" spans="2:110" x14ac:dyDescent="0.3">
      <c r="B70" s="104">
        <v>67</v>
      </c>
      <c r="C70" s="105"/>
      <c r="D70" s="105"/>
      <c r="E70" s="105" t="s">
        <v>198</v>
      </c>
      <c r="F70" s="105" t="s">
        <v>713</v>
      </c>
      <c r="G70" s="105" t="s">
        <v>198</v>
      </c>
      <c r="H70" s="105" t="s">
        <v>198</v>
      </c>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t="s">
        <v>815</v>
      </c>
      <c r="AI70" s="105"/>
      <c r="AJ70" s="105"/>
      <c r="AK70" s="105"/>
      <c r="AL70" s="105"/>
      <c r="AM70" s="105" t="s">
        <v>1410</v>
      </c>
      <c r="AN70" s="105" t="s">
        <v>1409</v>
      </c>
      <c r="AO70" s="105" t="s">
        <v>1411</v>
      </c>
      <c r="AP70" s="105" t="s">
        <v>198</v>
      </c>
      <c r="AQ70" s="105"/>
      <c r="AR70" s="105"/>
      <c r="AS70" s="105"/>
      <c r="AT70" s="105"/>
      <c r="AU70" s="105"/>
      <c r="AV70" s="105"/>
      <c r="AW70" s="105"/>
      <c r="AX70" s="105"/>
      <c r="AY70" s="105" t="s">
        <v>697</v>
      </c>
      <c r="AZ70" s="105"/>
      <c r="BA70" s="105"/>
      <c r="BB70" s="105"/>
      <c r="BC70" s="105"/>
      <c r="BD70" s="105"/>
      <c r="BE70" s="105"/>
      <c r="BF70" s="105"/>
      <c r="BG70" s="105"/>
      <c r="BH70" s="105"/>
      <c r="BI70" s="105" t="s">
        <v>198</v>
      </c>
      <c r="BJ70" s="105" t="s">
        <v>198</v>
      </c>
      <c r="BK70" s="105" t="s">
        <v>700</v>
      </c>
      <c r="BL70" s="105" t="s">
        <v>701</v>
      </c>
      <c r="BM70" s="105" t="s">
        <v>702</v>
      </c>
      <c r="BN70" s="105" t="s">
        <v>703</v>
      </c>
      <c r="BO70" s="105" t="s">
        <v>706</v>
      </c>
      <c r="BP70" s="105" t="s">
        <v>705</v>
      </c>
      <c r="BQ70" s="105" t="s">
        <v>932</v>
      </c>
      <c r="BR70" s="105" t="s">
        <v>703</v>
      </c>
      <c r="BS70" s="105" t="s">
        <v>933</v>
      </c>
      <c r="BT70" s="105" t="s">
        <v>703</v>
      </c>
      <c r="BU70" s="105" t="s">
        <v>198</v>
      </c>
      <c r="BV70" s="105" t="s">
        <v>198</v>
      </c>
      <c r="BW70" s="105" t="s">
        <v>936</v>
      </c>
      <c r="BX70" s="105" t="s">
        <v>704</v>
      </c>
      <c r="BY70" s="105" t="s">
        <v>198</v>
      </c>
      <c r="BZ70" s="105" t="s">
        <v>198</v>
      </c>
      <c r="CA70" s="105" t="s">
        <v>198</v>
      </c>
      <c r="CB70" s="105" t="s">
        <v>198</v>
      </c>
      <c r="CC70" s="105" t="s">
        <v>937</v>
      </c>
      <c r="CD70" s="105" t="s">
        <v>198</v>
      </c>
      <c r="CE70" s="105" t="s">
        <v>937</v>
      </c>
      <c r="CF70" s="105" t="s">
        <v>198</v>
      </c>
      <c r="CG70" s="105" t="s">
        <v>939</v>
      </c>
      <c r="CH70" s="105" t="s">
        <v>198</v>
      </c>
      <c r="CI70" s="105" t="s">
        <v>940</v>
      </c>
      <c r="CJ70" s="105" t="s">
        <v>198</v>
      </c>
      <c r="CK70" s="105" t="s">
        <v>198</v>
      </c>
      <c r="CL70" s="105" t="s">
        <v>198</v>
      </c>
      <c r="CM70" s="105" t="s">
        <v>198</v>
      </c>
      <c r="CN70" s="105" t="s">
        <v>198</v>
      </c>
      <c r="CO70" s="105" t="s">
        <v>198</v>
      </c>
      <c r="CP70" s="105" t="s">
        <v>198</v>
      </c>
      <c r="CQ70" s="105" t="s">
        <v>198</v>
      </c>
      <c r="CR70" s="105" t="s">
        <v>705</v>
      </c>
      <c r="CS70" s="105" t="s">
        <v>198</v>
      </c>
      <c r="CT70" s="105" t="s">
        <v>705</v>
      </c>
      <c r="CU70" s="105" t="s">
        <v>816</v>
      </c>
      <c r="CV70" s="105" t="s">
        <v>198</v>
      </c>
      <c r="CW70" s="105" t="s">
        <v>198</v>
      </c>
      <c r="CX70" s="105" t="s">
        <v>705</v>
      </c>
      <c r="CY70" s="105" t="s">
        <v>712</v>
      </c>
      <c r="CZ70" s="105" t="s">
        <v>713</v>
      </c>
      <c r="DA70" s="105" t="s">
        <v>198</v>
      </c>
      <c r="DB70" s="105" t="s">
        <v>198</v>
      </c>
      <c r="DC70" s="105" t="s">
        <v>198</v>
      </c>
      <c r="DD70" s="105" t="s">
        <v>198</v>
      </c>
      <c r="DE70" s="105" t="s">
        <v>198</v>
      </c>
      <c r="DF70" s="105" t="s">
        <v>198</v>
      </c>
    </row>
    <row r="71" spans="2:110" x14ac:dyDescent="0.3">
      <c r="B71" s="104">
        <v>68</v>
      </c>
      <c r="C71" s="105"/>
      <c r="D71" s="105"/>
      <c r="E71" s="105" t="s">
        <v>198</v>
      </c>
      <c r="F71" s="105" t="s">
        <v>713</v>
      </c>
      <c r="G71" s="105" t="s">
        <v>198</v>
      </c>
      <c r="H71" s="105" t="s">
        <v>198</v>
      </c>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t="s">
        <v>815</v>
      </c>
      <c r="AI71" s="105"/>
      <c r="AJ71" s="105"/>
      <c r="AK71" s="105"/>
      <c r="AL71" s="105"/>
      <c r="AM71" s="105" t="s">
        <v>1410</v>
      </c>
      <c r="AN71" s="105" t="s">
        <v>1409</v>
      </c>
      <c r="AO71" s="105" t="s">
        <v>1411</v>
      </c>
      <c r="AP71" s="105" t="s">
        <v>198</v>
      </c>
      <c r="AQ71" s="105"/>
      <c r="AR71" s="105"/>
      <c r="AS71" s="105"/>
      <c r="AT71" s="105"/>
      <c r="AU71" s="105"/>
      <c r="AV71" s="105"/>
      <c r="AW71" s="105"/>
      <c r="AX71" s="105"/>
      <c r="AY71" s="105" t="s">
        <v>697</v>
      </c>
      <c r="AZ71" s="105"/>
      <c r="BA71" s="105"/>
      <c r="BB71" s="105"/>
      <c r="BC71" s="105"/>
      <c r="BD71" s="105"/>
      <c r="BE71" s="105"/>
      <c r="BF71" s="105"/>
      <c r="BG71" s="105"/>
      <c r="BH71" s="105"/>
      <c r="BI71" s="105" t="s">
        <v>198</v>
      </c>
      <c r="BJ71" s="105" t="s">
        <v>198</v>
      </c>
      <c r="BK71" s="105" t="s">
        <v>700</v>
      </c>
      <c r="BL71" s="105" t="s">
        <v>701</v>
      </c>
      <c r="BM71" s="105" t="s">
        <v>702</v>
      </c>
      <c r="BN71" s="105" t="s">
        <v>703</v>
      </c>
      <c r="BO71" s="105" t="s">
        <v>706</v>
      </c>
      <c r="BP71" s="105" t="s">
        <v>705</v>
      </c>
      <c r="BQ71" s="105" t="s">
        <v>932</v>
      </c>
      <c r="BR71" s="105" t="s">
        <v>703</v>
      </c>
      <c r="BS71" s="105" t="s">
        <v>933</v>
      </c>
      <c r="BT71" s="105" t="s">
        <v>703</v>
      </c>
      <c r="BU71" s="105" t="s">
        <v>198</v>
      </c>
      <c r="BV71" s="105" t="s">
        <v>198</v>
      </c>
      <c r="BW71" s="105" t="s">
        <v>936</v>
      </c>
      <c r="BX71" s="105" t="s">
        <v>704</v>
      </c>
      <c r="BY71" s="105" t="s">
        <v>198</v>
      </c>
      <c r="BZ71" s="105" t="s">
        <v>198</v>
      </c>
      <c r="CA71" s="105" t="s">
        <v>198</v>
      </c>
      <c r="CB71" s="105" t="s">
        <v>198</v>
      </c>
      <c r="CC71" s="105" t="s">
        <v>937</v>
      </c>
      <c r="CD71" s="105" t="s">
        <v>198</v>
      </c>
      <c r="CE71" s="105" t="s">
        <v>937</v>
      </c>
      <c r="CF71" s="105" t="s">
        <v>198</v>
      </c>
      <c r="CG71" s="105" t="s">
        <v>939</v>
      </c>
      <c r="CH71" s="105" t="s">
        <v>198</v>
      </c>
      <c r="CI71" s="105" t="s">
        <v>940</v>
      </c>
      <c r="CJ71" s="105" t="s">
        <v>198</v>
      </c>
      <c r="CK71" s="105" t="s">
        <v>198</v>
      </c>
      <c r="CL71" s="105" t="s">
        <v>198</v>
      </c>
      <c r="CM71" s="105" t="s">
        <v>198</v>
      </c>
      <c r="CN71" s="105" t="s">
        <v>198</v>
      </c>
      <c r="CO71" s="105" t="s">
        <v>198</v>
      </c>
      <c r="CP71" s="105" t="s">
        <v>198</v>
      </c>
      <c r="CQ71" s="105" t="s">
        <v>198</v>
      </c>
      <c r="CR71" s="105" t="s">
        <v>705</v>
      </c>
      <c r="CS71" s="105" t="s">
        <v>198</v>
      </c>
      <c r="CT71" s="105" t="s">
        <v>705</v>
      </c>
      <c r="CU71" s="105" t="s">
        <v>816</v>
      </c>
      <c r="CV71" s="105" t="s">
        <v>198</v>
      </c>
      <c r="CW71" s="105" t="s">
        <v>198</v>
      </c>
      <c r="CX71" s="105" t="s">
        <v>705</v>
      </c>
      <c r="CY71" s="105" t="s">
        <v>712</v>
      </c>
      <c r="CZ71" s="105" t="s">
        <v>713</v>
      </c>
      <c r="DA71" s="105" t="s">
        <v>198</v>
      </c>
      <c r="DB71" s="105" t="s">
        <v>198</v>
      </c>
      <c r="DC71" s="105" t="s">
        <v>198</v>
      </c>
      <c r="DD71" s="105" t="s">
        <v>198</v>
      </c>
      <c r="DE71" s="105" t="s">
        <v>198</v>
      </c>
      <c r="DF71" s="105" t="s">
        <v>198</v>
      </c>
    </row>
    <row r="72" spans="2:110" x14ac:dyDescent="0.3">
      <c r="B72" s="104">
        <v>69</v>
      </c>
      <c r="C72" s="105"/>
      <c r="D72" s="105"/>
      <c r="E72" s="105" t="s">
        <v>198</v>
      </c>
      <c r="F72" s="105" t="s">
        <v>713</v>
      </c>
      <c r="G72" s="105" t="s">
        <v>198</v>
      </c>
      <c r="H72" s="105" t="s">
        <v>198</v>
      </c>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t="s">
        <v>815</v>
      </c>
      <c r="AI72" s="105"/>
      <c r="AJ72" s="105"/>
      <c r="AK72" s="105"/>
      <c r="AL72" s="105"/>
      <c r="AM72" s="105" t="s">
        <v>1410</v>
      </c>
      <c r="AN72" s="105" t="s">
        <v>1409</v>
      </c>
      <c r="AO72" s="105" t="s">
        <v>1411</v>
      </c>
      <c r="AP72" s="105" t="s">
        <v>198</v>
      </c>
      <c r="AQ72" s="105"/>
      <c r="AR72" s="105"/>
      <c r="AS72" s="105"/>
      <c r="AT72" s="105"/>
      <c r="AU72" s="105"/>
      <c r="AV72" s="105"/>
      <c r="AW72" s="105"/>
      <c r="AX72" s="105"/>
      <c r="AY72" s="105" t="s">
        <v>697</v>
      </c>
      <c r="AZ72" s="105"/>
      <c r="BA72" s="105"/>
      <c r="BB72" s="105"/>
      <c r="BC72" s="105"/>
      <c r="BD72" s="105"/>
      <c r="BE72" s="105"/>
      <c r="BF72" s="105"/>
      <c r="BG72" s="105"/>
      <c r="BH72" s="105"/>
      <c r="BI72" s="105" t="s">
        <v>198</v>
      </c>
      <c r="BJ72" s="105" t="s">
        <v>198</v>
      </c>
      <c r="BK72" s="105" t="s">
        <v>700</v>
      </c>
      <c r="BL72" s="105" t="s">
        <v>701</v>
      </c>
      <c r="BM72" s="105" t="s">
        <v>702</v>
      </c>
      <c r="BN72" s="105" t="s">
        <v>703</v>
      </c>
      <c r="BO72" s="105" t="s">
        <v>706</v>
      </c>
      <c r="BP72" s="105" t="s">
        <v>705</v>
      </c>
      <c r="BQ72" s="105" t="s">
        <v>932</v>
      </c>
      <c r="BR72" s="105" t="s">
        <v>703</v>
      </c>
      <c r="BS72" s="105" t="s">
        <v>933</v>
      </c>
      <c r="BT72" s="105" t="s">
        <v>703</v>
      </c>
      <c r="BU72" s="105" t="s">
        <v>198</v>
      </c>
      <c r="BV72" s="105" t="s">
        <v>198</v>
      </c>
      <c r="BW72" s="105" t="s">
        <v>936</v>
      </c>
      <c r="BX72" s="105" t="s">
        <v>704</v>
      </c>
      <c r="BY72" s="105" t="s">
        <v>198</v>
      </c>
      <c r="BZ72" s="105" t="s">
        <v>198</v>
      </c>
      <c r="CA72" s="105" t="s">
        <v>198</v>
      </c>
      <c r="CB72" s="105" t="s">
        <v>198</v>
      </c>
      <c r="CC72" s="105" t="s">
        <v>937</v>
      </c>
      <c r="CD72" s="105" t="s">
        <v>198</v>
      </c>
      <c r="CE72" s="105" t="s">
        <v>937</v>
      </c>
      <c r="CF72" s="105" t="s">
        <v>198</v>
      </c>
      <c r="CG72" s="105" t="s">
        <v>939</v>
      </c>
      <c r="CH72" s="105" t="s">
        <v>198</v>
      </c>
      <c r="CI72" s="105" t="s">
        <v>940</v>
      </c>
      <c r="CJ72" s="105" t="s">
        <v>198</v>
      </c>
      <c r="CK72" s="105" t="s">
        <v>198</v>
      </c>
      <c r="CL72" s="105" t="s">
        <v>198</v>
      </c>
      <c r="CM72" s="105" t="s">
        <v>198</v>
      </c>
      <c r="CN72" s="105" t="s">
        <v>198</v>
      </c>
      <c r="CO72" s="105" t="s">
        <v>198</v>
      </c>
      <c r="CP72" s="105" t="s">
        <v>198</v>
      </c>
      <c r="CQ72" s="105" t="s">
        <v>198</v>
      </c>
      <c r="CR72" s="105" t="s">
        <v>705</v>
      </c>
      <c r="CS72" s="105" t="s">
        <v>198</v>
      </c>
      <c r="CT72" s="105" t="s">
        <v>705</v>
      </c>
      <c r="CU72" s="105" t="s">
        <v>816</v>
      </c>
      <c r="CV72" s="105" t="s">
        <v>198</v>
      </c>
      <c r="CW72" s="105" t="s">
        <v>198</v>
      </c>
      <c r="CX72" s="105" t="s">
        <v>705</v>
      </c>
      <c r="CY72" s="105" t="s">
        <v>712</v>
      </c>
      <c r="CZ72" s="105" t="s">
        <v>713</v>
      </c>
      <c r="DA72" s="105" t="s">
        <v>198</v>
      </c>
      <c r="DB72" s="105" t="s">
        <v>198</v>
      </c>
      <c r="DC72" s="105" t="s">
        <v>198</v>
      </c>
      <c r="DD72" s="105" t="s">
        <v>198</v>
      </c>
      <c r="DE72" s="105" t="s">
        <v>198</v>
      </c>
      <c r="DF72" s="105" t="s">
        <v>198</v>
      </c>
    </row>
    <row r="73" spans="2:110" x14ac:dyDescent="0.3">
      <c r="B73" s="104">
        <v>70</v>
      </c>
      <c r="C73" s="105"/>
      <c r="D73" s="105"/>
      <c r="E73" s="105" t="s">
        <v>198</v>
      </c>
      <c r="F73" s="105" t="s">
        <v>713</v>
      </c>
      <c r="G73" s="105" t="s">
        <v>198</v>
      </c>
      <c r="H73" s="105" t="s">
        <v>198</v>
      </c>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t="s">
        <v>815</v>
      </c>
      <c r="AI73" s="105"/>
      <c r="AJ73" s="105"/>
      <c r="AK73" s="105"/>
      <c r="AL73" s="105"/>
      <c r="AM73" s="105" t="s">
        <v>1410</v>
      </c>
      <c r="AN73" s="105" t="s">
        <v>1409</v>
      </c>
      <c r="AO73" s="105" t="s">
        <v>1411</v>
      </c>
      <c r="AP73" s="105" t="s">
        <v>198</v>
      </c>
      <c r="AQ73" s="105"/>
      <c r="AR73" s="105"/>
      <c r="AS73" s="105"/>
      <c r="AT73" s="105"/>
      <c r="AU73" s="105"/>
      <c r="AV73" s="105"/>
      <c r="AW73" s="105"/>
      <c r="AX73" s="105"/>
      <c r="AY73" s="105" t="s">
        <v>697</v>
      </c>
      <c r="AZ73" s="105"/>
      <c r="BA73" s="105"/>
      <c r="BB73" s="105"/>
      <c r="BC73" s="105"/>
      <c r="BD73" s="105"/>
      <c r="BE73" s="105"/>
      <c r="BF73" s="105"/>
      <c r="BG73" s="105"/>
      <c r="BH73" s="105"/>
      <c r="BI73" s="105" t="s">
        <v>198</v>
      </c>
      <c r="BJ73" s="105" t="s">
        <v>198</v>
      </c>
      <c r="BK73" s="105" t="s">
        <v>700</v>
      </c>
      <c r="BL73" s="105" t="s">
        <v>701</v>
      </c>
      <c r="BM73" s="105" t="s">
        <v>702</v>
      </c>
      <c r="BN73" s="105" t="s">
        <v>703</v>
      </c>
      <c r="BO73" s="105" t="s">
        <v>706</v>
      </c>
      <c r="BP73" s="105" t="s">
        <v>705</v>
      </c>
      <c r="BQ73" s="105" t="s">
        <v>932</v>
      </c>
      <c r="BR73" s="105" t="s">
        <v>703</v>
      </c>
      <c r="BS73" s="105" t="s">
        <v>933</v>
      </c>
      <c r="BT73" s="105" t="s">
        <v>703</v>
      </c>
      <c r="BU73" s="105" t="s">
        <v>198</v>
      </c>
      <c r="BV73" s="105" t="s">
        <v>198</v>
      </c>
      <c r="BW73" s="105" t="s">
        <v>936</v>
      </c>
      <c r="BX73" s="105" t="s">
        <v>704</v>
      </c>
      <c r="BY73" s="105" t="s">
        <v>198</v>
      </c>
      <c r="BZ73" s="105" t="s">
        <v>198</v>
      </c>
      <c r="CA73" s="105" t="s">
        <v>198</v>
      </c>
      <c r="CB73" s="105" t="s">
        <v>198</v>
      </c>
      <c r="CC73" s="105" t="s">
        <v>937</v>
      </c>
      <c r="CD73" s="105" t="s">
        <v>198</v>
      </c>
      <c r="CE73" s="105" t="s">
        <v>937</v>
      </c>
      <c r="CF73" s="105" t="s">
        <v>198</v>
      </c>
      <c r="CG73" s="105" t="s">
        <v>939</v>
      </c>
      <c r="CH73" s="105" t="s">
        <v>198</v>
      </c>
      <c r="CI73" s="105" t="s">
        <v>940</v>
      </c>
      <c r="CJ73" s="105" t="s">
        <v>198</v>
      </c>
      <c r="CK73" s="105" t="s">
        <v>198</v>
      </c>
      <c r="CL73" s="105" t="s">
        <v>198</v>
      </c>
      <c r="CM73" s="105" t="s">
        <v>198</v>
      </c>
      <c r="CN73" s="105" t="s">
        <v>198</v>
      </c>
      <c r="CO73" s="105" t="s">
        <v>198</v>
      </c>
      <c r="CP73" s="105" t="s">
        <v>198</v>
      </c>
      <c r="CQ73" s="105" t="s">
        <v>198</v>
      </c>
      <c r="CR73" s="105" t="s">
        <v>705</v>
      </c>
      <c r="CS73" s="105" t="s">
        <v>198</v>
      </c>
      <c r="CT73" s="105" t="s">
        <v>705</v>
      </c>
      <c r="CU73" s="105" t="s">
        <v>816</v>
      </c>
      <c r="CV73" s="105" t="s">
        <v>198</v>
      </c>
      <c r="CW73" s="105" t="s">
        <v>198</v>
      </c>
      <c r="CX73" s="105" t="s">
        <v>705</v>
      </c>
      <c r="CY73" s="105" t="s">
        <v>712</v>
      </c>
      <c r="CZ73" s="105" t="s">
        <v>713</v>
      </c>
      <c r="DA73" s="105" t="s">
        <v>198</v>
      </c>
      <c r="DB73" s="105" t="s">
        <v>198</v>
      </c>
      <c r="DC73" s="105" t="s">
        <v>198</v>
      </c>
      <c r="DD73" s="105" t="s">
        <v>198</v>
      </c>
      <c r="DE73" s="105" t="s">
        <v>198</v>
      </c>
      <c r="DF73" s="105" t="s">
        <v>198</v>
      </c>
    </row>
    <row r="74" spans="2:110" x14ac:dyDescent="0.3">
      <c r="B74" s="104">
        <v>71</v>
      </c>
      <c r="C74" s="105"/>
      <c r="D74" s="105"/>
      <c r="E74" s="105" t="s">
        <v>198</v>
      </c>
      <c r="F74" s="105" t="s">
        <v>713</v>
      </c>
      <c r="G74" s="105" t="s">
        <v>198</v>
      </c>
      <c r="H74" s="105" t="s">
        <v>198</v>
      </c>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t="s">
        <v>815</v>
      </c>
      <c r="AI74" s="105"/>
      <c r="AJ74" s="105"/>
      <c r="AK74" s="105"/>
      <c r="AL74" s="105"/>
      <c r="AM74" s="105" t="s">
        <v>1410</v>
      </c>
      <c r="AN74" s="105" t="s">
        <v>1409</v>
      </c>
      <c r="AO74" s="105" t="s">
        <v>1411</v>
      </c>
      <c r="AP74" s="105" t="s">
        <v>198</v>
      </c>
      <c r="AQ74" s="105"/>
      <c r="AR74" s="105"/>
      <c r="AS74" s="105"/>
      <c r="AT74" s="105"/>
      <c r="AU74" s="105"/>
      <c r="AV74" s="105"/>
      <c r="AW74" s="105"/>
      <c r="AX74" s="105"/>
      <c r="AY74" s="105" t="s">
        <v>697</v>
      </c>
      <c r="AZ74" s="105"/>
      <c r="BA74" s="105"/>
      <c r="BB74" s="105"/>
      <c r="BC74" s="105"/>
      <c r="BD74" s="105"/>
      <c r="BE74" s="105"/>
      <c r="BF74" s="105"/>
      <c r="BG74" s="105"/>
      <c r="BH74" s="105"/>
      <c r="BI74" s="105" t="s">
        <v>198</v>
      </c>
      <c r="BJ74" s="105" t="s">
        <v>198</v>
      </c>
      <c r="BK74" s="105" t="s">
        <v>700</v>
      </c>
      <c r="BL74" s="105" t="s">
        <v>701</v>
      </c>
      <c r="BM74" s="105" t="s">
        <v>702</v>
      </c>
      <c r="BN74" s="105" t="s">
        <v>703</v>
      </c>
      <c r="BO74" s="105" t="s">
        <v>706</v>
      </c>
      <c r="BP74" s="105" t="s">
        <v>705</v>
      </c>
      <c r="BQ74" s="105" t="s">
        <v>932</v>
      </c>
      <c r="BR74" s="105" t="s">
        <v>703</v>
      </c>
      <c r="BS74" s="105" t="s">
        <v>933</v>
      </c>
      <c r="BT74" s="105" t="s">
        <v>703</v>
      </c>
      <c r="BU74" s="105" t="s">
        <v>198</v>
      </c>
      <c r="BV74" s="105" t="s">
        <v>198</v>
      </c>
      <c r="BW74" s="105" t="s">
        <v>936</v>
      </c>
      <c r="BX74" s="105" t="s">
        <v>704</v>
      </c>
      <c r="BY74" s="105" t="s">
        <v>198</v>
      </c>
      <c r="BZ74" s="105" t="s">
        <v>198</v>
      </c>
      <c r="CA74" s="105" t="s">
        <v>198</v>
      </c>
      <c r="CB74" s="105" t="s">
        <v>198</v>
      </c>
      <c r="CC74" s="105" t="s">
        <v>937</v>
      </c>
      <c r="CD74" s="105" t="s">
        <v>198</v>
      </c>
      <c r="CE74" s="105" t="s">
        <v>937</v>
      </c>
      <c r="CF74" s="105" t="s">
        <v>198</v>
      </c>
      <c r="CG74" s="105" t="s">
        <v>939</v>
      </c>
      <c r="CH74" s="105" t="s">
        <v>198</v>
      </c>
      <c r="CI74" s="105" t="s">
        <v>940</v>
      </c>
      <c r="CJ74" s="105" t="s">
        <v>198</v>
      </c>
      <c r="CK74" s="105" t="s">
        <v>198</v>
      </c>
      <c r="CL74" s="105" t="s">
        <v>198</v>
      </c>
      <c r="CM74" s="105" t="s">
        <v>198</v>
      </c>
      <c r="CN74" s="105" t="s">
        <v>198</v>
      </c>
      <c r="CO74" s="105" t="s">
        <v>198</v>
      </c>
      <c r="CP74" s="105" t="s">
        <v>198</v>
      </c>
      <c r="CQ74" s="105" t="s">
        <v>198</v>
      </c>
      <c r="CR74" s="105" t="s">
        <v>705</v>
      </c>
      <c r="CS74" s="105" t="s">
        <v>198</v>
      </c>
      <c r="CT74" s="105" t="s">
        <v>705</v>
      </c>
      <c r="CU74" s="105" t="s">
        <v>816</v>
      </c>
      <c r="CV74" s="105" t="s">
        <v>198</v>
      </c>
      <c r="CW74" s="105" t="s">
        <v>198</v>
      </c>
      <c r="CX74" s="105" t="s">
        <v>705</v>
      </c>
      <c r="CY74" s="105" t="s">
        <v>712</v>
      </c>
      <c r="CZ74" s="105" t="s">
        <v>713</v>
      </c>
      <c r="DA74" s="105" t="s">
        <v>198</v>
      </c>
      <c r="DB74" s="105" t="s">
        <v>198</v>
      </c>
      <c r="DC74" s="105" t="s">
        <v>198</v>
      </c>
      <c r="DD74" s="105" t="s">
        <v>198</v>
      </c>
      <c r="DE74" s="105" t="s">
        <v>198</v>
      </c>
      <c r="DF74" s="105" t="s">
        <v>198</v>
      </c>
    </row>
    <row r="75" spans="2:110" x14ac:dyDescent="0.3">
      <c r="B75" s="104">
        <v>72</v>
      </c>
      <c r="C75" s="105"/>
      <c r="D75" s="105"/>
      <c r="E75" s="105" t="s">
        <v>198</v>
      </c>
      <c r="F75" s="105" t="s">
        <v>713</v>
      </c>
      <c r="G75" s="105" t="s">
        <v>198</v>
      </c>
      <c r="H75" s="105" t="s">
        <v>198</v>
      </c>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t="s">
        <v>815</v>
      </c>
      <c r="AI75" s="105"/>
      <c r="AJ75" s="105"/>
      <c r="AK75" s="105"/>
      <c r="AL75" s="105"/>
      <c r="AM75" s="105" t="s">
        <v>1410</v>
      </c>
      <c r="AN75" s="105" t="s">
        <v>1409</v>
      </c>
      <c r="AO75" s="105" t="s">
        <v>1411</v>
      </c>
      <c r="AP75" s="105" t="s">
        <v>198</v>
      </c>
      <c r="AQ75" s="105"/>
      <c r="AR75" s="105"/>
      <c r="AS75" s="105"/>
      <c r="AT75" s="105"/>
      <c r="AU75" s="105"/>
      <c r="AV75" s="105"/>
      <c r="AW75" s="105"/>
      <c r="AX75" s="105"/>
      <c r="AY75" s="105" t="s">
        <v>697</v>
      </c>
      <c r="AZ75" s="105"/>
      <c r="BA75" s="105"/>
      <c r="BB75" s="105"/>
      <c r="BC75" s="105"/>
      <c r="BD75" s="105"/>
      <c r="BE75" s="105"/>
      <c r="BF75" s="105"/>
      <c r="BG75" s="105"/>
      <c r="BH75" s="105"/>
      <c r="BI75" s="105" t="s">
        <v>198</v>
      </c>
      <c r="BJ75" s="105" t="s">
        <v>198</v>
      </c>
      <c r="BK75" s="105" t="s">
        <v>700</v>
      </c>
      <c r="BL75" s="105" t="s">
        <v>701</v>
      </c>
      <c r="BM75" s="105" t="s">
        <v>702</v>
      </c>
      <c r="BN75" s="105" t="s">
        <v>703</v>
      </c>
      <c r="BO75" s="105" t="s">
        <v>706</v>
      </c>
      <c r="BP75" s="105" t="s">
        <v>705</v>
      </c>
      <c r="BQ75" s="105" t="s">
        <v>932</v>
      </c>
      <c r="BR75" s="105" t="s">
        <v>703</v>
      </c>
      <c r="BS75" s="105" t="s">
        <v>933</v>
      </c>
      <c r="BT75" s="105" t="s">
        <v>703</v>
      </c>
      <c r="BU75" s="105" t="s">
        <v>198</v>
      </c>
      <c r="BV75" s="105" t="s">
        <v>198</v>
      </c>
      <c r="BW75" s="105" t="s">
        <v>936</v>
      </c>
      <c r="BX75" s="105" t="s">
        <v>704</v>
      </c>
      <c r="BY75" s="105" t="s">
        <v>198</v>
      </c>
      <c r="BZ75" s="105" t="s">
        <v>198</v>
      </c>
      <c r="CA75" s="105" t="s">
        <v>198</v>
      </c>
      <c r="CB75" s="105" t="s">
        <v>198</v>
      </c>
      <c r="CC75" s="105" t="s">
        <v>937</v>
      </c>
      <c r="CD75" s="105" t="s">
        <v>198</v>
      </c>
      <c r="CE75" s="105" t="s">
        <v>937</v>
      </c>
      <c r="CF75" s="105" t="s">
        <v>198</v>
      </c>
      <c r="CG75" s="105" t="s">
        <v>939</v>
      </c>
      <c r="CH75" s="105" t="s">
        <v>198</v>
      </c>
      <c r="CI75" s="105" t="s">
        <v>940</v>
      </c>
      <c r="CJ75" s="105" t="s">
        <v>198</v>
      </c>
      <c r="CK75" s="105" t="s">
        <v>198</v>
      </c>
      <c r="CL75" s="105" t="s">
        <v>198</v>
      </c>
      <c r="CM75" s="105" t="s">
        <v>198</v>
      </c>
      <c r="CN75" s="105" t="s">
        <v>198</v>
      </c>
      <c r="CO75" s="105" t="s">
        <v>198</v>
      </c>
      <c r="CP75" s="105" t="s">
        <v>198</v>
      </c>
      <c r="CQ75" s="105" t="s">
        <v>198</v>
      </c>
      <c r="CR75" s="105" t="s">
        <v>705</v>
      </c>
      <c r="CS75" s="105" t="s">
        <v>198</v>
      </c>
      <c r="CT75" s="105" t="s">
        <v>705</v>
      </c>
      <c r="CU75" s="105" t="s">
        <v>816</v>
      </c>
      <c r="CV75" s="105" t="s">
        <v>198</v>
      </c>
      <c r="CW75" s="105" t="s">
        <v>198</v>
      </c>
      <c r="CX75" s="105" t="s">
        <v>705</v>
      </c>
      <c r="CY75" s="105" t="s">
        <v>712</v>
      </c>
      <c r="CZ75" s="105" t="s">
        <v>713</v>
      </c>
      <c r="DA75" s="105" t="s">
        <v>198</v>
      </c>
      <c r="DB75" s="105" t="s">
        <v>198</v>
      </c>
      <c r="DC75" s="105" t="s">
        <v>198</v>
      </c>
      <c r="DD75" s="105" t="s">
        <v>198</v>
      </c>
      <c r="DE75" s="105" t="s">
        <v>198</v>
      </c>
      <c r="DF75" s="105" t="s">
        <v>198</v>
      </c>
    </row>
    <row r="76" spans="2:110" x14ac:dyDescent="0.3">
      <c r="B76" s="104">
        <v>73</v>
      </c>
      <c r="C76" s="105"/>
      <c r="D76" s="105"/>
      <c r="E76" s="105" t="s">
        <v>198</v>
      </c>
      <c r="F76" s="105" t="s">
        <v>713</v>
      </c>
      <c r="G76" s="105" t="s">
        <v>198</v>
      </c>
      <c r="H76" s="105" t="s">
        <v>198</v>
      </c>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t="s">
        <v>815</v>
      </c>
      <c r="AI76" s="105"/>
      <c r="AJ76" s="105"/>
      <c r="AK76" s="105"/>
      <c r="AL76" s="105"/>
      <c r="AM76" s="105" t="s">
        <v>1410</v>
      </c>
      <c r="AN76" s="105" t="s">
        <v>1409</v>
      </c>
      <c r="AO76" s="105" t="s">
        <v>1411</v>
      </c>
      <c r="AP76" s="105" t="s">
        <v>198</v>
      </c>
      <c r="AQ76" s="105"/>
      <c r="AR76" s="105"/>
      <c r="AS76" s="105"/>
      <c r="AT76" s="105"/>
      <c r="AU76" s="105"/>
      <c r="AV76" s="105"/>
      <c r="AW76" s="105"/>
      <c r="AX76" s="105"/>
      <c r="AY76" s="105" t="s">
        <v>697</v>
      </c>
      <c r="AZ76" s="105"/>
      <c r="BA76" s="105"/>
      <c r="BB76" s="105"/>
      <c r="BC76" s="105"/>
      <c r="BD76" s="105"/>
      <c r="BE76" s="105"/>
      <c r="BF76" s="105"/>
      <c r="BG76" s="105"/>
      <c r="BH76" s="105"/>
      <c r="BI76" s="105" t="s">
        <v>198</v>
      </c>
      <c r="BJ76" s="105" t="s">
        <v>198</v>
      </c>
      <c r="BK76" s="105" t="s">
        <v>700</v>
      </c>
      <c r="BL76" s="105" t="s">
        <v>701</v>
      </c>
      <c r="BM76" s="105" t="s">
        <v>702</v>
      </c>
      <c r="BN76" s="105" t="s">
        <v>703</v>
      </c>
      <c r="BO76" s="105" t="s">
        <v>706</v>
      </c>
      <c r="BP76" s="105" t="s">
        <v>705</v>
      </c>
      <c r="BQ76" s="105" t="s">
        <v>932</v>
      </c>
      <c r="BR76" s="105" t="s">
        <v>703</v>
      </c>
      <c r="BS76" s="105" t="s">
        <v>933</v>
      </c>
      <c r="BT76" s="105" t="s">
        <v>703</v>
      </c>
      <c r="BU76" s="105" t="s">
        <v>198</v>
      </c>
      <c r="BV76" s="105" t="s">
        <v>198</v>
      </c>
      <c r="BW76" s="105" t="s">
        <v>936</v>
      </c>
      <c r="BX76" s="105" t="s">
        <v>704</v>
      </c>
      <c r="BY76" s="105" t="s">
        <v>198</v>
      </c>
      <c r="BZ76" s="105" t="s">
        <v>198</v>
      </c>
      <c r="CA76" s="105" t="s">
        <v>198</v>
      </c>
      <c r="CB76" s="105" t="s">
        <v>198</v>
      </c>
      <c r="CC76" s="105" t="s">
        <v>937</v>
      </c>
      <c r="CD76" s="105" t="s">
        <v>198</v>
      </c>
      <c r="CE76" s="105" t="s">
        <v>937</v>
      </c>
      <c r="CF76" s="105" t="s">
        <v>198</v>
      </c>
      <c r="CG76" s="105" t="s">
        <v>939</v>
      </c>
      <c r="CH76" s="105" t="s">
        <v>198</v>
      </c>
      <c r="CI76" s="105" t="s">
        <v>940</v>
      </c>
      <c r="CJ76" s="105" t="s">
        <v>198</v>
      </c>
      <c r="CK76" s="105" t="s">
        <v>198</v>
      </c>
      <c r="CL76" s="105" t="s">
        <v>198</v>
      </c>
      <c r="CM76" s="105" t="s">
        <v>198</v>
      </c>
      <c r="CN76" s="105" t="s">
        <v>198</v>
      </c>
      <c r="CO76" s="105" t="s">
        <v>198</v>
      </c>
      <c r="CP76" s="105" t="s">
        <v>198</v>
      </c>
      <c r="CQ76" s="105" t="s">
        <v>198</v>
      </c>
      <c r="CR76" s="105" t="s">
        <v>705</v>
      </c>
      <c r="CS76" s="105" t="s">
        <v>198</v>
      </c>
      <c r="CT76" s="105" t="s">
        <v>705</v>
      </c>
      <c r="CU76" s="105" t="s">
        <v>816</v>
      </c>
      <c r="CV76" s="105" t="s">
        <v>198</v>
      </c>
      <c r="CW76" s="105" t="s">
        <v>198</v>
      </c>
      <c r="CX76" s="105" t="s">
        <v>705</v>
      </c>
      <c r="CY76" s="105" t="s">
        <v>712</v>
      </c>
      <c r="CZ76" s="105" t="s">
        <v>713</v>
      </c>
      <c r="DA76" s="105" t="s">
        <v>198</v>
      </c>
      <c r="DB76" s="105" t="s">
        <v>198</v>
      </c>
      <c r="DC76" s="105" t="s">
        <v>198</v>
      </c>
      <c r="DD76" s="105" t="s">
        <v>198</v>
      </c>
      <c r="DE76" s="105" t="s">
        <v>198</v>
      </c>
      <c r="DF76" s="105" t="s">
        <v>198</v>
      </c>
    </row>
    <row r="77" spans="2:110" x14ac:dyDescent="0.3">
      <c r="B77" s="104">
        <v>74</v>
      </c>
      <c r="C77" s="105"/>
      <c r="D77" s="105"/>
      <c r="E77" s="105" t="s">
        <v>198</v>
      </c>
      <c r="F77" s="105" t="s">
        <v>713</v>
      </c>
      <c r="G77" s="105" t="s">
        <v>198</v>
      </c>
      <c r="H77" s="105" t="s">
        <v>198</v>
      </c>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t="s">
        <v>815</v>
      </c>
      <c r="AI77" s="105"/>
      <c r="AJ77" s="105"/>
      <c r="AK77" s="105"/>
      <c r="AL77" s="105"/>
      <c r="AM77" s="105" t="s">
        <v>1410</v>
      </c>
      <c r="AN77" s="105" t="s">
        <v>1409</v>
      </c>
      <c r="AO77" s="105" t="s">
        <v>1411</v>
      </c>
      <c r="AP77" s="105" t="s">
        <v>198</v>
      </c>
      <c r="AQ77" s="105"/>
      <c r="AR77" s="105"/>
      <c r="AS77" s="105"/>
      <c r="AT77" s="105"/>
      <c r="AU77" s="105"/>
      <c r="AV77" s="105"/>
      <c r="AW77" s="105"/>
      <c r="AX77" s="105"/>
      <c r="AY77" s="105" t="s">
        <v>697</v>
      </c>
      <c r="AZ77" s="105"/>
      <c r="BA77" s="105"/>
      <c r="BB77" s="105"/>
      <c r="BC77" s="105"/>
      <c r="BD77" s="105"/>
      <c r="BE77" s="105"/>
      <c r="BF77" s="105"/>
      <c r="BG77" s="105"/>
      <c r="BH77" s="105"/>
      <c r="BI77" s="105" t="s">
        <v>198</v>
      </c>
      <c r="BJ77" s="105" t="s">
        <v>198</v>
      </c>
      <c r="BK77" s="105" t="s">
        <v>700</v>
      </c>
      <c r="BL77" s="105" t="s">
        <v>701</v>
      </c>
      <c r="BM77" s="105" t="s">
        <v>702</v>
      </c>
      <c r="BN77" s="105" t="s">
        <v>703</v>
      </c>
      <c r="BO77" s="105" t="s">
        <v>706</v>
      </c>
      <c r="BP77" s="105" t="s">
        <v>705</v>
      </c>
      <c r="BQ77" s="105" t="s">
        <v>932</v>
      </c>
      <c r="BR77" s="105" t="s">
        <v>703</v>
      </c>
      <c r="BS77" s="105" t="s">
        <v>933</v>
      </c>
      <c r="BT77" s="105" t="s">
        <v>703</v>
      </c>
      <c r="BU77" s="105" t="s">
        <v>198</v>
      </c>
      <c r="BV77" s="105" t="s">
        <v>198</v>
      </c>
      <c r="BW77" s="105" t="s">
        <v>936</v>
      </c>
      <c r="BX77" s="105" t="s">
        <v>704</v>
      </c>
      <c r="BY77" s="105" t="s">
        <v>198</v>
      </c>
      <c r="BZ77" s="105" t="s">
        <v>198</v>
      </c>
      <c r="CA77" s="105" t="s">
        <v>198</v>
      </c>
      <c r="CB77" s="105" t="s">
        <v>198</v>
      </c>
      <c r="CC77" s="105" t="s">
        <v>937</v>
      </c>
      <c r="CD77" s="105" t="s">
        <v>198</v>
      </c>
      <c r="CE77" s="105" t="s">
        <v>937</v>
      </c>
      <c r="CF77" s="105" t="s">
        <v>198</v>
      </c>
      <c r="CG77" s="105" t="s">
        <v>939</v>
      </c>
      <c r="CH77" s="105" t="s">
        <v>198</v>
      </c>
      <c r="CI77" s="105" t="s">
        <v>940</v>
      </c>
      <c r="CJ77" s="105" t="s">
        <v>198</v>
      </c>
      <c r="CK77" s="105" t="s">
        <v>198</v>
      </c>
      <c r="CL77" s="105" t="s">
        <v>198</v>
      </c>
      <c r="CM77" s="105" t="s">
        <v>198</v>
      </c>
      <c r="CN77" s="105" t="s">
        <v>198</v>
      </c>
      <c r="CO77" s="105" t="s">
        <v>198</v>
      </c>
      <c r="CP77" s="105" t="s">
        <v>198</v>
      </c>
      <c r="CQ77" s="105" t="s">
        <v>198</v>
      </c>
      <c r="CR77" s="105" t="s">
        <v>705</v>
      </c>
      <c r="CS77" s="105" t="s">
        <v>198</v>
      </c>
      <c r="CT77" s="105" t="s">
        <v>705</v>
      </c>
      <c r="CU77" s="105" t="s">
        <v>816</v>
      </c>
      <c r="CV77" s="105" t="s">
        <v>198</v>
      </c>
      <c r="CW77" s="105" t="s">
        <v>198</v>
      </c>
      <c r="CX77" s="105" t="s">
        <v>705</v>
      </c>
      <c r="CY77" s="105" t="s">
        <v>712</v>
      </c>
      <c r="CZ77" s="105" t="s">
        <v>713</v>
      </c>
      <c r="DA77" s="105" t="s">
        <v>198</v>
      </c>
      <c r="DB77" s="105" t="s">
        <v>198</v>
      </c>
      <c r="DC77" s="105" t="s">
        <v>198</v>
      </c>
      <c r="DD77" s="105" t="s">
        <v>198</v>
      </c>
      <c r="DE77" s="105" t="s">
        <v>198</v>
      </c>
      <c r="DF77" s="105" t="s">
        <v>198</v>
      </c>
    </row>
    <row r="78" spans="2:110" x14ac:dyDescent="0.3">
      <c r="B78" s="104">
        <v>75</v>
      </c>
      <c r="C78" s="105"/>
      <c r="D78" s="105"/>
      <c r="E78" s="105" t="s">
        <v>198</v>
      </c>
      <c r="F78" s="105" t="s">
        <v>713</v>
      </c>
      <c r="G78" s="105" t="s">
        <v>198</v>
      </c>
      <c r="H78" s="105" t="s">
        <v>198</v>
      </c>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t="s">
        <v>815</v>
      </c>
      <c r="AI78" s="105"/>
      <c r="AJ78" s="105"/>
      <c r="AK78" s="105"/>
      <c r="AL78" s="105"/>
      <c r="AM78" s="105" t="s">
        <v>1410</v>
      </c>
      <c r="AN78" s="105" t="s">
        <v>1409</v>
      </c>
      <c r="AO78" s="105" t="s">
        <v>1411</v>
      </c>
      <c r="AP78" s="105" t="s">
        <v>198</v>
      </c>
      <c r="AQ78" s="105"/>
      <c r="AR78" s="105"/>
      <c r="AS78" s="105"/>
      <c r="AT78" s="105"/>
      <c r="AU78" s="105"/>
      <c r="AV78" s="105"/>
      <c r="AW78" s="105"/>
      <c r="AX78" s="105"/>
      <c r="AY78" s="105" t="s">
        <v>697</v>
      </c>
      <c r="AZ78" s="105"/>
      <c r="BA78" s="105"/>
      <c r="BB78" s="105"/>
      <c r="BC78" s="105"/>
      <c r="BD78" s="105"/>
      <c r="BE78" s="105"/>
      <c r="BF78" s="105"/>
      <c r="BG78" s="105"/>
      <c r="BH78" s="105"/>
      <c r="BI78" s="105" t="s">
        <v>198</v>
      </c>
      <c r="BJ78" s="105" t="s">
        <v>198</v>
      </c>
      <c r="BK78" s="105" t="s">
        <v>700</v>
      </c>
      <c r="BL78" s="105" t="s">
        <v>701</v>
      </c>
      <c r="BM78" s="105" t="s">
        <v>702</v>
      </c>
      <c r="BN78" s="105" t="s">
        <v>703</v>
      </c>
      <c r="BO78" s="105" t="s">
        <v>706</v>
      </c>
      <c r="BP78" s="105" t="s">
        <v>705</v>
      </c>
      <c r="BQ78" s="105" t="s">
        <v>932</v>
      </c>
      <c r="BR78" s="105" t="s">
        <v>703</v>
      </c>
      <c r="BS78" s="105" t="s">
        <v>933</v>
      </c>
      <c r="BT78" s="105" t="s">
        <v>703</v>
      </c>
      <c r="BU78" s="105" t="s">
        <v>198</v>
      </c>
      <c r="BV78" s="105" t="s">
        <v>198</v>
      </c>
      <c r="BW78" s="105" t="s">
        <v>936</v>
      </c>
      <c r="BX78" s="105" t="s">
        <v>704</v>
      </c>
      <c r="BY78" s="105" t="s">
        <v>198</v>
      </c>
      <c r="BZ78" s="105" t="s">
        <v>198</v>
      </c>
      <c r="CA78" s="105" t="s">
        <v>198</v>
      </c>
      <c r="CB78" s="105" t="s">
        <v>198</v>
      </c>
      <c r="CC78" s="105" t="s">
        <v>937</v>
      </c>
      <c r="CD78" s="105" t="s">
        <v>198</v>
      </c>
      <c r="CE78" s="105" t="s">
        <v>937</v>
      </c>
      <c r="CF78" s="105" t="s">
        <v>198</v>
      </c>
      <c r="CG78" s="105" t="s">
        <v>939</v>
      </c>
      <c r="CH78" s="105" t="s">
        <v>198</v>
      </c>
      <c r="CI78" s="105" t="s">
        <v>940</v>
      </c>
      <c r="CJ78" s="105" t="s">
        <v>198</v>
      </c>
      <c r="CK78" s="105" t="s">
        <v>198</v>
      </c>
      <c r="CL78" s="105" t="s">
        <v>198</v>
      </c>
      <c r="CM78" s="105" t="s">
        <v>198</v>
      </c>
      <c r="CN78" s="105" t="s">
        <v>198</v>
      </c>
      <c r="CO78" s="105" t="s">
        <v>198</v>
      </c>
      <c r="CP78" s="105" t="s">
        <v>198</v>
      </c>
      <c r="CQ78" s="105" t="s">
        <v>198</v>
      </c>
      <c r="CR78" s="105" t="s">
        <v>705</v>
      </c>
      <c r="CS78" s="105" t="s">
        <v>198</v>
      </c>
      <c r="CT78" s="105" t="s">
        <v>705</v>
      </c>
      <c r="CU78" s="105" t="s">
        <v>816</v>
      </c>
      <c r="CV78" s="105" t="s">
        <v>198</v>
      </c>
      <c r="CW78" s="105" t="s">
        <v>198</v>
      </c>
      <c r="CX78" s="105" t="s">
        <v>705</v>
      </c>
      <c r="CY78" s="105" t="s">
        <v>712</v>
      </c>
      <c r="CZ78" s="105" t="s">
        <v>713</v>
      </c>
      <c r="DA78" s="105" t="s">
        <v>198</v>
      </c>
      <c r="DB78" s="105" t="s">
        <v>198</v>
      </c>
      <c r="DC78" s="105" t="s">
        <v>198</v>
      </c>
      <c r="DD78" s="105" t="s">
        <v>198</v>
      </c>
      <c r="DE78" s="105" t="s">
        <v>198</v>
      </c>
      <c r="DF78" s="105" t="s">
        <v>198</v>
      </c>
    </row>
    <row r="79" spans="2:110" x14ac:dyDescent="0.3">
      <c r="B79" s="104">
        <v>76</v>
      </c>
      <c r="C79" s="105"/>
      <c r="D79" s="105"/>
      <c r="E79" s="105" t="s">
        <v>198</v>
      </c>
      <c r="F79" s="105" t="s">
        <v>713</v>
      </c>
      <c r="G79" s="105" t="s">
        <v>198</v>
      </c>
      <c r="H79" s="105" t="s">
        <v>198</v>
      </c>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t="s">
        <v>815</v>
      </c>
      <c r="AI79" s="105"/>
      <c r="AJ79" s="105"/>
      <c r="AK79" s="105"/>
      <c r="AL79" s="105"/>
      <c r="AM79" s="105" t="s">
        <v>1410</v>
      </c>
      <c r="AN79" s="105" t="s">
        <v>1409</v>
      </c>
      <c r="AO79" s="105" t="s">
        <v>1411</v>
      </c>
      <c r="AP79" s="105" t="s">
        <v>198</v>
      </c>
      <c r="AQ79" s="105"/>
      <c r="AR79" s="105"/>
      <c r="AS79" s="105"/>
      <c r="AT79" s="105"/>
      <c r="AU79" s="105"/>
      <c r="AV79" s="105"/>
      <c r="AW79" s="105"/>
      <c r="AX79" s="105"/>
      <c r="AY79" s="105" t="s">
        <v>697</v>
      </c>
      <c r="AZ79" s="105"/>
      <c r="BA79" s="105"/>
      <c r="BB79" s="105"/>
      <c r="BC79" s="105"/>
      <c r="BD79" s="105"/>
      <c r="BE79" s="105"/>
      <c r="BF79" s="105"/>
      <c r="BG79" s="105"/>
      <c r="BH79" s="105"/>
      <c r="BI79" s="105" t="s">
        <v>198</v>
      </c>
      <c r="BJ79" s="105" t="s">
        <v>198</v>
      </c>
      <c r="BK79" s="105" t="s">
        <v>700</v>
      </c>
      <c r="BL79" s="105" t="s">
        <v>701</v>
      </c>
      <c r="BM79" s="105" t="s">
        <v>702</v>
      </c>
      <c r="BN79" s="105" t="s">
        <v>703</v>
      </c>
      <c r="BO79" s="105" t="s">
        <v>706</v>
      </c>
      <c r="BP79" s="105" t="s">
        <v>705</v>
      </c>
      <c r="BQ79" s="105" t="s">
        <v>932</v>
      </c>
      <c r="BR79" s="105" t="s">
        <v>703</v>
      </c>
      <c r="BS79" s="105" t="s">
        <v>933</v>
      </c>
      <c r="BT79" s="105" t="s">
        <v>703</v>
      </c>
      <c r="BU79" s="105" t="s">
        <v>198</v>
      </c>
      <c r="BV79" s="105" t="s">
        <v>198</v>
      </c>
      <c r="BW79" s="105" t="s">
        <v>936</v>
      </c>
      <c r="BX79" s="105" t="s">
        <v>704</v>
      </c>
      <c r="BY79" s="105" t="s">
        <v>198</v>
      </c>
      <c r="BZ79" s="105" t="s">
        <v>198</v>
      </c>
      <c r="CA79" s="105" t="s">
        <v>198</v>
      </c>
      <c r="CB79" s="105" t="s">
        <v>198</v>
      </c>
      <c r="CC79" s="105" t="s">
        <v>937</v>
      </c>
      <c r="CD79" s="105" t="s">
        <v>198</v>
      </c>
      <c r="CE79" s="105" t="s">
        <v>937</v>
      </c>
      <c r="CF79" s="105" t="s">
        <v>198</v>
      </c>
      <c r="CG79" s="105" t="s">
        <v>939</v>
      </c>
      <c r="CH79" s="105" t="s">
        <v>198</v>
      </c>
      <c r="CI79" s="105" t="s">
        <v>940</v>
      </c>
      <c r="CJ79" s="105" t="s">
        <v>198</v>
      </c>
      <c r="CK79" s="105" t="s">
        <v>198</v>
      </c>
      <c r="CL79" s="105" t="s">
        <v>198</v>
      </c>
      <c r="CM79" s="105" t="s">
        <v>198</v>
      </c>
      <c r="CN79" s="105" t="s">
        <v>198</v>
      </c>
      <c r="CO79" s="105" t="s">
        <v>198</v>
      </c>
      <c r="CP79" s="105" t="s">
        <v>198</v>
      </c>
      <c r="CQ79" s="105" t="s">
        <v>198</v>
      </c>
      <c r="CR79" s="105" t="s">
        <v>705</v>
      </c>
      <c r="CS79" s="105" t="s">
        <v>198</v>
      </c>
      <c r="CT79" s="105" t="s">
        <v>705</v>
      </c>
      <c r="CU79" s="105" t="s">
        <v>816</v>
      </c>
      <c r="CV79" s="105" t="s">
        <v>198</v>
      </c>
      <c r="CW79" s="105" t="s">
        <v>198</v>
      </c>
      <c r="CX79" s="105" t="s">
        <v>705</v>
      </c>
      <c r="CY79" s="105" t="s">
        <v>712</v>
      </c>
      <c r="CZ79" s="105" t="s">
        <v>713</v>
      </c>
      <c r="DA79" s="105" t="s">
        <v>198</v>
      </c>
      <c r="DB79" s="105" t="s">
        <v>198</v>
      </c>
      <c r="DC79" s="105" t="s">
        <v>198</v>
      </c>
      <c r="DD79" s="105" t="s">
        <v>198</v>
      </c>
      <c r="DE79" s="105" t="s">
        <v>198</v>
      </c>
      <c r="DF79" s="105" t="s">
        <v>198</v>
      </c>
    </row>
    <row r="80" spans="2:110" x14ac:dyDescent="0.3">
      <c r="B80" s="104">
        <v>77</v>
      </c>
      <c r="C80" s="105"/>
      <c r="D80" s="105"/>
      <c r="E80" s="105" t="s">
        <v>198</v>
      </c>
      <c r="F80" s="105" t="s">
        <v>713</v>
      </c>
      <c r="G80" s="105" t="s">
        <v>198</v>
      </c>
      <c r="H80" s="105" t="s">
        <v>198</v>
      </c>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t="s">
        <v>815</v>
      </c>
      <c r="AI80" s="105"/>
      <c r="AJ80" s="105"/>
      <c r="AK80" s="105"/>
      <c r="AL80" s="105"/>
      <c r="AM80" s="105" t="s">
        <v>1410</v>
      </c>
      <c r="AN80" s="105" t="s">
        <v>1409</v>
      </c>
      <c r="AO80" s="105" t="s">
        <v>1411</v>
      </c>
      <c r="AP80" s="105" t="s">
        <v>198</v>
      </c>
      <c r="AQ80" s="105"/>
      <c r="AR80" s="105"/>
      <c r="AS80" s="105"/>
      <c r="AT80" s="105"/>
      <c r="AU80" s="105"/>
      <c r="AV80" s="105"/>
      <c r="AW80" s="105"/>
      <c r="AX80" s="105"/>
      <c r="AY80" s="105" t="s">
        <v>697</v>
      </c>
      <c r="AZ80" s="105"/>
      <c r="BA80" s="105"/>
      <c r="BB80" s="105"/>
      <c r="BC80" s="105"/>
      <c r="BD80" s="105"/>
      <c r="BE80" s="105"/>
      <c r="BF80" s="105"/>
      <c r="BG80" s="105"/>
      <c r="BH80" s="105"/>
      <c r="BI80" s="105" t="s">
        <v>198</v>
      </c>
      <c r="BJ80" s="105" t="s">
        <v>198</v>
      </c>
      <c r="BK80" s="105" t="s">
        <v>700</v>
      </c>
      <c r="BL80" s="105" t="s">
        <v>701</v>
      </c>
      <c r="BM80" s="105" t="s">
        <v>702</v>
      </c>
      <c r="BN80" s="105" t="s">
        <v>703</v>
      </c>
      <c r="BO80" s="105" t="s">
        <v>706</v>
      </c>
      <c r="BP80" s="105" t="s">
        <v>705</v>
      </c>
      <c r="BQ80" s="105" t="s">
        <v>932</v>
      </c>
      <c r="BR80" s="105" t="s">
        <v>703</v>
      </c>
      <c r="BS80" s="105" t="s">
        <v>933</v>
      </c>
      <c r="BT80" s="105" t="s">
        <v>703</v>
      </c>
      <c r="BU80" s="105" t="s">
        <v>198</v>
      </c>
      <c r="BV80" s="105" t="s">
        <v>198</v>
      </c>
      <c r="BW80" s="105" t="s">
        <v>936</v>
      </c>
      <c r="BX80" s="105" t="s">
        <v>704</v>
      </c>
      <c r="BY80" s="105" t="s">
        <v>198</v>
      </c>
      <c r="BZ80" s="105" t="s">
        <v>198</v>
      </c>
      <c r="CA80" s="105" t="s">
        <v>198</v>
      </c>
      <c r="CB80" s="105" t="s">
        <v>198</v>
      </c>
      <c r="CC80" s="105" t="s">
        <v>937</v>
      </c>
      <c r="CD80" s="105" t="s">
        <v>198</v>
      </c>
      <c r="CE80" s="105" t="s">
        <v>937</v>
      </c>
      <c r="CF80" s="105" t="s">
        <v>198</v>
      </c>
      <c r="CG80" s="105" t="s">
        <v>939</v>
      </c>
      <c r="CH80" s="105" t="s">
        <v>198</v>
      </c>
      <c r="CI80" s="105" t="s">
        <v>940</v>
      </c>
      <c r="CJ80" s="105" t="s">
        <v>198</v>
      </c>
      <c r="CK80" s="105" t="s">
        <v>198</v>
      </c>
      <c r="CL80" s="105" t="s">
        <v>198</v>
      </c>
      <c r="CM80" s="105" t="s">
        <v>198</v>
      </c>
      <c r="CN80" s="105" t="s">
        <v>198</v>
      </c>
      <c r="CO80" s="105" t="s">
        <v>198</v>
      </c>
      <c r="CP80" s="105" t="s">
        <v>198</v>
      </c>
      <c r="CQ80" s="105" t="s">
        <v>198</v>
      </c>
      <c r="CR80" s="105" t="s">
        <v>705</v>
      </c>
      <c r="CS80" s="105" t="s">
        <v>198</v>
      </c>
      <c r="CT80" s="105" t="s">
        <v>705</v>
      </c>
      <c r="CU80" s="105" t="s">
        <v>816</v>
      </c>
      <c r="CV80" s="105" t="s">
        <v>198</v>
      </c>
      <c r="CW80" s="105" t="s">
        <v>198</v>
      </c>
      <c r="CX80" s="105" t="s">
        <v>705</v>
      </c>
      <c r="CY80" s="105" t="s">
        <v>712</v>
      </c>
      <c r="CZ80" s="105" t="s">
        <v>713</v>
      </c>
      <c r="DA80" s="105" t="s">
        <v>198</v>
      </c>
      <c r="DB80" s="105" t="s">
        <v>198</v>
      </c>
      <c r="DC80" s="105" t="s">
        <v>198</v>
      </c>
      <c r="DD80" s="105" t="s">
        <v>198</v>
      </c>
      <c r="DE80" s="105" t="s">
        <v>198</v>
      </c>
      <c r="DF80" s="105" t="s">
        <v>198</v>
      </c>
    </row>
    <row r="81" spans="2:110" x14ac:dyDescent="0.3">
      <c r="B81" s="104">
        <v>78</v>
      </c>
      <c r="C81" s="105"/>
      <c r="D81" s="105"/>
      <c r="E81" s="105" t="s">
        <v>198</v>
      </c>
      <c r="F81" s="105" t="s">
        <v>713</v>
      </c>
      <c r="G81" s="105" t="s">
        <v>198</v>
      </c>
      <c r="H81" s="105" t="s">
        <v>198</v>
      </c>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t="s">
        <v>815</v>
      </c>
      <c r="AI81" s="105"/>
      <c r="AJ81" s="105"/>
      <c r="AK81" s="105"/>
      <c r="AL81" s="105"/>
      <c r="AM81" s="105" t="s">
        <v>1410</v>
      </c>
      <c r="AN81" s="105" t="s">
        <v>1409</v>
      </c>
      <c r="AO81" s="105" t="s">
        <v>1411</v>
      </c>
      <c r="AP81" s="105" t="s">
        <v>198</v>
      </c>
      <c r="AQ81" s="105"/>
      <c r="AR81" s="105"/>
      <c r="AS81" s="105"/>
      <c r="AT81" s="105"/>
      <c r="AU81" s="105"/>
      <c r="AV81" s="105"/>
      <c r="AW81" s="105"/>
      <c r="AX81" s="105"/>
      <c r="AY81" s="105" t="s">
        <v>697</v>
      </c>
      <c r="AZ81" s="105"/>
      <c r="BA81" s="105"/>
      <c r="BB81" s="105"/>
      <c r="BC81" s="105"/>
      <c r="BD81" s="105"/>
      <c r="BE81" s="105"/>
      <c r="BF81" s="105"/>
      <c r="BG81" s="105"/>
      <c r="BH81" s="105"/>
      <c r="BI81" s="105" t="s">
        <v>198</v>
      </c>
      <c r="BJ81" s="105" t="s">
        <v>198</v>
      </c>
      <c r="BK81" s="105" t="s">
        <v>700</v>
      </c>
      <c r="BL81" s="105" t="s">
        <v>701</v>
      </c>
      <c r="BM81" s="105" t="s">
        <v>702</v>
      </c>
      <c r="BN81" s="105" t="s">
        <v>703</v>
      </c>
      <c r="BO81" s="105" t="s">
        <v>706</v>
      </c>
      <c r="BP81" s="105" t="s">
        <v>705</v>
      </c>
      <c r="BQ81" s="105" t="s">
        <v>932</v>
      </c>
      <c r="BR81" s="105" t="s">
        <v>703</v>
      </c>
      <c r="BS81" s="105" t="s">
        <v>933</v>
      </c>
      <c r="BT81" s="105" t="s">
        <v>703</v>
      </c>
      <c r="BU81" s="105" t="s">
        <v>198</v>
      </c>
      <c r="BV81" s="105" t="s">
        <v>198</v>
      </c>
      <c r="BW81" s="105" t="s">
        <v>936</v>
      </c>
      <c r="BX81" s="105" t="s">
        <v>704</v>
      </c>
      <c r="BY81" s="105" t="s">
        <v>198</v>
      </c>
      <c r="BZ81" s="105" t="s">
        <v>198</v>
      </c>
      <c r="CA81" s="105" t="s">
        <v>198</v>
      </c>
      <c r="CB81" s="105" t="s">
        <v>198</v>
      </c>
      <c r="CC81" s="105" t="s">
        <v>937</v>
      </c>
      <c r="CD81" s="105" t="s">
        <v>198</v>
      </c>
      <c r="CE81" s="105" t="s">
        <v>937</v>
      </c>
      <c r="CF81" s="105" t="s">
        <v>198</v>
      </c>
      <c r="CG81" s="105" t="s">
        <v>939</v>
      </c>
      <c r="CH81" s="105" t="s">
        <v>198</v>
      </c>
      <c r="CI81" s="105" t="s">
        <v>940</v>
      </c>
      <c r="CJ81" s="105" t="s">
        <v>198</v>
      </c>
      <c r="CK81" s="105" t="s">
        <v>198</v>
      </c>
      <c r="CL81" s="105" t="s">
        <v>198</v>
      </c>
      <c r="CM81" s="105" t="s">
        <v>198</v>
      </c>
      <c r="CN81" s="105" t="s">
        <v>198</v>
      </c>
      <c r="CO81" s="105" t="s">
        <v>198</v>
      </c>
      <c r="CP81" s="105" t="s">
        <v>198</v>
      </c>
      <c r="CQ81" s="105" t="s">
        <v>198</v>
      </c>
      <c r="CR81" s="105" t="s">
        <v>705</v>
      </c>
      <c r="CS81" s="105" t="s">
        <v>198</v>
      </c>
      <c r="CT81" s="105" t="s">
        <v>705</v>
      </c>
      <c r="CU81" s="105" t="s">
        <v>816</v>
      </c>
      <c r="CV81" s="105" t="s">
        <v>198</v>
      </c>
      <c r="CW81" s="105" t="s">
        <v>198</v>
      </c>
      <c r="CX81" s="105" t="s">
        <v>705</v>
      </c>
      <c r="CY81" s="105" t="s">
        <v>712</v>
      </c>
      <c r="CZ81" s="105" t="s">
        <v>713</v>
      </c>
      <c r="DA81" s="105" t="s">
        <v>198</v>
      </c>
      <c r="DB81" s="105" t="s">
        <v>198</v>
      </c>
      <c r="DC81" s="105" t="s">
        <v>198</v>
      </c>
      <c r="DD81" s="105" t="s">
        <v>198</v>
      </c>
      <c r="DE81" s="105" t="s">
        <v>198</v>
      </c>
      <c r="DF81" s="105" t="s">
        <v>198</v>
      </c>
    </row>
    <row r="82" spans="2:110" x14ac:dyDescent="0.3">
      <c r="B82" s="104">
        <v>79</v>
      </c>
      <c r="C82" s="105"/>
      <c r="D82" s="105"/>
      <c r="E82" s="105" t="s">
        <v>198</v>
      </c>
      <c r="F82" s="105" t="s">
        <v>713</v>
      </c>
      <c r="G82" s="105" t="s">
        <v>198</v>
      </c>
      <c r="H82" s="105" t="s">
        <v>198</v>
      </c>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t="s">
        <v>815</v>
      </c>
      <c r="AI82" s="105"/>
      <c r="AJ82" s="105"/>
      <c r="AK82" s="105"/>
      <c r="AL82" s="105"/>
      <c r="AM82" s="105" t="s">
        <v>1410</v>
      </c>
      <c r="AN82" s="105" t="s">
        <v>1409</v>
      </c>
      <c r="AO82" s="105" t="s">
        <v>1411</v>
      </c>
      <c r="AP82" s="105" t="s">
        <v>198</v>
      </c>
      <c r="AQ82" s="105"/>
      <c r="AR82" s="105"/>
      <c r="AS82" s="105"/>
      <c r="AT82" s="105"/>
      <c r="AU82" s="105"/>
      <c r="AV82" s="105"/>
      <c r="AW82" s="105"/>
      <c r="AX82" s="105"/>
      <c r="AY82" s="105" t="s">
        <v>697</v>
      </c>
      <c r="AZ82" s="105"/>
      <c r="BA82" s="105"/>
      <c r="BB82" s="105"/>
      <c r="BC82" s="105"/>
      <c r="BD82" s="105"/>
      <c r="BE82" s="105"/>
      <c r="BF82" s="105"/>
      <c r="BG82" s="105"/>
      <c r="BH82" s="105"/>
      <c r="BI82" s="105" t="s">
        <v>198</v>
      </c>
      <c r="BJ82" s="105" t="s">
        <v>198</v>
      </c>
      <c r="BK82" s="105" t="s">
        <v>700</v>
      </c>
      <c r="BL82" s="105" t="s">
        <v>701</v>
      </c>
      <c r="BM82" s="105" t="s">
        <v>702</v>
      </c>
      <c r="BN82" s="105" t="s">
        <v>703</v>
      </c>
      <c r="BO82" s="105" t="s">
        <v>706</v>
      </c>
      <c r="BP82" s="105" t="s">
        <v>705</v>
      </c>
      <c r="BQ82" s="105" t="s">
        <v>932</v>
      </c>
      <c r="BR82" s="105" t="s">
        <v>703</v>
      </c>
      <c r="BS82" s="105" t="s">
        <v>933</v>
      </c>
      <c r="BT82" s="105" t="s">
        <v>703</v>
      </c>
      <c r="BU82" s="105" t="s">
        <v>198</v>
      </c>
      <c r="BV82" s="105" t="s">
        <v>198</v>
      </c>
      <c r="BW82" s="105" t="s">
        <v>936</v>
      </c>
      <c r="BX82" s="105" t="s">
        <v>704</v>
      </c>
      <c r="BY82" s="105" t="s">
        <v>198</v>
      </c>
      <c r="BZ82" s="105" t="s">
        <v>198</v>
      </c>
      <c r="CA82" s="105" t="s">
        <v>198</v>
      </c>
      <c r="CB82" s="105" t="s">
        <v>198</v>
      </c>
      <c r="CC82" s="105" t="s">
        <v>937</v>
      </c>
      <c r="CD82" s="105" t="s">
        <v>198</v>
      </c>
      <c r="CE82" s="105" t="s">
        <v>937</v>
      </c>
      <c r="CF82" s="105" t="s">
        <v>198</v>
      </c>
      <c r="CG82" s="105" t="s">
        <v>939</v>
      </c>
      <c r="CH82" s="105" t="s">
        <v>198</v>
      </c>
      <c r="CI82" s="105" t="s">
        <v>940</v>
      </c>
      <c r="CJ82" s="105" t="s">
        <v>198</v>
      </c>
      <c r="CK82" s="105" t="s">
        <v>198</v>
      </c>
      <c r="CL82" s="105" t="s">
        <v>198</v>
      </c>
      <c r="CM82" s="105" t="s">
        <v>198</v>
      </c>
      <c r="CN82" s="105" t="s">
        <v>198</v>
      </c>
      <c r="CO82" s="105" t="s">
        <v>198</v>
      </c>
      <c r="CP82" s="105" t="s">
        <v>198</v>
      </c>
      <c r="CQ82" s="105" t="s">
        <v>198</v>
      </c>
      <c r="CR82" s="105" t="s">
        <v>705</v>
      </c>
      <c r="CS82" s="105" t="s">
        <v>198</v>
      </c>
      <c r="CT82" s="105" t="s">
        <v>705</v>
      </c>
      <c r="CU82" s="105" t="s">
        <v>816</v>
      </c>
      <c r="CV82" s="105" t="s">
        <v>198</v>
      </c>
      <c r="CW82" s="105" t="s">
        <v>198</v>
      </c>
      <c r="CX82" s="105" t="s">
        <v>705</v>
      </c>
      <c r="CY82" s="105" t="s">
        <v>712</v>
      </c>
      <c r="CZ82" s="105" t="s">
        <v>713</v>
      </c>
      <c r="DA82" s="105" t="s">
        <v>198</v>
      </c>
      <c r="DB82" s="105" t="s">
        <v>198</v>
      </c>
      <c r="DC82" s="105" t="s">
        <v>198</v>
      </c>
      <c r="DD82" s="105" t="s">
        <v>198</v>
      </c>
      <c r="DE82" s="105" t="s">
        <v>198</v>
      </c>
      <c r="DF82" s="105" t="s">
        <v>198</v>
      </c>
    </row>
    <row r="83" spans="2:110" x14ac:dyDescent="0.3">
      <c r="B83" s="104">
        <v>80</v>
      </c>
      <c r="C83" s="105"/>
      <c r="D83" s="105"/>
      <c r="E83" s="105" t="s">
        <v>198</v>
      </c>
      <c r="F83" s="105" t="s">
        <v>713</v>
      </c>
      <c r="G83" s="105" t="s">
        <v>198</v>
      </c>
      <c r="H83" s="105" t="s">
        <v>198</v>
      </c>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t="s">
        <v>815</v>
      </c>
      <c r="AI83" s="105"/>
      <c r="AJ83" s="105"/>
      <c r="AK83" s="105"/>
      <c r="AL83" s="105"/>
      <c r="AM83" s="105" t="s">
        <v>1410</v>
      </c>
      <c r="AN83" s="105" t="s">
        <v>1409</v>
      </c>
      <c r="AO83" s="105" t="s">
        <v>1411</v>
      </c>
      <c r="AP83" s="105" t="s">
        <v>198</v>
      </c>
      <c r="AQ83" s="105"/>
      <c r="AR83" s="105"/>
      <c r="AS83" s="105"/>
      <c r="AT83" s="105"/>
      <c r="AU83" s="105"/>
      <c r="AV83" s="105"/>
      <c r="AW83" s="105"/>
      <c r="AX83" s="105"/>
      <c r="AY83" s="105" t="s">
        <v>697</v>
      </c>
      <c r="AZ83" s="105"/>
      <c r="BA83" s="105"/>
      <c r="BB83" s="105"/>
      <c r="BC83" s="105"/>
      <c r="BD83" s="105"/>
      <c r="BE83" s="105"/>
      <c r="BF83" s="105"/>
      <c r="BG83" s="105"/>
      <c r="BH83" s="105"/>
      <c r="BI83" s="105" t="s">
        <v>198</v>
      </c>
      <c r="BJ83" s="105" t="s">
        <v>198</v>
      </c>
      <c r="BK83" s="105" t="s">
        <v>700</v>
      </c>
      <c r="BL83" s="105" t="s">
        <v>701</v>
      </c>
      <c r="BM83" s="105" t="s">
        <v>702</v>
      </c>
      <c r="BN83" s="105" t="s">
        <v>703</v>
      </c>
      <c r="BO83" s="105" t="s">
        <v>706</v>
      </c>
      <c r="BP83" s="105" t="s">
        <v>705</v>
      </c>
      <c r="BQ83" s="105" t="s">
        <v>932</v>
      </c>
      <c r="BR83" s="105" t="s">
        <v>703</v>
      </c>
      <c r="BS83" s="105" t="s">
        <v>933</v>
      </c>
      <c r="BT83" s="105" t="s">
        <v>703</v>
      </c>
      <c r="BU83" s="105" t="s">
        <v>198</v>
      </c>
      <c r="BV83" s="105" t="s">
        <v>198</v>
      </c>
      <c r="BW83" s="105" t="s">
        <v>936</v>
      </c>
      <c r="BX83" s="105" t="s">
        <v>704</v>
      </c>
      <c r="BY83" s="105" t="s">
        <v>198</v>
      </c>
      <c r="BZ83" s="105" t="s">
        <v>198</v>
      </c>
      <c r="CA83" s="105" t="s">
        <v>198</v>
      </c>
      <c r="CB83" s="105" t="s">
        <v>198</v>
      </c>
      <c r="CC83" s="105" t="s">
        <v>937</v>
      </c>
      <c r="CD83" s="105" t="s">
        <v>198</v>
      </c>
      <c r="CE83" s="105" t="s">
        <v>937</v>
      </c>
      <c r="CF83" s="105" t="s">
        <v>198</v>
      </c>
      <c r="CG83" s="105" t="s">
        <v>939</v>
      </c>
      <c r="CH83" s="105" t="s">
        <v>198</v>
      </c>
      <c r="CI83" s="105" t="s">
        <v>940</v>
      </c>
      <c r="CJ83" s="105" t="s">
        <v>198</v>
      </c>
      <c r="CK83" s="105" t="s">
        <v>198</v>
      </c>
      <c r="CL83" s="105" t="s">
        <v>198</v>
      </c>
      <c r="CM83" s="105" t="s">
        <v>198</v>
      </c>
      <c r="CN83" s="105" t="s">
        <v>198</v>
      </c>
      <c r="CO83" s="105" t="s">
        <v>198</v>
      </c>
      <c r="CP83" s="105" t="s">
        <v>198</v>
      </c>
      <c r="CQ83" s="105" t="s">
        <v>198</v>
      </c>
      <c r="CR83" s="105" t="s">
        <v>705</v>
      </c>
      <c r="CS83" s="105" t="s">
        <v>198</v>
      </c>
      <c r="CT83" s="105" t="s">
        <v>705</v>
      </c>
      <c r="CU83" s="105" t="s">
        <v>816</v>
      </c>
      <c r="CV83" s="105" t="s">
        <v>198</v>
      </c>
      <c r="CW83" s="105" t="s">
        <v>198</v>
      </c>
      <c r="CX83" s="105" t="s">
        <v>705</v>
      </c>
      <c r="CY83" s="105" t="s">
        <v>712</v>
      </c>
      <c r="CZ83" s="105" t="s">
        <v>713</v>
      </c>
      <c r="DA83" s="105" t="s">
        <v>198</v>
      </c>
      <c r="DB83" s="105" t="s">
        <v>198</v>
      </c>
      <c r="DC83" s="105" t="s">
        <v>198</v>
      </c>
      <c r="DD83" s="105" t="s">
        <v>198</v>
      </c>
      <c r="DE83" s="105" t="s">
        <v>198</v>
      </c>
      <c r="DF83" s="105" t="s">
        <v>198</v>
      </c>
    </row>
    <row r="84" spans="2:110" x14ac:dyDescent="0.3">
      <c r="B84" s="104">
        <v>81</v>
      </c>
      <c r="C84" s="105"/>
      <c r="D84" s="105"/>
      <c r="E84" s="105" t="s">
        <v>198</v>
      </c>
      <c r="F84" s="105" t="s">
        <v>713</v>
      </c>
      <c r="G84" s="105" t="s">
        <v>198</v>
      </c>
      <c r="H84" s="105" t="s">
        <v>198</v>
      </c>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t="s">
        <v>815</v>
      </c>
      <c r="AI84" s="105"/>
      <c r="AJ84" s="105"/>
      <c r="AK84" s="105"/>
      <c r="AL84" s="105"/>
      <c r="AM84" s="105" t="s">
        <v>1410</v>
      </c>
      <c r="AN84" s="105" t="s">
        <v>1409</v>
      </c>
      <c r="AO84" s="105" t="s">
        <v>1411</v>
      </c>
      <c r="AP84" s="105" t="s">
        <v>198</v>
      </c>
      <c r="AQ84" s="105"/>
      <c r="AR84" s="105"/>
      <c r="AS84" s="105"/>
      <c r="AT84" s="105"/>
      <c r="AU84" s="105"/>
      <c r="AV84" s="105"/>
      <c r="AW84" s="105"/>
      <c r="AX84" s="105"/>
      <c r="AY84" s="105" t="s">
        <v>697</v>
      </c>
      <c r="AZ84" s="105"/>
      <c r="BA84" s="105"/>
      <c r="BB84" s="105"/>
      <c r="BC84" s="105"/>
      <c r="BD84" s="105"/>
      <c r="BE84" s="105"/>
      <c r="BF84" s="105"/>
      <c r="BG84" s="105"/>
      <c r="BH84" s="105"/>
      <c r="BI84" s="105" t="s">
        <v>198</v>
      </c>
      <c r="BJ84" s="105" t="s">
        <v>198</v>
      </c>
      <c r="BK84" s="105" t="s">
        <v>700</v>
      </c>
      <c r="BL84" s="105" t="s">
        <v>701</v>
      </c>
      <c r="BM84" s="105" t="s">
        <v>702</v>
      </c>
      <c r="BN84" s="105" t="s">
        <v>703</v>
      </c>
      <c r="BO84" s="105" t="s">
        <v>706</v>
      </c>
      <c r="BP84" s="105" t="s">
        <v>705</v>
      </c>
      <c r="BQ84" s="105" t="s">
        <v>932</v>
      </c>
      <c r="BR84" s="105" t="s">
        <v>703</v>
      </c>
      <c r="BS84" s="105" t="s">
        <v>933</v>
      </c>
      <c r="BT84" s="105" t="s">
        <v>703</v>
      </c>
      <c r="BU84" s="105" t="s">
        <v>198</v>
      </c>
      <c r="BV84" s="105" t="s">
        <v>198</v>
      </c>
      <c r="BW84" s="105" t="s">
        <v>936</v>
      </c>
      <c r="BX84" s="105" t="s">
        <v>704</v>
      </c>
      <c r="BY84" s="105" t="s">
        <v>198</v>
      </c>
      <c r="BZ84" s="105" t="s">
        <v>198</v>
      </c>
      <c r="CA84" s="105" t="s">
        <v>198</v>
      </c>
      <c r="CB84" s="105" t="s">
        <v>198</v>
      </c>
      <c r="CC84" s="105" t="s">
        <v>937</v>
      </c>
      <c r="CD84" s="105" t="s">
        <v>198</v>
      </c>
      <c r="CE84" s="105" t="s">
        <v>937</v>
      </c>
      <c r="CF84" s="105" t="s">
        <v>198</v>
      </c>
      <c r="CG84" s="105" t="s">
        <v>939</v>
      </c>
      <c r="CH84" s="105" t="s">
        <v>198</v>
      </c>
      <c r="CI84" s="105" t="s">
        <v>940</v>
      </c>
      <c r="CJ84" s="105" t="s">
        <v>198</v>
      </c>
      <c r="CK84" s="105" t="s">
        <v>198</v>
      </c>
      <c r="CL84" s="105" t="s">
        <v>198</v>
      </c>
      <c r="CM84" s="105" t="s">
        <v>198</v>
      </c>
      <c r="CN84" s="105" t="s">
        <v>198</v>
      </c>
      <c r="CO84" s="105" t="s">
        <v>198</v>
      </c>
      <c r="CP84" s="105" t="s">
        <v>198</v>
      </c>
      <c r="CQ84" s="105" t="s">
        <v>198</v>
      </c>
      <c r="CR84" s="105" t="s">
        <v>705</v>
      </c>
      <c r="CS84" s="105" t="s">
        <v>198</v>
      </c>
      <c r="CT84" s="105" t="s">
        <v>705</v>
      </c>
      <c r="CU84" s="105" t="s">
        <v>816</v>
      </c>
      <c r="CV84" s="105" t="s">
        <v>198</v>
      </c>
      <c r="CW84" s="105" t="s">
        <v>198</v>
      </c>
      <c r="CX84" s="105" t="s">
        <v>705</v>
      </c>
      <c r="CY84" s="105" t="s">
        <v>712</v>
      </c>
      <c r="CZ84" s="105" t="s">
        <v>713</v>
      </c>
      <c r="DA84" s="105" t="s">
        <v>198</v>
      </c>
      <c r="DB84" s="105" t="s">
        <v>198</v>
      </c>
      <c r="DC84" s="105" t="s">
        <v>198</v>
      </c>
      <c r="DD84" s="105" t="s">
        <v>198</v>
      </c>
      <c r="DE84" s="105" t="s">
        <v>198</v>
      </c>
      <c r="DF84" s="105" t="s">
        <v>198</v>
      </c>
    </row>
    <row r="85" spans="2:110" x14ac:dyDescent="0.3">
      <c r="B85" s="104">
        <v>82</v>
      </c>
      <c r="C85" s="105"/>
      <c r="D85" s="105"/>
      <c r="E85" s="105" t="s">
        <v>198</v>
      </c>
      <c r="F85" s="105" t="s">
        <v>713</v>
      </c>
      <c r="G85" s="105" t="s">
        <v>198</v>
      </c>
      <c r="H85" s="105" t="s">
        <v>198</v>
      </c>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t="s">
        <v>815</v>
      </c>
      <c r="AI85" s="105"/>
      <c r="AJ85" s="105"/>
      <c r="AK85" s="105"/>
      <c r="AL85" s="105"/>
      <c r="AM85" s="105" t="s">
        <v>1410</v>
      </c>
      <c r="AN85" s="105" t="s">
        <v>1409</v>
      </c>
      <c r="AO85" s="105" t="s">
        <v>1411</v>
      </c>
      <c r="AP85" s="105" t="s">
        <v>198</v>
      </c>
      <c r="AQ85" s="105"/>
      <c r="AR85" s="105"/>
      <c r="AS85" s="105"/>
      <c r="AT85" s="105"/>
      <c r="AU85" s="105"/>
      <c r="AV85" s="105"/>
      <c r="AW85" s="105"/>
      <c r="AX85" s="105"/>
      <c r="AY85" s="105" t="s">
        <v>697</v>
      </c>
      <c r="AZ85" s="105"/>
      <c r="BA85" s="105"/>
      <c r="BB85" s="105"/>
      <c r="BC85" s="105"/>
      <c r="BD85" s="105"/>
      <c r="BE85" s="105"/>
      <c r="BF85" s="105"/>
      <c r="BG85" s="105"/>
      <c r="BH85" s="105"/>
      <c r="BI85" s="105" t="s">
        <v>198</v>
      </c>
      <c r="BJ85" s="105" t="s">
        <v>198</v>
      </c>
      <c r="BK85" s="105" t="s">
        <v>700</v>
      </c>
      <c r="BL85" s="105" t="s">
        <v>701</v>
      </c>
      <c r="BM85" s="105" t="s">
        <v>702</v>
      </c>
      <c r="BN85" s="105" t="s">
        <v>703</v>
      </c>
      <c r="BO85" s="105" t="s">
        <v>706</v>
      </c>
      <c r="BP85" s="105" t="s">
        <v>705</v>
      </c>
      <c r="BQ85" s="105" t="s">
        <v>932</v>
      </c>
      <c r="BR85" s="105" t="s">
        <v>703</v>
      </c>
      <c r="BS85" s="105" t="s">
        <v>933</v>
      </c>
      <c r="BT85" s="105" t="s">
        <v>703</v>
      </c>
      <c r="BU85" s="105" t="s">
        <v>198</v>
      </c>
      <c r="BV85" s="105" t="s">
        <v>198</v>
      </c>
      <c r="BW85" s="105" t="s">
        <v>936</v>
      </c>
      <c r="BX85" s="105" t="s">
        <v>704</v>
      </c>
      <c r="BY85" s="105" t="s">
        <v>198</v>
      </c>
      <c r="BZ85" s="105" t="s">
        <v>198</v>
      </c>
      <c r="CA85" s="105" t="s">
        <v>198</v>
      </c>
      <c r="CB85" s="105" t="s">
        <v>198</v>
      </c>
      <c r="CC85" s="105" t="s">
        <v>937</v>
      </c>
      <c r="CD85" s="105" t="s">
        <v>198</v>
      </c>
      <c r="CE85" s="105" t="s">
        <v>937</v>
      </c>
      <c r="CF85" s="105" t="s">
        <v>198</v>
      </c>
      <c r="CG85" s="105" t="s">
        <v>939</v>
      </c>
      <c r="CH85" s="105" t="s">
        <v>198</v>
      </c>
      <c r="CI85" s="105" t="s">
        <v>940</v>
      </c>
      <c r="CJ85" s="105" t="s">
        <v>198</v>
      </c>
      <c r="CK85" s="105" t="s">
        <v>198</v>
      </c>
      <c r="CL85" s="105" t="s">
        <v>198</v>
      </c>
      <c r="CM85" s="105" t="s">
        <v>198</v>
      </c>
      <c r="CN85" s="105" t="s">
        <v>198</v>
      </c>
      <c r="CO85" s="105" t="s">
        <v>198</v>
      </c>
      <c r="CP85" s="105" t="s">
        <v>198</v>
      </c>
      <c r="CQ85" s="105" t="s">
        <v>198</v>
      </c>
      <c r="CR85" s="105" t="s">
        <v>705</v>
      </c>
      <c r="CS85" s="105" t="s">
        <v>198</v>
      </c>
      <c r="CT85" s="105" t="s">
        <v>705</v>
      </c>
      <c r="CU85" s="105" t="s">
        <v>816</v>
      </c>
      <c r="CV85" s="105" t="s">
        <v>198</v>
      </c>
      <c r="CW85" s="105" t="s">
        <v>198</v>
      </c>
      <c r="CX85" s="105" t="s">
        <v>705</v>
      </c>
      <c r="CY85" s="105" t="s">
        <v>712</v>
      </c>
      <c r="CZ85" s="105" t="s">
        <v>713</v>
      </c>
      <c r="DA85" s="105" t="s">
        <v>198</v>
      </c>
      <c r="DB85" s="105" t="s">
        <v>198</v>
      </c>
      <c r="DC85" s="105" t="s">
        <v>198</v>
      </c>
      <c r="DD85" s="105" t="s">
        <v>198</v>
      </c>
      <c r="DE85" s="105" t="s">
        <v>198</v>
      </c>
      <c r="DF85" s="105" t="s">
        <v>198</v>
      </c>
    </row>
    <row r="86" spans="2:110" x14ac:dyDescent="0.3">
      <c r="B86" s="104">
        <v>83</v>
      </c>
      <c r="C86" s="105"/>
      <c r="D86" s="105"/>
      <c r="E86" s="105" t="s">
        <v>198</v>
      </c>
      <c r="F86" s="105" t="s">
        <v>713</v>
      </c>
      <c r="G86" s="105" t="s">
        <v>198</v>
      </c>
      <c r="H86" s="105" t="s">
        <v>198</v>
      </c>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t="s">
        <v>815</v>
      </c>
      <c r="AI86" s="105"/>
      <c r="AJ86" s="105"/>
      <c r="AK86" s="105"/>
      <c r="AL86" s="105"/>
      <c r="AM86" s="105" t="s">
        <v>1410</v>
      </c>
      <c r="AN86" s="105" t="s">
        <v>1409</v>
      </c>
      <c r="AO86" s="105" t="s">
        <v>1411</v>
      </c>
      <c r="AP86" s="105" t="s">
        <v>198</v>
      </c>
      <c r="AQ86" s="105"/>
      <c r="AR86" s="105"/>
      <c r="AS86" s="105"/>
      <c r="AT86" s="105"/>
      <c r="AU86" s="105"/>
      <c r="AV86" s="105"/>
      <c r="AW86" s="105"/>
      <c r="AX86" s="105"/>
      <c r="AY86" s="105" t="s">
        <v>697</v>
      </c>
      <c r="AZ86" s="105"/>
      <c r="BA86" s="105"/>
      <c r="BB86" s="105"/>
      <c r="BC86" s="105"/>
      <c r="BD86" s="105"/>
      <c r="BE86" s="105"/>
      <c r="BF86" s="105"/>
      <c r="BG86" s="105"/>
      <c r="BH86" s="105"/>
      <c r="BI86" s="105" t="s">
        <v>198</v>
      </c>
      <c r="BJ86" s="105" t="s">
        <v>198</v>
      </c>
      <c r="BK86" s="105" t="s">
        <v>700</v>
      </c>
      <c r="BL86" s="105" t="s">
        <v>701</v>
      </c>
      <c r="BM86" s="105" t="s">
        <v>702</v>
      </c>
      <c r="BN86" s="105" t="s">
        <v>703</v>
      </c>
      <c r="BO86" s="105" t="s">
        <v>706</v>
      </c>
      <c r="BP86" s="105" t="s">
        <v>705</v>
      </c>
      <c r="BQ86" s="105" t="s">
        <v>932</v>
      </c>
      <c r="BR86" s="105" t="s">
        <v>703</v>
      </c>
      <c r="BS86" s="105" t="s">
        <v>933</v>
      </c>
      <c r="BT86" s="105" t="s">
        <v>703</v>
      </c>
      <c r="BU86" s="105" t="s">
        <v>198</v>
      </c>
      <c r="BV86" s="105" t="s">
        <v>198</v>
      </c>
      <c r="BW86" s="105" t="s">
        <v>936</v>
      </c>
      <c r="BX86" s="105" t="s">
        <v>704</v>
      </c>
      <c r="BY86" s="105" t="s">
        <v>198</v>
      </c>
      <c r="BZ86" s="105" t="s">
        <v>198</v>
      </c>
      <c r="CA86" s="105" t="s">
        <v>198</v>
      </c>
      <c r="CB86" s="105" t="s">
        <v>198</v>
      </c>
      <c r="CC86" s="105" t="s">
        <v>937</v>
      </c>
      <c r="CD86" s="105" t="s">
        <v>198</v>
      </c>
      <c r="CE86" s="105" t="s">
        <v>937</v>
      </c>
      <c r="CF86" s="105" t="s">
        <v>198</v>
      </c>
      <c r="CG86" s="105" t="s">
        <v>939</v>
      </c>
      <c r="CH86" s="105" t="s">
        <v>198</v>
      </c>
      <c r="CI86" s="105" t="s">
        <v>940</v>
      </c>
      <c r="CJ86" s="105" t="s">
        <v>198</v>
      </c>
      <c r="CK86" s="105" t="s">
        <v>198</v>
      </c>
      <c r="CL86" s="105" t="s">
        <v>198</v>
      </c>
      <c r="CM86" s="105" t="s">
        <v>198</v>
      </c>
      <c r="CN86" s="105" t="s">
        <v>198</v>
      </c>
      <c r="CO86" s="105" t="s">
        <v>198</v>
      </c>
      <c r="CP86" s="105" t="s">
        <v>198</v>
      </c>
      <c r="CQ86" s="105" t="s">
        <v>198</v>
      </c>
      <c r="CR86" s="105" t="s">
        <v>705</v>
      </c>
      <c r="CS86" s="105" t="s">
        <v>198</v>
      </c>
      <c r="CT86" s="105" t="s">
        <v>705</v>
      </c>
      <c r="CU86" s="105" t="s">
        <v>816</v>
      </c>
      <c r="CV86" s="105" t="s">
        <v>198</v>
      </c>
      <c r="CW86" s="105" t="s">
        <v>198</v>
      </c>
      <c r="CX86" s="105" t="s">
        <v>705</v>
      </c>
      <c r="CY86" s="105" t="s">
        <v>712</v>
      </c>
      <c r="CZ86" s="105" t="s">
        <v>713</v>
      </c>
      <c r="DA86" s="105" t="s">
        <v>198</v>
      </c>
      <c r="DB86" s="105" t="s">
        <v>198</v>
      </c>
      <c r="DC86" s="105" t="s">
        <v>198</v>
      </c>
      <c r="DD86" s="105" t="s">
        <v>198</v>
      </c>
      <c r="DE86" s="105" t="s">
        <v>198</v>
      </c>
      <c r="DF86" s="105" t="s">
        <v>198</v>
      </c>
    </row>
    <row r="87" spans="2:110" x14ac:dyDescent="0.3">
      <c r="B87" s="104">
        <v>84</v>
      </c>
      <c r="C87" s="105"/>
      <c r="D87" s="105"/>
      <c r="E87" s="105" t="s">
        <v>198</v>
      </c>
      <c r="F87" s="105" t="s">
        <v>713</v>
      </c>
      <c r="G87" s="105" t="s">
        <v>198</v>
      </c>
      <c r="H87" s="105" t="s">
        <v>198</v>
      </c>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t="s">
        <v>815</v>
      </c>
      <c r="AI87" s="105"/>
      <c r="AJ87" s="105"/>
      <c r="AK87" s="105"/>
      <c r="AL87" s="105"/>
      <c r="AM87" s="105" t="s">
        <v>1410</v>
      </c>
      <c r="AN87" s="105" t="s">
        <v>1409</v>
      </c>
      <c r="AO87" s="105" t="s">
        <v>1411</v>
      </c>
      <c r="AP87" s="105" t="s">
        <v>198</v>
      </c>
      <c r="AQ87" s="105"/>
      <c r="AR87" s="105"/>
      <c r="AS87" s="105"/>
      <c r="AT87" s="105"/>
      <c r="AU87" s="105"/>
      <c r="AV87" s="105"/>
      <c r="AW87" s="105"/>
      <c r="AX87" s="105"/>
      <c r="AY87" s="105" t="s">
        <v>697</v>
      </c>
      <c r="AZ87" s="105"/>
      <c r="BA87" s="105"/>
      <c r="BB87" s="105"/>
      <c r="BC87" s="105"/>
      <c r="BD87" s="105"/>
      <c r="BE87" s="105"/>
      <c r="BF87" s="105"/>
      <c r="BG87" s="105"/>
      <c r="BH87" s="105"/>
      <c r="BI87" s="105" t="s">
        <v>198</v>
      </c>
      <c r="BJ87" s="105" t="s">
        <v>198</v>
      </c>
      <c r="BK87" s="105" t="s">
        <v>700</v>
      </c>
      <c r="BL87" s="105" t="s">
        <v>701</v>
      </c>
      <c r="BM87" s="105" t="s">
        <v>702</v>
      </c>
      <c r="BN87" s="105" t="s">
        <v>703</v>
      </c>
      <c r="BO87" s="105" t="s">
        <v>706</v>
      </c>
      <c r="BP87" s="105" t="s">
        <v>705</v>
      </c>
      <c r="BQ87" s="105" t="s">
        <v>932</v>
      </c>
      <c r="BR87" s="105" t="s">
        <v>703</v>
      </c>
      <c r="BS87" s="105" t="s">
        <v>933</v>
      </c>
      <c r="BT87" s="105" t="s">
        <v>703</v>
      </c>
      <c r="BU87" s="105" t="s">
        <v>198</v>
      </c>
      <c r="BV87" s="105" t="s">
        <v>198</v>
      </c>
      <c r="BW87" s="105" t="s">
        <v>936</v>
      </c>
      <c r="BX87" s="105" t="s">
        <v>704</v>
      </c>
      <c r="BY87" s="105" t="s">
        <v>198</v>
      </c>
      <c r="BZ87" s="105" t="s">
        <v>198</v>
      </c>
      <c r="CA87" s="105" t="s">
        <v>198</v>
      </c>
      <c r="CB87" s="105" t="s">
        <v>198</v>
      </c>
      <c r="CC87" s="105" t="s">
        <v>937</v>
      </c>
      <c r="CD87" s="105" t="s">
        <v>198</v>
      </c>
      <c r="CE87" s="105" t="s">
        <v>937</v>
      </c>
      <c r="CF87" s="105" t="s">
        <v>198</v>
      </c>
      <c r="CG87" s="105" t="s">
        <v>939</v>
      </c>
      <c r="CH87" s="105" t="s">
        <v>198</v>
      </c>
      <c r="CI87" s="105" t="s">
        <v>940</v>
      </c>
      <c r="CJ87" s="105" t="s">
        <v>198</v>
      </c>
      <c r="CK87" s="105" t="s">
        <v>198</v>
      </c>
      <c r="CL87" s="105" t="s">
        <v>198</v>
      </c>
      <c r="CM87" s="105" t="s">
        <v>198</v>
      </c>
      <c r="CN87" s="105" t="s">
        <v>198</v>
      </c>
      <c r="CO87" s="105" t="s">
        <v>198</v>
      </c>
      <c r="CP87" s="105" t="s">
        <v>198</v>
      </c>
      <c r="CQ87" s="105" t="s">
        <v>198</v>
      </c>
      <c r="CR87" s="105" t="s">
        <v>705</v>
      </c>
      <c r="CS87" s="105" t="s">
        <v>198</v>
      </c>
      <c r="CT87" s="105" t="s">
        <v>705</v>
      </c>
      <c r="CU87" s="105" t="s">
        <v>816</v>
      </c>
      <c r="CV87" s="105" t="s">
        <v>198</v>
      </c>
      <c r="CW87" s="105" t="s">
        <v>198</v>
      </c>
      <c r="CX87" s="105" t="s">
        <v>705</v>
      </c>
      <c r="CY87" s="105" t="s">
        <v>712</v>
      </c>
      <c r="CZ87" s="105" t="s">
        <v>713</v>
      </c>
      <c r="DA87" s="105" t="s">
        <v>198</v>
      </c>
      <c r="DB87" s="105" t="s">
        <v>198</v>
      </c>
      <c r="DC87" s="105" t="s">
        <v>198</v>
      </c>
      <c r="DD87" s="105" t="s">
        <v>198</v>
      </c>
      <c r="DE87" s="105" t="s">
        <v>198</v>
      </c>
      <c r="DF87" s="105" t="s">
        <v>198</v>
      </c>
    </row>
    <row r="88" spans="2:110" x14ac:dyDescent="0.3">
      <c r="B88" s="104">
        <v>85</v>
      </c>
      <c r="C88" s="105"/>
      <c r="D88" s="105"/>
      <c r="E88" s="105" t="s">
        <v>198</v>
      </c>
      <c r="F88" s="105" t="s">
        <v>713</v>
      </c>
      <c r="G88" s="105" t="s">
        <v>198</v>
      </c>
      <c r="H88" s="105" t="s">
        <v>198</v>
      </c>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t="s">
        <v>815</v>
      </c>
      <c r="AI88" s="105"/>
      <c r="AJ88" s="105"/>
      <c r="AK88" s="105"/>
      <c r="AL88" s="105"/>
      <c r="AM88" s="105" t="s">
        <v>1410</v>
      </c>
      <c r="AN88" s="105" t="s">
        <v>1409</v>
      </c>
      <c r="AO88" s="105" t="s">
        <v>1411</v>
      </c>
      <c r="AP88" s="105" t="s">
        <v>198</v>
      </c>
      <c r="AQ88" s="105"/>
      <c r="AR88" s="105"/>
      <c r="AS88" s="105"/>
      <c r="AT88" s="105"/>
      <c r="AU88" s="105"/>
      <c r="AV88" s="105"/>
      <c r="AW88" s="105"/>
      <c r="AX88" s="105"/>
      <c r="AY88" s="105" t="s">
        <v>697</v>
      </c>
      <c r="AZ88" s="105"/>
      <c r="BA88" s="105"/>
      <c r="BB88" s="105"/>
      <c r="BC88" s="105"/>
      <c r="BD88" s="105"/>
      <c r="BE88" s="105"/>
      <c r="BF88" s="105"/>
      <c r="BG88" s="105"/>
      <c r="BH88" s="105"/>
      <c r="BI88" s="105" t="s">
        <v>198</v>
      </c>
      <c r="BJ88" s="105" t="s">
        <v>198</v>
      </c>
      <c r="BK88" s="105" t="s">
        <v>700</v>
      </c>
      <c r="BL88" s="105" t="s">
        <v>701</v>
      </c>
      <c r="BM88" s="105" t="s">
        <v>702</v>
      </c>
      <c r="BN88" s="105" t="s">
        <v>703</v>
      </c>
      <c r="BO88" s="105" t="s">
        <v>706</v>
      </c>
      <c r="BP88" s="105" t="s">
        <v>705</v>
      </c>
      <c r="BQ88" s="105" t="s">
        <v>932</v>
      </c>
      <c r="BR88" s="105" t="s">
        <v>703</v>
      </c>
      <c r="BS88" s="105" t="s">
        <v>933</v>
      </c>
      <c r="BT88" s="105" t="s">
        <v>703</v>
      </c>
      <c r="BU88" s="105" t="s">
        <v>198</v>
      </c>
      <c r="BV88" s="105" t="s">
        <v>198</v>
      </c>
      <c r="BW88" s="105" t="s">
        <v>936</v>
      </c>
      <c r="BX88" s="105" t="s">
        <v>704</v>
      </c>
      <c r="BY88" s="105" t="s">
        <v>198</v>
      </c>
      <c r="BZ88" s="105" t="s">
        <v>198</v>
      </c>
      <c r="CA88" s="105" t="s">
        <v>198</v>
      </c>
      <c r="CB88" s="105" t="s">
        <v>198</v>
      </c>
      <c r="CC88" s="105" t="s">
        <v>937</v>
      </c>
      <c r="CD88" s="105" t="s">
        <v>198</v>
      </c>
      <c r="CE88" s="105" t="s">
        <v>937</v>
      </c>
      <c r="CF88" s="105" t="s">
        <v>198</v>
      </c>
      <c r="CG88" s="105" t="s">
        <v>939</v>
      </c>
      <c r="CH88" s="105" t="s">
        <v>198</v>
      </c>
      <c r="CI88" s="105" t="s">
        <v>940</v>
      </c>
      <c r="CJ88" s="105" t="s">
        <v>198</v>
      </c>
      <c r="CK88" s="105" t="s">
        <v>198</v>
      </c>
      <c r="CL88" s="105" t="s">
        <v>198</v>
      </c>
      <c r="CM88" s="105" t="s">
        <v>198</v>
      </c>
      <c r="CN88" s="105" t="s">
        <v>198</v>
      </c>
      <c r="CO88" s="105" t="s">
        <v>198</v>
      </c>
      <c r="CP88" s="105" t="s">
        <v>198</v>
      </c>
      <c r="CQ88" s="105" t="s">
        <v>198</v>
      </c>
      <c r="CR88" s="105" t="s">
        <v>705</v>
      </c>
      <c r="CS88" s="105" t="s">
        <v>198</v>
      </c>
      <c r="CT88" s="105" t="s">
        <v>705</v>
      </c>
      <c r="CU88" s="105" t="s">
        <v>816</v>
      </c>
      <c r="CV88" s="105" t="s">
        <v>198</v>
      </c>
      <c r="CW88" s="105" t="s">
        <v>198</v>
      </c>
      <c r="CX88" s="105" t="s">
        <v>705</v>
      </c>
      <c r="CY88" s="105" t="s">
        <v>712</v>
      </c>
      <c r="CZ88" s="105" t="s">
        <v>713</v>
      </c>
      <c r="DA88" s="105" t="s">
        <v>198</v>
      </c>
      <c r="DB88" s="105" t="s">
        <v>198</v>
      </c>
      <c r="DC88" s="105" t="s">
        <v>198</v>
      </c>
      <c r="DD88" s="105" t="s">
        <v>198</v>
      </c>
      <c r="DE88" s="105" t="s">
        <v>198</v>
      </c>
      <c r="DF88" s="105" t="s">
        <v>198</v>
      </c>
    </row>
    <row r="89" spans="2:110" x14ac:dyDescent="0.3">
      <c r="B89" s="104">
        <v>86</v>
      </c>
      <c r="C89" s="105"/>
      <c r="D89" s="105"/>
      <c r="E89" s="105" t="s">
        <v>198</v>
      </c>
      <c r="F89" s="105" t="s">
        <v>713</v>
      </c>
      <c r="G89" s="105" t="s">
        <v>198</v>
      </c>
      <c r="H89" s="105" t="s">
        <v>198</v>
      </c>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t="s">
        <v>815</v>
      </c>
      <c r="AI89" s="105"/>
      <c r="AJ89" s="105"/>
      <c r="AK89" s="105"/>
      <c r="AL89" s="105"/>
      <c r="AM89" s="105" t="s">
        <v>1410</v>
      </c>
      <c r="AN89" s="105" t="s">
        <v>1409</v>
      </c>
      <c r="AO89" s="105" t="s">
        <v>1411</v>
      </c>
      <c r="AP89" s="105" t="s">
        <v>198</v>
      </c>
      <c r="AQ89" s="105"/>
      <c r="AR89" s="105"/>
      <c r="AS89" s="105"/>
      <c r="AT89" s="105"/>
      <c r="AU89" s="105"/>
      <c r="AV89" s="105"/>
      <c r="AW89" s="105"/>
      <c r="AX89" s="105"/>
      <c r="AY89" s="105" t="s">
        <v>697</v>
      </c>
      <c r="AZ89" s="105"/>
      <c r="BA89" s="105"/>
      <c r="BB89" s="105"/>
      <c r="BC89" s="105"/>
      <c r="BD89" s="105"/>
      <c r="BE89" s="105"/>
      <c r="BF89" s="105"/>
      <c r="BG89" s="105"/>
      <c r="BH89" s="105"/>
      <c r="BI89" s="105" t="s">
        <v>198</v>
      </c>
      <c r="BJ89" s="105" t="s">
        <v>198</v>
      </c>
      <c r="BK89" s="105" t="s">
        <v>700</v>
      </c>
      <c r="BL89" s="105" t="s">
        <v>701</v>
      </c>
      <c r="BM89" s="105" t="s">
        <v>702</v>
      </c>
      <c r="BN89" s="105" t="s">
        <v>703</v>
      </c>
      <c r="BO89" s="105" t="s">
        <v>706</v>
      </c>
      <c r="BP89" s="105" t="s">
        <v>705</v>
      </c>
      <c r="BQ89" s="105" t="s">
        <v>932</v>
      </c>
      <c r="BR89" s="105" t="s">
        <v>703</v>
      </c>
      <c r="BS89" s="105" t="s">
        <v>933</v>
      </c>
      <c r="BT89" s="105" t="s">
        <v>703</v>
      </c>
      <c r="BU89" s="105" t="s">
        <v>198</v>
      </c>
      <c r="BV89" s="105" t="s">
        <v>198</v>
      </c>
      <c r="BW89" s="105" t="s">
        <v>936</v>
      </c>
      <c r="BX89" s="105" t="s">
        <v>704</v>
      </c>
      <c r="BY89" s="105" t="s">
        <v>198</v>
      </c>
      <c r="BZ89" s="105" t="s">
        <v>198</v>
      </c>
      <c r="CA89" s="105" t="s">
        <v>198</v>
      </c>
      <c r="CB89" s="105" t="s">
        <v>198</v>
      </c>
      <c r="CC89" s="105" t="s">
        <v>937</v>
      </c>
      <c r="CD89" s="105" t="s">
        <v>198</v>
      </c>
      <c r="CE89" s="105" t="s">
        <v>937</v>
      </c>
      <c r="CF89" s="105" t="s">
        <v>198</v>
      </c>
      <c r="CG89" s="105" t="s">
        <v>939</v>
      </c>
      <c r="CH89" s="105" t="s">
        <v>198</v>
      </c>
      <c r="CI89" s="105" t="s">
        <v>940</v>
      </c>
      <c r="CJ89" s="105" t="s">
        <v>198</v>
      </c>
      <c r="CK89" s="105" t="s">
        <v>198</v>
      </c>
      <c r="CL89" s="105" t="s">
        <v>198</v>
      </c>
      <c r="CM89" s="105" t="s">
        <v>198</v>
      </c>
      <c r="CN89" s="105" t="s">
        <v>198</v>
      </c>
      <c r="CO89" s="105" t="s">
        <v>198</v>
      </c>
      <c r="CP89" s="105" t="s">
        <v>198</v>
      </c>
      <c r="CQ89" s="105" t="s">
        <v>198</v>
      </c>
      <c r="CR89" s="105" t="s">
        <v>705</v>
      </c>
      <c r="CS89" s="105" t="s">
        <v>198</v>
      </c>
      <c r="CT89" s="105" t="s">
        <v>705</v>
      </c>
      <c r="CU89" s="105" t="s">
        <v>816</v>
      </c>
      <c r="CV89" s="105" t="s">
        <v>198</v>
      </c>
      <c r="CW89" s="105" t="s">
        <v>198</v>
      </c>
      <c r="CX89" s="105" t="s">
        <v>705</v>
      </c>
      <c r="CY89" s="105" t="s">
        <v>712</v>
      </c>
      <c r="CZ89" s="105" t="s">
        <v>713</v>
      </c>
      <c r="DA89" s="105" t="s">
        <v>198</v>
      </c>
      <c r="DB89" s="105" t="s">
        <v>198</v>
      </c>
      <c r="DC89" s="105" t="s">
        <v>198</v>
      </c>
      <c r="DD89" s="105" t="s">
        <v>198</v>
      </c>
      <c r="DE89" s="105" t="s">
        <v>198</v>
      </c>
      <c r="DF89" s="105" t="s">
        <v>198</v>
      </c>
    </row>
    <row r="90" spans="2:110" x14ac:dyDescent="0.3">
      <c r="B90" s="104">
        <v>87</v>
      </c>
      <c r="C90" s="105"/>
      <c r="D90" s="105"/>
      <c r="E90" s="105" t="s">
        <v>198</v>
      </c>
      <c r="F90" s="105" t="s">
        <v>713</v>
      </c>
      <c r="G90" s="105" t="s">
        <v>198</v>
      </c>
      <c r="H90" s="105" t="s">
        <v>198</v>
      </c>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t="s">
        <v>815</v>
      </c>
      <c r="AI90" s="105"/>
      <c r="AJ90" s="105"/>
      <c r="AK90" s="105"/>
      <c r="AL90" s="105"/>
      <c r="AM90" s="105" t="s">
        <v>1410</v>
      </c>
      <c r="AN90" s="105" t="s">
        <v>1409</v>
      </c>
      <c r="AO90" s="105" t="s">
        <v>1411</v>
      </c>
      <c r="AP90" s="105" t="s">
        <v>198</v>
      </c>
      <c r="AQ90" s="105"/>
      <c r="AR90" s="105"/>
      <c r="AS90" s="105"/>
      <c r="AT90" s="105"/>
      <c r="AU90" s="105"/>
      <c r="AV90" s="105"/>
      <c r="AW90" s="105"/>
      <c r="AX90" s="105"/>
      <c r="AY90" s="105" t="s">
        <v>697</v>
      </c>
      <c r="AZ90" s="105"/>
      <c r="BA90" s="105"/>
      <c r="BB90" s="105"/>
      <c r="BC90" s="105"/>
      <c r="BD90" s="105"/>
      <c r="BE90" s="105"/>
      <c r="BF90" s="105"/>
      <c r="BG90" s="105"/>
      <c r="BH90" s="105"/>
      <c r="BI90" s="105" t="s">
        <v>198</v>
      </c>
      <c r="BJ90" s="105" t="s">
        <v>198</v>
      </c>
      <c r="BK90" s="105" t="s">
        <v>700</v>
      </c>
      <c r="BL90" s="105" t="s">
        <v>701</v>
      </c>
      <c r="BM90" s="105" t="s">
        <v>702</v>
      </c>
      <c r="BN90" s="105" t="s">
        <v>703</v>
      </c>
      <c r="BO90" s="105" t="s">
        <v>706</v>
      </c>
      <c r="BP90" s="105" t="s">
        <v>705</v>
      </c>
      <c r="BQ90" s="105" t="s">
        <v>932</v>
      </c>
      <c r="BR90" s="105" t="s">
        <v>703</v>
      </c>
      <c r="BS90" s="105" t="s">
        <v>933</v>
      </c>
      <c r="BT90" s="105" t="s">
        <v>703</v>
      </c>
      <c r="BU90" s="105" t="s">
        <v>198</v>
      </c>
      <c r="BV90" s="105" t="s">
        <v>198</v>
      </c>
      <c r="BW90" s="105" t="s">
        <v>936</v>
      </c>
      <c r="BX90" s="105" t="s">
        <v>704</v>
      </c>
      <c r="BY90" s="105" t="s">
        <v>198</v>
      </c>
      <c r="BZ90" s="105" t="s">
        <v>198</v>
      </c>
      <c r="CA90" s="105" t="s">
        <v>198</v>
      </c>
      <c r="CB90" s="105" t="s">
        <v>198</v>
      </c>
      <c r="CC90" s="105" t="s">
        <v>937</v>
      </c>
      <c r="CD90" s="105" t="s">
        <v>198</v>
      </c>
      <c r="CE90" s="105" t="s">
        <v>937</v>
      </c>
      <c r="CF90" s="105" t="s">
        <v>198</v>
      </c>
      <c r="CG90" s="105" t="s">
        <v>939</v>
      </c>
      <c r="CH90" s="105" t="s">
        <v>198</v>
      </c>
      <c r="CI90" s="105" t="s">
        <v>940</v>
      </c>
      <c r="CJ90" s="105" t="s">
        <v>198</v>
      </c>
      <c r="CK90" s="105" t="s">
        <v>198</v>
      </c>
      <c r="CL90" s="105" t="s">
        <v>198</v>
      </c>
      <c r="CM90" s="105" t="s">
        <v>198</v>
      </c>
      <c r="CN90" s="105" t="s">
        <v>198</v>
      </c>
      <c r="CO90" s="105" t="s">
        <v>198</v>
      </c>
      <c r="CP90" s="105" t="s">
        <v>198</v>
      </c>
      <c r="CQ90" s="105" t="s">
        <v>198</v>
      </c>
      <c r="CR90" s="105" t="s">
        <v>705</v>
      </c>
      <c r="CS90" s="105" t="s">
        <v>198</v>
      </c>
      <c r="CT90" s="105" t="s">
        <v>705</v>
      </c>
      <c r="CU90" s="105" t="s">
        <v>816</v>
      </c>
      <c r="CV90" s="105" t="s">
        <v>198</v>
      </c>
      <c r="CW90" s="105" t="s">
        <v>198</v>
      </c>
      <c r="CX90" s="105" t="s">
        <v>705</v>
      </c>
      <c r="CY90" s="105" t="s">
        <v>712</v>
      </c>
      <c r="CZ90" s="105" t="s">
        <v>713</v>
      </c>
      <c r="DA90" s="105" t="s">
        <v>198</v>
      </c>
      <c r="DB90" s="105" t="s">
        <v>198</v>
      </c>
      <c r="DC90" s="105" t="s">
        <v>198</v>
      </c>
      <c r="DD90" s="105" t="s">
        <v>198</v>
      </c>
      <c r="DE90" s="105" t="s">
        <v>198</v>
      </c>
      <c r="DF90" s="105" t="s">
        <v>198</v>
      </c>
    </row>
    <row r="91" spans="2:110" x14ac:dyDescent="0.3">
      <c r="B91" s="104">
        <v>88</v>
      </c>
      <c r="C91" s="105"/>
      <c r="D91" s="105"/>
      <c r="E91" s="105" t="s">
        <v>198</v>
      </c>
      <c r="F91" s="105" t="s">
        <v>713</v>
      </c>
      <c r="G91" s="105" t="s">
        <v>198</v>
      </c>
      <c r="H91" s="105" t="s">
        <v>198</v>
      </c>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t="s">
        <v>815</v>
      </c>
      <c r="AI91" s="105"/>
      <c r="AJ91" s="105"/>
      <c r="AK91" s="105"/>
      <c r="AL91" s="105"/>
      <c r="AM91" s="105" t="s">
        <v>1410</v>
      </c>
      <c r="AN91" s="105" t="s">
        <v>1409</v>
      </c>
      <c r="AO91" s="105" t="s">
        <v>1411</v>
      </c>
      <c r="AP91" s="105" t="s">
        <v>198</v>
      </c>
      <c r="AQ91" s="105"/>
      <c r="AR91" s="105"/>
      <c r="AS91" s="105"/>
      <c r="AT91" s="105"/>
      <c r="AU91" s="105"/>
      <c r="AV91" s="105"/>
      <c r="AW91" s="105"/>
      <c r="AX91" s="105"/>
      <c r="AY91" s="105" t="s">
        <v>697</v>
      </c>
      <c r="AZ91" s="105"/>
      <c r="BA91" s="105"/>
      <c r="BB91" s="105"/>
      <c r="BC91" s="105"/>
      <c r="BD91" s="105"/>
      <c r="BE91" s="105"/>
      <c r="BF91" s="105"/>
      <c r="BG91" s="105"/>
      <c r="BH91" s="105"/>
      <c r="BI91" s="105" t="s">
        <v>198</v>
      </c>
      <c r="BJ91" s="105" t="s">
        <v>198</v>
      </c>
      <c r="BK91" s="105" t="s">
        <v>700</v>
      </c>
      <c r="BL91" s="105" t="s">
        <v>701</v>
      </c>
      <c r="BM91" s="105" t="s">
        <v>702</v>
      </c>
      <c r="BN91" s="105" t="s">
        <v>703</v>
      </c>
      <c r="BO91" s="105" t="s">
        <v>706</v>
      </c>
      <c r="BP91" s="105" t="s">
        <v>705</v>
      </c>
      <c r="BQ91" s="105" t="s">
        <v>932</v>
      </c>
      <c r="BR91" s="105" t="s">
        <v>703</v>
      </c>
      <c r="BS91" s="105" t="s">
        <v>933</v>
      </c>
      <c r="BT91" s="105" t="s">
        <v>703</v>
      </c>
      <c r="BU91" s="105" t="s">
        <v>198</v>
      </c>
      <c r="BV91" s="105" t="s">
        <v>198</v>
      </c>
      <c r="BW91" s="105" t="s">
        <v>936</v>
      </c>
      <c r="BX91" s="105" t="s">
        <v>704</v>
      </c>
      <c r="BY91" s="105" t="s">
        <v>198</v>
      </c>
      <c r="BZ91" s="105" t="s">
        <v>198</v>
      </c>
      <c r="CA91" s="105" t="s">
        <v>198</v>
      </c>
      <c r="CB91" s="105" t="s">
        <v>198</v>
      </c>
      <c r="CC91" s="105" t="s">
        <v>937</v>
      </c>
      <c r="CD91" s="105" t="s">
        <v>198</v>
      </c>
      <c r="CE91" s="105" t="s">
        <v>937</v>
      </c>
      <c r="CF91" s="105" t="s">
        <v>198</v>
      </c>
      <c r="CG91" s="105" t="s">
        <v>939</v>
      </c>
      <c r="CH91" s="105" t="s">
        <v>198</v>
      </c>
      <c r="CI91" s="105" t="s">
        <v>940</v>
      </c>
      <c r="CJ91" s="105" t="s">
        <v>198</v>
      </c>
      <c r="CK91" s="105" t="s">
        <v>198</v>
      </c>
      <c r="CL91" s="105" t="s">
        <v>198</v>
      </c>
      <c r="CM91" s="105" t="s">
        <v>198</v>
      </c>
      <c r="CN91" s="105" t="s">
        <v>198</v>
      </c>
      <c r="CO91" s="105" t="s">
        <v>198</v>
      </c>
      <c r="CP91" s="105" t="s">
        <v>198</v>
      </c>
      <c r="CQ91" s="105" t="s">
        <v>198</v>
      </c>
      <c r="CR91" s="105" t="s">
        <v>705</v>
      </c>
      <c r="CS91" s="105" t="s">
        <v>198</v>
      </c>
      <c r="CT91" s="105" t="s">
        <v>705</v>
      </c>
      <c r="CU91" s="105" t="s">
        <v>816</v>
      </c>
      <c r="CV91" s="105" t="s">
        <v>198</v>
      </c>
      <c r="CW91" s="105" t="s">
        <v>198</v>
      </c>
      <c r="CX91" s="105" t="s">
        <v>705</v>
      </c>
      <c r="CY91" s="105" t="s">
        <v>712</v>
      </c>
      <c r="CZ91" s="105" t="s">
        <v>713</v>
      </c>
      <c r="DA91" s="105" t="s">
        <v>198</v>
      </c>
      <c r="DB91" s="105" t="s">
        <v>198</v>
      </c>
      <c r="DC91" s="105" t="s">
        <v>198</v>
      </c>
      <c r="DD91" s="105" t="s">
        <v>198</v>
      </c>
      <c r="DE91" s="105" t="s">
        <v>198</v>
      </c>
      <c r="DF91" s="105" t="s">
        <v>198</v>
      </c>
    </row>
    <row r="92" spans="2:110" x14ac:dyDescent="0.3">
      <c r="B92" s="104">
        <v>89</v>
      </c>
      <c r="C92" s="105"/>
      <c r="D92" s="105"/>
      <c r="E92" s="105" t="s">
        <v>198</v>
      </c>
      <c r="F92" s="105" t="s">
        <v>713</v>
      </c>
      <c r="G92" s="105" t="s">
        <v>198</v>
      </c>
      <c r="H92" s="105" t="s">
        <v>198</v>
      </c>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t="s">
        <v>815</v>
      </c>
      <c r="AI92" s="105"/>
      <c r="AJ92" s="105"/>
      <c r="AK92" s="105"/>
      <c r="AL92" s="105"/>
      <c r="AM92" s="105" t="s">
        <v>1410</v>
      </c>
      <c r="AN92" s="105" t="s">
        <v>1409</v>
      </c>
      <c r="AO92" s="105" t="s">
        <v>1411</v>
      </c>
      <c r="AP92" s="105" t="s">
        <v>198</v>
      </c>
      <c r="AQ92" s="105"/>
      <c r="AR92" s="105"/>
      <c r="AS92" s="105"/>
      <c r="AT92" s="105"/>
      <c r="AU92" s="105"/>
      <c r="AV92" s="105"/>
      <c r="AW92" s="105"/>
      <c r="AX92" s="105"/>
      <c r="AY92" s="105" t="s">
        <v>697</v>
      </c>
      <c r="AZ92" s="105"/>
      <c r="BA92" s="105"/>
      <c r="BB92" s="105"/>
      <c r="BC92" s="105"/>
      <c r="BD92" s="105"/>
      <c r="BE92" s="105"/>
      <c r="BF92" s="105"/>
      <c r="BG92" s="105"/>
      <c r="BH92" s="105"/>
      <c r="BI92" s="105" t="s">
        <v>198</v>
      </c>
      <c r="BJ92" s="105" t="s">
        <v>198</v>
      </c>
      <c r="BK92" s="105" t="s">
        <v>700</v>
      </c>
      <c r="BL92" s="105" t="s">
        <v>701</v>
      </c>
      <c r="BM92" s="105" t="s">
        <v>702</v>
      </c>
      <c r="BN92" s="105" t="s">
        <v>703</v>
      </c>
      <c r="BO92" s="105" t="s">
        <v>706</v>
      </c>
      <c r="BP92" s="105" t="s">
        <v>705</v>
      </c>
      <c r="BQ92" s="105" t="s">
        <v>932</v>
      </c>
      <c r="BR92" s="105" t="s">
        <v>703</v>
      </c>
      <c r="BS92" s="105" t="s">
        <v>933</v>
      </c>
      <c r="BT92" s="105" t="s">
        <v>703</v>
      </c>
      <c r="BU92" s="105" t="s">
        <v>198</v>
      </c>
      <c r="BV92" s="105" t="s">
        <v>198</v>
      </c>
      <c r="BW92" s="105" t="s">
        <v>936</v>
      </c>
      <c r="BX92" s="105" t="s">
        <v>704</v>
      </c>
      <c r="BY92" s="105" t="s">
        <v>198</v>
      </c>
      <c r="BZ92" s="105" t="s">
        <v>198</v>
      </c>
      <c r="CA92" s="105" t="s">
        <v>198</v>
      </c>
      <c r="CB92" s="105" t="s">
        <v>198</v>
      </c>
      <c r="CC92" s="105" t="s">
        <v>937</v>
      </c>
      <c r="CD92" s="105" t="s">
        <v>198</v>
      </c>
      <c r="CE92" s="105" t="s">
        <v>937</v>
      </c>
      <c r="CF92" s="105" t="s">
        <v>198</v>
      </c>
      <c r="CG92" s="105" t="s">
        <v>939</v>
      </c>
      <c r="CH92" s="105" t="s">
        <v>198</v>
      </c>
      <c r="CI92" s="105" t="s">
        <v>940</v>
      </c>
      <c r="CJ92" s="105" t="s">
        <v>198</v>
      </c>
      <c r="CK92" s="105" t="s">
        <v>198</v>
      </c>
      <c r="CL92" s="105" t="s">
        <v>198</v>
      </c>
      <c r="CM92" s="105" t="s">
        <v>198</v>
      </c>
      <c r="CN92" s="105" t="s">
        <v>198</v>
      </c>
      <c r="CO92" s="105" t="s">
        <v>198</v>
      </c>
      <c r="CP92" s="105" t="s">
        <v>198</v>
      </c>
      <c r="CQ92" s="105" t="s">
        <v>198</v>
      </c>
      <c r="CR92" s="105" t="s">
        <v>705</v>
      </c>
      <c r="CS92" s="105" t="s">
        <v>198</v>
      </c>
      <c r="CT92" s="105" t="s">
        <v>705</v>
      </c>
      <c r="CU92" s="105" t="s">
        <v>816</v>
      </c>
      <c r="CV92" s="105" t="s">
        <v>198</v>
      </c>
      <c r="CW92" s="105" t="s">
        <v>198</v>
      </c>
      <c r="CX92" s="105" t="s">
        <v>705</v>
      </c>
      <c r="CY92" s="105" t="s">
        <v>712</v>
      </c>
      <c r="CZ92" s="105" t="s">
        <v>713</v>
      </c>
      <c r="DA92" s="105" t="s">
        <v>198</v>
      </c>
      <c r="DB92" s="105" t="s">
        <v>198</v>
      </c>
      <c r="DC92" s="105" t="s">
        <v>198</v>
      </c>
      <c r="DD92" s="105" t="s">
        <v>198</v>
      </c>
      <c r="DE92" s="105" t="s">
        <v>198</v>
      </c>
      <c r="DF92" s="105" t="s">
        <v>198</v>
      </c>
    </row>
    <row r="93" spans="2:110" x14ac:dyDescent="0.3">
      <c r="B93" s="104">
        <v>90</v>
      </c>
      <c r="C93" s="105"/>
      <c r="D93" s="105"/>
      <c r="E93" s="105" t="s">
        <v>198</v>
      </c>
      <c r="F93" s="105" t="s">
        <v>713</v>
      </c>
      <c r="G93" s="105" t="s">
        <v>198</v>
      </c>
      <c r="H93" s="105" t="s">
        <v>198</v>
      </c>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t="s">
        <v>815</v>
      </c>
      <c r="AI93" s="105"/>
      <c r="AJ93" s="105"/>
      <c r="AK93" s="105"/>
      <c r="AL93" s="105"/>
      <c r="AM93" s="105" t="s">
        <v>1410</v>
      </c>
      <c r="AN93" s="105" t="s">
        <v>1409</v>
      </c>
      <c r="AO93" s="105" t="s">
        <v>1411</v>
      </c>
      <c r="AP93" s="105" t="s">
        <v>198</v>
      </c>
      <c r="AQ93" s="105"/>
      <c r="AR93" s="105"/>
      <c r="AS93" s="105"/>
      <c r="AT93" s="105"/>
      <c r="AU93" s="105"/>
      <c r="AV93" s="105"/>
      <c r="AW93" s="105"/>
      <c r="AX93" s="105"/>
      <c r="AY93" s="105" t="s">
        <v>697</v>
      </c>
      <c r="AZ93" s="105"/>
      <c r="BA93" s="105"/>
      <c r="BB93" s="105"/>
      <c r="BC93" s="105"/>
      <c r="BD93" s="105"/>
      <c r="BE93" s="105"/>
      <c r="BF93" s="105"/>
      <c r="BG93" s="105"/>
      <c r="BH93" s="105"/>
      <c r="BI93" s="105" t="s">
        <v>198</v>
      </c>
      <c r="BJ93" s="105" t="s">
        <v>198</v>
      </c>
      <c r="BK93" s="105" t="s">
        <v>700</v>
      </c>
      <c r="BL93" s="105" t="s">
        <v>701</v>
      </c>
      <c r="BM93" s="105" t="s">
        <v>702</v>
      </c>
      <c r="BN93" s="105" t="s">
        <v>703</v>
      </c>
      <c r="BO93" s="105" t="s">
        <v>706</v>
      </c>
      <c r="BP93" s="105" t="s">
        <v>705</v>
      </c>
      <c r="BQ93" s="105" t="s">
        <v>932</v>
      </c>
      <c r="BR93" s="105" t="s">
        <v>703</v>
      </c>
      <c r="BS93" s="105" t="s">
        <v>933</v>
      </c>
      <c r="BT93" s="105" t="s">
        <v>703</v>
      </c>
      <c r="BU93" s="105" t="s">
        <v>198</v>
      </c>
      <c r="BV93" s="105" t="s">
        <v>198</v>
      </c>
      <c r="BW93" s="105" t="s">
        <v>936</v>
      </c>
      <c r="BX93" s="105" t="s">
        <v>704</v>
      </c>
      <c r="BY93" s="105" t="s">
        <v>198</v>
      </c>
      <c r="BZ93" s="105" t="s">
        <v>198</v>
      </c>
      <c r="CA93" s="105" t="s">
        <v>198</v>
      </c>
      <c r="CB93" s="105" t="s">
        <v>198</v>
      </c>
      <c r="CC93" s="105" t="s">
        <v>937</v>
      </c>
      <c r="CD93" s="105" t="s">
        <v>198</v>
      </c>
      <c r="CE93" s="105" t="s">
        <v>937</v>
      </c>
      <c r="CF93" s="105" t="s">
        <v>198</v>
      </c>
      <c r="CG93" s="105" t="s">
        <v>939</v>
      </c>
      <c r="CH93" s="105" t="s">
        <v>198</v>
      </c>
      <c r="CI93" s="105" t="s">
        <v>940</v>
      </c>
      <c r="CJ93" s="105" t="s">
        <v>198</v>
      </c>
      <c r="CK93" s="105" t="s">
        <v>198</v>
      </c>
      <c r="CL93" s="105" t="s">
        <v>198</v>
      </c>
      <c r="CM93" s="105" t="s">
        <v>198</v>
      </c>
      <c r="CN93" s="105" t="s">
        <v>198</v>
      </c>
      <c r="CO93" s="105" t="s">
        <v>198</v>
      </c>
      <c r="CP93" s="105" t="s">
        <v>198</v>
      </c>
      <c r="CQ93" s="105" t="s">
        <v>198</v>
      </c>
      <c r="CR93" s="105" t="s">
        <v>705</v>
      </c>
      <c r="CS93" s="105" t="s">
        <v>198</v>
      </c>
      <c r="CT93" s="105" t="s">
        <v>705</v>
      </c>
      <c r="CU93" s="105" t="s">
        <v>816</v>
      </c>
      <c r="CV93" s="105" t="s">
        <v>198</v>
      </c>
      <c r="CW93" s="105" t="s">
        <v>198</v>
      </c>
      <c r="CX93" s="105" t="s">
        <v>705</v>
      </c>
      <c r="CY93" s="105" t="s">
        <v>712</v>
      </c>
      <c r="CZ93" s="105" t="s">
        <v>713</v>
      </c>
      <c r="DA93" s="105" t="s">
        <v>198</v>
      </c>
      <c r="DB93" s="105" t="s">
        <v>198</v>
      </c>
      <c r="DC93" s="105" t="s">
        <v>198</v>
      </c>
      <c r="DD93" s="105" t="s">
        <v>198</v>
      </c>
      <c r="DE93" s="105" t="s">
        <v>198</v>
      </c>
      <c r="DF93" s="105" t="s">
        <v>198</v>
      </c>
    </row>
    <row r="94" spans="2:110" x14ac:dyDescent="0.3">
      <c r="B94" s="104">
        <v>91</v>
      </c>
      <c r="C94" s="105"/>
      <c r="D94" s="105"/>
      <c r="E94" s="105" t="s">
        <v>198</v>
      </c>
      <c r="F94" s="105" t="s">
        <v>713</v>
      </c>
      <c r="G94" s="105" t="s">
        <v>198</v>
      </c>
      <c r="H94" s="105" t="s">
        <v>198</v>
      </c>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t="s">
        <v>815</v>
      </c>
      <c r="AI94" s="105"/>
      <c r="AJ94" s="105"/>
      <c r="AK94" s="105"/>
      <c r="AL94" s="105"/>
      <c r="AM94" s="105" t="s">
        <v>1410</v>
      </c>
      <c r="AN94" s="105" t="s">
        <v>1409</v>
      </c>
      <c r="AO94" s="105" t="s">
        <v>1411</v>
      </c>
      <c r="AP94" s="105" t="s">
        <v>198</v>
      </c>
      <c r="AQ94" s="105"/>
      <c r="AR94" s="105"/>
      <c r="AS94" s="105"/>
      <c r="AT94" s="105"/>
      <c r="AU94" s="105"/>
      <c r="AV94" s="105"/>
      <c r="AW94" s="105"/>
      <c r="AX94" s="105"/>
      <c r="AY94" s="105" t="s">
        <v>697</v>
      </c>
      <c r="AZ94" s="105"/>
      <c r="BA94" s="105"/>
      <c r="BB94" s="105"/>
      <c r="BC94" s="105"/>
      <c r="BD94" s="105"/>
      <c r="BE94" s="105"/>
      <c r="BF94" s="105"/>
      <c r="BG94" s="105"/>
      <c r="BH94" s="105"/>
      <c r="BI94" s="105" t="s">
        <v>198</v>
      </c>
      <c r="BJ94" s="105" t="s">
        <v>198</v>
      </c>
      <c r="BK94" s="105" t="s">
        <v>700</v>
      </c>
      <c r="BL94" s="105" t="s">
        <v>701</v>
      </c>
      <c r="BM94" s="105" t="s">
        <v>702</v>
      </c>
      <c r="BN94" s="105" t="s">
        <v>703</v>
      </c>
      <c r="BO94" s="105" t="s">
        <v>706</v>
      </c>
      <c r="BP94" s="105" t="s">
        <v>705</v>
      </c>
      <c r="BQ94" s="105" t="s">
        <v>932</v>
      </c>
      <c r="BR94" s="105" t="s">
        <v>703</v>
      </c>
      <c r="BS94" s="105" t="s">
        <v>933</v>
      </c>
      <c r="BT94" s="105" t="s">
        <v>703</v>
      </c>
      <c r="BU94" s="105" t="s">
        <v>198</v>
      </c>
      <c r="BV94" s="105" t="s">
        <v>198</v>
      </c>
      <c r="BW94" s="105" t="s">
        <v>936</v>
      </c>
      <c r="BX94" s="105" t="s">
        <v>704</v>
      </c>
      <c r="BY94" s="105" t="s">
        <v>198</v>
      </c>
      <c r="BZ94" s="105" t="s">
        <v>198</v>
      </c>
      <c r="CA94" s="105" t="s">
        <v>198</v>
      </c>
      <c r="CB94" s="105" t="s">
        <v>198</v>
      </c>
      <c r="CC94" s="105" t="s">
        <v>937</v>
      </c>
      <c r="CD94" s="105" t="s">
        <v>198</v>
      </c>
      <c r="CE94" s="105" t="s">
        <v>937</v>
      </c>
      <c r="CF94" s="105" t="s">
        <v>198</v>
      </c>
      <c r="CG94" s="105" t="s">
        <v>939</v>
      </c>
      <c r="CH94" s="105" t="s">
        <v>198</v>
      </c>
      <c r="CI94" s="105" t="s">
        <v>940</v>
      </c>
      <c r="CJ94" s="105" t="s">
        <v>198</v>
      </c>
      <c r="CK94" s="105" t="s">
        <v>198</v>
      </c>
      <c r="CL94" s="105" t="s">
        <v>198</v>
      </c>
      <c r="CM94" s="105" t="s">
        <v>198</v>
      </c>
      <c r="CN94" s="105" t="s">
        <v>198</v>
      </c>
      <c r="CO94" s="105" t="s">
        <v>198</v>
      </c>
      <c r="CP94" s="105" t="s">
        <v>198</v>
      </c>
      <c r="CQ94" s="105" t="s">
        <v>198</v>
      </c>
      <c r="CR94" s="105" t="s">
        <v>705</v>
      </c>
      <c r="CS94" s="105" t="s">
        <v>198</v>
      </c>
      <c r="CT94" s="105" t="s">
        <v>705</v>
      </c>
      <c r="CU94" s="105" t="s">
        <v>816</v>
      </c>
      <c r="CV94" s="105" t="s">
        <v>198</v>
      </c>
      <c r="CW94" s="105" t="s">
        <v>198</v>
      </c>
      <c r="CX94" s="105" t="s">
        <v>705</v>
      </c>
      <c r="CY94" s="105" t="s">
        <v>712</v>
      </c>
      <c r="CZ94" s="105" t="s">
        <v>713</v>
      </c>
      <c r="DA94" s="105" t="s">
        <v>198</v>
      </c>
      <c r="DB94" s="105" t="s">
        <v>198</v>
      </c>
      <c r="DC94" s="105" t="s">
        <v>198</v>
      </c>
      <c r="DD94" s="105" t="s">
        <v>198</v>
      </c>
      <c r="DE94" s="105" t="s">
        <v>198</v>
      </c>
      <c r="DF94" s="105" t="s">
        <v>198</v>
      </c>
    </row>
    <row r="95" spans="2:110" x14ac:dyDescent="0.3">
      <c r="B95" s="104">
        <v>92</v>
      </c>
      <c r="C95" s="105"/>
      <c r="D95" s="105"/>
      <c r="E95" s="105" t="s">
        <v>198</v>
      </c>
      <c r="F95" s="105" t="s">
        <v>713</v>
      </c>
      <c r="G95" s="105" t="s">
        <v>198</v>
      </c>
      <c r="H95" s="105" t="s">
        <v>198</v>
      </c>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t="s">
        <v>815</v>
      </c>
      <c r="AI95" s="105"/>
      <c r="AJ95" s="105"/>
      <c r="AK95" s="105"/>
      <c r="AL95" s="105"/>
      <c r="AM95" s="105" t="s">
        <v>1410</v>
      </c>
      <c r="AN95" s="105" t="s">
        <v>1409</v>
      </c>
      <c r="AO95" s="105" t="s">
        <v>1411</v>
      </c>
      <c r="AP95" s="105" t="s">
        <v>198</v>
      </c>
      <c r="AQ95" s="105"/>
      <c r="AR95" s="105"/>
      <c r="AS95" s="105"/>
      <c r="AT95" s="105"/>
      <c r="AU95" s="105"/>
      <c r="AV95" s="105"/>
      <c r="AW95" s="105"/>
      <c r="AX95" s="105"/>
      <c r="AY95" s="105" t="s">
        <v>697</v>
      </c>
      <c r="AZ95" s="105"/>
      <c r="BA95" s="105"/>
      <c r="BB95" s="105"/>
      <c r="BC95" s="105"/>
      <c r="BD95" s="105"/>
      <c r="BE95" s="105"/>
      <c r="BF95" s="105"/>
      <c r="BG95" s="105"/>
      <c r="BH95" s="105"/>
      <c r="BI95" s="105" t="s">
        <v>198</v>
      </c>
      <c r="BJ95" s="105" t="s">
        <v>198</v>
      </c>
      <c r="BK95" s="105" t="s">
        <v>935</v>
      </c>
      <c r="BL95" s="105" t="s">
        <v>198</v>
      </c>
      <c r="BM95" s="105" t="s">
        <v>935</v>
      </c>
      <c r="BN95" s="105" t="s">
        <v>198</v>
      </c>
      <c r="BO95" s="105" t="s">
        <v>935</v>
      </c>
      <c r="BP95" s="105" t="s">
        <v>198</v>
      </c>
      <c r="BQ95" s="105" t="s">
        <v>935</v>
      </c>
      <c r="BR95" s="105" t="s">
        <v>198</v>
      </c>
      <c r="BS95" s="105" t="s">
        <v>935</v>
      </c>
      <c r="BT95" s="105" t="s">
        <v>198</v>
      </c>
      <c r="BU95" s="105" t="s">
        <v>198</v>
      </c>
      <c r="BV95" s="105" t="s">
        <v>198</v>
      </c>
      <c r="BW95" s="105" t="s">
        <v>935</v>
      </c>
      <c r="BX95" s="105" t="s">
        <v>198</v>
      </c>
      <c r="BY95" s="105" t="s">
        <v>198</v>
      </c>
      <c r="BZ95" s="105" t="s">
        <v>198</v>
      </c>
      <c r="CA95" s="105" t="s">
        <v>198</v>
      </c>
      <c r="CB95" s="105" t="s">
        <v>198</v>
      </c>
      <c r="CC95" s="105" t="s">
        <v>937</v>
      </c>
      <c r="CD95" s="105" t="s">
        <v>198</v>
      </c>
      <c r="CE95" s="105" t="s">
        <v>937</v>
      </c>
      <c r="CF95" s="105" t="s">
        <v>198</v>
      </c>
      <c r="CG95" s="105" t="s">
        <v>939</v>
      </c>
      <c r="CH95" s="105" t="s">
        <v>198</v>
      </c>
      <c r="CI95" s="105" t="s">
        <v>940</v>
      </c>
      <c r="CJ95" s="105" t="s">
        <v>198</v>
      </c>
      <c r="CK95" s="105" t="s">
        <v>198</v>
      </c>
      <c r="CL95" s="105" t="s">
        <v>198</v>
      </c>
      <c r="CM95" s="105" t="s">
        <v>198</v>
      </c>
      <c r="CN95" s="105" t="s">
        <v>198</v>
      </c>
      <c r="CO95" s="105" t="s">
        <v>198</v>
      </c>
      <c r="CP95" s="105" t="s">
        <v>198</v>
      </c>
      <c r="CQ95" s="105" t="s">
        <v>198</v>
      </c>
      <c r="CR95" s="105" t="s">
        <v>705</v>
      </c>
      <c r="CS95" s="105" t="s">
        <v>198</v>
      </c>
      <c r="CT95" s="105" t="s">
        <v>705</v>
      </c>
      <c r="CU95" s="105" t="s">
        <v>816</v>
      </c>
      <c r="CV95" s="105" t="s">
        <v>198</v>
      </c>
      <c r="CW95" s="105" t="s">
        <v>198</v>
      </c>
      <c r="CX95" s="105" t="s">
        <v>705</v>
      </c>
      <c r="CY95" s="105" t="s">
        <v>712</v>
      </c>
      <c r="CZ95" s="105" t="s">
        <v>713</v>
      </c>
      <c r="DA95" s="105" t="s">
        <v>198</v>
      </c>
      <c r="DB95" s="105" t="s">
        <v>198</v>
      </c>
      <c r="DC95" s="105" t="s">
        <v>198</v>
      </c>
      <c r="DD95" s="105" t="s">
        <v>198</v>
      </c>
      <c r="DE95" s="105" t="s">
        <v>198</v>
      </c>
      <c r="DF95" s="105" t="s">
        <v>198</v>
      </c>
    </row>
    <row r="96" spans="2:110" x14ac:dyDescent="0.3">
      <c r="B96" s="106">
        <v>93</v>
      </c>
      <c r="C96" s="105"/>
      <c r="D96" s="105"/>
      <c r="E96" s="105" t="s">
        <v>198</v>
      </c>
      <c r="F96" s="105" t="s">
        <v>860</v>
      </c>
      <c r="G96" s="105" t="s">
        <v>198</v>
      </c>
      <c r="H96" s="105" t="s">
        <v>198</v>
      </c>
      <c r="I96" s="105"/>
      <c r="J96" s="105"/>
      <c r="K96" s="105" t="s">
        <v>198</v>
      </c>
      <c r="L96" s="105" t="s">
        <v>868</v>
      </c>
      <c r="M96" s="105" t="s">
        <v>198</v>
      </c>
      <c r="N96" s="105" t="s">
        <v>873</v>
      </c>
      <c r="O96" s="105" t="s">
        <v>198</v>
      </c>
      <c r="P96" s="105" t="s">
        <v>860</v>
      </c>
      <c r="Q96" s="105" t="s">
        <v>198</v>
      </c>
      <c r="R96" s="105" t="s">
        <v>873</v>
      </c>
      <c r="S96" s="105" t="s">
        <v>198</v>
      </c>
      <c r="T96" s="105" t="s">
        <v>873</v>
      </c>
      <c r="U96" s="105" t="s">
        <v>198</v>
      </c>
      <c r="V96" s="105" t="s">
        <v>880</v>
      </c>
      <c r="W96" s="105" t="s">
        <v>198</v>
      </c>
      <c r="X96" s="105" t="s">
        <v>880</v>
      </c>
      <c r="Y96" s="105"/>
      <c r="Z96" s="105"/>
      <c r="AA96" s="105"/>
      <c r="AB96" s="105"/>
      <c r="AC96" s="105" t="s">
        <v>879</v>
      </c>
      <c r="AD96" s="105" t="s">
        <v>880</v>
      </c>
      <c r="AE96" s="105" t="s">
        <v>198</v>
      </c>
      <c r="AF96" s="105" t="s">
        <v>875</v>
      </c>
      <c r="AG96" s="105" t="s">
        <v>876</v>
      </c>
      <c r="AH96" s="105" t="s">
        <v>877</v>
      </c>
      <c r="AI96" s="105" t="s">
        <v>198</v>
      </c>
      <c r="AJ96" s="105" t="s">
        <v>880</v>
      </c>
      <c r="AK96" s="105" t="s">
        <v>198</v>
      </c>
      <c r="AL96" s="105" t="s">
        <v>198</v>
      </c>
      <c r="AM96" s="105" t="s">
        <v>198</v>
      </c>
      <c r="AN96" s="105" t="s">
        <v>880</v>
      </c>
      <c r="AO96" s="105" t="s">
        <v>198</v>
      </c>
      <c r="AP96" s="105" t="s">
        <v>880</v>
      </c>
      <c r="AQ96" s="105" t="s">
        <v>198</v>
      </c>
      <c r="AR96" s="105" t="s">
        <v>198</v>
      </c>
      <c r="AS96" s="105" t="s">
        <v>198</v>
      </c>
      <c r="AT96" s="105" t="s">
        <v>198</v>
      </c>
      <c r="AU96" s="105" t="s">
        <v>198</v>
      </c>
      <c r="AV96" s="105" t="s">
        <v>883</v>
      </c>
      <c r="AW96" s="105" t="s">
        <v>198</v>
      </c>
      <c r="AX96" s="105" t="s">
        <v>884</v>
      </c>
      <c r="AY96" s="105" t="s">
        <v>885</v>
      </c>
      <c r="AZ96" s="105" t="s">
        <v>883</v>
      </c>
      <c r="BA96" s="105" t="s">
        <v>887</v>
      </c>
      <c r="BB96" s="105" t="s">
        <v>883</v>
      </c>
      <c r="BC96" s="105" t="s">
        <v>198</v>
      </c>
      <c r="BD96" s="105" t="s">
        <v>883</v>
      </c>
      <c r="BE96" s="105" t="s">
        <v>198</v>
      </c>
      <c r="BF96" s="105" t="s">
        <v>883</v>
      </c>
      <c r="BG96" s="105" t="s">
        <v>886</v>
      </c>
      <c r="BH96" s="105" t="s">
        <v>883</v>
      </c>
      <c r="BI96" s="105"/>
      <c r="BJ96" s="105"/>
      <c r="BK96" s="105"/>
      <c r="BL96" s="105"/>
      <c r="BM96" s="105" t="s">
        <v>892</v>
      </c>
      <c r="BN96" s="105" t="s">
        <v>891</v>
      </c>
      <c r="BO96" s="105" t="s">
        <v>994</v>
      </c>
      <c r="BP96" s="105" t="s">
        <v>198</v>
      </c>
      <c r="BQ96" s="105" t="s">
        <v>995</v>
      </c>
      <c r="BR96" s="105" t="s">
        <v>198</v>
      </c>
      <c r="BS96" s="105" t="s">
        <v>892</v>
      </c>
      <c r="BT96" s="105" t="s">
        <v>893</v>
      </c>
      <c r="BU96" s="105" t="s">
        <v>198</v>
      </c>
      <c r="BV96" s="105" t="s">
        <v>898</v>
      </c>
      <c r="BW96" s="105" t="s">
        <v>996</v>
      </c>
      <c r="BX96" s="105" t="s">
        <v>198</v>
      </c>
      <c r="BY96" s="105" t="s">
        <v>198</v>
      </c>
      <c r="BZ96" s="105" t="s">
        <v>898</v>
      </c>
      <c r="CA96" s="105" t="s">
        <v>198</v>
      </c>
      <c r="CB96" s="105" t="s">
        <v>898</v>
      </c>
      <c r="CC96" s="105" t="s">
        <v>993</v>
      </c>
      <c r="CD96" s="105" t="s">
        <v>982</v>
      </c>
      <c r="CE96" s="105" t="s">
        <v>993</v>
      </c>
      <c r="CF96" s="105" t="s">
        <v>982</v>
      </c>
      <c r="CG96" s="105" t="s">
        <v>939</v>
      </c>
      <c r="CH96" s="105" t="s">
        <v>198</v>
      </c>
      <c r="CI96" s="105" t="s">
        <v>940</v>
      </c>
      <c r="CJ96" s="105" t="s">
        <v>198</v>
      </c>
      <c r="CK96" s="105" t="s">
        <v>894</v>
      </c>
      <c r="CL96" s="105" t="s">
        <v>893</v>
      </c>
      <c r="CM96" s="105" t="s">
        <v>198</v>
      </c>
      <c r="CN96" s="105" t="s">
        <v>198</v>
      </c>
      <c r="CO96" s="105" t="s">
        <v>900</v>
      </c>
      <c r="CP96" s="105" t="s">
        <v>899</v>
      </c>
      <c r="CQ96" s="105"/>
      <c r="CR96" s="105"/>
      <c r="CS96" s="105"/>
      <c r="CT96" s="105"/>
      <c r="CU96" s="105"/>
      <c r="CV96" s="105"/>
      <c r="CW96" s="105"/>
      <c r="CX96" s="105"/>
      <c r="CY96" s="105" t="s">
        <v>862</v>
      </c>
      <c r="CZ96" s="105" t="s">
        <v>860</v>
      </c>
      <c r="DA96" s="105"/>
      <c r="DB96" s="105"/>
      <c r="DC96" s="105"/>
      <c r="DD96" s="105"/>
      <c r="DE96" s="105"/>
      <c r="DF96" s="105"/>
    </row>
    <row r="97" spans="2:110" x14ac:dyDescent="0.3">
      <c r="B97" s="106">
        <v>94</v>
      </c>
      <c r="C97" s="105"/>
      <c r="D97" s="105"/>
      <c r="E97" s="105" t="s">
        <v>198</v>
      </c>
      <c r="F97" s="105" t="s">
        <v>860</v>
      </c>
      <c r="G97" s="105" t="s">
        <v>198</v>
      </c>
      <c r="H97" s="105" t="s">
        <v>198</v>
      </c>
      <c r="I97" s="105"/>
      <c r="J97" s="105"/>
      <c r="K97" s="105" t="s">
        <v>198</v>
      </c>
      <c r="L97" s="105" t="s">
        <v>868</v>
      </c>
      <c r="M97" s="105" t="s">
        <v>198</v>
      </c>
      <c r="N97" s="105" t="s">
        <v>873</v>
      </c>
      <c r="O97" s="105" t="s">
        <v>198</v>
      </c>
      <c r="P97" s="105" t="s">
        <v>860</v>
      </c>
      <c r="Q97" s="105" t="s">
        <v>198</v>
      </c>
      <c r="R97" s="105" t="s">
        <v>873</v>
      </c>
      <c r="S97" s="105" t="s">
        <v>198</v>
      </c>
      <c r="T97" s="105" t="s">
        <v>873</v>
      </c>
      <c r="U97" s="105" t="s">
        <v>198</v>
      </c>
      <c r="V97" s="105" t="s">
        <v>880</v>
      </c>
      <c r="W97" s="105" t="s">
        <v>198</v>
      </c>
      <c r="X97" s="105" t="s">
        <v>880</v>
      </c>
      <c r="Y97" s="105"/>
      <c r="Z97" s="105"/>
      <c r="AA97" s="105"/>
      <c r="AB97" s="105"/>
      <c r="AC97" s="105" t="s">
        <v>879</v>
      </c>
      <c r="AD97" s="105" t="s">
        <v>880</v>
      </c>
      <c r="AE97" s="105" t="s">
        <v>198</v>
      </c>
      <c r="AF97" s="105" t="s">
        <v>875</v>
      </c>
      <c r="AG97" s="105" t="s">
        <v>876</v>
      </c>
      <c r="AH97" s="105" t="s">
        <v>877</v>
      </c>
      <c r="AI97" s="105" t="s">
        <v>198</v>
      </c>
      <c r="AJ97" s="105" t="s">
        <v>880</v>
      </c>
      <c r="AK97" s="105" t="s">
        <v>198</v>
      </c>
      <c r="AL97" s="105" t="s">
        <v>198</v>
      </c>
      <c r="AM97" s="105" t="s">
        <v>198</v>
      </c>
      <c r="AN97" s="105" t="s">
        <v>880</v>
      </c>
      <c r="AO97" s="105" t="s">
        <v>198</v>
      </c>
      <c r="AP97" s="105" t="s">
        <v>880</v>
      </c>
      <c r="AQ97" s="105" t="s">
        <v>198</v>
      </c>
      <c r="AR97" s="105" t="s">
        <v>198</v>
      </c>
      <c r="AS97" s="105" t="s">
        <v>198</v>
      </c>
      <c r="AT97" s="105" t="s">
        <v>198</v>
      </c>
      <c r="AU97" s="105" t="s">
        <v>198</v>
      </c>
      <c r="AV97" s="105" t="s">
        <v>883</v>
      </c>
      <c r="AW97" s="105" t="s">
        <v>198</v>
      </c>
      <c r="AX97" s="105" t="s">
        <v>884</v>
      </c>
      <c r="AY97" s="105" t="s">
        <v>885</v>
      </c>
      <c r="AZ97" s="105" t="s">
        <v>883</v>
      </c>
      <c r="BA97" s="105" t="s">
        <v>887</v>
      </c>
      <c r="BB97" s="105" t="s">
        <v>883</v>
      </c>
      <c r="BC97" s="105" t="s">
        <v>198</v>
      </c>
      <c r="BD97" s="105" t="s">
        <v>883</v>
      </c>
      <c r="BE97" s="105" t="s">
        <v>198</v>
      </c>
      <c r="BF97" s="105" t="s">
        <v>883</v>
      </c>
      <c r="BG97" s="105" t="s">
        <v>886</v>
      </c>
      <c r="BH97" s="105" t="s">
        <v>883</v>
      </c>
      <c r="BI97" s="105"/>
      <c r="BJ97" s="105"/>
      <c r="BK97" s="105"/>
      <c r="BL97" s="105"/>
      <c r="BM97" s="105" t="s">
        <v>892</v>
      </c>
      <c r="BN97" s="105" t="s">
        <v>891</v>
      </c>
      <c r="BO97" s="105" t="s">
        <v>994</v>
      </c>
      <c r="BP97" s="105" t="s">
        <v>198</v>
      </c>
      <c r="BQ97" s="105" t="s">
        <v>995</v>
      </c>
      <c r="BR97" s="105" t="s">
        <v>198</v>
      </c>
      <c r="BS97" s="105" t="s">
        <v>892</v>
      </c>
      <c r="BT97" s="105" t="s">
        <v>893</v>
      </c>
      <c r="BU97" s="105" t="s">
        <v>198</v>
      </c>
      <c r="BV97" s="105" t="s">
        <v>898</v>
      </c>
      <c r="BW97" s="105" t="s">
        <v>996</v>
      </c>
      <c r="BX97" s="105" t="s">
        <v>198</v>
      </c>
      <c r="BY97" s="105" t="s">
        <v>198</v>
      </c>
      <c r="BZ97" s="105" t="s">
        <v>898</v>
      </c>
      <c r="CA97" s="105" t="s">
        <v>198</v>
      </c>
      <c r="CB97" s="105" t="s">
        <v>898</v>
      </c>
      <c r="CC97" s="105" t="s">
        <v>993</v>
      </c>
      <c r="CD97" s="105" t="s">
        <v>983</v>
      </c>
      <c r="CE97" s="105" t="s">
        <v>993</v>
      </c>
      <c r="CF97" s="105" t="s">
        <v>983</v>
      </c>
      <c r="CG97" s="105" t="s">
        <v>939</v>
      </c>
      <c r="CH97" s="105" t="s">
        <v>198</v>
      </c>
      <c r="CI97" s="105" t="s">
        <v>940</v>
      </c>
      <c r="CJ97" s="105" t="s">
        <v>198</v>
      </c>
      <c r="CK97" s="105" t="s">
        <v>894</v>
      </c>
      <c r="CL97" s="105" t="s">
        <v>893</v>
      </c>
      <c r="CM97" s="105" t="s">
        <v>198</v>
      </c>
      <c r="CN97" s="105" t="s">
        <v>198</v>
      </c>
      <c r="CO97" s="105" t="s">
        <v>900</v>
      </c>
      <c r="CP97" s="105" t="s">
        <v>899</v>
      </c>
      <c r="CQ97" s="105"/>
      <c r="CR97" s="105"/>
      <c r="CS97" s="105"/>
      <c r="CT97" s="105"/>
      <c r="CU97" s="105"/>
      <c r="CV97" s="105"/>
      <c r="CW97" s="105"/>
      <c r="CX97" s="105"/>
      <c r="CY97" s="105" t="s">
        <v>862</v>
      </c>
      <c r="CZ97" s="105" t="s">
        <v>860</v>
      </c>
      <c r="DA97" s="105"/>
      <c r="DB97" s="105"/>
      <c r="DC97" s="105"/>
      <c r="DD97" s="105"/>
      <c r="DE97" s="105"/>
      <c r="DF97" s="105"/>
    </row>
    <row r="98" spans="2:110" x14ac:dyDescent="0.3">
      <c r="B98" s="106">
        <v>95</v>
      </c>
      <c r="C98" s="105"/>
      <c r="D98" s="105"/>
      <c r="E98" s="105" t="s">
        <v>198</v>
      </c>
      <c r="F98" s="105" t="s">
        <v>860</v>
      </c>
      <c r="G98" s="105" t="s">
        <v>198</v>
      </c>
      <c r="H98" s="105" t="s">
        <v>198</v>
      </c>
      <c r="I98" s="105"/>
      <c r="J98" s="105"/>
      <c r="K98" s="105" t="s">
        <v>198</v>
      </c>
      <c r="L98" s="105" t="s">
        <v>868</v>
      </c>
      <c r="M98" s="105" t="s">
        <v>198</v>
      </c>
      <c r="N98" s="105" t="s">
        <v>873</v>
      </c>
      <c r="O98" s="105" t="s">
        <v>198</v>
      </c>
      <c r="P98" s="105" t="s">
        <v>860</v>
      </c>
      <c r="Q98" s="105" t="s">
        <v>198</v>
      </c>
      <c r="R98" s="105" t="s">
        <v>873</v>
      </c>
      <c r="S98" s="105" t="s">
        <v>198</v>
      </c>
      <c r="T98" s="105" t="s">
        <v>873</v>
      </c>
      <c r="U98" s="105" t="s">
        <v>198</v>
      </c>
      <c r="V98" s="105" t="s">
        <v>880</v>
      </c>
      <c r="W98" s="105" t="s">
        <v>198</v>
      </c>
      <c r="X98" s="105" t="s">
        <v>880</v>
      </c>
      <c r="Y98" s="105"/>
      <c r="Z98" s="105"/>
      <c r="AA98" s="105"/>
      <c r="AB98" s="105"/>
      <c r="AC98" s="105" t="s">
        <v>879</v>
      </c>
      <c r="AD98" s="105" t="s">
        <v>880</v>
      </c>
      <c r="AE98" s="105" t="s">
        <v>198</v>
      </c>
      <c r="AF98" s="105" t="s">
        <v>875</v>
      </c>
      <c r="AG98" s="105" t="s">
        <v>876</v>
      </c>
      <c r="AH98" s="105" t="s">
        <v>877</v>
      </c>
      <c r="AI98" s="105" t="s">
        <v>198</v>
      </c>
      <c r="AJ98" s="105" t="s">
        <v>880</v>
      </c>
      <c r="AK98" s="105" t="s">
        <v>198</v>
      </c>
      <c r="AL98" s="105" t="s">
        <v>198</v>
      </c>
      <c r="AM98" s="105" t="s">
        <v>198</v>
      </c>
      <c r="AN98" s="105" t="s">
        <v>880</v>
      </c>
      <c r="AO98" s="105" t="s">
        <v>198</v>
      </c>
      <c r="AP98" s="105" t="s">
        <v>880</v>
      </c>
      <c r="AQ98" s="105" t="s">
        <v>198</v>
      </c>
      <c r="AR98" s="105" t="s">
        <v>198</v>
      </c>
      <c r="AS98" s="105" t="s">
        <v>198</v>
      </c>
      <c r="AT98" s="105" t="s">
        <v>198</v>
      </c>
      <c r="AU98" s="105" t="s">
        <v>198</v>
      </c>
      <c r="AV98" s="105" t="s">
        <v>883</v>
      </c>
      <c r="AW98" s="105" t="s">
        <v>198</v>
      </c>
      <c r="AX98" s="105" t="s">
        <v>884</v>
      </c>
      <c r="AY98" s="105" t="s">
        <v>885</v>
      </c>
      <c r="AZ98" s="105" t="s">
        <v>883</v>
      </c>
      <c r="BA98" s="105" t="s">
        <v>887</v>
      </c>
      <c r="BB98" s="105" t="s">
        <v>883</v>
      </c>
      <c r="BC98" s="105" t="s">
        <v>198</v>
      </c>
      <c r="BD98" s="105" t="s">
        <v>883</v>
      </c>
      <c r="BE98" s="105" t="s">
        <v>198</v>
      </c>
      <c r="BF98" s="105" t="s">
        <v>883</v>
      </c>
      <c r="BG98" s="105" t="s">
        <v>886</v>
      </c>
      <c r="BH98" s="105" t="s">
        <v>883</v>
      </c>
      <c r="BI98" s="105"/>
      <c r="BJ98" s="105"/>
      <c r="BK98" s="105"/>
      <c r="BL98" s="105"/>
      <c r="BM98" s="105" t="s">
        <v>892</v>
      </c>
      <c r="BN98" s="105" t="s">
        <v>891</v>
      </c>
      <c r="BO98" s="105" t="s">
        <v>994</v>
      </c>
      <c r="BP98" s="105" t="s">
        <v>198</v>
      </c>
      <c r="BQ98" s="105" t="s">
        <v>995</v>
      </c>
      <c r="BR98" s="105" t="s">
        <v>198</v>
      </c>
      <c r="BS98" s="105" t="s">
        <v>892</v>
      </c>
      <c r="BT98" s="105" t="s">
        <v>893</v>
      </c>
      <c r="BU98" s="105" t="s">
        <v>198</v>
      </c>
      <c r="BV98" s="105" t="s">
        <v>898</v>
      </c>
      <c r="BW98" s="105" t="s">
        <v>996</v>
      </c>
      <c r="BX98" s="105" t="s">
        <v>198</v>
      </c>
      <c r="BY98" s="105" t="s">
        <v>198</v>
      </c>
      <c r="BZ98" s="105" t="s">
        <v>898</v>
      </c>
      <c r="CA98" s="105" t="s">
        <v>198</v>
      </c>
      <c r="CB98" s="105" t="s">
        <v>898</v>
      </c>
      <c r="CC98" s="105" t="s">
        <v>993</v>
      </c>
      <c r="CD98" s="105" t="s">
        <v>984</v>
      </c>
      <c r="CE98" s="105" t="s">
        <v>993</v>
      </c>
      <c r="CF98" s="105" t="s">
        <v>984</v>
      </c>
      <c r="CG98" s="105" t="s">
        <v>939</v>
      </c>
      <c r="CH98" s="105" t="s">
        <v>198</v>
      </c>
      <c r="CI98" s="105" t="s">
        <v>940</v>
      </c>
      <c r="CJ98" s="105" t="s">
        <v>198</v>
      </c>
      <c r="CK98" s="105" t="s">
        <v>894</v>
      </c>
      <c r="CL98" s="105" t="s">
        <v>893</v>
      </c>
      <c r="CM98" s="105" t="s">
        <v>198</v>
      </c>
      <c r="CN98" s="105" t="s">
        <v>198</v>
      </c>
      <c r="CO98" s="105" t="s">
        <v>900</v>
      </c>
      <c r="CP98" s="105" t="s">
        <v>899</v>
      </c>
      <c r="CQ98" s="105"/>
      <c r="CR98" s="105"/>
      <c r="CS98" s="105"/>
      <c r="CT98" s="105"/>
      <c r="CU98" s="105"/>
      <c r="CV98" s="105"/>
      <c r="CW98" s="105"/>
      <c r="CX98" s="105"/>
      <c r="CY98" s="105" t="s">
        <v>862</v>
      </c>
      <c r="CZ98" s="105" t="s">
        <v>860</v>
      </c>
      <c r="DA98" s="105"/>
      <c r="DB98" s="105"/>
      <c r="DC98" s="105"/>
      <c r="DD98" s="105"/>
      <c r="DE98" s="105"/>
      <c r="DF98" s="105"/>
    </row>
    <row r="99" spans="2:110" x14ac:dyDescent="0.3">
      <c r="B99" s="106">
        <v>96</v>
      </c>
      <c r="C99" s="105"/>
      <c r="D99" s="105"/>
      <c r="E99" s="105" t="s">
        <v>198</v>
      </c>
      <c r="F99" s="105" t="s">
        <v>860</v>
      </c>
      <c r="G99" s="105" t="s">
        <v>198</v>
      </c>
      <c r="H99" s="105" t="s">
        <v>198</v>
      </c>
      <c r="I99" s="105"/>
      <c r="J99" s="105"/>
      <c r="K99" s="105" t="s">
        <v>198</v>
      </c>
      <c r="L99" s="105" t="s">
        <v>868</v>
      </c>
      <c r="M99" s="105" t="s">
        <v>198</v>
      </c>
      <c r="N99" s="105" t="s">
        <v>873</v>
      </c>
      <c r="O99" s="105" t="s">
        <v>198</v>
      </c>
      <c r="P99" s="105" t="s">
        <v>860</v>
      </c>
      <c r="Q99" s="105" t="s">
        <v>198</v>
      </c>
      <c r="R99" s="105" t="s">
        <v>873</v>
      </c>
      <c r="S99" s="105" t="s">
        <v>198</v>
      </c>
      <c r="T99" s="105" t="s">
        <v>873</v>
      </c>
      <c r="U99" s="105" t="s">
        <v>198</v>
      </c>
      <c r="V99" s="105" t="s">
        <v>880</v>
      </c>
      <c r="W99" s="105" t="s">
        <v>198</v>
      </c>
      <c r="X99" s="105" t="s">
        <v>880</v>
      </c>
      <c r="Y99" s="105"/>
      <c r="Z99" s="105"/>
      <c r="AA99" s="105"/>
      <c r="AB99" s="105"/>
      <c r="AC99" s="105" t="s">
        <v>879</v>
      </c>
      <c r="AD99" s="105" t="s">
        <v>880</v>
      </c>
      <c r="AE99" s="105" t="s">
        <v>198</v>
      </c>
      <c r="AF99" s="105" t="s">
        <v>875</v>
      </c>
      <c r="AG99" s="105" t="s">
        <v>876</v>
      </c>
      <c r="AH99" s="105" t="s">
        <v>877</v>
      </c>
      <c r="AI99" s="105" t="s">
        <v>198</v>
      </c>
      <c r="AJ99" s="105" t="s">
        <v>880</v>
      </c>
      <c r="AK99" s="105" t="s">
        <v>198</v>
      </c>
      <c r="AL99" s="105" t="s">
        <v>198</v>
      </c>
      <c r="AM99" s="105" t="s">
        <v>198</v>
      </c>
      <c r="AN99" s="105" t="s">
        <v>880</v>
      </c>
      <c r="AO99" s="105" t="s">
        <v>198</v>
      </c>
      <c r="AP99" s="105" t="s">
        <v>880</v>
      </c>
      <c r="AQ99" s="105" t="s">
        <v>198</v>
      </c>
      <c r="AR99" s="105" t="s">
        <v>198</v>
      </c>
      <c r="AS99" s="105" t="s">
        <v>198</v>
      </c>
      <c r="AT99" s="105" t="s">
        <v>198</v>
      </c>
      <c r="AU99" s="105" t="s">
        <v>198</v>
      </c>
      <c r="AV99" s="105" t="s">
        <v>883</v>
      </c>
      <c r="AW99" s="105" t="s">
        <v>198</v>
      </c>
      <c r="AX99" s="105" t="s">
        <v>884</v>
      </c>
      <c r="AY99" s="105" t="s">
        <v>885</v>
      </c>
      <c r="AZ99" s="105" t="s">
        <v>883</v>
      </c>
      <c r="BA99" s="105" t="s">
        <v>887</v>
      </c>
      <c r="BB99" s="105" t="s">
        <v>883</v>
      </c>
      <c r="BC99" s="105" t="s">
        <v>198</v>
      </c>
      <c r="BD99" s="105" t="s">
        <v>883</v>
      </c>
      <c r="BE99" s="105" t="s">
        <v>198</v>
      </c>
      <c r="BF99" s="105" t="s">
        <v>883</v>
      </c>
      <c r="BG99" s="105" t="s">
        <v>886</v>
      </c>
      <c r="BH99" s="105" t="s">
        <v>883</v>
      </c>
      <c r="BI99" s="105"/>
      <c r="BJ99" s="105"/>
      <c r="BK99" s="105"/>
      <c r="BL99" s="105"/>
      <c r="BM99" s="105" t="s">
        <v>892</v>
      </c>
      <c r="BN99" s="105" t="s">
        <v>891</v>
      </c>
      <c r="BO99" s="105" t="s">
        <v>994</v>
      </c>
      <c r="BP99" s="105" t="s">
        <v>198</v>
      </c>
      <c r="BQ99" s="105" t="s">
        <v>995</v>
      </c>
      <c r="BR99" s="105" t="s">
        <v>198</v>
      </c>
      <c r="BS99" s="105" t="s">
        <v>892</v>
      </c>
      <c r="BT99" s="105" t="s">
        <v>893</v>
      </c>
      <c r="BU99" s="105" t="s">
        <v>198</v>
      </c>
      <c r="BV99" s="105" t="s">
        <v>898</v>
      </c>
      <c r="BW99" s="105" t="s">
        <v>996</v>
      </c>
      <c r="BX99" s="105" t="s">
        <v>198</v>
      </c>
      <c r="BY99" s="105" t="s">
        <v>198</v>
      </c>
      <c r="BZ99" s="105" t="s">
        <v>898</v>
      </c>
      <c r="CA99" s="105" t="s">
        <v>198</v>
      </c>
      <c r="CB99" s="105" t="s">
        <v>898</v>
      </c>
      <c r="CC99" s="105" t="s">
        <v>993</v>
      </c>
      <c r="CD99" s="105" t="s">
        <v>985</v>
      </c>
      <c r="CE99" s="105" t="s">
        <v>993</v>
      </c>
      <c r="CF99" s="105" t="s">
        <v>985</v>
      </c>
      <c r="CG99" s="105" t="s">
        <v>939</v>
      </c>
      <c r="CH99" s="105" t="s">
        <v>198</v>
      </c>
      <c r="CI99" s="105" t="s">
        <v>940</v>
      </c>
      <c r="CJ99" s="105" t="s">
        <v>198</v>
      </c>
      <c r="CK99" s="105" t="s">
        <v>894</v>
      </c>
      <c r="CL99" s="105" t="s">
        <v>893</v>
      </c>
      <c r="CM99" s="105" t="s">
        <v>198</v>
      </c>
      <c r="CN99" s="105" t="s">
        <v>198</v>
      </c>
      <c r="CO99" s="105" t="s">
        <v>900</v>
      </c>
      <c r="CP99" s="105" t="s">
        <v>899</v>
      </c>
      <c r="CQ99" s="105"/>
      <c r="CR99" s="105"/>
      <c r="CS99" s="105"/>
      <c r="CT99" s="105"/>
      <c r="CU99" s="105"/>
      <c r="CV99" s="105"/>
      <c r="CW99" s="105"/>
      <c r="CX99" s="105"/>
      <c r="CY99" s="105" t="s">
        <v>862</v>
      </c>
      <c r="CZ99" s="105" t="s">
        <v>860</v>
      </c>
      <c r="DA99" s="105"/>
      <c r="DB99" s="105"/>
      <c r="DC99" s="105"/>
      <c r="DD99" s="105"/>
      <c r="DE99" s="105"/>
      <c r="DF99" s="105"/>
    </row>
    <row r="100" spans="2:110" x14ac:dyDescent="0.3">
      <c r="B100" s="106">
        <v>97</v>
      </c>
      <c r="C100" s="105"/>
      <c r="D100" s="105"/>
      <c r="E100" s="105" t="s">
        <v>198</v>
      </c>
      <c r="F100" s="105" t="s">
        <v>860</v>
      </c>
      <c r="G100" s="105" t="s">
        <v>198</v>
      </c>
      <c r="H100" s="105" t="s">
        <v>198</v>
      </c>
      <c r="I100" s="105"/>
      <c r="J100" s="105"/>
      <c r="K100" s="105" t="s">
        <v>198</v>
      </c>
      <c r="L100" s="105" t="s">
        <v>868</v>
      </c>
      <c r="M100" s="105" t="s">
        <v>198</v>
      </c>
      <c r="N100" s="105" t="s">
        <v>873</v>
      </c>
      <c r="O100" s="105" t="s">
        <v>198</v>
      </c>
      <c r="P100" s="105" t="s">
        <v>860</v>
      </c>
      <c r="Q100" s="105" t="s">
        <v>198</v>
      </c>
      <c r="R100" s="105" t="s">
        <v>873</v>
      </c>
      <c r="S100" s="105" t="s">
        <v>198</v>
      </c>
      <c r="T100" s="105" t="s">
        <v>873</v>
      </c>
      <c r="U100" s="105" t="s">
        <v>198</v>
      </c>
      <c r="V100" s="105" t="s">
        <v>880</v>
      </c>
      <c r="W100" s="105" t="s">
        <v>198</v>
      </c>
      <c r="X100" s="105" t="s">
        <v>880</v>
      </c>
      <c r="Y100" s="105"/>
      <c r="Z100" s="105"/>
      <c r="AA100" s="105"/>
      <c r="AB100" s="105"/>
      <c r="AC100" s="105" t="s">
        <v>879</v>
      </c>
      <c r="AD100" s="105" t="s">
        <v>880</v>
      </c>
      <c r="AE100" s="105" t="s">
        <v>198</v>
      </c>
      <c r="AF100" s="105" t="s">
        <v>875</v>
      </c>
      <c r="AG100" s="105" t="s">
        <v>876</v>
      </c>
      <c r="AH100" s="105" t="s">
        <v>877</v>
      </c>
      <c r="AI100" s="105" t="s">
        <v>198</v>
      </c>
      <c r="AJ100" s="105" t="s">
        <v>880</v>
      </c>
      <c r="AK100" s="105" t="s">
        <v>198</v>
      </c>
      <c r="AL100" s="105" t="s">
        <v>198</v>
      </c>
      <c r="AM100" s="105" t="s">
        <v>198</v>
      </c>
      <c r="AN100" s="105" t="s">
        <v>880</v>
      </c>
      <c r="AO100" s="105" t="s">
        <v>198</v>
      </c>
      <c r="AP100" s="105" t="s">
        <v>880</v>
      </c>
      <c r="AQ100" s="105" t="s">
        <v>198</v>
      </c>
      <c r="AR100" s="105" t="s">
        <v>198</v>
      </c>
      <c r="AS100" s="105" t="s">
        <v>198</v>
      </c>
      <c r="AT100" s="105" t="s">
        <v>198</v>
      </c>
      <c r="AU100" s="105" t="s">
        <v>198</v>
      </c>
      <c r="AV100" s="105" t="s">
        <v>883</v>
      </c>
      <c r="AW100" s="105" t="s">
        <v>198</v>
      </c>
      <c r="AX100" s="105" t="s">
        <v>884</v>
      </c>
      <c r="AY100" s="105" t="s">
        <v>885</v>
      </c>
      <c r="AZ100" s="105" t="s">
        <v>883</v>
      </c>
      <c r="BA100" s="105" t="s">
        <v>887</v>
      </c>
      <c r="BB100" s="105" t="s">
        <v>883</v>
      </c>
      <c r="BC100" s="105" t="s">
        <v>198</v>
      </c>
      <c r="BD100" s="105" t="s">
        <v>883</v>
      </c>
      <c r="BE100" s="105" t="s">
        <v>198</v>
      </c>
      <c r="BF100" s="105" t="s">
        <v>883</v>
      </c>
      <c r="BG100" s="105" t="s">
        <v>886</v>
      </c>
      <c r="BH100" s="105" t="s">
        <v>883</v>
      </c>
      <c r="BI100" s="105"/>
      <c r="BJ100" s="105"/>
      <c r="BK100" s="105"/>
      <c r="BL100" s="105"/>
      <c r="BM100" s="105" t="s">
        <v>892</v>
      </c>
      <c r="BN100" s="105" t="s">
        <v>891</v>
      </c>
      <c r="BO100" s="105" t="s">
        <v>994</v>
      </c>
      <c r="BP100" s="105" t="s">
        <v>198</v>
      </c>
      <c r="BQ100" s="105" t="s">
        <v>995</v>
      </c>
      <c r="BR100" s="105" t="s">
        <v>198</v>
      </c>
      <c r="BS100" s="105" t="s">
        <v>892</v>
      </c>
      <c r="BT100" s="105" t="s">
        <v>893</v>
      </c>
      <c r="BU100" s="105" t="s">
        <v>198</v>
      </c>
      <c r="BV100" s="105" t="s">
        <v>898</v>
      </c>
      <c r="BW100" s="105" t="s">
        <v>996</v>
      </c>
      <c r="BX100" s="105" t="s">
        <v>198</v>
      </c>
      <c r="BY100" s="105" t="s">
        <v>198</v>
      </c>
      <c r="BZ100" s="105" t="s">
        <v>898</v>
      </c>
      <c r="CA100" s="105" t="s">
        <v>198</v>
      </c>
      <c r="CB100" s="105" t="s">
        <v>898</v>
      </c>
      <c r="CC100" s="105" t="s">
        <v>993</v>
      </c>
      <c r="CD100" s="105" t="s">
        <v>986</v>
      </c>
      <c r="CE100" s="105" t="s">
        <v>993</v>
      </c>
      <c r="CF100" s="105" t="s">
        <v>986</v>
      </c>
      <c r="CG100" s="105" t="s">
        <v>939</v>
      </c>
      <c r="CH100" s="105" t="s">
        <v>198</v>
      </c>
      <c r="CI100" s="105" t="s">
        <v>940</v>
      </c>
      <c r="CJ100" s="105" t="s">
        <v>198</v>
      </c>
      <c r="CK100" s="105" t="s">
        <v>894</v>
      </c>
      <c r="CL100" s="105" t="s">
        <v>893</v>
      </c>
      <c r="CM100" s="105" t="s">
        <v>198</v>
      </c>
      <c r="CN100" s="105" t="s">
        <v>198</v>
      </c>
      <c r="CO100" s="105" t="s">
        <v>900</v>
      </c>
      <c r="CP100" s="105" t="s">
        <v>899</v>
      </c>
      <c r="CQ100" s="105"/>
      <c r="CR100" s="105"/>
      <c r="CS100" s="105"/>
      <c r="CT100" s="105"/>
      <c r="CU100" s="105"/>
      <c r="CV100" s="105"/>
      <c r="CW100" s="105"/>
      <c r="CX100" s="105"/>
      <c r="CY100" s="105" t="s">
        <v>862</v>
      </c>
      <c r="CZ100" s="105" t="s">
        <v>860</v>
      </c>
      <c r="DA100" s="105"/>
      <c r="DB100" s="105"/>
      <c r="DC100" s="105"/>
      <c r="DD100" s="105"/>
      <c r="DE100" s="105"/>
      <c r="DF100" s="105"/>
    </row>
    <row r="101" spans="2:110" x14ac:dyDescent="0.3">
      <c r="B101" s="106">
        <v>98</v>
      </c>
      <c r="C101" s="105"/>
      <c r="D101" s="105"/>
      <c r="E101" s="105" t="s">
        <v>198</v>
      </c>
      <c r="F101" s="105" t="s">
        <v>860</v>
      </c>
      <c r="G101" s="105" t="s">
        <v>198</v>
      </c>
      <c r="H101" s="105" t="s">
        <v>198</v>
      </c>
      <c r="I101" s="105"/>
      <c r="J101" s="105"/>
      <c r="K101" s="105" t="s">
        <v>198</v>
      </c>
      <c r="L101" s="105" t="s">
        <v>868</v>
      </c>
      <c r="M101" s="105" t="s">
        <v>198</v>
      </c>
      <c r="N101" s="105" t="s">
        <v>873</v>
      </c>
      <c r="O101" s="105" t="s">
        <v>198</v>
      </c>
      <c r="P101" s="105" t="s">
        <v>860</v>
      </c>
      <c r="Q101" s="105" t="s">
        <v>198</v>
      </c>
      <c r="R101" s="105" t="s">
        <v>873</v>
      </c>
      <c r="S101" s="105" t="s">
        <v>198</v>
      </c>
      <c r="T101" s="105" t="s">
        <v>873</v>
      </c>
      <c r="U101" s="105" t="s">
        <v>198</v>
      </c>
      <c r="V101" s="105" t="s">
        <v>880</v>
      </c>
      <c r="W101" s="105" t="s">
        <v>198</v>
      </c>
      <c r="X101" s="105" t="s">
        <v>880</v>
      </c>
      <c r="Y101" s="105"/>
      <c r="Z101" s="105"/>
      <c r="AA101" s="105"/>
      <c r="AB101" s="105"/>
      <c r="AC101" s="105" t="s">
        <v>879</v>
      </c>
      <c r="AD101" s="105" t="s">
        <v>880</v>
      </c>
      <c r="AE101" s="105" t="s">
        <v>198</v>
      </c>
      <c r="AF101" s="105" t="s">
        <v>875</v>
      </c>
      <c r="AG101" s="105" t="s">
        <v>876</v>
      </c>
      <c r="AH101" s="105" t="s">
        <v>877</v>
      </c>
      <c r="AI101" s="105" t="s">
        <v>198</v>
      </c>
      <c r="AJ101" s="105" t="s">
        <v>880</v>
      </c>
      <c r="AK101" s="105" t="s">
        <v>198</v>
      </c>
      <c r="AL101" s="105" t="s">
        <v>198</v>
      </c>
      <c r="AM101" s="105" t="s">
        <v>198</v>
      </c>
      <c r="AN101" s="105" t="s">
        <v>880</v>
      </c>
      <c r="AO101" s="105" t="s">
        <v>198</v>
      </c>
      <c r="AP101" s="105" t="s">
        <v>880</v>
      </c>
      <c r="AQ101" s="105" t="s">
        <v>198</v>
      </c>
      <c r="AR101" s="105" t="s">
        <v>198</v>
      </c>
      <c r="AS101" s="105" t="s">
        <v>198</v>
      </c>
      <c r="AT101" s="105" t="s">
        <v>198</v>
      </c>
      <c r="AU101" s="105" t="s">
        <v>198</v>
      </c>
      <c r="AV101" s="105" t="s">
        <v>883</v>
      </c>
      <c r="AW101" s="105" t="s">
        <v>198</v>
      </c>
      <c r="AX101" s="105" t="s">
        <v>884</v>
      </c>
      <c r="AY101" s="105" t="s">
        <v>885</v>
      </c>
      <c r="AZ101" s="105" t="s">
        <v>883</v>
      </c>
      <c r="BA101" s="105" t="s">
        <v>887</v>
      </c>
      <c r="BB101" s="105" t="s">
        <v>883</v>
      </c>
      <c r="BC101" s="105" t="s">
        <v>198</v>
      </c>
      <c r="BD101" s="105" t="s">
        <v>883</v>
      </c>
      <c r="BE101" s="105" t="s">
        <v>198</v>
      </c>
      <c r="BF101" s="105" t="s">
        <v>883</v>
      </c>
      <c r="BG101" s="105" t="s">
        <v>886</v>
      </c>
      <c r="BH101" s="105" t="s">
        <v>883</v>
      </c>
      <c r="BI101" s="105"/>
      <c r="BJ101" s="105"/>
      <c r="BK101" s="105"/>
      <c r="BL101" s="105"/>
      <c r="BM101" s="105" t="s">
        <v>892</v>
      </c>
      <c r="BN101" s="105" t="s">
        <v>891</v>
      </c>
      <c r="BO101" s="105" t="s">
        <v>994</v>
      </c>
      <c r="BP101" s="105" t="s">
        <v>198</v>
      </c>
      <c r="BQ101" s="105" t="s">
        <v>995</v>
      </c>
      <c r="BR101" s="105" t="s">
        <v>198</v>
      </c>
      <c r="BS101" s="105" t="s">
        <v>892</v>
      </c>
      <c r="BT101" s="105" t="s">
        <v>893</v>
      </c>
      <c r="BU101" s="105" t="s">
        <v>198</v>
      </c>
      <c r="BV101" s="105" t="s">
        <v>898</v>
      </c>
      <c r="BW101" s="105" t="s">
        <v>996</v>
      </c>
      <c r="BX101" s="105" t="s">
        <v>198</v>
      </c>
      <c r="BY101" s="105" t="s">
        <v>198</v>
      </c>
      <c r="BZ101" s="105" t="s">
        <v>898</v>
      </c>
      <c r="CA101" s="105" t="s">
        <v>198</v>
      </c>
      <c r="CB101" s="105" t="s">
        <v>898</v>
      </c>
      <c r="CC101" s="105" t="s">
        <v>993</v>
      </c>
      <c r="CD101" s="105" t="s">
        <v>987</v>
      </c>
      <c r="CE101" s="105" t="s">
        <v>993</v>
      </c>
      <c r="CF101" s="105" t="s">
        <v>987</v>
      </c>
      <c r="CG101" s="105" t="s">
        <v>939</v>
      </c>
      <c r="CH101" s="105" t="s">
        <v>198</v>
      </c>
      <c r="CI101" s="105" t="s">
        <v>940</v>
      </c>
      <c r="CJ101" s="105" t="s">
        <v>198</v>
      </c>
      <c r="CK101" s="105" t="s">
        <v>894</v>
      </c>
      <c r="CL101" s="105" t="s">
        <v>893</v>
      </c>
      <c r="CM101" s="105" t="s">
        <v>198</v>
      </c>
      <c r="CN101" s="105" t="s">
        <v>198</v>
      </c>
      <c r="CO101" s="105" t="s">
        <v>900</v>
      </c>
      <c r="CP101" s="105" t="s">
        <v>899</v>
      </c>
      <c r="CQ101" s="105"/>
      <c r="CR101" s="105"/>
      <c r="CS101" s="105"/>
      <c r="CT101" s="105"/>
      <c r="CU101" s="105"/>
      <c r="CV101" s="105"/>
      <c r="CW101" s="105"/>
      <c r="CX101" s="105"/>
      <c r="CY101" s="105" t="s">
        <v>862</v>
      </c>
      <c r="CZ101" s="105" t="s">
        <v>860</v>
      </c>
      <c r="DA101" s="105"/>
      <c r="DB101" s="105"/>
      <c r="DC101" s="105"/>
      <c r="DD101" s="105"/>
      <c r="DE101" s="105"/>
      <c r="DF101" s="105"/>
    </row>
    <row r="102" spans="2:110" x14ac:dyDescent="0.3">
      <c r="B102" s="106">
        <v>99</v>
      </c>
      <c r="C102" s="105"/>
      <c r="D102" s="105"/>
      <c r="E102" s="105" t="s">
        <v>198</v>
      </c>
      <c r="F102" s="105" t="s">
        <v>860</v>
      </c>
      <c r="G102" s="105" t="s">
        <v>198</v>
      </c>
      <c r="H102" s="105" t="s">
        <v>198</v>
      </c>
      <c r="I102" s="105"/>
      <c r="J102" s="105"/>
      <c r="K102" s="105" t="s">
        <v>198</v>
      </c>
      <c r="L102" s="105" t="s">
        <v>868</v>
      </c>
      <c r="M102" s="105" t="s">
        <v>198</v>
      </c>
      <c r="N102" s="105" t="s">
        <v>873</v>
      </c>
      <c r="O102" s="105" t="s">
        <v>198</v>
      </c>
      <c r="P102" s="105" t="s">
        <v>860</v>
      </c>
      <c r="Q102" s="105" t="s">
        <v>198</v>
      </c>
      <c r="R102" s="105" t="s">
        <v>873</v>
      </c>
      <c r="S102" s="105" t="s">
        <v>198</v>
      </c>
      <c r="T102" s="105" t="s">
        <v>873</v>
      </c>
      <c r="U102" s="105" t="s">
        <v>198</v>
      </c>
      <c r="V102" s="105" t="s">
        <v>880</v>
      </c>
      <c r="W102" s="105" t="s">
        <v>198</v>
      </c>
      <c r="X102" s="105" t="s">
        <v>880</v>
      </c>
      <c r="Y102" s="105"/>
      <c r="Z102" s="105"/>
      <c r="AA102" s="105"/>
      <c r="AB102" s="105"/>
      <c r="AC102" s="105" t="s">
        <v>879</v>
      </c>
      <c r="AD102" s="105" t="s">
        <v>880</v>
      </c>
      <c r="AE102" s="105" t="s">
        <v>198</v>
      </c>
      <c r="AF102" s="105" t="s">
        <v>875</v>
      </c>
      <c r="AG102" s="105" t="s">
        <v>876</v>
      </c>
      <c r="AH102" s="105" t="s">
        <v>877</v>
      </c>
      <c r="AI102" s="105" t="s">
        <v>198</v>
      </c>
      <c r="AJ102" s="105" t="s">
        <v>880</v>
      </c>
      <c r="AK102" s="105" t="s">
        <v>198</v>
      </c>
      <c r="AL102" s="105" t="s">
        <v>198</v>
      </c>
      <c r="AM102" s="105" t="s">
        <v>198</v>
      </c>
      <c r="AN102" s="105" t="s">
        <v>880</v>
      </c>
      <c r="AO102" s="105" t="s">
        <v>198</v>
      </c>
      <c r="AP102" s="105" t="s">
        <v>880</v>
      </c>
      <c r="AQ102" s="105" t="s">
        <v>198</v>
      </c>
      <c r="AR102" s="105" t="s">
        <v>198</v>
      </c>
      <c r="AS102" s="105" t="s">
        <v>198</v>
      </c>
      <c r="AT102" s="105" t="s">
        <v>198</v>
      </c>
      <c r="AU102" s="105" t="s">
        <v>198</v>
      </c>
      <c r="AV102" s="105" t="s">
        <v>883</v>
      </c>
      <c r="AW102" s="105" t="s">
        <v>198</v>
      </c>
      <c r="AX102" s="105" t="s">
        <v>884</v>
      </c>
      <c r="AY102" s="105" t="s">
        <v>885</v>
      </c>
      <c r="AZ102" s="105" t="s">
        <v>883</v>
      </c>
      <c r="BA102" s="105" t="s">
        <v>887</v>
      </c>
      <c r="BB102" s="105" t="s">
        <v>883</v>
      </c>
      <c r="BC102" s="105" t="s">
        <v>198</v>
      </c>
      <c r="BD102" s="105" t="s">
        <v>883</v>
      </c>
      <c r="BE102" s="105" t="s">
        <v>198</v>
      </c>
      <c r="BF102" s="105" t="s">
        <v>883</v>
      </c>
      <c r="BG102" s="105" t="s">
        <v>886</v>
      </c>
      <c r="BH102" s="105" t="s">
        <v>883</v>
      </c>
      <c r="BI102" s="105"/>
      <c r="BJ102" s="105"/>
      <c r="BK102" s="105"/>
      <c r="BL102" s="105"/>
      <c r="BM102" s="105" t="s">
        <v>892</v>
      </c>
      <c r="BN102" s="105" t="s">
        <v>891</v>
      </c>
      <c r="BO102" s="105" t="s">
        <v>994</v>
      </c>
      <c r="BP102" s="105" t="s">
        <v>198</v>
      </c>
      <c r="BQ102" s="105" t="s">
        <v>995</v>
      </c>
      <c r="BR102" s="105" t="s">
        <v>198</v>
      </c>
      <c r="BS102" s="105" t="s">
        <v>892</v>
      </c>
      <c r="BT102" s="105" t="s">
        <v>893</v>
      </c>
      <c r="BU102" s="105" t="s">
        <v>198</v>
      </c>
      <c r="BV102" s="105" t="s">
        <v>898</v>
      </c>
      <c r="BW102" s="105" t="s">
        <v>996</v>
      </c>
      <c r="BX102" s="105" t="s">
        <v>198</v>
      </c>
      <c r="BY102" s="105" t="s">
        <v>198</v>
      </c>
      <c r="BZ102" s="105" t="s">
        <v>898</v>
      </c>
      <c r="CA102" s="105" t="s">
        <v>198</v>
      </c>
      <c r="CB102" s="105" t="s">
        <v>898</v>
      </c>
      <c r="CC102" s="105" t="s">
        <v>993</v>
      </c>
      <c r="CD102" s="105" t="s">
        <v>988</v>
      </c>
      <c r="CE102" s="105" t="s">
        <v>993</v>
      </c>
      <c r="CF102" s="105" t="s">
        <v>988</v>
      </c>
      <c r="CG102" s="105" t="s">
        <v>939</v>
      </c>
      <c r="CH102" s="105" t="s">
        <v>198</v>
      </c>
      <c r="CI102" s="105" t="s">
        <v>940</v>
      </c>
      <c r="CJ102" s="105" t="s">
        <v>198</v>
      </c>
      <c r="CK102" s="105" t="s">
        <v>894</v>
      </c>
      <c r="CL102" s="105" t="s">
        <v>893</v>
      </c>
      <c r="CM102" s="105" t="s">
        <v>198</v>
      </c>
      <c r="CN102" s="105" t="s">
        <v>198</v>
      </c>
      <c r="CO102" s="105" t="s">
        <v>900</v>
      </c>
      <c r="CP102" s="105" t="s">
        <v>899</v>
      </c>
      <c r="CQ102" s="105"/>
      <c r="CR102" s="105"/>
      <c r="CS102" s="105"/>
      <c r="CT102" s="105"/>
      <c r="CU102" s="105"/>
      <c r="CV102" s="105"/>
      <c r="CW102" s="105"/>
      <c r="CX102" s="105"/>
      <c r="CY102" s="105" t="s">
        <v>862</v>
      </c>
      <c r="CZ102" s="105" t="s">
        <v>860</v>
      </c>
      <c r="DA102" s="105"/>
      <c r="DB102" s="105"/>
      <c r="DC102" s="105"/>
      <c r="DD102" s="105"/>
      <c r="DE102" s="105"/>
      <c r="DF102" s="105"/>
    </row>
    <row r="103" spans="2:110" x14ac:dyDescent="0.3">
      <c r="B103" s="106">
        <v>100</v>
      </c>
      <c r="C103" s="105"/>
      <c r="D103" s="105"/>
      <c r="E103" s="105" t="s">
        <v>198</v>
      </c>
      <c r="F103" s="105" t="s">
        <v>860</v>
      </c>
      <c r="G103" s="105" t="s">
        <v>198</v>
      </c>
      <c r="H103" s="105" t="s">
        <v>198</v>
      </c>
      <c r="I103" s="105"/>
      <c r="J103" s="105"/>
      <c r="K103" s="105" t="s">
        <v>198</v>
      </c>
      <c r="L103" s="105" t="s">
        <v>868</v>
      </c>
      <c r="M103" s="105" t="s">
        <v>198</v>
      </c>
      <c r="N103" s="105" t="s">
        <v>873</v>
      </c>
      <c r="O103" s="105" t="s">
        <v>198</v>
      </c>
      <c r="P103" s="105" t="s">
        <v>860</v>
      </c>
      <c r="Q103" s="105" t="s">
        <v>198</v>
      </c>
      <c r="R103" s="105" t="s">
        <v>873</v>
      </c>
      <c r="S103" s="105" t="s">
        <v>198</v>
      </c>
      <c r="T103" s="105" t="s">
        <v>873</v>
      </c>
      <c r="U103" s="105" t="s">
        <v>198</v>
      </c>
      <c r="V103" s="105" t="s">
        <v>880</v>
      </c>
      <c r="W103" s="105" t="s">
        <v>198</v>
      </c>
      <c r="X103" s="105" t="s">
        <v>880</v>
      </c>
      <c r="Y103" s="105"/>
      <c r="Z103" s="105"/>
      <c r="AA103" s="105"/>
      <c r="AB103" s="105"/>
      <c r="AC103" s="105" t="s">
        <v>879</v>
      </c>
      <c r="AD103" s="105" t="s">
        <v>880</v>
      </c>
      <c r="AE103" s="105" t="s">
        <v>198</v>
      </c>
      <c r="AF103" s="105" t="s">
        <v>875</v>
      </c>
      <c r="AG103" s="105" t="s">
        <v>876</v>
      </c>
      <c r="AH103" s="105" t="s">
        <v>877</v>
      </c>
      <c r="AI103" s="105" t="s">
        <v>198</v>
      </c>
      <c r="AJ103" s="105" t="s">
        <v>880</v>
      </c>
      <c r="AK103" s="105" t="s">
        <v>198</v>
      </c>
      <c r="AL103" s="105" t="s">
        <v>198</v>
      </c>
      <c r="AM103" s="105" t="s">
        <v>198</v>
      </c>
      <c r="AN103" s="105" t="s">
        <v>880</v>
      </c>
      <c r="AO103" s="105" t="s">
        <v>198</v>
      </c>
      <c r="AP103" s="105" t="s">
        <v>880</v>
      </c>
      <c r="AQ103" s="105" t="s">
        <v>198</v>
      </c>
      <c r="AR103" s="105" t="s">
        <v>198</v>
      </c>
      <c r="AS103" s="105" t="s">
        <v>198</v>
      </c>
      <c r="AT103" s="105" t="s">
        <v>198</v>
      </c>
      <c r="AU103" s="105" t="s">
        <v>198</v>
      </c>
      <c r="AV103" s="105" t="s">
        <v>883</v>
      </c>
      <c r="AW103" s="105" t="s">
        <v>198</v>
      </c>
      <c r="AX103" s="105" t="s">
        <v>884</v>
      </c>
      <c r="AY103" s="105" t="s">
        <v>885</v>
      </c>
      <c r="AZ103" s="105" t="s">
        <v>883</v>
      </c>
      <c r="BA103" s="105" t="s">
        <v>887</v>
      </c>
      <c r="BB103" s="105" t="s">
        <v>883</v>
      </c>
      <c r="BC103" s="105" t="s">
        <v>198</v>
      </c>
      <c r="BD103" s="105" t="s">
        <v>883</v>
      </c>
      <c r="BE103" s="105" t="s">
        <v>198</v>
      </c>
      <c r="BF103" s="105" t="s">
        <v>883</v>
      </c>
      <c r="BG103" s="105" t="s">
        <v>886</v>
      </c>
      <c r="BH103" s="105" t="s">
        <v>883</v>
      </c>
      <c r="BI103" s="105"/>
      <c r="BJ103" s="105"/>
      <c r="BK103" s="105"/>
      <c r="BL103" s="105"/>
      <c r="BM103" s="105" t="s">
        <v>892</v>
      </c>
      <c r="BN103" s="105" t="s">
        <v>891</v>
      </c>
      <c r="BO103" s="105" t="s">
        <v>994</v>
      </c>
      <c r="BP103" s="105" t="s">
        <v>198</v>
      </c>
      <c r="BQ103" s="105" t="s">
        <v>995</v>
      </c>
      <c r="BR103" s="105" t="s">
        <v>198</v>
      </c>
      <c r="BS103" s="105" t="s">
        <v>892</v>
      </c>
      <c r="BT103" s="105" t="s">
        <v>893</v>
      </c>
      <c r="BU103" s="105" t="s">
        <v>198</v>
      </c>
      <c r="BV103" s="105" t="s">
        <v>898</v>
      </c>
      <c r="BW103" s="105" t="s">
        <v>996</v>
      </c>
      <c r="BX103" s="105" t="s">
        <v>198</v>
      </c>
      <c r="BY103" s="105" t="s">
        <v>198</v>
      </c>
      <c r="BZ103" s="105" t="s">
        <v>898</v>
      </c>
      <c r="CA103" s="105" t="s">
        <v>198</v>
      </c>
      <c r="CB103" s="105" t="s">
        <v>898</v>
      </c>
      <c r="CC103" s="105" t="s">
        <v>993</v>
      </c>
      <c r="CD103" s="105" t="s">
        <v>989</v>
      </c>
      <c r="CE103" s="105" t="s">
        <v>993</v>
      </c>
      <c r="CF103" s="105" t="s">
        <v>989</v>
      </c>
      <c r="CG103" s="105" t="s">
        <v>939</v>
      </c>
      <c r="CH103" s="105" t="s">
        <v>198</v>
      </c>
      <c r="CI103" s="105" t="s">
        <v>940</v>
      </c>
      <c r="CJ103" s="105" t="s">
        <v>198</v>
      </c>
      <c r="CK103" s="105" t="s">
        <v>894</v>
      </c>
      <c r="CL103" s="105" t="s">
        <v>893</v>
      </c>
      <c r="CM103" s="105" t="s">
        <v>198</v>
      </c>
      <c r="CN103" s="105" t="s">
        <v>198</v>
      </c>
      <c r="CO103" s="105" t="s">
        <v>900</v>
      </c>
      <c r="CP103" s="105" t="s">
        <v>899</v>
      </c>
      <c r="CQ103" s="105"/>
      <c r="CR103" s="105"/>
      <c r="CS103" s="105"/>
      <c r="CT103" s="105"/>
      <c r="CU103" s="105"/>
      <c r="CV103" s="105"/>
      <c r="CW103" s="105"/>
      <c r="CX103" s="105"/>
      <c r="CY103" s="105" t="s">
        <v>862</v>
      </c>
      <c r="CZ103" s="105" t="s">
        <v>860</v>
      </c>
      <c r="DA103" s="105"/>
      <c r="DB103" s="105"/>
      <c r="DC103" s="105"/>
      <c r="DD103" s="105"/>
      <c r="DE103" s="105"/>
      <c r="DF103" s="105"/>
    </row>
    <row r="104" spans="2:110" x14ac:dyDescent="0.3">
      <c r="B104" s="106">
        <v>101</v>
      </c>
      <c r="C104" s="105"/>
      <c r="D104" s="105"/>
      <c r="E104" s="105" t="s">
        <v>198</v>
      </c>
      <c r="F104" s="105" t="s">
        <v>860</v>
      </c>
      <c r="G104" s="105" t="s">
        <v>198</v>
      </c>
      <c r="H104" s="105" t="s">
        <v>198</v>
      </c>
      <c r="I104" s="105"/>
      <c r="J104" s="105"/>
      <c r="K104" s="105" t="s">
        <v>198</v>
      </c>
      <c r="L104" s="105" t="s">
        <v>868</v>
      </c>
      <c r="M104" s="105" t="s">
        <v>198</v>
      </c>
      <c r="N104" s="105" t="s">
        <v>873</v>
      </c>
      <c r="O104" s="105" t="s">
        <v>198</v>
      </c>
      <c r="P104" s="105" t="s">
        <v>860</v>
      </c>
      <c r="Q104" s="105" t="s">
        <v>198</v>
      </c>
      <c r="R104" s="105" t="s">
        <v>873</v>
      </c>
      <c r="S104" s="105" t="s">
        <v>198</v>
      </c>
      <c r="T104" s="105" t="s">
        <v>873</v>
      </c>
      <c r="U104" s="105" t="s">
        <v>198</v>
      </c>
      <c r="V104" s="105" t="s">
        <v>880</v>
      </c>
      <c r="W104" s="105" t="s">
        <v>198</v>
      </c>
      <c r="X104" s="105" t="s">
        <v>880</v>
      </c>
      <c r="Y104" s="105"/>
      <c r="Z104" s="105"/>
      <c r="AA104" s="105"/>
      <c r="AB104" s="105"/>
      <c r="AC104" s="105" t="s">
        <v>879</v>
      </c>
      <c r="AD104" s="105" t="s">
        <v>880</v>
      </c>
      <c r="AE104" s="105" t="s">
        <v>198</v>
      </c>
      <c r="AF104" s="105" t="s">
        <v>875</v>
      </c>
      <c r="AG104" s="105" t="s">
        <v>876</v>
      </c>
      <c r="AH104" s="105" t="s">
        <v>877</v>
      </c>
      <c r="AI104" s="105" t="s">
        <v>198</v>
      </c>
      <c r="AJ104" s="105" t="s">
        <v>880</v>
      </c>
      <c r="AK104" s="105" t="s">
        <v>198</v>
      </c>
      <c r="AL104" s="105" t="s">
        <v>198</v>
      </c>
      <c r="AM104" s="105" t="s">
        <v>198</v>
      </c>
      <c r="AN104" s="105" t="s">
        <v>880</v>
      </c>
      <c r="AO104" s="105" t="s">
        <v>198</v>
      </c>
      <c r="AP104" s="105" t="s">
        <v>880</v>
      </c>
      <c r="AQ104" s="105" t="s">
        <v>198</v>
      </c>
      <c r="AR104" s="105" t="s">
        <v>198</v>
      </c>
      <c r="AS104" s="105" t="s">
        <v>198</v>
      </c>
      <c r="AT104" s="105" t="s">
        <v>198</v>
      </c>
      <c r="AU104" s="105" t="s">
        <v>198</v>
      </c>
      <c r="AV104" s="105" t="s">
        <v>883</v>
      </c>
      <c r="AW104" s="105" t="s">
        <v>198</v>
      </c>
      <c r="AX104" s="105" t="s">
        <v>884</v>
      </c>
      <c r="AY104" s="105" t="s">
        <v>885</v>
      </c>
      <c r="AZ104" s="105" t="s">
        <v>883</v>
      </c>
      <c r="BA104" s="105" t="s">
        <v>887</v>
      </c>
      <c r="BB104" s="105" t="s">
        <v>883</v>
      </c>
      <c r="BC104" s="105" t="s">
        <v>198</v>
      </c>
      <c r="BD104" s="105" t="s">
        <v>883</v>
      </c>
      <c r="BE104" s="105" t="s">
        <v>198</v>
      </c>
      <c r="BF104" s="105" t="s">
        <v>883</v>
      </c>
      <c r="BG104" s="105" t="s">
        <v>886</v>
      </c>
      <c r="BH104" s="105" t="s">
        <v>883</v>
      </c>
      <c r="BI104" s="105"/>
      <c r="BJ104" s="105"/>
      <c r="BK104" s="105"/>
      <c r="BL104" s="105"/>
      <c r="BM104" s="105" t="s">
        <v>892</v>
      </c>
      <c r="BN104" s="105" t="s">
        <v>891</v>
      </c>
      <c r="BO104" s="105" t="s">
        <v>994</v>
      </c>
      <c r="BP104" s="105" t="s">
        <v>198</v>
      </c>
      <c r="BQ104" s="105" t="s">
        <v>995</v>
      </c>
      <c r="BR104" s="105" t="s">
        <v>198</v>
      </c>
      <c r="BS104" s="105" t="s">
        <v>892</v>
      </c>
      <c r="BT104" s="105" t="s">
        <v>893</v>
      </c>
      <c r="BU104" s="105" t="s">
        <v>198</v>
      </c>
      <c r="BV104" s="105" t="s">
        <v>898</v>
      </c>
      <c r="BW104" s="105" t="s">
        <v>996</v>
      </c>
      <c r="BX104" s="105" t="s">
        <v>198</v>
      </c>
      <c r="BY104" s="105" t="s">
        <v>198</v>
      </c>
      <c r="BZ104" s="105" t="s">
        <v>898</v>
      </c>
      <c r="CA104" s="105" t="s">
        <v>198</v>
      </c>
      <c r="CB104" s="105" t="s">
        <v>898</v>
      </c>
      <c r="CC104" s="105" t="s">
        <v>993</v>
      </c>
      <c r="CD104" s="105" t="s">
        <v>990</v>
      </c>
      <c r="CE104" s="105" t="s">
        <v>993</v>
      </c>
      <c r="CF104" s="105" t="s">
        <v>990</v>
      </c>
      <c r="CG104" s="105" t="s">
        <v>939</v>
      </c>
      <c r="CH104" s="105" t="s">
        <v>198</v>
      </c>
      <c r="CI104" s="105" t="s">
        <v>940</v>
      </c>
      <c r="CJ104" s="105" t="s">
        <v>198</v>
      </c>
      <c r="CK104" s="105" t="s">
        <v>894</v>
      </c>
      <c r="CL104" s="105" t="s">
        <v>893</v>
      </c>
      <c r="CM104" s="105" t="s">
        <v>198</v>
      </c>
      <c r="CN104" s="105" t="s">
        <v>198</v>
      </c>
      <c r="CO104" s="105" t="s">
        <v>900</v>
      </c>
      <c r="CP104" s="105" t="s">
        <v>899</v>
      </c>
      <c r="CQ104" s="105"/>
      <c r="CR104" s="105"/>
      <c r="CS104" s="105"/>
      <c r="CT104" s="105"/>
      <c r="CU104" s="105"/>
      <c r="CV104" s="105"/>
      <c r="CW104" s="105"/>
      <c r="CX104" s="105"/>
      <c r="CY104" s="105" t="s">
        <v>862</v>
      </c>
      <c r="CZ104" s="105" t="s">
        <v>860</v>
      </c>
      <c r="DA104" s="105"/>
      <c r="DB104" s="105"/>
      <c r="DC104" s="105"/>
      <c r="DD104" s="105"/>
      <c r="DE104" s="105"/>
      <c r="DF104" s="105"/>
    </row>
    <row r="105" spans="2:110" x14ac:dyDescent="0.3">
      <c r="B105" s="106">
        <v>102</v>
      </c>
      <c r="C105" s="105"/>
      <c r="D105" s="105"/>
      <c r="E105" s="105" t="s">
        <v>198</v>
      </c>
      <c r="F105" s="105" t="s">
        <v>860</v>
      </c>
      <c r="G105" s="105" t="s">
        <v>198</v>
      </c>
      <c r="H105" s="105" t="s">
        <v>198</v>
      </c>
      <c r="I105" s="105"/>
      <c r="J105" s="105"/>
      <c r="K105" s="105" t="s">
        <v>198</v>
      </c>
      <c r="L105" s="105" t="s">
        <v>868</v>
      </c>
      <c r="M105" s="105" t="s">
        <v>198</v>
      </c>
      <c r="N105" s="105" t="s">
        <v>873</v>
      </c>
      <c r="O105" s="105" t="s">
        <v>198</v>
      </c>
      <c r="P105" s="105" t="s">
        <v>860</v>
      </c>
      <c r="Q105" s="105" t="s">
        <v>198</v>
      </c>
      <c r="R105" s="105" t="s">
        <v>873</v>
      </c>
      <c r="S105" s="105" t="s">
        <v>198</v>
      </c>
      <c r="T105" s="105" t="s">
        <v>873</v>
      </c>
      <c r="U105" s="105" t="s">
        <v>198</v>
      </c>
      <c r="V105" s="105" t="s">
        <v>880</v>
      </c>
      <c r="W105" s="105" t="s">
        <v>198</v>
      </c>
      <c r="X105" s="105" t="s">
        <v>880</v>
      </c>
      <c r="Y105" s="105"/>
      <c r="Z105" s="105"/>
      <c r="AA105" s="105"/>
      <c r="AB105" s="105"/>
      <c r="AC105" s="105" t="s">
        <v>879</v>
      </c>
      <c r="AD105" s="105" t="s">
        <v>880</v>
      </c>
      <c r="AE105" s="105" t="s">
        <v>198</v>
      </c>
      <c r="AF105" s="105" t="s">
        <v>875</v>
      </c>
      <c r="AG105" s="105" t="s">
        <v>876</v>
      </c>
      <c r="AH105" s="105" t="s">
        <v>877</v>
      </c>
      <c r="AI105" s="105" t="s">
        <v>198</v>
      </c>
      <c r="AJ105" s="105" t="s">
        <v>880</v>
      </c>
      <c r="AK105" s="105" t="s">
        <v>198</v>
      </c>
      <c r="AL105" s="105" t="s">
        <v>198</v>
      </c>
      <c r="AM105" s="105" t="s">
        <v>198</v>
      </c>
      <c r="AN105" s="105" t="s">
        <v>880</v>
      </c>
      <c r="AO105" s="105" t="s">
        <v>198</v>
      </c>
      <c r="AP105" s="105" t="s">
        <v>880</v>
      </c>
      <c r="AQ105" s="105" t="s">
        <v>198</v>
      </c>
      <c r="AR105" s="105" t="s">
        <v>198</v>
      </c>
      <c r="AS105" s="105" t="s">
        <v>198</v>
      </c>
      <c r="AT105" s="105" t="s">
        <v>198</v>
      </c>
      <c r="AU105" s="105" t="s">
        <v>198</v>
      </c>
      <c r="AV105" s="105" t="s">
        <v>883</v>
      </c>
      <c r="AW105" s="105" t="s">
        <v>198</v>
      </c>
      <c r="AX105" s="105" t="s">
        <v>884</v>
      </c>
      <c r="AY105" s="105" t="s">
        <v>885</v>
      </c>
      <c r="AZ105" s="105" t="s">
        <v>883</v>
      </c>
      <c r="BA105" s="105" t="s">
        <v>887</v>
      </c>
      <c r="BB105" s="105" t="s">
        <v>883</v>
      </c>
      <c r="BC105" s="105" t="s">
        <v>198</v>
      </c>
      <c r="BD105" s="105" t="s">
        <v>883</v>
      </c>
      <c r="BE105" s="105" t="s">
        <v>198</v>
      </c>
      <c r="BF105" s="105" t="s">
        <v>883</v>
      </c>
      <c r="BG105" s="105" t="s">
        <v>886</v>
      </c>
      <c r="BH105" s="105" t="s">
        <v>883</v>
      </c>
      <c r="BI105" s="105"/>
      <c r="BJ105" s="105"/>
      <c r="BK105" s="105"/>
      <c r="BL105" s="105"/>
      <c r="BM105" s="105" t="s">
        <v>892</v>
      </c>
      <c r="BN105" s="105" t="s">
        <v>891</v>
      </c>
      <c r="BO105" s="105" t="s">
        <v>994</v>
      </c>
      <c r="BP105" s="105" t="s">
        <v>198</v>
      </c>
      <c r="BQ105" s="105" t="s">
        <v>995</v>
      </c>
      <c r="BR105" s="105" t="s">
        <v>198</v>
      </c>
      <c r="BS105" s="105" t="s">
        <v>892</v>
      </c>
      <c r="BT105" s="105" t="s">
        <v>893</v>
      </c>
      <c r="BU105" s="105" t="s">
        <v>198</v>
      </c>
      <c r="BV105" s="105" t="s">
        <v>898</v>
      </c>
      <c r="BW105" s="105" t="s">
        <v>996</v>
      </c>
      <c r="BX105" s="105" t="s">
        <v>198</v>
      </c>
      <c r="BY105" s="105" t="s">
        <v>198</v>
      </c>
      <c r="BZ105" s="105" t="s">
        <v>898</v>
      </c>
      <c r="CA105" s="105" t="s">
        <v>198</v>
      </c>
      <c r="CB105" s="105" t="s">
        <v>898</v>
      </c>
      <c r="CC105" s="105" t="s">
        <v>993</v>
      </c>
      <c r="CD105" s="105" t="s">
        <v>991</v>
      </c>
      <c r="CE105" s="105" t="s">
        <v>993</v>
      </c>
      <c r="CF105" s="105" t="s">
        <v>991</v>
      </c>
      <c r="CG105" s="105" t="s">
        <v>939</v>
      </c>
      <c r="CH105" s="105" t="s">
        <v>198</v>
      </c>
      <c r="CI105" s="105" t="s">
        <v>940</v>
      </c>
      <c r="CJ105" s="105" t="s">
        <v>198</v>
      </c>
      <c r="CK105" s="105" t="s">
        <v>894</v>
      </c>
      <c r="CL105" s="105" t="s">
        <v>893</v>
      </c>
      <c r="CM105" s="105" t="s">
        <v>198</v>
      </c>
      <c r="CN105" s="105" t="s">
        <v>198</v>
      </c>
      <c r="CO105" s="105" t="s">
        <v>900</v>
      </c>
      <c r="CP105" s="105" t="s">
        <v>899</v>
      </c>
      <c r="CQ105" s="105"/>
      <c r="CR105" s="105"/>
      <c r="CS105" s="105"/>
      <c r="CT105" s="105"/>
      <c r="CU105" s="105"/>
      <c r="CV105" s="105"/>
      <c r="CW105" s="105"/>
      <c r="CX105" s="105"/>
      <c r="CY105" s="105" t="s">
        <v>862</v>
      </c>
      <c r="CZ105" s="105" t="s">
        <v>860</v>
      </c>
      <c r="DA105" s="105"/>
      <c r="DB105" s="105"/>
      <c r="DC105" s="105"/>
      <c r="DD105" s="105"/>
      <c r="DE105" s="105"/>
      <c r="DF105" s="105"/>
    </row>
    <row r="106" spans="2:110" x14ac:dyDescent="0.3">
      <c r="B106" s="106">
        <v>103</v>
      </c>
      <c r="C106" s="105"/>
      <c r="D106" s="105"/>
      <c r="E106" s="105" t="s">
        <v>198</v>
      </c>
      <c r="F106" s="105" t="s">
        <v>860</v>
      </c>
      <c r="G106" s="105" t="s">
        <v>198</v>
      </c>
      <c r="H106" s="105" t="s">
        <v>198</v>
      </c>
      <c r="I106" s="105"/>
      <c r="J106" s="105"/>
      <c r="K106" s="105" t="s">
        <v>198</v>
      </c>
      <c r="L106" s="105" t="s">
        <v>868</v>
      </c>
      <c r="M106" s="105" t="s">
        <v>198</v>
      </c>
      <c r="N106" s="105" t="s">
        <v>873</v>
      </c>
      <c r="O106" s="105" t="s">
        <v>198</v>
      </c>
      <c r="P106" s="105" t="s">
        <v>860</v>
      </c>
      <c r="Q106" s="105" t="s">
        <v>198</v>
      </c>
      <c r="R106" s="105" t="s">
        <v>873</v>
      </c>
      <c r="S106" s="105" t="s">
        <v>198</v>
      </c>
      <c r="T106" s="105" t="s">
        <v>873</v>
      </c>
      <c r="U106" s="105" t="s">
        <v>198</v>
      </c>
      <c r="V106" s="105" t="s">
        <v>880</v>
      </c>
      <c r="W106" s="105" t="s">
        <v>198</v>
      </c>
      <c r="X106" s="105" t="s">
        <v>880</v>
      </c>
      <c r="Y106" s="105"/>
      <c r="Z106" s="105"/>
      <c r="AA106" s="105"/>
      <c r="AB106" s="105"/>
      <c r="AC106" s="105" t="s">
        <v>879</v>
      </c>
      <c r="AD106" s="105" t="s">
        <v>880</v>
      </c>
      <c r="AE106" s="105" t="s">
        <v>198</v>
      </c>
      <c r="AF106" s="105" t="s">
        <v>875</v>
      </c>
      <c r="AG106" s="105" t="s">
        <v>876</v>
      </c>
      <c r="AH106" s="105" t="s">
        <v>877</v>
      </c>
      <c r="AI106" s="105" t="s">
        <v>198</v>
      </c>
      <c r="AJ106" s="105" t="s">
        <v>880</v>
      </c>
      <c r="AK106" s="105" t="s">
        <v>198</v>
      </c>
      <c r="AL106" s="105" t="s">
        <v>198</v>
      </c>
      <c r="AM106" s="105" t="s">
        <v>198</v>
      </c>
      <c r="AN106" s="105" t="s">
        <v>880</v>
      </c>
      <c r="AO106" s="105" t="s">
        <v>198</v>
      </c>
      <c r="AP106" s="105" t="s">
        <v>880</v>
      </c>
      <c r="AQ106" s="105" t="s">
        <v>198</v>
      </c>
      <c r="AR106" s="105" t="s">
        <v>198</v>
      </c>
      <c r="AS106" s="105" t="s">
        <v>198</v>
      </c>
      <c r="AT106" s="105" t="s">
        <v>198</v>
      </c>
      <c r="AU106" s="105" t="s">
        <v>198</v>
      </c>
      <c r="AV106" s="105" t="s">
        <v>883</v>
      </c>
      <c r="AW106" s="105" t="s">
        <v>198</v>
      </c>
      <c r="AX106" s="105" t="s">
        <v>884</v>
      </c>
      <c r="AY106" s="105" t="s">
        <v>885</v>
      </c>
      <c r="AZ106" s="105" t="s">
        <v>883</v>
      </c>
      <c r="BA106" s="105" t="s">
        <v>887</v>
      </c>
      <c r="BB106" s="105" t="s">
        <v>883</v>
      </c>
      <c r="BC106" s="105" t="s">
        <v>198</v>
      </c>
      <c r="BD106" s="105" t="s">
        <v>883</v>
      </c>
      <c r="BE106" s="105" t="s">
        <v>198</v>
      </c>
      <c r="BF106" s="105" t="s">
        <v>883</v>
      </c>
      <c r="BG106" s="105" t="s">
        <v>886</v>
      </c>
      <c r="BH106" s="105" t="s">
        <v>883</v>
      </c>
      <c r="BI106" s="105"/>
      <c r="BJ106" s="105"/>
      <c r="BK106" s="105"/>
      <c r="BL106" s="105"/>
      <c r="BM106" s="105" t="s">
        <v>892</v>
      </c>
      <c r="BN106" s="105" t="s">
        <v>891</v>
      </c>
      <c r="BO106" s="105" t="s">
        <v>994</v>
      </c>
      <c r="BP106" s="105" t="s">
        <v>198</v>
      </c>
      <c r="BQ106" s="105" t="s">
        <v>995</v>
      </c>
      <c r="BR106" s="105" t="s">
        <v>198</v>
      </c>
      <c r="BS106" s="105" t="s">
        <v>892</v>
      </c>
      <c r="BT106" s="105" t="s">
        <v>893</v>
      </c>
      <c r="BU106" s="105" t="s">
        <v>198</v>
      </c>
      <c r="BV106" s="105" t="s">
        <v>898</v>
      </c>
      <c r="BW106" s="105" t="s">
        <v>996</v>
      </c>
      <c r="BX106" s="105" t="s">
        <v>198</v>
      </c>
      <c r="BY106" s="105" t="s">
        <v>198</v>
      </c>
      <c r="BZ106" s="105" t="s">
        <v>898</v>
      </c>
      <c r="CA106" s="105" t="s">
        <v>198</v>
      </c>
      <c r="CB106" s="105" t="s">
        <v>898</v>
      </c>
      <c r="CC106" s="105" t="s">
        <v>993</v>
      </c>
      <c r="CD106" s="105" t="s">
        <v>992</v>
      </c>
      <c r="CE106" s="105" t="s">
        <v>993</v>
      </c>
      <c r="CF106" s="105" t="s">
        <v>992</v>
      </c>
      <c r="CG106" s="105" t="s">
        <v>939</v>
      </c>
      <c r="CH106" s="105" t="s">
        <v>198</v>
      </c>
      <c r="CI106" s="105" t="s">
        <v>940</v>
      </c>
      <c r="CJ106" s="105" t="s">
        <v>198</v>
      </c>
      <c r="CK106" s="105" t="s">
        <v>894</v>
      </c>
      <c r="CL106" s="105" t="s">
        <v>893</v>
      </c>
      <c r="CM106" s="105" t="s">
        <v>198</v>
      </c>
      <c r="CN106" s="105" t="s">
        <v>198</v>
      </c>
      <c r="CO106" s="105" t="s">
        <v>900</v>
      </c>
      <c r="CP106" s="105" t="s">
        <v>899</v>
      </c>
      <c r="CQ106" s="105"/>
      <c r="CR106" s="105"/>
      <c r="CS106" s="105"/>
      <c r="CT106" s="105"/>
      <c r="CU106" s="105"/>
      <c r="CV106" s="105"/>
      <c r="CW106" s="105"/>
      <c r="CX106" s="105"/>
      <c r="CY106" s="105" t="s">
        <v>862</v>
      </c>
      <c r="CZ106" s="105" t="s">
        <v>860</v>
      </c>
      <c r="DA106" s="105"/>
      <c r="DB106" s="105"/>
      <c r="DC106" s="105"/>
      <c r="DD106" s="105"/>
      <c r="DE106" s="105"/>
      <c r="DF106" s="105"/>
    </row>
    <row r="107" spans="2:110" x14ac:dyDescent="0.3">
      <c r="B107" s="104">
        <v>104</v>
      </c>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105"/>
      <c r="CY107" s="105"/>
      <c r="CZ107" s="105"/>
      <c r="DA107" s="105"/>
      <c r="DB107" s="105"/>
      <c r="DC107" s="105"/>
      <c r="DD107" s="105"/>
      <c r="DE107" s="105"/>
      <c r="DF107" s="105"/>
    </row>
    <row r="108" spans="2:110" x14ac:dyDescent="0.3">
      <c r="B108" s="104">
        <v>105</v>
      </c>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105"/>
      <c r="CY108" s="105"/>
      <c r="CZ108" s="105"/>
      <c r="DA108" s="105"/>
      <c r="DB108" s="105"/>
      <c r="DC108" s="105"/>
      <c r="DD108" s="105"/>
      <c r="DE108" s="105"/>
      <c r="DF108" s="105"/>
    </row>
    <row r="109" spans="2:110" x14ac:dyDescent="0.3">
      <c r="B109" s="104">
        <v>106</v>
      </c>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105"/>
      <c r="CY109" s="105"/>
      <c r="CZ109" s="105"/>
      <c r="DA109" s="105"/>
      <c r="DB109" s="105"/>
      <c r="DC109" s="105"/>
      <c r="DD109" s="105"/>
      <c r="DE109" s="105"/>
      <c r="DF109" s="105"/>
    </row>
    <row r="110" spans="2:110" x14ac:dyDescent="0.3">
      <c r="B110" s="104">
        <v>107</v>
      </c>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row>
    <row r="111" spans="2:110" x14ac:dyDescent="0.3">
      <c r="B111" s="104">
        <v>108</v>
      </c>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row>
    <row r="112" spans="2:110" x14ac:dyDescent="0.3">
      <c r="B112" s="104">
        <v>109</v>
      </c>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row>
    <row r="113" spans="2:110" x14ac:dyDescent="0.3">
      <c r="B113" s="104">
        <v>110</v>
      </c>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row>
    <row r="114" spans="2:110" x14ac:dyDescent="0.3">
      <c r="B114" s="104">
        <v>111</v>
      </c>
      <c r="C114" s="105"/>
      <c r="D114" s="105"/>
      <c r="E114" s="105"/>
      <c r="F114" s="105"/>
      <c r="G114" s="105"/>
      <c r="H114" s="105"/>
      <c r="I114" s="105"/>
      <c r="J114" s="105"/>
      <c r="K114" s="105"/>
      <c r="L114" s="105"/>
      <c r="M114" s="105"/>
      <c r="N114" s="105"/>
      <c r="O114" s="105"/>
      <c r="P114" s="105"/>
      <c r="Q114" s="105"/>
      <c r="R114" s="105"/>
      <c r="S114" s="105"/>
      <c r="T114" s="105"/>
      <c r="U114" s="105"/>
      <c r="V114" s="105"/>
      <c r="W114" s="105" t="s">
        <v>645</v>
      </c>
      <c r="X114" s="105" t="s">
        <v>646</v>
      </c>
      <c r="Y114" s="105" t="s">
        <v>645</v>
      </c>
      <c r="Z114" s="105" t="s">
        <v>646</v>
      </c>
      <c r="AA114" s="105" t="s">
        <v>645</v>
      </c>
      <c r="AB114" s="105" t="s">
        <v>646</v>
      </c>
      <c r="AC114" s="105" t="s">
        <v>645</v>
      </c>
      <c r="AD114" s="105" t="s">
        <v>646</v>
      </c>
      <c r="AE114" s="105"/>
      <c r="AF114" s="105"/>
      <c r="AG114" s="105"/>
      <c r="AH114" s="105"/>
      <c r="AI114" s="105" t="s">
        <v>1020</v>
      </c>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t="s">
        <v>1024</v>
      </c>
      <c r="BJ114" s="105" t="s">
        <v>198</v>
      </c>
      <c r="BK114" s="105" t="s">
        <v>1024</v>
      </c>
      <c r="BL114" s="105" t="s">
        <v>198</v>
      </c>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row>
    <row r="115" spans="2:110" x14ac:dyDescent="0.3">
      <c r="B115" s="104">
        <v>112</v>
      </c>
      <c r="C115" s="105"/>
      <c r="D115" s="105"/>
      <c r="E115" s="105" t="s">
        <v>1196</v>
      </c>
      <c r="F115" s="105" t="s">
        <v>1197</v>
      </c>
      <c r="G115" s="105"/>
      <c r="H115" s="105"/>
      <c r="I115" s="105"/>
      <c r="J115" s="105"/>
      <c r="K115" s="105"/>
      <c r="L115" s="105"/>
      <c r="M115" s="105"/>
      <c r="N115" s="105"/>
      <c r="O115" s="105"/>
      <c r="P115" s="105"/>
      <c r="Q115" s="105"/>
      <c r="R115" s="105"/>
      <c r="S115" s="105"/>
      <c r="T115" s="105"/>
      <c r="U115" s="105" t="s">
        <v>198</v>
      </c>
      <c r="V115" s="105"/>
      <c r="W115" s="105" t="s">
        <v>1427</v>
      </c>
      <c r="X115" s="105" t="s">
        <v>198</v>
      </c>
      <c r="Y115" s="105" t="s">
        <v>1427</v>
      </c>
      <c r="Z115" s="105" t="s">
        <v>198</v>
      </c>
      <c r="AA115" s="105" t="s">
        <v>1427</v>
      </c>
      <c r="AB115" s="105" t="s">
        <v>198</v>
      </c>
      <c r="AC115" s="105"/>
      <c r="AD115" s="105"/>
      <c r="AE115" s="105"/>
      <c r="AF115" s="105"/>
      <c r="AG115" s="105"/>
      <c r="AH115" s="105"/>
      <c r="AI115" s="105" t="s">
        <v>1210</v>
      </c>
      <c r="AJ115" s="105" t="s">
        <v>1211</v>
      </c>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t="s">
        <v>1213</v>
      </c>
      <c r="BJ115" s="105" t="s">
        <v>1211</v>
      </c>
      <c r="BK115" s="105" t="s">
        <v>198</v>
      </c>
      <c r="BL115" s="105" t="s">
        <v>198</v>
      </c>
      <c r="BM115" s="105" t="s">
        <v>1232</v>
      </c>
      <c r="BN115" s="105" t="s">
        <v>1226</v>
      </c>
      <c r="BO115" s="105" t="s">
        <v>1227</v>
      </c>
      <c r="BP115" s="105" t="s">
        <v>1226</v>
      </c>
      <c r="BQ115" s="105" t="s">
        <v>1233</v>
      </c>
      <c r="BR115" s="105" t="s">
        <v>1226</v>
      </c>
      <c r="BS115" s="105" t="s">
        <v>1233</v>
      </c>
      <c r="BT115" s="105" t="s">
        <v>1226</v>
      </c>
      <c r="BU115" s="105" t="s">
        <v>198</v>
      </c>
      <c r="BV115" s="105" t="s">
        <v>198</v>
      </c>
      <c r="BW115" s="105" t="s">
        <v>1233</v>
      </c>
      <c r="BX115" s="105" t="s">
        <v>1226</v>
      </c>
      <c r="BY115" s="105" t="s">
        <v>198</v>
      </c>
      <c r="BZ115" s="105" t="s">
        <v>198</v>
      </c>
      <c r="CA115" s="105" t="s">
        <v>198</v>
      </c>
      <c r="CB115" s="105" t="s">
        <v>198</v>
      </c>
      <c r="CC115" s="105" t="s">
        <v>1236</v>
      </c>
      <c r="CD115" s="105" t="s">
        <v>198</v>
      </c>
      <c r="CE115" s="105" t="s">
        <v>1236</v>
      </c>
      <c r="CF115" s="105" t="s">
        <v>198</v>
      </c>
      <c r="CG115" s="105" t="s">
        <v>1236</v>
      </c>
      <c r="CH115" s="105" t="s">
        <v>198</v>
      </c>
      <c r="CI115" s="105" t="s">
        <v>1236</v>
      </c>
      <c r="CJ115" s="105" t="s">
        <v>198</v>
      </c>
      <c r="CK115" s="105" t="s">
        <v>1212</v>
      </c>
      <c r="CL115" s="105" t="s">
        <v>1211</v>
      </c>
      <c r="CM115" s="105"/>
      <c r="CN115" s="105"/>
      <c r="CO115" s="105"/>
      <c r="CP115" s="105"/>
      <c r="CQ115" s="105"/>
      <c r="CR115" s="105"/>
      <c r="CS115" s="105"/>
      <c r="CT115" s="105"/>
      <c r="CU115" s="105"/>
      <c r="CV115" s="105"/>
      <c r="CW115" s="105"/>
      <c r="CX115" s="105"/>
      <c r="CY115" s="105"/>
      <c r="CZ115" s="105"/>
      <c r="DA115" s="105"/>
      <c r="DB115" s="105"/>
      <c r="DC115" s="105"/>
      <c r="DD115" s="105"/>
      <c r="DE115" s="105" t="s">
        <v>1237</v>
      </c>
      <c r="DF115" s="105" t="s">
        <v>1238</v>
      </c>
    </row>
    <row r="116" spans="2:110" x14ac:dyDescent="0.3">
      <c r="B116" s="104">
        <v>113</v>
      </c>
      <c r="C116" s="105"/>
      <c r="D116" s="105"/>
      <c r="E116" s="105" t="s">
        <v>1196</v>
      </c>
      <c r="F116" s="105" t="s">
        <v>1197</v>
      </c>
      <c r="G116" s="105"/>
      <c r="H116" s="105"/>
      <c r="I116" s="105"/>
      <c r="J116" s="105"/>
      <c r="K116" s="105"/>
      <c r="L116" s="105"/>
      <c r="M116" s="105"/>
      <c r="N116" s="105"/>
      <c r="O116" s="105"/>
      <c r="P116" s="105"/>
      <c r="Q116" s="105"/>
      <c r="R116" s="105"/>
      <c r="S116" s="105"/>
      <c r="T116" s="105"/>
      <c r="U116" s="105" t="s">
        <v>198</v>
      </c>
      <c r="V116" s="105"/>
      <c r="W116" s="105" t="s">
        <v>1427</v>
      </c>
      <c r="X116" s="105" t="s">
        <v>198</v>
      </c>
      <c r="Y116" s="105" t="s">
        <v>1427</v>
      </c>
      <c r="Z116" s="105" t="s">
        <v>198</v>
      </c>
      <c r="AA116" s="105" t="s">
        <v>1427</v>
      </c>
      <c r="AB116" s="105" t="s">
        <v>198</v>
      </c>
      <c r="AC116" s="105"/>
      <c r="AD116" s="105"/>
      <c r="AE116" s="105"/>
      <c r="AF116" s="105"/>
      <c r="AG116" s="105"/>
      <c r="AH116" s="105"/>
      <c r="AI116" s="105" t="s">
        <v>1210</v>
      </c>
      <c r="AJ116" s="105" t="s">
        <v>1211</v>
      </c>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t="s">
        <v>1213</v>
      </c>
      <c r="BJ116" s="105" t="s">
        <v>1211</v>
      </c>
      <c r="BK116" s="105" t="s">
        <v>198</v>
      </c>
      <c r="BL116" s="105" t="s">
        <v>198</v>
      </c>
      <c r="BM116" s="105" t="s">
        <v>1232</v>
      </c>
      <c r="BN116" s="105" t="s">
        <v>1226</v>
      </c>
      <c r="BO116" s="105" t="s">
        <v>1228</v>
      </c>
      <c r="BP116" s="105" t="s">
        <v>1226</v>
      </c>
      <c r="BQ116" s="105" t="s">
        <v>1233</v>
      </c>
      <c r="BR116" s="105" t="s">
        <v>1226</v>
      </c>
      <c r="BS116" s="105" t="s">
        <v>1233</v>
      </c>
      <c r="BT116" s="105" t="s">
        <v>1226</v>
      </c>
      <c r="BU116" s="105" t="s">
        <v>198</v>
      </c>
      <c r="BV116" s="105" t="s">
        <v>198</v>
      </c>
      <c r="BW116" s="105" t="s">
        <v>1233</v>
      </c>
      <c r="BX116" s="105" t="s">
        <v>1226</v>
      </c>
      <c r="BY116" s="105" t="s">
        <v>198</v>
      </c>
      <c r="BZ116" s="105" t="s">
        <v>198</v>
      </c>
      <c r="CA116" s="105" t="s">
        <v>198</v>
      </c>
      <c r="CB116" s="105" t="s">
        <v>198</v>
      </c>
      <c r="CC116" s="105" t="s">
        <v>1236</v>
      </c>
      <c r="CD116" s="105" t="s">
        <v>198</v>
      </c>
      <c r="CE116" s="105" t="s">
        <v>1236</v>
      </c>
      <c r="CF116" s="105" t="s">
        <v>198</v>
      </c>
      <c r="CG116" s="105" t="s">
        <v>1236</v>
      </c>
      <c r="CH116" s="105" t="s">
        <v>198</v>
      </c>
      <c r="CI116" s="105" t="s">
        <v>1236</v>
      </c>
      <c r="CJ116" s="105" t="s">
        <v>198</v>
      </c>
      <c r="CK116" s="105" t="s">
        <v>1212</v>
      </c>
      <c r="CL116" s="105" t="s">
        <v>1211</v>
      </c>
      <c r="CM116" s="105"/>
      <c r="CN116" s="105"/>
      <c r="CO116" s="105"/>
      <c r="CP116" s="105"/>
      <c r="CQ116" s="105"/>
      <c r="CR116" s="105"/>
      <c r="CS116" s="105"/>
      <c r="CT116" s="105"/>
      <c r="CU116" s="105"/>
      <c r="CV116" s="105"/>
      <c r="CW116" s="105"/>
      <c r="CX116" s="105"/>
      <c r="CY116" s="105"/>
      <c r="CZ116" s="105"/>
      <c r="DA116" s="105"/>
      <c r="DB116" s="105"/>
      <c r="DC116" s="105"/>
      <c r="DD116" s="105"/>
      <c r="DE116" s="105" t="s">
        <v>1237</v>
      </c>
      <c r="DF116" s="105" t="s">
        <v>1238</v>
      </c>
    </row>
    <row r="117" spans="2:110" x14ac:dyDescent="0.3">
      <c r="B117" s="104">
        <v>114</v>
      </c>
      <c r="C117" s="105"/>
      <c r="D117" s="105"/>
      <c r="E117" s="105" t="s">
        <v>1196</v>
      </c>
      <c r="F117" s="105" t="s">
        <v>1197</v>
      </c>
      <c r="G117" s="105"/>
      <c r="H117" s="105"/>
      <c r="I117" s="105"/>
      <c r="J117" s="105"/>
      <c r="K117" s="105"/>
      <c r="L117" s="105"/>
      <c r="M117" s="105"/>
      <c r="N117" s="105"/>
      <c r="O117" s="105"/>
      <c r="P117" s="105"/>
      <c r="Q117" s="105"/>
      <c r="R117" s="105"/>
      <c r="S117" s="105"/>
      <c r="T117" s="105"/>
      <c r="U117" s="105" t="s">
        <v>198</v>
      </c>
      <c r="V117" s="105"/>
      <c r="W117" s="105" t="s">
        <v>1427</v>
      </c>
      <c r="X117" s="105" t="s">
        <v>198</v>
      </c>
      <c r="Y117" s="105" t="s">
        <v>1427</v>
      </c>
      <c r="Z117" s="105" t="s">
        <v>198</v>
      </c>
      <c r="AA117" s="105" t="s">
        <v>1427</v>
      </c>
      <c r="AB117" s="105" t="s">
        <v>198</v>
      </c>
      <c r="AC117" s="105"/>
      <c r="AD117" s="105"/>
      <c r="AE117" s="105"/>
      <c r="AF117" s="105"/>
      <c r="AG117" s="105"/>
      <c r="AH117" s="105"/>
      <c r="AI117" s="105" t="s">
        <v>1210</v>
      </c>
      <c r="AJ117" s="105" t="s">
        <v>1211</v>
      </c>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t="s">
        <v>1213</v>
      </c>
      <c r="BJ117" s="105" t="s">
        <v>1211</v>
      </c>
      <c r="BK117" s="105" t="s">
        <v>198</v>
      </c>
      <c r="BL117" s="105" t="s">
        <v>198</v>
      </c>
      <c r="BM117" s="105" t="s">
        <v>1232</v>
      </c>
      <c r="BN117" s="105" t="s">
        <v>1226</v>
      </c>
      <c r="BO117" s="105" t="s">
        <v>1229</v>
      </c>
      <c r="BP117" s="105" t="s">
        <v>1226</v>
      </c>
      <c r="BQ117" s="105" t="s">
        <v>1233</v>
      </c>
      <c r="BR117" s="105" t="s">
        <v>1226</v>
      </c>
      <c r="BS117" s="105" t="s">
        <v>1233</v>
      </c>
      <c r="BT117" s="105" t="s">
        <v>1226</v>
      </c>
      <c r="BU117" s="105" t="s">
        <v>198</v>
      </c>
      <c r="BV117" s="105" t="s">
        <v>198</v>
      </c>
      <c r="BW117" s="105" t="s">
        <v>1233</v>
      </c>
      <c r="BX117" s="105" t="s">
        <v>1226</v>
      </c>
      <c r="BY117" s="105" t="s">
        <v>198</v>
      </c>
      <c r="BZ117" s="105" t="s">
        <v>198</v>
      </c>
      <c r="CA117" s="105" t="s">
        <v>198</v>
      </c>
      <c r="CB117" s="105" t="s">
        <v>198</v>
      </c>
      <c r="CC117" s="105" t="s">
        <v>1236</v>
      </c>
      <c r="CD117" s="105" t="s">
        <v>198</v>
      </c>
      <c r="CE117" s="105" t="s">
        <v>1236</v>
      </c>
      <c r="CF117" s="105" t="s">
        <v>198</v>
      </c>
      <c r="CG117" s="105" t="s">
        <v>1236</v>
      </c>
      <c r="CH117" s="105" t="s">
        <v>198</v>
      </c>
      <c r="CI117" s="105" t="s">
        <v>1236</v>
      </c>
      <c r="CJ117" s="105" t="s">
        <v>198</v>
      </c>
      <c r="CK117" s="105" t="s">
        <v>1212</v>
      </c>
      <c r="CL117" s="105" t="s">
        <v>1211</v>
      </c>
      <c r="CM117" s="105"/>
      <c r="CN117" s="105"/>
      <c r="CO117" s="105"/>
      <c r="CP117" s="105"/>
      <c r="CQ117" s="105"/>
      <c r="CR117" s="105"/>
      <c r="CS117" s="105"/>
      <c r="CT117" s="105"/>
      <c r="CU117" s="105"/>
      <c r="CV117" s="105"/>
      <c r="CW117" s="105"/>
      <c r="CX117" s="105"/>
      <c r="CY117" s="105"/>
      <c r="CZ117" s="105"/>
      <c r="DA117" s="105"/>
      <c r="DB117" s="105"/>
      <c r="DC117" s="105"/>
      <c r="DD117" s="105"/>
      <c r="DE117" s="105" t="s">
        <v>1237</v>
      </c>
      <c r="DF117" s="105" t="s">
        <v>1238</v>
      </c>
    </row>
    <row r="118" spans="2:110" x14ac:dyDescent="0.3">
      <c r="B118" s="104">
        <v>115</v>
      </c>
      <c r="C118" s="105"/>
      <c r="D118" s="105"/>
      <c r="E118" s="105" t="s">
        <v>1196</v>
      </c>
      <c r="F118" s="105" t="s">
        <v>1197</v>
      </c>
      <c r="G118" s="105"/>
      <c r="H118" s="105"/>
      <c r="I118" s="105"/>
      <c r="J118" s="105"/>
      <c r="K118" s="105"/>
      <c r="L118" s="105"/>
      <c r="M118" s="105"/>
      <c r="N118" s="105"/>
      <c r="O118" s="105"/>
      <c r="P118" s="105"/>
      <c r="Q118" s="105"/>
      <c r="R118" s="105"/>
      <c r="S118" s="105"/>
      <c r="T118" s="105"/>
      <c r="U118" s="105" t="s">
        <v>198</v>
      </c>
      <c r="V118" s="105"/>
      <c r="W118" s="105" t="s">
        <v>1427</v>
      </c>
      <c r="X118" s="105" t="s">
        <v>198</v>
      </c>
      <c r="Y118" s="105" t="s">
        <v>1427</v>
      </c>
      <c r="Z118" s="105" t="s">
        <v>198</v>
      </c>
      <c r="AA118" s="105" t="s">
        <v>1427</v>
      </c>
      <c r="AB118" s="105" t="s">
        <v>198</v>
      </c>
      <c r="AC118" s="105"/>
      <c r="AD118" s="105"/>
      <c r="AE118" s="105"/>
      <c r="AF118" s="105"/>
      <c r="AG118" s="105"/>
      <c r="AH118" s="105"/>
      <c r="AI118" s="105" t="s">
        <v>1210</v>
      </c>
      <c r="AJ118" s="105" t="s">
        <v>1211</v>
      </c>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t="s">
        <v>1213</v>
      </c>
      <c r="BJ118" s="105" t="s">
        <v>1211</v>
      </c>
      <c r="BK118" s="105" t="s">
        <v>198</v>
      </c>
      <c r="BL118" s="105" t="s">
        <v>198</v>
      </c>
      <c r="BM118" s="105" t="s">
        <v>1232</v>
      </c>
      <c r="BN118" s="105" t="s">
        <v>1226</v>
      </c>
      <c r="BO118" s="105" t="s">
        <v>1230</v>
      </c>
      <c r="BP118" s="105" t="s">
        <v>1226</v>
      </c>
      <c r="BQ118" s="105" t="s">
        <v>1233</v>
      </c>
      <c r="BR118" s="105" t="s">
        <v>1226</v>
      </c>
      <c r="BS118" s="105" t="s">
        <v>1233</v>
      </c>
      <c r="BT118" s="105" t="s">
        <v>1226</v>
      </c>
      <c r="BU118" s="105" t="s">
        <v>198</v>
      </c>
      <c r="BV118" s="105" t="s">
        <v>198</v>
      </c>
      <c r="BW118" s="105" t="s">
        <v>1233</v>
      </c>
      <c r="BX118" s="105" t="s">
        <v>1226</v>
      </c>
      <c r="BY118" s="105" t="s">
        <v>198</v>
      </c>
      <c r="BZ118" s="105" t="s">
        <v>198</v>
      </c>
      <c r="CA118" s="105" t="s">
        <v>198</v>
      </c>
      <c r="CB118" s="105" t="s">
        <v>198</v>
      </c>
      <c r="CC118" s="105" t="s">
        <v>1236</v>
      </c>
      <c r="CD118" s="105" t="s">
        <v>198</v>
      </c>
      <c r="CE118" s="105" t="s">
        <v>1236</v>
      </c>
      <c r="CF118" s="105" t="s">
        <v>198</v>
      </c>
      <c r="CG118" s="105" t="s">
        <v>1236</v>
      </c>
      <c r="CH118" s="105" t="s">
        <v>198</v>
      </c>
      <c r="CI118" s="105" t="s">
        <v>1236</v>
      </c>
      <c r="CJ118" s="105" t="s">
        <v>198</v>
      </c>
      <c r="CK118" s="105" t="s">
        <v>1212</v>
      </c>
      <c r="CL118" s="105" t="s">
        <v>1211</v>
      </c>
      <c r="CM118" s="105"/>
      <c r="CN118" s="105"/>
      <c r="CO118" s="105"/>
      <c r="CP118" s="105"/>
      <c r="CQ118" s="105"/>
      <c r="CR118" s="105"/>
      <c r="CS118" s="105"/>
      <c r="CT118" s="105"/>
      <c r="CU118" s="105"/>
      <c r="CV118" s="105"/>
      <c r="CW118" s="105"/>
      <c r="CX118" s="105"/>
      <c r="CY118" s="105"/>
      <c r="CZ118" s="105"/>
      <c r="DA118" s="105"/>
      <c r="DB118" s="105"/>
      <c r="DC118" s="105"/>
      <c r="DD118" s="105"/>
      <c r="DE118" s="105" t="s">
        <v>1237</v>
      </c>
      <c r="DF118" s="105" t="s">
        <v>1238</v>
      </c>
    </row>
    <row r="119" spans="2:110" x14ac:dyDescent="0.3">
      <c r="B119" s="104">
        <v>116</v>
      </c>
      <c r="C119" s="105"/>
      <c r="D119" s="105"/>
      <c r="E119" s="105" t="s">
        <v>1196</v>
      </c>
      <c r="F119" s="105" t="s">
        <v>1197</v>
      </c>
      <c r="G119" s="105"/>
      <c r="H119" s="105"/>
      <c r="I119" s="105"/>
      <c r="J119" s="105"/>
      <c r="K119" s="105"/>
      <c r="L119" s="105"/>
      <c r="M119" s="105"/>
      <c r="N119" s="105"/>
      <c r="O119" s="105"/>
      <c r="P119" s="105"/>
      <c r="Q119" s="105"/>
      <c r="R119" s="105"/>
      <c r="S119" s="105"/>
      <c r="T119" s="105"/>
      <c r="U119" s="105" t="s">
        <v>198</v>
      </c>
      <c r="V119" s="105"/>
      <c r="W119" s="105" t="s">
        <v>1427</v>
      </c>
      <c r="X119" s="105" t="s">
        <v>198</v>
      </c>
      <c r="Y119" s="105" t="s">
        <v>1427</v>
      </c>
      <c r="Z119" s="105" t="s">
        <v>198</v>
      </c>
      <c r="AA119" s="105" t="s">
        <v>1427</v>
      </c>
      <c r="AB119" s="105" t="s">
        <v>198</v>
      </c>
      <c r="AC119" s="105"/>
      <c r="AD119" s="105"/>
      <c r="AE119" s="105"/>
      <c r="AF119" s="105"/>
      <c r="AG119" s="105"/>
      <c r="AH119" s="105"/>
      <c r="AI119" s="105" t="s">
        <v>1210</v>
      </c>
      <c r="AJ119" s="105" t="s">
        <v>1211</v>
      </c>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t="s">
        <v>1213</v>
      </c>
      <c r="BJ119" s="105" t="s">
        <v>1211</v>
      </c>
      <c r="BK119" s="105" t="s">
        <v>198</v>
      </c>
      <c r="BL119" s="105" t="s">
        <v>198</v>
      </c>
      <c r="BM119" s="105" t="s">
        <v>1232</v>
      </c>
      <c r="BN119" s="105" t="s">
        <v>1226</v>
      </c>
      <c r="BO119" s="105" t="s">
        <v>1231</v>
      </c>
      <c r="BP119" s="105" t="s">
        <v>1226</v>
      </c>
      <c r="BQ119" s="105" t="s">
        <v>1233</v>
      </c>
      <c r="BR119" s="105" t="s">
        <v>1226</v>
      </c>
      <c r="BS119" s="105" t="s">
        <v>1233</v>
      </c>
      <c r="BT119" s="105" t="s">
        <v>1226</v>
      </c>
      <c r="BU119" s="105" t="s">
        <v>198</v>
      </c>
      <c r="BV119" s="105" t="s">
        <v>198</v>
      </c>
      <c r="BW119" s="105" t="s">
        <v>1233</v>
      </c>
      <c r="BX119" s="105" t="s">
        <v>1226</v>
      </c>
      <c r="BY119" s="105" t="s">
        <v>198</v>
      </c>
      <c r="BZ119" s="105" t="s">
        <v>198</v>
      </c>
      <c r="CA119" s="105" t="s">
        <v>198</v>
      </c>
      <c r="CB119" s="105" t="s">
        <v>198</v>
      </c>
      <c r="CC119" s="105" t="s">
        <v>1236</v>
      </c>
      <c r="CD119" s="105" t="s">
        <v>198</v>
      </c>
      <c r="CE119" s="105" t="s">
        <v>1236</v>
      </c>
      <c r="CF119" s="105" t="s">
        <v>198</v>
      </c>
      <c r="CG119" s="105" t="s">
        <v>1236</v>
      </c>
      <c r="CH119" s="105" t="s">
        <v>198</v>
      </c>
      <c r="CI119" s="105" t="s">
        <v>1236</v>
      </c>
      <c r="CJ119" s="105" t="s">
        <v>198</v>
      </c>
      <c r="CK119" s="105" t="s">
        <v>1212</v>
      </c>
      <c r="CL119" s="105" t="s">
        <v>1211</v>
      </c>
      <c r="CM119" s="105"/>
      <c r="CN119" s="105"/>
      <c r="CO119" s="105"/>
      <c r="CP119" s="105"/>
      <c r="CQ119" s="105"/>
      <c r="CR119" s="105"/>
      <c r="CS119" s="105"/>
      <c r="CT119" s="105"/>
      <c r="CU119" s="105"/>
      <c r="CV119" s="105"/>
      <c r="CW119" s="105"/>
      <c r="CX119" s="105"/>
      <c r="CY119" s="105"/>
      <c r="CZ119" s="105"/>
      <c r="DA119" s="105"/>
      <c r="DB119" s="105"/>
      <c r="DC119" s="105"/>
      <c r="DD119" s="105"/>
      <c r="DE119" s="105" t="s">
        <v>1237</v>
      </c>
      <c r="DF119" s="105" t="s">
        <v>1238</v>
      </c>
    </row>
    <row r="120" spans="2:110" x14ac:dyDescent="0.3">
      <c r="B120" s="104">
        <v>117</v>
      </c>
      <c r="C120" s="105"/>
      <c r="D120" s="105"/>
      <c r="E120" s="105"/>
      <c r="F120" s="105"/>
      <c r="G120" s="105"/>
      <c r="H120" s="105"/>
      <c r="I120" s="105"/>
      <c r="J120" s="105"/>
      <c r="K120" s="105"/>
      <c r="L120" s="105"/>
      <c r="M120" s="105"/>
      <c r="N120" s="105"/>
      <c r="O120" s="105"/>
      <c r="P120" s="105"/>
      <c r="Q120" s="105"/>
      <c r="R120" s="105"/>
      <c r="S120" s="105"/>
      <c r="T120" s="105"/>
      <c r="U120" s="105" t="s">
        <v>1307</v>
      </c>
      <c r="V120" s="105" t="s">
        <v>1310</v>
      </c>
      <c r="W120" s="105" t="s">
        <v>198</v>
      </c>
      <c r="X120" s="105" t="s">
        <v>1305</v>
      </c>
      <c r="Y120" s="105" t="s">
        <v>1306</v>
      </c>
      <c r="Z120" s="105" t="s">
        <v>1305</v>
      </c>
      <c r="AA120" s="105" t="s">
        <v>198</v>
      </c>
      <c r="AB120" s="105" t="s">
        <v>1305</v>
      </c>
      <c r="AC120" s="105" t="s">
        <v>198</v>
      </c>
      <c r="AD120" s="105" t="s">
        <v>1305</v>
      </c>
      <c r="AE120" s="105" t="s">
        <v>198</v>
      </c>
      <c r="AF120" s="105" t="s">
        <v>198</v>
      </c>
      <c r="AG120" s="105" t="s">
        <v>1328</v>
      </c>
      <c r="AH120" s="105" t="s">
        <v>1327</v>
      </c>
      <c r="AI120" s="105" t="s">
        <v>198</v>
      </c>
      <c r="AJ120" s="105" t="s">
        <v>1305</v>
      </c>
      <c r="AK120" s="105" t="s">
        <v>198</v>
      </c>
      <c r="AL120" s="105" t="s">
        <v>198</v>
      </c>
      <c r="AM120" s="105" t="s">
        <v>198</v>
      </c>
      <c r="AN120" s="105" t="s">
        <v>1311</v>
      </c>
      <c r="AO120" s="105" t="s">
        <v>198</v>
      </c>
      <c r="AP120" s="105" t="s">
        <v>1311</v>
      </c>
      <c r="AQ120" s="105" t="s">
        <v>198</v>
      </c>
      <c r="AR120" s="105" t="s">
        <v>1311</v>
      </c>
      <c r="AS120" s="105" t="s">
        <v>1318</v>
      </c>
      <c r="AT120" s="105" t="s">
        <v>1317</v>
      </c>
      <c r="AU120" s="105" t="s">
        <v>198</v>
      </c>
      <c r="AV120" s="105" t="s">
        <v>1327</v>
      </c>
      <c r="AW120" s="105" t="s">
        <v>198</v>
      </c>
      <c r="AX120" s="105" t="s">
        <v>1319</v>
      </c>
      <c r="AY120" s="105" t="s">
        <v>1320</v>
      </c>
      <c r="AZ120" s="105" t="s">
        <v>1317</v>
      </c>
      <c r="BA120" s="105" t="s">
        <v>198</v>
      </c>
      <c r="BB120" s="105" t="s">
        <v>1323</v>
      </c>
      <c r="BC120" s="105" t="s">
        <v>198</v>
      </c>
      <c r="BD120" s="105" t="s">
        <v>1323</v>
      </c>
      <c r="BE120" s="105" t="s">
        <v>198</v>
      </c>
      <c r="BF120" s="105" t="s">
        <v>198</v>
      </c>
      <c r="BG120" s="105" t="s">
        <v>198</v>
      </c>
      <c r="BH120" s="105" t="s">
        <v>1317</v>
      </c>
      <c r="BI120" s="105" t="s">
        <v>1325</v>
      </c>
      <c r="BJ120" s="105" t="s">
        <v>198</v>
      </c>
      <c r="BK120" s="105" t="s">
        <v>1325</v>
      </c>
      <c r="BL120" s="105" t="s">
        <v>198</v>
      </c>
      <c r="BM120" s="105" t="s">
        <v>198</v>
      </c>
      <c r="BN120" s="105" t="s">
        <v>1305</v>
      </c>
      <c r="BO120" s="105" t="s">
        <v>198</v>
      </c>
      <c r="BP120" s="105" t="s">
        <v>1305</v>
      </c>
      <c r="BQ120" s="105" t="s">
        <v>1324</v>
      </c>
      <c r="BR120" s="105" t="s">
        <v>198</v>
      </c>
      <c r="BS120" s="105" t="s">
        <v>198</v>
      </c>
      <c r="BT120" s="105" t="s">
        <v>1305</v>
      </c>
      <c r="BU120" s="105" t="s">
        <v>198</v>
      </c>
      <c r="BV120" s="105" t="s">
        <v>198</v>
      </c>
      <c r="BW120" s="105" t="s">
        <v>1326</v>
      </c>
      <c r="BX120" s="105" t="s">
        <v>198</v>
      </c>
      <c r="BY120" s="105" t="s">
        <v>198</v>
      </c>
      <c r="BZ120" s="105" t="s">
        <v>198</v>
      </c>
      <c r="CA120" s="105" t="s">
        <v>198</v>
      </c>
      <c r="CB120" s="105" t="s">
        <v>198</v>
      </c>
      <c r="CC120" s="105" t="s">
        <v>198</v>
      </c>
      <c r="CD120" s="105" t="s">
        <v>1305</v>
      </c>
      <c r="CE120" s="105" t="s">
        <v>1236</v>
      </c>
      <c r="CF120" s="105" t="s">
        <v>198</v>
      </c>
      <c r="CG120" s="105" t="s">
        <v>1236</v>
      </c>
      <c r="CH120" s="105" t="s">
        <v>198</v>
      </c>
      <c r="CI120" s="105" t="s">
        <v>1236</v>
      </c>
      <c r="CJ120" s="105" t="s">
        <v>198</v>
      </c>
      <c r="CK120" s="105" t="s">
        <v>1212</v>
      </c>
      <c r="CL120" s="105" t="s">
        <v>1305</v>
      </c>
      <c r="CM120" s="105" t="s">
        <v>198</v>
      </c>
      <c r="CN120" s="105" t="s">
        <v>198</v>
      </c>
      <c r="CO120" s="105" t="s">
        <v>198</v>
      </c>
      <c r="CP120" s="105" t="s">
        <v>1305</v>
      </c>
      <c r="CQ120" s="105" t="s">
        <v>198</v>
      </c>
      <c r="CR120" s="105" t="s">
        <v>198</v>
      </c>
      <c r="CS120" s="105" t="s">
        <v>198</v>
      </c>
      <c r="CT120" s="105" t="s">
        <v>198</v>
      </c>
      <c r="CU120" s="105" t="s">
        <v>198</v>
      </c>
      <c r="CV120" s="105" t="s">
        <v>198</v>
      </c>
      <c r="CW120" s="105" t="s">
        <v>198</v>
      </c>
      <c r="CX120" s="105" t="s">
        <v>198</v>
      </c>
      <c r="CY120" s="105"/>
      <c r="CZ120" s="105"/>
      <c r="DA120" s="105" t="s">
        <v>198</v>
      </c>
      <c r="DB120" s="105" t="s">
        <v>198</v>
      </c>
      <c r="DC120" s="105" t="s">
        <v>198</v>
      </c>
      <c r="DD120" s="105" t="s">
        <v>198</v>
      </c>
      <c r="DE120" s="105" t="s">
        <v>198</v>
      </c>
      <c r="DF120" s="105" t="s">
        <v>198</v>
      </c>
    </row>
    <row r="121" spans="2:110" x14ac:dyDescent="0.3">
      <c r="B121" s="104">
        <v>118</v>
      </c>
      <c r="C121" s="105"/>
      <c r="D121" s="105"/>
      <c r="E121" s="105"/>
      <c r="F121" s="105"/>
      <c r="G121" s="105"/>
      <c r="H121" s="105"/>
      <c r="I121" s="105"/>
      <c r="J121" s="105"/>
      <c r="K121" s="105"/>
      <c r="L121" s="105"/>
      <c r="M121" s="105"/>
      <c r="N121" s="105"/>
      <c r="O121" s="105"/>
      <c r="P121" s="105"/>
      <c r="Q121" s="105"/>
      <c r="R121" s="105"/>
      <c r="S121" s="105"/>
      <c r="T121" s="105"/>
      <c r="U121" s="105" t="s">
        <v>1308</v>
      </c>
      <c r="V121" s="105" t="s">
        <v>1310</v>
      </c>
      <c r="W121" s="105" t="s">
        <v>198</v>
      </c>
      <c r="X121" s="105" t="s">
        <v>1305</v>
      </c>
      <c r="Y121" s="105" t="s">
        <v>1306</v>
      </c>
      <c r="Z121" s="105" t="s">
        <v>1305</v>
      </c>
      <c r="AA121" s="105" t="s">
        <v>198</v>
      </c>
      <c r="AB121" s="105" t="s">
        <v>1305</v>
      </c>
      <c r="AC121" s="105" t="s">
        <v>198</v>
      </c>
      <c r="AD121" s="105" t="s">
        <v>1305</v>
      </c>
      <c r="AE121" s="105" t="s">
        <v>198</v>
      </c>
      <c r="AF121" s="105" t="s">
        <v>198</v>
      </c>
      <c r="AG121" s="105" t="s">
        <v>1328</v>
      </c>
      <c r="AH121" s="105" t="s">
        <v>1327</v>
      </c>
      <c r="AI121" s="105" t="s">
        <v>198</v>
      </c>
      <c r="AJ121" s="105" t="s">
        <v>1305</v>
      </c>
      <c r="AK121" s="105" t="s">
        <v>198</v>
      </c>
      <c r="AL121" s="105" t="s">
        <v>198</v>
      </c>
      <c r="AM121" s="105" t="s">
        <v>198</v>
      </c>
      <c r="AN121" s="105" t="s">
        <v>1311</v>
      </c>
      <c r="AO121" s="105" t="s">
        <v>198</v>
      </c>
      <c r="AP121" s="105" t="s">
        <v>1311</v>
      </c>
      <c r="AQ121" s="105" t="s">
        <v>198</v>
      </c>
      <c r="AR121" s="105" t="s">
        <v>1311</v>
      </c>
      <c r="AS121" s="105" t="s">
        <v>1318</v>
      </c>
      <c r="AT121" s="105" t="s">
        <v>1317</v>
      </c>
      <c r="AU121" s="105" t="s">
        <v>198</v>
      </c>
      <c r="AV121" s="105" t="s">
        <v>1327</v>
      </c>
      <c r="AW121" s="105" t="s">
        <v>198</v>
      </c>
      <c r="AX121" s="105" t="s">
        <v>1319</v>
      </c>
      <c r="AY121" s="105" t="s">
        <v>1320</v>
      </c>
      <c r="AZ121" s="105" t="s">
        <v>1317</v>
      </c>
      <c r="BA121" s="105" t="s">
        <v>198</v>
      </c>
      <c r="BB121" s="105" t="s">
        <v>1323</v>
      </c>
      <c r="BC121" s="105" t="s">
        <v>198</v>
      </c>
      <c r="BD121" s="105" t="s">
        <v>1323</v>
      </c>
      <c r="BE121" s="105" t="s">
        <v>198</v>
      </c>
      <c r="BF121" s="105" t="s">
        <v>198</v>
      </c>
      <c r="BG121" s="105" t="s">
        <v>198</v>
      </c>
      <c r="BH121" s="105" t="s">
        <v>1317</v>
      </c>
      <c r="BI121" s="105" t="s">
        <v>1325</v>
      </c>
      <c r="BJ121" s="105" t="s">
        <v>198</v>
      </c>
      <c r="BK121" s="105" t="s">
        <v>1325</v>
      </c>
      <c r="BL121" s="105" t="s">
        <v>198</v>
      </c>
      <c r="BM121" s="105" t="s">
        <v>198</v>
      </c>
      <c r="BN121" s="105" t="s">
        <v>1305</v>
      </c>
      <c r="BO121" s="105" t="s">
        <v>198</v>
      </c>
      <c r="BP121" s="105" t="s">
        <v>1305</v>
      </c>
      <c r="BQ121" s="105" t="s">
        <v>1324</v>
      </c>
      <c r="BR121" s="105" t="s">
        <v>198</v>
      </c>
      <c r="BS121" s="105" t="s">
        <v>198</v>
      </c>
      <c r="BT121" s="105" t="s">
        <v>1305</v>
      </c>
      <c r="BU121" s="105" t="s">
        <v>198</v>
      </c>
      <c r="BV121" s="105" t="s">
        <v>198</v>
      </c>
      <c r="BW121" s="105" t="s">
        <v>1326</v>
      </c>
      <c r="BX121" s="105" t="s">
        <v>198</v>
      </c>
      <c r="BY121" s="105" t="s">
        <v>198</v>
      </c>
      <c r="BZ121" s="105" t="s">
        <v>198</v>
      </c>
      <c r="CA121" s="105" t="s">
        <v>198</v>
      </c>
      <c r="CB121" s="105" t="s">
        <v>198</v>
      </c>
      <c r="CC121" s="105" t="s">
        <v>198</v>
      </c>
      <c r="CD121" s="105" t="s">
        <v>1305</v>
      </c>
      <c r="CE121" s="105" t="s">
        <v>1236</v>
      </c>
      <c r="CF121" s="105" t="s">
        <v>198</v>
      </c>
      <c r="CG121" s="105" t="s">
        <v>1236</v>
      </c>
      <c r="CH121" s="105" t="s">
        <v>198</v>
      </c>
      <c r="CI121" s="105" t="s">
        <v>1236</v>
      </c>
      <c r="CJ121" s="105" t="s">
        <v>198</v>
      </c>
      <c r="CK121" s="105" t="s">
        <v>1212</v>
      </c>
      <c r="CL121" s="105" t="s">
        <v>1305</v>
      </c>
      <c r="CM121" s="105" t="s">
        <v>198</v>
      </c>
      <c r="CN121" s="105" t="s">
        <v>198</v>
      </c>
      <c r="CO121" s="105" t="s">
        <v>198</v>
      </c>
      <c r="CP121" s="105" t="s">
        <v>1305</v>
      </c>
      <c r="CQ121" s="105" t="s">
        <v>198</v>
      </c>
      <c r="CR121" s="105" t="s">
        <v>198</v>
      </c>
      <c r="CS121" s="105" t="s">
        <v>198</v>
      </c>
      <c r="CT121" s="105" t="s">
        <v>198</v>
      </c>
      <c r="CU121" s="105" t="s">
        <v>198</v>
      </c>
      <c r="CV121" s="105" t="s">
        <v>198</v>
      </c>
      <c r="CW121" s="105" t="s">
        <v>198</v>
      </c>
      <c r="CX121" s="105" t="s">
        <v>198</v>
      </c>
      <c r="CY121" s="105"/>
      <c r="CZ121" s="105"/>
      <c r="DA121" s="105" t="s">
        <v>198</v>
      </c>
      <c r="DB121" s="105" t="s">
        <v>198</v>
      </c>
      <c r="DC121" s="105" t="s">
        <v>198</v>
      </c>
      <c r="DD121" s="105" t="s">
        <v>198</v>
      </c>
      <c r="DE121" s="105" t="s">
        <v>198</v>
      </c>
      <c r="DF121" s="105" t="s">
        <v>198</v>
      </c>
    </row>
    <row r="122" spans="2:110" x14ac:dyDescent="0.3">
      <c r="B122" s="104">
        <v>119</v>
      </c>
      <c r="C122" s="105"/>
      <c r="D122" s="105"/>
      <c r="E122" s="105"/>
      <c r="F122" s="105"/>
      <c r="G122" s="105"/>
      <c r="H122" s="105"/>
      <c r="I122" s="105"/>
      <c r="J122" s="105"/>
      <c r="K122" s="105"/>
      <c r="L122" s="105"/>
      <c r="M122" s="105"/>
      <c r="N122" s="105"/>
      <c r="O122" s="105"/>
      <c r="P122" s="105"/>
      <c r="Q122" s="105"/>
      <c r="R122" s="105"/>
      <c r="S122" s="105"/>
      <c r="T122" s="105"/>
      <c r="U122" s="105" t="s">
        <v>1309</v>
      </c>
      <c r="V122" s="105" t="s">
        <v>1310</v>
      </c>
      <c r="W122" s="105" t="s">
        <v>198</v>
      </c>
      <c r="X122" s="105" t="s">
        <v>1305</v>
      </c>
      <c r="Y122" s="105" t="s">
        <v>1306</v>
      </c>
      <c r="Z122" s="105" t="s">
        <v>1305</v>
      </c>
      <c r="AA122" s="105" t="s">
        <v>198</v>
      </c>
      <c r="AB122" s="105" t="s">
        <v>1305</v>
      </c>
      <c r="AC122" s="105" t="s">
        <v>198</v>
      </c>
      <c r="AD122" s="105" t="s">
        <v>1305</v>
      </c>
      <c r="AE122" s="105" t="s">
        <v>198</v>
      </c>
      <c r="AF122" s="105" t="s">
        <v>198</v>
      </c>
      <c r="AG122" s="105" t="s">
        <v>1329</v>
      </c>
      <c r="AH122" s="105" t="s">
        <v>1327</v>
      </c>
      <c r="AI122" s="105" t="s">
        <v>198</v>
      </c>
      <c r="AJ122" s="105" t="s">
        <v>1305</v>
      </c>
      <c r="AK122" s="105" t="s">
        <v>198</v>
      </c>
      <c r="AL122" s="105" t="s">
        <v>198</v>
      </c>
      <c r="AM122" s="105" t="s">
        <v>198</v>
      </c>
      <c r="AN122" s="105" t="s">
        <v>1311</v>
      </c>
      <c r="AO122" s="105" t="s">
        <v>198</v>
      </c>
      <c r="AP122" s="105" t="s">
        <v>1311</v>
      </c>
      <c r="AQ122" s="105" t="s">
        <v>198</v>
      </c>
      <c r="AR122" s="105" t="s">
        <v>1311</v>
      </c>
      <c r="AS122" s="105" t="s">
        <v>1318</v>
      </c>
      <c r="AT122" s="105" t="s">
        <v>1317</v>
      </c>
      <c r="AU122" s="105" t="s">
        <v>198</v>
      </c>
      <c r="AV122" s="105" t="s">
        <v>1327</v>
      </c>
      <c r="AW122" s="105" t="s">
        <v>198</v>
      </c>
      <c r="AX122" s="105" t="s">
        <v>1319</v>
      </c>
      <c r="AY122" s="105" t="s">
        <v>1320</v>
      </c>
      <c r="AZ122" s="105" t="s">
        <v>1317</v>
      </c>
      <c r="BA122" s="105" t="s">
        <v>198</v>
      </c>
      <c r="BB122" s="105" t="s">
        <v>1323</v>
      </c>
      <c r="BC122" s="105" t="s">
        <v>198</v>
      </c>
      <c r="BD122" s="105" t="s">
        <v>1323</v>
      </c>
      <c r="BE122" s="105" t="s">
        <v>198</v>
      </c>
      <c r="BF122" s="105" t="s">
        <v>198</v>
      </c>
      <c r="BG122" s="105" t="s">
        <v>198</v>
      </c>
      <c r="BH122" s="105" t="s">
        <v>1317</v>
      </c>
      <c r="BI122" s="105" t="s">
        <v>1325</v>
      </c>
      <c r="BJ122" s="105" t="s">
        <v>198</v>
      </c>
      <c r="BK122" s="105" t="s">
        <v>1325</v>
      </c>
      <c r="BL122" s="105" t="s">
        <v>198</v>
      </c>
      <c r="BM122" s="105" t="s">
        <v>198</v>
      </c>
      <c r="BN122" s="105" t="s">
        <v>1305</v>
      </c>
      <c r="BO122" s="105" t="s">
        <v>198</v>
      </c>
      <c r="BP122" s="105" t="s">
        <v>1305</v>
      </c>
      <c r="BQ122" s="105" t="s">
        <v>1324</v>
      </c>
      <c r="BR122" s="105" t="s">
        <v>198</v>
      </c>
      <c r="BS122" s="105" t="s">
        <v>198</v>
      </c>
      <c r="BT122" s="105" t="s">
        <v>1305</v>
      </c>
      <c r="BU122" s="105" t="s">
        <v>198</v>
      </c>
      <c r="BV122" s="105" t="s">
        <v>198</v>
      </c>
      <c r="BW122" s="105" t="s">
        <v>1326</v>
      </c>
      <c r="BX122" s="105" t="s">
        <v>198</v>
      </c>
      <c r="BY122" s="105" t="s">
        <v>198</v>
      </c>
      <c r="BZ122" s="105" t="s">
        <v>198</v>
      </c>
      <c r="CA122" s="105" t="s">
        <v>198</v>
      </c>
      <c r="CB122" s="105" t="s">
        <v>198</v>
      </c>
      <c r="CC122" s="105" t="s">
        <v>198</v>
      </c>
      <c r="CD122" s="105" t="s">
        <v>1305</v>
      </c>
      <c r="CE122" s="105" t="s">
        <v>1236</v>
      </c>
      <c r="CF122" s="105" t="s">
        <v>198</v>
      </c>
      <c r="CG122" s="105" t="s">
        <v>1236</v>
      </c>
      <c r="CH122" s="105" t="s">
        <v>198</v>
      </c>
      <c r="CI122" s="105" t="s">
        <v>1236</v>
      </c>
      <c r="CJ122" s="105" t="s">
        <v>198</v>
      </c>
      <c r="CK122" s="105" t="s">
        <v>1212</v>
      </c>
      <c r="CL122" s="105" t="s">
        <v>1305</v>
      </c>
      <c r="CM122" s="105" t="s">
        <v>198</v>
      </c>
      <c r="CN122" s="105" t="s">
        <v>198</v>
      </c>
      <c r="CO122" s="105" t="s">
        <v>198</v>
      </c>
      <c r="CP122" s="105" t="s">
        <v>1305</v>
      </c>
      <c r="CQ122" s="105" t="s">
        <v>198</v>
      </c>
      <c r="CR122" s="105" t="s">
        <v>198</v>
      </c>
      <c r="CS122" s="105" t="s">
        <v>198</v>
      </c>
      <c r="CT122" s="105" t="s">
        <v>198</v>
      </c>
      <c r="CU122" s="105" t="s">
        <v>198</v>
      </c>
      <c r="CV122" s="105" t="s">
        <v>198</v>
      </c>
      <c r="CW122" s="105" t="s">
        <v>198</v>
      </c>
      <c r="CX122" s="105" t="s">
        <v>198</v>
      </c>
      <c r="CY122" s="105"/>
      <c r="CZ122" s="105"/>
      <c r="DA122" s="105" t="s">
        <v>198</v>
      </c>
      <c r="DB122" s="105" t="s">
        <v>198</v>
      </c>
      <c r="DC122" s="105" t="s">
        <v>198</v>
      </c>
      <c r="DD122" s="105" t="s">
        <v>198</v>
      </c>
      <c r="DE122" s="105" t="s">
        <v>198</v>
      </c>
      <c r="DF122" s="105" t="s">
        <v>198</v>
      </c>
    </row>
    <row r="123" spans="2:110" x14ac:dyDescent="0.3">
      <c r="B123" s="104">
        <v>120</v>
      </c>
      <c r="C123" s="105"/>
      <c r="D123" s="105"/>
      <c r="E123" s="105" t="s">
        <v>198</v>
      </c>
      <c r="F123" s="105" t="s">
        <v>1355</v>
      </c>
      <c r="G123" s="105" t="s">
        <v>198</v>
      </c>
      <c r="H123" s="105" t="s">
        <v>198</v>
      </c>
      <c r="I123" s="105"/>
      <c r="J123" s="105"/>
      <c r="K123" s="105" t="s">
        <v>198</v>
      </c>
      <c r="L123" s="105" t="s">
        <v>1355</v>
      </c>
      <c r="M123" s="105" t="s">
        <v>198</v>
      </c>
      <c r="N123" s="105" t="s">
        <v>1355</v>
      </c>
      <c r="O123" s="105" t="s">
        <v>198</v>
      </c>
      <c r="P123" s="105" t="s">
        <v>1355</v>
      </c>
      <c r="Q123" s="105"/>
      <c r="R123" s="105"/>
      <c r="S123" s="105" t="s">
        <v>198</v>
      </c>
      <c r="T123" s="105" t="s">
        <v>1355</v>
      </c>
      <c r="U123" s="105" t="s">
        <v>198</v>
      </c>
      <c r="V123" s="105" t="s">
        <v>1357</v>
      </c>
      <c r="W123" s="105" t="s">
        <v>198</v>
      </c>
      <c r="X123" s="105" t="s">
        <v>1357</v>
      </c>
      <c r="Y123" s="105" t="s">
        <v>198</v>
      </c>
      <c r="Z123" s="105" t="s">
        <v>1357</v>
      </c>
      <c r="AA123" s="105" t="s">
        <v>198</v>
      </c>
      <c r="AB123" s="105" t="s">
        <v>1357</v>
      </c>
      <c r="AC123" s="105" t="s">
        <v>198</v>
      </c>
      <c r="AD123" s="105" t="s">
        <v>1357</v>
      </c>
      <c r="AE123" s="105" t="s">
        <v>198</v>
      </c>
      <c r="AF123" s="105" t="s">
        <v>198</v>
      </c>
      <c r="AG123" s="105" t="s">
        <v>198</v>
      </c>
      <c r="AH123" s="105" t="s">
        <v>1357</v>
      </c>
      <c r="AI123" s="105" t="s">
        <v>1358</v>
      </c>
      <c r="AJ123" s="105" t="s">
        <v>1357</v>
      </c>
      <c r="AK123" s="105" t="s">
        <v>198</v>
      </c>
      <c r="AL123" s="105" t="s">
        <v>198</v>
      </c>
      <c r="AM123" s="105" t="s">
        <v>198</v>
      </c>
      <c r="AN123" s="105" t="s">
        <v>1357</v>
      </c>
      <c r="AO123" s="105" t="s">
        <v>198</v>
      </c>
      <c r="AP123" s="105" t="s">
        <v>1357</v>
      </c>
      <c r="AQ123" s="105" t="s">
        <v>198</v>
      </c>
      <c r="AR123" s="105" t="s">
        <v>1357</v>
      </c>
      <c r="AS123" s="105" t="s">
        <v>1359</v>
      </c>
      <c r="AT123" s="105" t="s">
        <v>1357</v>
      </c>
      <c r="AU123" s="105" t="s">
        <v>1360</v>
      </c>
      <c r="AV123" s="105" t="s">
        <v>1361</v>
      </c>
      <c r="AW123" s="105" t="s">
        <v>1364</v>
      </c>
      <c r="AX123" s="105" t="s">
        <v>1363</v>
      </c>
      <c r="AY123" s="105"/>
      <c r="AZ123" s="105"/>
      <c r="BA123" s="105" t="s">
        <v>1362</v>
      </c>
      <c r="BB123" s="105" t="s">
        <v>1363</v>
      </c>
      <c r="BC123" s="105" t="s">
        <v>1365</v>
      </c>
      <c r="BD123" s="105" t="s">
        <v>1363</v>
      </c>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row>
    <row r="124" spans="2:110" x14ac:dyDescent="0.3">
      <c r="B124" s="104">
        <v>121</v>
      </c>
      <c r="C124" s="105"/>
      <c r="D124" s="105"/>
      <c r="E124" s="105" t="s">
        <v>198</v>
      </c>
      <c r="F124" s="105" t="s">
        <v>1355</v>
      </c>
      <c r="G124" s="105" t="s">
        <v>198</v>
      </c>
      <c r="H124" s="105" t="s">
        <v>198</v>
      </c>
      <c r="I124" s="105"/>
      <c r="J124" s="105"/>
      <c r="K124" s="105" t="s">
        <v>198</v>
      </c>
      <c r="L124" s="105" t="s">
        <v>1355</v>
      </c>
      <c r="M124" s="105" t="s">
        <v>198</v>
      </c>
      <c r="N124" s="105" t="s">
        <v>1355</v>
      </c>
      <c r="O124" s="105" t="s">
        <v>1356</v>
      </c>
      <c r="P124" s="105" t="s">
        <v>1355</v>
      </c>
      <c r="Q124" s="105" t="s">
        <v>198</v>
      </c>
      <c r="R124" s="105" t="s">
        <v>198</v>
      </c>
      <c r="S124" s="105" t="s">
        <v>198</v>
      </c>
      <c r="T124" s="105" t="s">
        <v>198</v>
      </c>
      <c r="U124" s="105" t="s">
        <v>198</v>
      </c>
      <c r="V124" s="105" t="s">
        <v>1357</v>
      </c>
      <c r="W124" s="105" t="s">
        <v>198</v>
      </c>
      <c r="X124" s="105" t="s">
        <v>1357</v>
      </c>
      <c r="Y124" s="105" t="s">
        <v>198</v>
      </c>
      <c r="Z124" s="105" t="s">
        <v>1357</v>
      </c>
      <c r="AA124" s="105" t="s">
        <v>198</v>
      </c>
      <c r="AB124" s="105" t="s">
        <v>1357</v>
      </c>
      <c r="AC124" s="105" t="s">
        <v>198</v>
      </c>
      <c r="AD124" s="105" t="s">
        <v>1357</v>
      </c>
      <c r="AE124" s="105" t="s">
        <v>198</v>
      </c>
      <c r="AF124" s="105" t="s">
        <v>198</v>
      </c>
      <c r="AG124" s="105" t="s">
        <v>198</v>
      </c>
      <c r="AH124" s="105" t="s">
        <v>1357</v>
      </c>
      <c r="AI124" s="105" t="s">
        <v>1358</v>
      </c>
      <c r="AJ124" s="105" t="s">
        <v>1357</v>
      </c>
      <c r="AK124" s="105" t="s">
        <v>198</v>
      </c>
      <c r="AL124" s="105" t="s">
        <v>198</v>
      </c>
      <c r="AM124" s="105" t="s">
        <v>198</v>
      </c>
      <c r="AN124" s="105" t="s">
        <v>1357</v>
      </c>
      <c r="AO124" s="105" t="s">
        <v>198</v>
      </c>
      <c r="AP124" s="105" t="s">
        <v>1357</v>
      </c>
      <c r="AQ124" s="105" t="s">
        <v>198</v>
      </c>
      <c r="AR124" s="105" t="s">
        <v>1357</v>
      </c>
      <c r="AS124" s="105" t="s">
        <v>1359</v>
      </c>
      <c r="AT124" s="105" t="s">
        <v>1357</v>
      </c>
      <c r="AU124" s="105" t="s">
        <v>1360</v>
      </c>
      <c r="AV124" s="105" t="s">
        <v>1361</v>
      </c>
      <c r="AW124" s="105" t="s">
        <v>1364</v>
      </c>
      <c r="AX124" s="105" t="s">
        <v>1363</v>
      </c>
      <c r="AY124" s="105"/>
      <c r="AZ124" s="105"/>
      <c r="BA124" s="105" t="s">
        <v>1362</v>
      </c>
      <c r="BB124" s="105" t="s">
        <v>1363</v>
      </c>
      <c r="BC124" s="105" t="s">
        <v>1365</v>
      </c>
      <c r="BD124" s="105" t="s">
        <v>1363</v>
      </c>
      <c r="BE124" s="105"/>
      <c r="BF124" s="105"/>
      <c r="BG124" s="105"/>
      <c r="BH124" s="105"/>
      <c r="BI124" s="105" t="s">
        <v>1366</v>
      </c>
      <c r="BJ124" s="105" t="s">
        <v>1355</v>
      </c>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row>
    <row r="125" spans="2:110" x14ac:dyDescent="0.3">
      <c r="B125" s="104">
        <v>122</v>
      </c>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row>
    <row r="126" spans="2:110" x14ac:dyDescent="0.3">
      <c r="B126" s="104">
        <v>123</v>
      </c>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105"/>
      <c r="CY126" s="105"/>
      <c r="CZ126" s="105"/>
      <c r="DA126" s="105"/>
      <c r="DB126" s="105"/>
      <c r="DC126" s="105"/>
      <c r="DD126" s="105"/>
      <c r="DE126" s="105"/>
      <c r="DF126" s="105"/>
    </row>
    <row r="127" spans="2:110" x14ac:dyDescent="0.3">
      <c r="B127" s="104">
        <v>124</v>
      </c>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105"/>
      <c r="CY127" s="105"/>
      <c r="CZ127" s="105"/>
      <c r="DA127" s="105"/>
      <c r="DB127" s="105"/>
      <c r="DC127" s="105"/>
      <c r="DD127" s="105"/>
      <c r="DE127" s="105"/>
      <c r="DF127" s="105"/>
    </row>
    <row r="128" spans="2:110" x14ac:dyDescent="0.3">
      <c r="B128" s="104">
        <v>125</v>
      </c>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row>
    <row r="129" spans="2:110" x14ac:dyDescent="0.3">
      <c r="B129" s="104">
        <v>126</v>
      </c>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row>
    <row r="130" spans="2:110" x14ac:dyDescent="0.3">
      <c r="B130" s="104">
        <v>127</v>
      </c>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row>
    <row r="131" spans="2:110" x14ac:dyDescent="0.3">
      <c r="B131" s="104">
        <v>128</v>
      </c>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row>
    <row r="132" spans="2:110" x14ac:dyDescent="0.3">
      <c r="B132" s="104">
        <v>129</v>
      </c>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row>
    <row r="133" spans="2:110" x14ac:dyDescent="0.3">
      <c r="B133" s="104">
        <v>161</v>
      </c>
      <c r="C133" s="105"/>
      <c r="D133" s="105"/>
      <c r="E133" s="105" t="s">
        <v>198</v>
      </c>
      <c r="F133" s="105" t="s">
        <v>713</v>
      </c>
      <c r="G133" s="105" t="s">
        <v>198</v>
      </c>
      <c r="H133" s="105" t="s">
        <v>198</v>
      </c>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t="s">
        <v>815</v>
      </c>
      <c r="AI133" s="105"/>
      <c r="AJ133" s="105"/>
      <c r="AK133" s="105"/>
      <c r="AL133" s="105"/>
      <c r="AM133" s="105" t="s">
        <v>1410</v>
      </c>
      <c r="AN133" s="105" t="s">
        <v>1409</v>
      </c>
      <c r="AO133" s="105" t="s">
        <v>1411</v>
      </c>
      <c r="AP133" s="105" t="s">
        <v>198</v>
      </c>
      <c r="AQ133" s="105"/>
      <c r="AR133" s="105"/>
      <c r="AS133" s="105"/>
      <c r="AT133" s="105"/>
      <c r="AU133" s="105"/>
      <c r="AV133" s="105"/>
      <c r="AW133" s="105"/>
      <c r="AX133" s="105"/>
      <c r="AY133" s="105" t="s">
        <v>697</v>
      </c>
      <c r="AZ133" s="105"/>
      <c r="BA133" s="105"/>
      <c r="BB133" s="105"/>
      <c r="BC133" s="105"/>
      <c r="BD133" s="105"/>
      <c r="BE133" s="105"/>
      <c r="BF133" s="105"/>
      <c r="BG133" s="105"/>
      <c r="BH133" s="105"/>
      <c r="BI133" s="105" t="s">
        <v>198</v>
      </c>
      <c r="BJ133" s="105" t="s">
        <v>198</v>
      </c>
      <c r="BK133" s="105" t="s">
        <v>934</v>
      </c>
      <c r="BL133" s="105" t="s">
        <v>198</v>
      </c>
      <c r="BM133" s="105" t="s">
        <v>934</v>
      </c>
      <c r="BN133" s="105" t="s">
        <v>198</v>
      </c>
      <c r="BO133" s="105" t="s">
        <v>934</v>
      </c>
      <c r="BP133" s="105" t="s">
        <v>198</v>
      </c>
      <c r="BQ133" s="105" t="s">
        <v>934</v>
      </c>
      <c r="BR133" s="105" t="s">
        <v>198</v>
      </c>
      <c r="BS133" s="105" t="s">
        <v>934</v>
      </c>
      <c r="BT133" s="105" t="s">
        <v>198</v>
      </c>
      <c r="BU133" s="105" t="s">
        <v>198</v>
      </c>
      <c r="BV133" s="105" t="s">
        <v>198</v>
      </c>
      <c r="BW133" s="105" t="s">
        <v>934</v>
      </c>
      <c r="BX133" s="105" t="s">
        <v>198</v>
      </c>
      <c r="BY133" s="105" t="s">
        <v>198</v>
      </c>
      <c r="BZ133" s="105" t="s">
        <v>198</v>
      </c>
      <c r="CA133" s="105" t="s">
        <v>198</v>
      </c>
      <c r="CB133" s="105" t="s">
        <v>198</v>
      </c>
      <c r="CC133" s="105" t="s">
        <v>937</v>
      </c>
      <c r="CD133" s="105" t="s">
        <v>198</v>
      </c>
      <c r="CE133" s="105" t="s">
        <v>937</v>
      </c>
      <c r="CF133" s="105" t="s">
        <v>198</v>
      </c>
      <c r="CG133" s="105" t="s">
        <v>939</v>
      </c>
      <c r="CH133" s="105" t="s">
        <v>198</v>
      </c>
      <c r="CI133" s="105" t="s">
        <v>940</v>
      </c>
      <c r="CJ133" s="105" t="s">
        <v>198</v>
      </c>
      <c r="CK133" s="105" t="s">
        <v>198</v>
      </c>
      <c r="CL133" s="105" t="s">
        <v>198</v>
      </c>
      <c r="CM133" s="105" t="s">
        <v>198</v>
      </c>
      <c r="CN133" s="105" t="s">
        <v>198</v>
      </c>
      <c r="CO133" s="105" t="s">
        <v>198</v>
      </c>
      <c r="CP133" s="105" t="s">
        <v>198</v>
      </c>
      <c r="CQ133" s="105" t="s">
        <v>198</v>
      </c>
      <c r="CR133" s="105" t="s">
        <v>705</v>
      </c>
      <c r="CS133" s="105" t="s">
        <v>198</v>
      </c>
      <c r="CT133" s="105" t="s">
        <v>705</v>
      </c>
      <c r="CU133" s="105" t="s">
        <v>816</v>
      </c>
      <c r="CV133" s="105" t="s">
        <v>198</v>
      </c>
      <c r="CW133" s="105" t="s">
        <v>198</v>
      </c>
      <c r="CX133" s="105" t="s">
        <v>705</v>
      </c>
      <c r="CY133" s="105" t="s">
        <v>712</v>
      </c>
      <c r="CZ133" s="105" t="s">
        <v>713</v>
      </c>
      <c r="DA133" s="105" t="s">
        <v>198</v>
      </c>
      <c r="DB133" s="105" t="s">
        <v>198</v>
      </c>
      <c r="DC133" s="105" t="s">
        <v>198</v>
      </c>
      <c r="DD133" s="105" t="s">
        <v>198</v>
      </c>
      <c r="DE133" s="105" t="s">
        <v>198</v>
      </c>
      <c r="DF133" s="105" t="s">
        <v>198</v>
      </c>
    </row>
    <row r="134" spans="2:110" x14ac:dyDescent="0.3">
      <c r="B134" s="104">
        <v>162</v>
      </c>
      <c r="C134" s="105"/>
      <c r="D134" s="105"/>
      <c r="E134" s="105" t="s">
        <v>198</v>
      </c>
      <c r="F134" s="105" t="s">
        <v>713</v>
      </c>
      <c r="G134" s="105" t="s">
        <v>198</v>
      </c>
      <c r="H134" s="105" t="s">
        <v>198</v>
      </c>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t="s">
        <v>815</v>
      </c>
      <c r="AI134" s="105"/>
      <c r="AJ134" s="105"/>
      <c r="AK134" s="105"/>
      <c r="AL134" s="105"/>
      <c r="AM134" s="105" t="s">
        <v>1410</v>
      </c>
      <c r="AN134" s="105" t="s">
        <v>1409</v>
      </c>
      <c r="AO134" s="105" t="s">
        <v>1411</v>
      </c>
      <c r="AP134" s="105" t="s">
        <v>198</v>
      </c>
      <c r="AQ134" s="105"/>
      <c r="AR134" s="105"/>
      <c r="AS134" s="105"/>
      <c r="AT134" s="105"/>
      <c r="AU134" s="105"/>
      <c r="AV134" s="105"/>
      <c r="AW134" s="105"/>
      <c r="AX134" s="105"/>
      <c r="AY134" s="105" t="s">
        <v>697</v>
      </c>
      <c r="AZ134" s="105"/>
      <c r="BA134" s="105"/>
      <c r="BB134" s="105"/>
      <c r="BC134" s="105"/>
      <c r="BD134" s="105"/>
      <c r="BE134" s="105"/>
      <c r="BF134" s="105"/>
      <c r="BG134" s="105"/>
      <c r="BH134" s="105"/>
      <c r="BI134" s="105" t="s">
        <v>198</v>
      </c>
      <c r="BJ134" s="105" t="s">
        <v>198</v>
      </c>
      <c r="BK134" s="105" t="s">
        <v>934</v>
      </c>
      <c r="BL134" s="105" t="s">
        <v>198</v>
      </c>
      <c r="BM134" s="105" t="s">
        <v>934</v>
      </c>
      <c r="BN134" s="105" t="s">
        <v>198</v>
      </c>
      <c r="BO134" s="105" t="s">
        <v>934</v>
      </c>
      <c r="BP134" s="105" t="s">
        <v>198</v>
      </c>
      <c r="BQ134" s="105" t="s">
        <v>934</v>
      </c>
      <c r="BR134" s="105" t="s">
        <v>198</v>
      </c>
      <c r="BS134" s="105" t="s">
        <v>934</v>
      </c>
      <c r="BT134" s="105" t="s">
        <v>198</v>
      </c>
      <c r="BU134" s="105" t="s">
        <v>198</v>
      </c>
      <c r="BV134" s="105" t="s">
        <v>198</v>
      </c>
      <c r="BW134" s="105" t="s">
        <v>934</v>
      </c>
      <c r="BX134" s="105" t="s">
        <v>198</v>
      </c>
      <c r="BY134" s="105" t="s">
        <v>198</v>
      </c>
      <c r="BZ134" s="105" t="s">
        <v>198</v>
      </c>
      <c r="CA134" s="105" t="s">
        <v>198</v>
      </c>
      <c r="CB134" s="105" t="s">
        <v>198</v>
      </c>
      <c r="CC134" s="105" t="s">
        <v>937</v>
      </c>
      <c r="CD134" s="105" t="s">
        <v>198</v>
      </c>
      <c r="CE134" s="105" t="s">
        <v>937</v>
      </c>
      <c r="CF134" s="105" t="s">
        <v>198</v>
      </c>
      <c r="CG134" s="105" t="s">
        <v>939</v>
      </c>
      <c r="CH134" s="105" t="s">
        <v>198</v>
      </c>
      <c r="CI134" s="105" t="s">
        <v>940</v>
      </c>
      <c r="CJ134" s="105" t="s">
        <v>198</v>
      </c>
      <c r="CK134" s="105" t="s">
        <v>198</v>
      </c>
      <c r="CL134" s="105" t="s">
        <v>198</v>
      </c>
      <c r="CM134" s="105" t="s">
        <v>198</v>
      </c>
      <c r="CN134" s="105" t="s">
        <v>198</v>
      </c>
      <c r="CO134" s="105" t="s">
        <v>198</v>
      </c>
      <c r="CP134" s="105" t="s">
        <v>198</v>
      </c>
      <c r="CQ134" s="105" t="s">
        <v>198</v>
      </c>
      <c r="CR134" s="105" t="s">
        <v>705</v>
      </c>
      <c r="CS134" s="105" t="s">
        <v>198</v>
      </c>
      <c r="CT134" s="105" t="s">
        <v>705</v>
      </c>
      <c r="CU134" s="105" t="s">
        <v>816</v>
      </c>
      <c r="CV134" s="105" t="s">
        <v>198</v>
      </c>
      <c r="CW134" s="105" t="s">
        <v>198</v>
      </c>
      <c r="CX134" s="105" t="s">
        <v>705</v>
      </c>
      <c r="CY134" s="105" t="s">
        <v>712</v>
      </c>
      <c r="CZ134" s="105" t="s">
        <v>713</v>
      </c>
      <c r="DA134" s="105" t="s">
        <v>198</v>
      </c>
      <c r="DB134" s="105" t="s">
        <v>198</v>
      </c>
      <c r="DC134" s="105" t="s">
        <v>198</v>
      </c>
      <c r="DD134" s="105" t="s">
        <v>198</v>
      </c>
      <c r="DE134" s="105" t="s">
        <v>198</v>
      </c>
      <c r="DF134" s="105" t="s">
        <v>198</v>
      </c>
    </row>
    <row r="135" spans="2:110" x14ac:dyDescent="0.3">
      <c r="B135" s="104">
        <v>163</v>
      </c>
      <c r="C135" s="105"/>
      <c r="D135" s="105"/>
      <c r="E135" s="105" t="s">
        <v>198</v>
      </c>
      <c r="F135" s="105" t="s">
        <v>713</v>
      </c>
      <c r="G135" s="105" t="s">
        <v>198</v>
      </c>
      <c r="H135" s="105" t="s">
        <v>198</v>
      </c>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t="s">
        <v>815</v>
      </c>
      <c r="AI135" s="105"/>
      <c r="AJ135" s="105"/>
      <c r="AK135" s="105"/>
      <c r="AL135" s="105"/>
      <c r="AM135" s="105" t="s">
        <v>1410</v>
      </c>
      <c r="AN135" s="105" t="s">
        <v>1409</v>
      </c>
      <c r="AO135" s="105" t="s">
        <v>1411</v>
      </c>
      <c r="AP135" s="105" t="s">
        <v>198</v>
      </c>
      <c r="AQ135" s="105"/>
      <c r="AR135" s="105"/>
      <c r="AS135" s="105"/>
      <c r="AT135" s="105"/>
      <c r="AU135" s="105"/>
      <c r="AV135" s="105"/>
      <c r="AW135" s="105"/>
      <c r="AX135" s="105"/>
      <c r="AY135" s="105" t="s">
        <v>697</v>
      </c>
      <c r="AZ135" s="105"/>
      <c r="BA135" s="105"/>
      <c r="BB135" s="105"/>
      <c r="BC135" s="105"/>
      <c r="BD135" s="105"/>
      <c r="BE135" s="105"/>
      <c r="BF135" s="105"/>
      <c r="BG135" s="105"/>
      <c r="BH135" s="105"/>
      <c r="BI135" s="105" t="s">
        <v>198</v>
      </c>
      <c r="BJ135" s="105" t="s">
        <v>198</v>
      </c>
      <c r="BK135" s="105" t="s">
        <v>934</v>
      </c>
      <c r="BL135" s="105" t="s">
        <v>198</v>
      </c>
      <c r="BM135" s="105" t="s">
        <v>934</v>
      </c>
      <c r="BN135" s="105" t="s">
        <v>198</v>
      </c>
      <c r="BO135" s="105" t="s">
        <v>934</v>
      </c>
      <c r="BP135" s="105" t="s">
        <v>198</v>
      </c>
      <c r="BQ135" s="105" t="s">
        <v>934</v>
      </c>
      <c r="BR135" s="105" t="s">
        <v>198</v>
      </c>
      <c r="BS135" s="105" t="s">
        <v>934</v>
      </c>
      <c r="BT135" s="105" t="s">
        <v>198</v>
      </c>
      <c r="BU135" s="105" t="s">
        <v>198</v>
      </c>
      <c r="BV135" s="105" t="s">
        <v>198</v>
      </c>
      <c r="BW135" s="105" t="s">
        <v>934</v>
      </c>
      <c r="BX135" s="105" t="s">
        <v>198</v>
      </c>
      <c r="BY135" s="105" t="s">
        <v>198</v>
      </c>
      <c r="BZ135" s="105" t="s">
        <v>198</v>
      </c>
      <c r="CA135" s="105" t="s">
        <v>198</v>
      </c>
      <c r="CB135" s="105" t="s">
        <v>198</v>
      </c>
      <c r="CC135" s="105" t="s">
        <v>937</v>
      </c>
      <c r="CD135" s="105" t="s">
        <v>198</v>
      </c>
      <c r="CE135" s="105" t="s">
        <v>937</v>
      </c>
      <c r="CF135" s="105" t="s">
        <v>198</v>
      </c>
      <c r="CG135" s="105" t="s">
        <v>939</v>
      </c>
      <c r="CH135" s="105" t="s">
        <v>198</v>
      </c>
      <c r="CI135" s="105" t="s">
        <v>940</v>
      </c>
      <c r="CJ135" s="105" t="s">
        <v>198</v>
      </c>
      <c r="CK135" s="105" t="s">
        <v>198</v>
      </c>
      <c r="CL135" s="105" t="s">
        <v>198</v>
      </c>
      <c r="CM135" s="105" t="s">
        <v>198</v>
      </c>
      <c r="CN135" s="105" t="s">
        <v>198</v>
      </c>
      <c r="CO135" s="105" t="s">
        <v>198</v>
      </c>
      <c r="CP135" s="105" t="s">
        <v>198</v>
      </c>
      <c r="CQ135" s="105" t="s">
        <v>198</v>
      </c>
      <c r="CR135" s="105" t="s">
        <v>705</v>
      </c>
      <c r="CS135" s="105" t="s">
        <v>198</v>
      </c>
      <c r="CT135" s="105" t="s">
        <v>705</v>
      </c>
      <c r="CU135" s="105" t="s">
        <v>816</v>
      </c>
      <c r="CV135" s="105" t="s">
        <v>198</v>
      </c>
      <c r="CW135" s="105" t="s">
        <v>198</v>
      </c>
      <c r="CX135" s="105" t="s">
        <v>705</v>
      </c>
      <c r="CY135" s="105" t="s">
        <v>712</v>
      </c>
      <c r="CZ135" s="105" t="s">
        <v>713</v>
      </c>
      <c r="DA135" s="105" t="s">
        <v>198</v>
      </c>
      <c r="DB135" s="105" t="s">
        <v>198</v>
      </c>
      <c r="DC135" s="105" t="s">
        <v>198</v>
      </c>
      <c r="DD135" s="105" t="s">
        <v>198</v>
      </c>
      <c r="DE135" s="105" t="s">
        <v>198</v>
      </c>
      <c r="DF135" s="105" t="s">
        <v>198</v>
      </c>
    </row>
    <row r="136" spans="2:110" x14ac:dyDescent="0.3">
      <c r="B136" s="104">
        <v>164</v>
      </c>
      <c r="C136" s="105"/>
      <c r="D136" s="105"/>
      <c r="E136" s="105" t="s">
        <v>198</v>
      </c>
      <c r="F136" s="105" t="s">
        <v>713</v>
      </c>
      <c r="G136" s="105" t="s">
        <v>198</v>
      </c>
      <c r="H136" s="105" t="s">
        <v>198</v>
      </c>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t="s">
        <v>815</v>
      </c>
      <c r="AI136" s="105"/>
      <c r="AJ136" s="105"/>
      <c r="AK136" s="105"/>
      <c r="AL136" s="105"/>
      <c r="AM136" s="105" t="s">
        <v>1410</v>
      </c>
      <c r="AN136" s="105" t="s">
        <v>1409</v>
      </c>
      <c r="AO136" s="105" t="s">
        <v>1411</v>
      </c>
      <c r="AP136" s="105" t="s">
        <v>198</v>
      </c>
      <c r="AQ136" s="105"/>
      <c r="AR136" s="105"/>
      <c r="AS136" s="105"/>
      <c r="AT136" s="105"/>
      <c r="AU136" s="105"/>
      <c r="AV136" s="105"/>
      <c r="AW136" s="105"/>
      <c r="AX136" s="105"/>
      <c r="AY136" s="105" t="s">
        <v>697</v>
      </c>
      <c r="AZ136" s="105"/>
      <c r="BA136" s="105"/>
      <c r="BB136" s="105"/>
      <c r="BC136" s="105"/>
      <c r="BD136" s="105"/>
      <c r="BE136" s="105"/>
      <c r="BF136" s="105"/>
      <c r="BG136" s="105"/>
      <c r="BH136" s="105"/>
      <c r="BI136" s="105" t="s">
        <v>198</v>
      </c>
      <c r="BJ136" s="105" t="s">
        <v>198</v>
      </c>
      <c r="BK136" s="105" t="s">
        <v>934</v>
      </c>
      <c r="BL136" s="105" t="s">
        <v>198</v>
      </c>
      <c r="BM136" s="105" t="s">
        <v>934</v>
      </c>
      <c r="BN136" s="105" t="s">
        <v>198</v>
      </c>
      <c r="BO136" s="105" t="s">
        <v>934</v>
      </c>
      <c r="BP136" s="105" t="s">
        <v>198</v>
      </c>
      <c r="BQ136" s="105" t="s">
        <v>934</v>
      </c>
      <c r="BR136" s="105" t="s">
        <v>198</v>
      </c>
      <c r="BS136" s="105" t="s">
        <v>934</v>
      </c>
      <c r="BT136" s="105" t="s">
        <v>198</v>
      </c>
      <c r="BU136" s="105" t="s">
        <v>198</v>
      </c>
      <c r="BV136" s="105" t="s">
        <v>198</v>
      </c>
      <c r="BW136" s="105" t="s">
        <v>934</v>
      </c>
      <c r="BX136" s="105" t="s">
        <v>198</v>
      </c>
      <c r="BY136" s="105" t="s">
        <v>198</v>
      </c>
      <c r="BZ136" s="105" t="s">
        <v>198</v>
      </c>
      <c r="CA136" s="105" t="s">
        <v>198</v>
      </c>
      <c r="CB136" s="105" t="s">
        <v>198</v>
      </c>
      <c r="CC136" s="105" t="s">
        <v>937</v>
      </c>
      <c r="CD136" s="105" t="s">
        <v>198</v>
      </c>
      <c r="CE136" s="105" t="s">
        <v>937</v>
      </c>
      <c r="CF136" s="105" t="s">
        <v>198</v>
      </c>
      <c r="CG136" s="105" t="s">
        <v>939</v>
      </c>
      <c r="CH136" s="105" t="s">
        <v>198</v>
      </c>
      <c r="CI136" s="105" t="s">
        <v>940</v>
      </c>
      <c r="CJ136" s="105" t="s">
        <v>198</v>
      </c>
      <c r="CK136" s="105" t="s">
        <v>198</v>
      </c>
      <c r="CL136" s="105" t="s">
        <v>198</v>
      </c>
      <c r="CM136" s="105" t="s">
        <v>198</v>
      </c>
      <c r="CN136" s="105" t="s">
        <v>198</v>
      </c>
      <c r="CO136" s="105" t="s">
        <v>198</v>
      </c>
      <c r="CP136" s="105" t="s">
        <v>198</v>
      </c>
      <c r="CQ136" s="105" t="s">
        <v>198</v>
      </c>
      <c r="CR136" s="105" t="s">
        <v>705</v>
      </c>
      <c r="CS136" s="105" t="s">
        <v>198</v>
      </c>
      <c r="CT136" s="105" t="s">
        <v>705</v>
      </c>
      <c r="CU136" s="105" t="s">
        <v>816</v>
      </c>
      <c r="CV136" s="105" t="s">
        <v>198</v>
      </c>
      <c r="CW136" s="105" t="s">
        <v>198</v>
      </c>
      <c r="CX136" s="105" t="s">
        <v>705</v>
      </c>
      <c r="CY136" s="105" t="s">
        <v>712</v>
      </c>
      <c r="CZ136" s="105" t="s">
        <v>713</v>
      </c>
      <c r="DA136" s="105" t="s">
        <v>198</v>
      </c>
      <c r="DB136" s="105" t="s">
        <v>198</v>
      </c>
      <c r="DC136" s="105" t="s">
        <v>198</v>
      </c>
      <c r="DD136" s="105" t="s">
        <v>198</v>
      </c>
      <c r="DE136" s="105" t="s">
        <v>198</v>
      </c>
      <c r="DF136" s="105" t="s">
        <v>198</v>
      </c>
    </row>
    <row r="137" spans="2:110" x14ac:dyDescent="0.3">
      <c r="B137" s="104">
        <v>165</v>
      </c>
      <c r="C137" s="105"/>
      <c r="D137" s="105"/>
      <c r="E137" s="105" t="s">
        <v>198</v>
      </c>
      <c r="F137" s="105" t="s">
        <v>713</v>
      </c>
      <c r="G137" s="105" t="s">
        <v>198</v>
      </c>
      <c r="H137" s="105" t="s">
        <v>198</v>
      </c>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t="s">
        <v>815</v>
      </c>
      <c r="AI137" s="105"/>
      <c r="AJ137" s="105"/>
      <c r="AK137" s="105"/>
      <c r="AL137" s="105"/>
      <c r="AM137" s="105" t="s">
        <v>1410</v>
      </c>
      <c r="AN137" s="105" t="s">
        <v>1409</v>
      </c>
      <c r="AO137" s="105" t="s">
        <v>1411</v>
      </c>
      <c r="AP137" s="105" t="s">
        <v>198</v>
      </c>
      <c r="AQ137" s="105"/>
      <c r="AR137" s="105"/>
      <c r="AS137" s="105"/>
      <c r="AT137" s="105"/>
      <c r="AU137" s="105"/>
      <c r="AV137" s="105"/>
      <c r="AW137" s="105"/>
      <c r="AX137" s="105"/>
      <c r="AY137" s="105" t="s">
        <v>697</v>
      </c>
      <c r="AZ137" s="105"/>
      <c r="BA137" s="105"/>
      <c r="BB137" s="105"/>
      <c r="BC137" s="105"/>
      <c r="BD137" s="105"/>
      <c r="BE137" s="105"/>
      <c r="BF137" s="105"/>
      <c r="BG137" s="105"/>
      <c r="BH137" s="105"/>
      <c r="BI137" s="105" t="s">
        <v>198</v>
      </c>
      <c r="BJ137" s="105" t="s">
        <v>198</v>
      </c>
      <c r="BK137" s="105" t="s">
        <v>934</v>
      </c>
      <c r="BL137" s="105" t="s">
        <v>198</v>
      </c>
      <c r="BM137" s="105" t="s">
        <v>934</v>
      </c>
      <c r="BN137" s="105" t="s">
        <v>198</v>
      </c>
      <c r="BO137" s="105" t="s">
        <v>934</v>
      </c>
      <c r="BP137" s="105" t="s">
        <v>198</v>
      </c>
      <c r="BQ137" s="105" t="s">
        <v>934</v>
      </c>
      <c r="BR137" s="105" t="s">
        <v>198</v>
      </c>
      <c r="BS137" s="105" t="s">
        <v>934</v>
      </c>
      <c r="BT137" s="105" t="s">
        <v>198</v>
      </c>
      <c r="BU137" s="105" t="s">
        <v>198</v>
      </c>
      <c r="BV137" s="105" t="s">
        <v>198</v>
      </c>
      <c r="BW137" s="105" t="s">
        <v>934</v>
      </c>
      <c r="BX137" s="105" t="s">
        <v>198</v>
      </c>
      <c r="BY137" s="105" t="s">
        <v>198</v>
      </c>
      <c r="BZ137" s="105" t="s">
        <v>198</v>
      </c>
      <c r="CA137" s="105" t="s">
        <v>198</v>
      </c>
      <c r="CB137" s="105" t="s">
        <v>198</v>
      </c>
      <c r="CC137" s="105" t="s">
        <v>937</v>
      </c>
      <c r="CD137" s="105" t="s">
        <v>198</v>
      </c>
      <c r="CE137" s="105" t="s">
        <v>937</v>
      </c>
      <c r="CF137" s="105" t="s">
        <v>198</v>
      </c>
      <c r="CG137" s="105" t="s">
        <v>939</v>
      </c>
      <c r="CH137" s="105" t="s">
        <v>198</v>
      </c>
      <c r="CI137" s="105" t="s">
        <v>940</v>
      </c>
      <c r="CJ137" s="105" t="s">
        <v>198</v>
      </c>
      <c r="CK137" s="105" t="s">
        <v>198</v>
      </c>
      <c r="CL137" s="105" t="s">
        <v>198</v>
      </c>
      <c r="CM137" s="105" t="s">
        <v>198</v>
      </c>
      <c r="CN137" s="105" t="s">
        <v>198</v>
      </c>
      <c r="CO137" s="105" t="s">
        <v>198</v>
      </c>
      <c r="CP137" s="105" t="s">
        <v>198</v>
      </c>
      <c r="CQ137" s="105" t="s">
        <v>198</v>
      </c>
      <c r="CR137" s="105" t="s">
        <v>705</v>
      </c>
      <c r="CS137" s="105" t="s">
        <v>198</v>
      </c>
      <c r="CT137" s="105" t="s">
        <v>705</v>
      </c>
      <c r="CU137" s="105" t="s">
        <v>816</v>
      </c>
      <c r="CV137" s="105" t="s">
        <v>198</v>
      </c>
      <c r="CW137" s="105" t="s">
        <v>198</v>
      </c>
      <c r="CX137" s="105" t="s">
        <v>705</v>
      </c>
      <c r="CY137" s="105" t="s">
        <v>712</v>
      </c>
      <c r="CZ137" s="105" t="s">
        <v>713</v>
      </c>
      <c r="DA137" s="105" t="s">
        <v>198</v>
      </c>
      <c r="DB137" s="105" t="s">
        <v>198</v>
      </c>
      <c r="DC137" s="105" t="s">
        <v>198</v>
      </c>
      <c r="DD137" s="105" t="s">
        <v>198</v>
      </c>
      <c r="DE137" s="105" t="s">
        <v>198</v>
      </c>
      <c r="DF137" s="105" t="s">
        <v>198</v>
      </c>
    </row>
    <row r="138" spans="2:110" x14ac:dyDescent="0.3">
      <c r="B138" s="104">
        <v>166</v>
      </c>
      <c r="C138" s="105"/>
      <c r="D138" s="105"/>
      <c r="E138" s="105" t="s">
        <v>198</v>
      </c>
      <c r="F138" s="105" t="s">
        <v>713</v>
      </c>
      <c r="G138" s="105" t="s">
        <v>198</v>
      </c>
      <c r="H138" s="105" t="s">
        <v>198</v>
      </c>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t="s">
        <v>815</v>
      </c>
      <c r="AI138" s="105"/>
      <c r="AJ138" s="105"/>
      <c r="AK138" s="105"/>
      <c r="AL138" s="105"/>
      <c r="AM138" s="105" t="s">
        <v>1410</v>
      </c>
      <c r="AN138" s="105" t="s">
        <v>1409</v>
      </c>
      <c r="AO138" s="105" t="s">
        <v>1411</v>
      </c>
      <c r="AP138" s="105" t="s">
        <v>198</v>
      </c>
      <c r="AQ138" s="105"/>
      <c r="AR138" s="105"/>
      <c r="AS138" s="105"/>
      <c r="AT138" s="105"/>
      <c r="AU138" s="105"/>
      <c r="AV138" s="105"/>
      <c r="AW138" s="105"/>
      <c r="AX138" s="105"/>
      <c r="AY138" s="105" t="s">
        <v>697</v>
      </c>
      <c r="AZ138" s="105"/>
      <c r="BA138" s="105"/>
      <c r="BB138" s="105"/>
      <c r="BC138" s="105"/>
      <c r="BD138" s="105"/>
      <c r="BE138" s="105"/>
      <c r="BF138" s="105"/>
      <c r="BG138" s="105"/>
      <c r="BH138" s="105"/>
      <c r="BI138" s="105" t="s">
        <v>198</v>
      </c>
      <c r="BJ138" s="105" t="s">
        <v>198</v>
      </c>
      <c r="BK138" s="105" t="s">
        <v>934</v>
      </c>
      <c r="BL138" s="105" t="s">
        <v>198</v>
      </c>
      <c r="BM138" s="105" t="s">
        <v>934</v>
      </c>
      <c r="BN138" s="105" t="s">
        <v>198</v>
      </c>
      <c r="BO138" s="105" t="s">
        <v>934</v>
      </c>
      <c r="BP138" s="105" t="s">
        <v>198</v>
      </c>
      <c r="BQ138" s="105" t="s">
        <v>934</v>
      </c>
      <c r="BR138" s="105" t="s">
        <v>198</v>
      </c>
      <c r="BS138" s="105" t="s">
        <v>934</v>
      </c>
      <c r="BT138" s="105" t="s">
        <v>198</v>
      </c>
      <c r="BU138" s="105" t="s">
        <v>198</v>
      </c>
      <c r="BV138" s="105" t="s">
        <v>198</v>
      </c>
      <c r="BW138" s="105" t="s">
        <v>934</v>
      </c>
      <c r="BX138" s="105" t="s">
        <v>198</v>
      </c>
      <c r="BY138" s="105" t="s">
        <v>198</v>
      </c>
      <c r="BZ138" s="105" t="s">
        <v>198</v>
      </c>
      <c r="CA138" s="105" t="s">
        <v>198</v>
      </c>
      <c r="CB138" s="105" t="s">
        <v>198</v>
      </c>
      <c r="CC138" s="105" t="s">
        <v>937</v>
      </c>
      <c r="CD138" s="105" t="s">
        <v>198</v>
      </c>
      <c r="CE138" s="105" t="s">
        <v>937</v>
      </c>
      <c r="CF138" s="105" t="s">
        <v>198</v>
      </c>
      <c r="CG138" s="105" t="s">
        <v>939</v>
      </c>
      <c r="CH138" s="105" t="s">
        <v>198</v>
      </c>
      <c r="CI138" s="105" t="s">
        <v>940</v>
      </c>
      <c r="CJ138" s="105" t="s">
        <v>198</v>
      </c>
      <c r="CK138" s="105" t="s">
        <v>198</v>
      </c>
      <c r="CL138" s="105" t="s">
        <v>198</v>
      </c>
      <c r="CM138" s="105" t="s">
        <v>198</v>
      </c>
      <c r="CN138" s="105" t="s">
        <v>198</v>
      </c>
      <c r="CO138" s="105" t="s">
        <v>198</v>
      </c>
      <c r="CP138" s="105" t="s">
        <v>198</v>
      </c>
      <c r="CQ138" s="105" t="s">
        <v>198</v>
      </c>
      <c r="CR138" s="105" t="s">
        <v>705</v>
      </c>
      <c r="CS138" s="105" t="s">
        <v>198</v>
      </c>
      <c r="CT138" s="105" t="s">
        <v>705</v>
      </c>
      <c r="CU138" s="105" t="s">
        <v>816</v>
      </c>
      <c r="CV138" s="105" t="s">
        <v>198</v>
      </c>
      <c r="CW138" s="105" t="s">
        <v>198</v>
      </c>
      <c r="CX138" s="105" t="s">
        <v>705</v>
      </c>
      <c r="CY138" s="105" t="s">
        <v>712</v>
      </c>
      <c r="CZ138" s="105" t="s">
        <v>713</v>
      </c>
      <c r="DA138" s="105" t="s">
        <v>198</v>
      </c>
      <c r="DB138" s="105" t="s">
        <v>198</v>
      </c>
      <c r="DC138" s="105" t="s">
        <v>198</v>
      </c>
      <c r="DD138" s="105" t="s">
        <v>198</v>
      </c>
      <c r="DE138" s="105" t="s">
        <v>198</v>
      </c>
      <c r="DF138" s="105" t="s">
        <v>198</v>
      </c>
    </row>
    <row r="139" spans="2:110" x14ac:dyDescent="0.3">
      <c r="B139" s="104">
        <v>167</v>
      </c>
      <c r="C139" s="105"/>
      <c r="D139" s="105"/>
      <c r="E139" s="105" t="s">
        <v>198</v>
      </c>
      <c r="F139" s="105" t="s">
        <v>713</v>
      </c>
      <c r="G139" s="105" t="s">
        <v>198</v>
      </c>
      <c r="H139" s="105" t="s">
        <v>198</v>
      </c>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t="s">
        <v>815</v>
      </c>
      <c r="AI139" s="105"/>
      <c r="AJ139" s="105"/>
      <c r="AK139" s="105"/>
      <c r="AL139" s="105"/>
      <c r="AM139" s="105" t="s">
        <v>1410</v>
      </c>
      <c r="AN139" s="105" t="s">
        <v>1409</v>
      </c>
      <c r="AO139" s="105" t="s">
        <v>1411</v>
      </c>
      <c r="AP139" s="105" t="s">
        <v>198</v>
      </c>
      <c r="AQ139" s="105"/>
      <c r="AR139" s="105"/>
      <c r="AS139" s="105"/>
      <c r="AT139" s="105"/>
      <c r="AU139" s="105"/>
      <c r="AV139" s="105"/>
      <c r="AW139" s="105"/>
      <c r="AX139" s="105"/>
      <c r="AY139" s="105" t="s">
        <v>697</v>
      </c>
      <c r="AZ139" s="105"/>
      <c r="BA139" s="105"/>
      <c r="BB139" s="105"/>
      <c r="BC139" s="105"/>
      <c r="BD139" s="105"/>
      <c r="BE139" s="105"/>
      <c r="BF139" s="105"/>
      <c r="BG139" s="105"/>
      <c r="BH139" s="105"/>
      <c r="BI139" s="105" t="s">
        <v>198</v>
      </c>
      <c r="BJ139" s="105" t="s">
        <v>198</v>
      </c>
      <c r="BK139" s="105" t="s">
        <v>934</v>
      </c>
      <c r="BL139" s="105" t="s">
        <v>198</v>
      </c>
      <c r="BM139" s="105" t="s">
        <v>934</v>
      </c>
      <c r="BN139" s="105" t="s">
        <v>198</v>
      </c>
      <c r="BO139" s="105" t="s">
        <v>934</v>
      </c>
      <c r="BP139" s="105" t="s">
        <v>198</v>
      </c>
      <c r="BQ139" s="105" t="s">
        <v>934</v>
      </c>
      <c r="BR139" s="105" t="s">
        <v>198</v>
      </c>
      <c r="BS139" s="105" t="s">
        <v>934</v>
      </c>
      <c r="BT139" s="105" t="s">
        <v>198</v>
      </c>
      <c r="BU139" s="105" t="s">
        <v>198</v>
      </c>
      <c r="BV139" s="105" t="s">
        <v>198</v>
      </c>
      <c r="BW139" s="105" t="s">
        <v>934</v>
      </c>
      <c r="BX139" s="105" t="s">
        <v>198</v>
      </c>
      <c r="BY139" s="105" t="s">
        <v>198</v>
      </c>
      <c r="BZ139" s="105" t="s">
        <v>198</v>
      </c>
      <c r="CA139" s="105" t="s">
        <v>198</v>
      </c>
      <c r="CB139" s="105" t="s">
        <v>198</v>
      </c>
      <c r="CC139" s="105" t="s">
        <v>937</v>
      </c>
      <c r="CD139" s="105" t="s">
        <v>198</v>
      </c>
      <c r="CE139" s="105" t="s">
        <v>937</v>
      </c>
      <c r="CF139" s="105" t="s">
        <v>198</v>
      </c>
      <c r="CG139" s="105" t="s">
        <v>939</v>
      </c>
      <c r="CH139" s="105" t="s">
        <v>198</v>
      </c>
      <c r="CI139" s="105" t="s">
        <v>940</v>
      </c>
      <c r="CJ139" s="105" t="s">
        <v>198</v>
      </c>
      <c r="CK139" s="105" t="s">
        <v>198</v>
      </c>
      <c r="CL139" s="105" t="s">
        <v>198</v>
      </c>
      <c r="CM139" s="105" t="s">
        <v>198</v>
      </c>
      <c r="CN139" s="105" t="s">
        <v>198</v>
      </c>
      <c r="CO139" s="105" t="s">
        <v>198</v>
      </c>
      <c r="CP139" s="105" t="s">
        <v>198</v>
      </c>
      <c r="CQ139" s="105" t="s">
        <v>198</v>
      </c>
      <c r="CR139" s="105" t="s">
        <v>705</v>
      </c>
      <c r="CS139" s="105" t="s">
        <v>198</v>
      </c>
      <c r="CT139" s="105" t="s">
        <v>705</v>
      </c>
      <c r="CU139" s="105" t="s">
        <v>816</v>
      </c>
      <c r="CV139" s="105" t="s">
        <v>198</v>
      </c>
      <c r="CW139" s="105" t="s">
        <v>198</v>
      </c>
      <c r="CX139" s="105" t="s">
        <v>705</v>
      </c>
      <c r="CY139" s="105" t="s">
        <v>712</v>
      </c>
      <c r="CZ139" s="105" t="s">
        <v>713</v>
      </c>
      <c r="DA139" s="105" t="s">
        <v>198</v>
      </c>
      <c r="DB139" s="105" t="s">
        <v>198</v>
      </c>
      <c r="DC139" s="105" t="s">
        <v>198</v>
      </c>
      <c r="DD139" s="105" t="s">
        <v>198</v>
      </c>
      <c r="DE139" s="105" t="s">
        <v>198</v>
      </c>
      <c r="DF139" s="105" t="s">
        <v>198</v>
      </c>
    </row>
    <row r="140" spans="2:110" x14ac:dyDescent="0.3">
      <c r="B140" s="104">
        <v>168</v>
      </c>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105"/>
      <c r="CY140" s="105"/>
      <c r="CZ140" s="105"/>
      <c r="DA140" s="105"/>
      <c r="DB140" s="105"/>
      <c r="DC140" s="105"/>
      <c r="DD140" s="105"/>
      <c r="DE140" s="105"/>
      <c r="DF140" s="105"/>
    </row>
    <row r="141" spans="2:110" x14ac:dyDescent="0.3">
      <c r="B141" s="104">
        <v>169</v>
      </c>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row>
    <row r="142" spans="2:110" x14ac:dyDescent="0.3">
      <c r="B142" s="104">
        <v>170</v>
      </c>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row>
    <row r="143" spans="2:110" x14ac:dyDescent="0.3">
      <c r="B143" s="104">
        <v>171</v>
      </c>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row>
    <row r="144" spans="2:110" x14ac:dyDescent="0.3">
      <c r="B144" s="104">
        <v>172</v>
      </c>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row>
    <row r="145" spans="2:110" x14ac:dyDescent="0.3">
      <c r="B145" s="104">
        <v>173</v>
      </c>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row>
    <row r="146" spans="2:110" x14ac:dyDescent="0.3">
      <c r="B146" s="104">
        <v>174</v>
      </c>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row>
    <row r="147" spans="2:110" x14ac:dyDescent="0.3">
      <c r="B147" s="104">
        <v>175</v>
      </c>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row>
    <row r="148" spans="2:110" x14ac:dyDescent="0.3">
      <c r="B148" s="104">
        <v>176</v>
      </c>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row>
    <row r="149" spans="2:110" x14ac:dyDescent="0.3">
      <c r="B149" s="104">
        <v>177</v>
      </c>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row>
    <row r="150" spans="2:110" x14ac:dyDescent="0.3">
      <c r="B150" s="102">
        <v>178</v>
      </c>
      <c r="BI150" s="105" t="s">
        <v>198</v>
      </c>
      <c r="BJ150" s="105" t="s">
        <v>198</v>
      </c>
      <c r="BK150" s="102" t="s">
        <v>1558</v>
      </c>
      <c r="BL150" s="102" t="s">
        <v>1559</v>
      </c>
    </row>
    <row r="151" spans="2:110" x14ac:dyDescent="0.3">
      <c r="B151" s="102">
        <v>179</v>
      </c>
      <c r="BI151" s="105" t="s">
        <v>198</v>
      </c>
      <c r="BJ151" s="105" t="s">
        <v>198</v>
      </c>
      <c r="BK151" s="102" t="s">
        <v>1558</v>
      </c>
      <c r="BL151" s="102" t="s">
        <v>1559</v>
      </c>
    </row>
    <row r="152" spans="2:110" x14ac:dyDescent="0.3">
      <c r="B152" s="102">
        <v>180</v>
      </c>
      <c r="BI152" s="105" t="s">
        <v>198</v>
      </c>
      <c r="BJ152" s="105" t="s">
        <v>198</v>
      </c>
      <c r="BK152" s="102" t="s">
        <v>1558</v>
      </c>
      <c r="BL152" s="102" t="s">
        <v>1559</v>
      </c>
    </row>
    <row r="153" spans="2:110" x14ac:dyDescent="0.3">
      <c r="B153" s="102">
        <v>181</v>
      </c>
      <c r="BI153" s="105" t="s">
        <v>198</v>
      </c>
      <c r="BJ153" s="105" t="s">
        <v>198</v>
      </c>
      <c r="BK153" s="102" t="s">
        <v>1558</v>
      </c>
      <c r="BL153" s="102" t="s">
        <v>1559</v>
      </c>
    </row>
    <row r="154" spans="2:110" x14ac:dyDescent="0.3">
      <c r="B154" s="102">
        <v>182</v>
      </c>
      <c r="BI154" s="105" t="s">
        <v>198</v>
      </c>
      <c r="BJ154" s="105" t="s">
        <v>198</v>
      </c>
      <c r="BK154" s="102" t="s">
        <v>1558</v>
      </c>
      <c r="BL154" s="102" t="s">
        <v>1559</v>
      </c>
    </row>
    <row r="155" spans="2:110" x14ac:dyDescent="0.3">
      <c r="B155" s="102">
        <v>183</v>
      </c>
      <c r="BI155" s="105" t="s">
        <v>198</v>
      </c>
      <c r="BJ155" s="105" t="s">
        <v>198</v>
      </c>
      <c r="BK155" s="102" t="s">
        <v>1558</v>
      </c>
      <c r="BL155" s="102" t="s">
        <v>1559</v>
      </c>
    </row>
  </sheetData>
  <phoneticPr fontId="6" type="noConversion"/>
  <conditionalFormatting sqref="B6:DF149">
    <cfRule type="notContainsBlanks" dxfId="1" priority="3">
      <formula>LEN(TRIM(B6))&gt;0</formula>
    </cfRule>
  </conditionalFormatting>
  <conditionalFormatting sqref="BI150:BJ155">
    <cfRule type="notContainsBlanks" dxfId="0" priority="1">
      <formula>LEN(TRIM(BI150))&gt;0</formula>
    </cfRule>
  </conditionalFormatting>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articles</vt:lpstr>
      <vt:lpstr>data</vt:lpstr>
      <vt:lpstr>metadata</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Elias S. Azzi</cp:lastModifiedBy>
  <dcterms:created xsi:type="dcterms:W3CDTF">2022-03-22T15:10:38Z</dcterms:created>
  <dcterms:modified xsi:type="dcterms:W3CDTF">2023-09-05T13:15:58Z</dcterms:modified>
</cp:coreProperties>
</file>