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ithub\biocharStability_database\biocharStability_database\former-assessment\"/>
    </mc:Choice>
  </mc:AlternateContent>
  <xr:revisionPtr revIDLastSave="0" documentId="13_ncr:1_{6BC1B5C0-614F-4770-8B2A-9470CE88DC04}" xr6:coauthVersionLast="47" xr6:coauthVersionMax="47" xr10:uidLastSave="{00000000-0000-0000-0000-000000000000}"/>
  <bookViews>
    <workbookView minimized="1" xWindow="2088" yWindow="4236" windowWidth="11064" windowHeight="5736" tabRatio="925" xr2:uid="{00000000-000D-0000-FFFF-FFFF00000000}"/>
  </bookViews>
  <sheets>
    <sheet name="IPCC sample set" sheetId="2" r:id="rId1"/>
    <sheet name="From Enders et al 2012" sheetId="3" r:id="rId2"/>
    <sheet name="HC limits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" i="2" l="1"/>
  <c r="H52" i="2"/>
  <c r="Q46" i="2"/>
  <c r="I55" i="2"/>
  <c r="J55" i="2"/>
  <c r="E55" i="2"/>
  <c r="F6" i="4"/>
  <c r="Q66" i="2"/>
  <c r="H55" i="2"/>
  <c r="J72" i="2"/>
  <c r="E72" i="2"/>
  <c r="J81" i="2"/>
  <c r="S91" i="2"/>
  <c r="S9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2" i="2"/>
  <c r="T5" i="2"/>
  <c r="T6" i="2"/>
  <c r="T7" i="2"/>
  <c r="X7" i="2"/>
  <c r="T8" i="2"/>
  <c r="X8" i="2"/>
  <c r="T9" i="2"/>
  <c r="T10" i="2"/>
  <c r="T11" i="2"/>
  <c r="T12" i="2"/>
  <c r="X12" i="2"/>
  <c r="T13" i="2"/>
  <c r="X13" i="2"/>
  <c r="T14" i="2"/>
  <c r="X14" i="2"/>
  <c r="X15" i="2"/>
  <c r="X16" i="2"/>
  <c r="X18" i="2"/>
  <c r="X20" i="2"/>
  <c r="X22" i="2"/>
  <c r="X24" i="2"/>
  <c r="X26" i="2"/>
  <c r="X28" i="2"/>
  <c r="X30" i="2"/>
  <c r="X32" i="2"/>
  <c r="X37" i="2"/>
  <c r="X38" i="2"/>
  <c r="X39" i="2"/>
  <c r="X40" i="2"/>
  <c r="X42" i="2"/>
  <c r="X44" i="2"/>
  <c r="X51" i="2"/>
  <c r="X56" i="2"/>
  <c r="X58" i="2"/>
  <c r="X60" i="2"/>
  <c r="X66" i="2"/>
  <c r="X67" i="2"/>
  <c r="X68" i="2"/>
  <c r="X69" i="2"/>
  <c r="X70" i="2"/>
  <c r="X75" i="2"/>
  <c r="X76" i="2"/>
  <c r="X77" i="2"/>
  <c r="X80" i="2"/>
  <c r="X82" i="2"/>
  <c r="X89" i="2"/>
  <c r="T4" i="2"/>
  <c r="X4" i="2"/>
  <c r="G17" i="4"/>
  <c r="F17" i="4"/>
  <c r="G16" i="4"/>
  <c r="F16" i="4"/>
  <c r="G15" i="4"/>
  <c r="F15" i="4"/>
  <c r="H15" i="4"/>
  <c r="M15" i="4"/>
  <c r="G6" i="4"/>
  <c r="H6" i="4"/>
  <c r="I45" i="2"/>
  <c r="G7" i="4"/>
  <c r="F7" i="4"/>
  <c r="G8" i="4"/>
  <c r="F8" i="4"/>
  <c r="M9" i="4"/>
  <c r="V50" i="2"/>
  <c r="V49" i="2"/>
  <c r="V48" i="2"/>
  <c r="U48" i="2"/>
  <c r="U47" i="2"/>
  <c r="U46" i="2"/>
  <c r="W14" i="2"/>
  <c r="V13" i="2"/>
  <c r="V12" i="2"/>
  <c r="U11" i="2"/>
  <c r="U10" i="2"/>
  <c r="U9" i="2"/>
  <c r="W8" i="2"/>
  <c r="V7" i="2"/>
  <c r="U6" i="2"/>
  <c r="U5" i="2"/>
  <c r="V4" i="2"/>
  <c r="W89" i="2"/>
  <c r="W88" i="2"/>
  <c r="V87" i="2"/>
  <c r="U86" i="2"/>
  <c r="W85" i="2"/>
  <c r="V84" i="2"/>
  <c r="U83" i="2"/>
  <c r="W82" i="2"/>
  <c r="U81" i="2"/>
  <c r="W80" i="2"/>
  <c r="V79" i="2"/>
  <c r="U78" i="2"/>
  <c r="W77" i="2"/>
  <c r="W76" i="2"/>
  <c r="V75" i="2"/>
  <c r="U74" i="2"/>
  <c r="W73" i="2"/>
  <c r="V72" i="2"/>
  <c r="U71" i="2"/>
  <c r="V70" i="2"/>
  <c r="V69" i="2"/>
  <c r="V68" i="2"/>
  <c r="V67" i="2"/>
  <c r="V66" i="2"/>
  <c r="V65" i="2"/>
  <c r="U64" i="2"/>
  <c r="V63" i="2"/>
  <c r="U62" i="2"/>
  <c r="V61" i="2"/>
  <c r="V60" i="2"/>
  <c r="U59" i="2"/>
  <c r="V58" i="2"/>
  <c r="U57" i="2"/>
  <c r="V56" i="2"/>
  <c r="U55" i="2"/>
  <c r="V54" i="2"/>
  <c r="V53" i="2"/>
  <c r="V52" i="2"/>
  <c r="V51" i="2"/>
  <c r="V44" i="2"/>
  <c r="U43" i="2"/>
  <c r="V42" i="2"/>
  <c r="U41" i="2"/>
  <c r="V40" i="2"/>
  <c r="V39" i="2"/>
  <c r="V38" i="2"/>
  <c r="V37" i="2"/>
  <c r="V36" i="2"/>
  <c r="V35" i="2"/>
  <c r="V34" i="2"/>
  <c r="V33" i="2"/>
  <c r="V32" i="2"/>
  <c r="U31" i="2"/>
  <c r="V30" i="2"/>
  <c r="U29" i="2"/>
  <c r="V28" i="2"/>
  <c r="U27" i="2"/>
  <c r="V26" i="2"/>
  <c r="U25" i="2"/>
  <c r="V24" i="2"/>
  <c r="U23" i="2"/>
  <c r="V22" i="2"/>
  <c r="U21" i="2"/>
  <c r="V20" i="2"/>
  <c r="U19" i="2"/>
  <c r="V18" i="2"/>
  <c r="U17" i="2"/>
  <c r="V16" i="2"/>
  <c r="V15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71" i="2"/>
  <c r="I72" i="2"/>
  <c r="I73" i="2"/>
  <c r="J73" i="2"/>
  <c r="E73" i="2"/>
  <c r="I74" i="2"/>
  <c r="J74" i="2"/>
  <c r="E74" i="2"/>
  <c r="I75" i="2"/>
  <c r="J75" i="2"/>
  <c r="E75" i="2"/>
  <c r="I76" i="2"/>
  <c r="J76" i="2"/>
  <c r="E76" i="2"/>
  <c r="I77" i="2"/>
  <c r="J77" i="2"/>
  <c r="E77" i="2"/>
  <c r="I78" i="2"/>
  <c r="J78" i="2"/>
  <c r="E78" i="2"/>
  <c r="I79" i="2"/>
  <c r="J79" i="2"/>
  <c r="E79" i="2"/>
  <c r="I80" i="2"/>
  <c r="J80" i="2"/>
  <c r="E80" i="2"/>
  <c r="I81" i="2"/>
  <c r="E81" i="2"/>
  <c r="I82" i="2"/>
  <c r="J82" i="2"/>
  <c r="E82" i="2"/>
  <c r="I83" i="2"/>
  <c r="J83" i="2"/>
  <c r="E83" i="2"/>
  <c r="I84" i="2"/>
  <c r="J84" i="2"/>
  <c r="E84" i="2"/>
  <c r="I85" i="2"/>
  <c r="J85" i="2"/>
  <c r="I86" i="2"/>
  <c r="J86" i="2"/>
  <c r="E86" i="2"/>
  <c r="I87" i="2"/>
  <c r="J87" i="2"/>
  <c r="E87" i="2"/>
  <c r="I88" i="2"/>
  <c r="J88" i="2"/>
  <c r="E88" i="2"/>
  <c r="I89" i="2"/>
  <c r="J89" i="2"/>
  <c r="E89" i="2"/>
  <c r="I71" i="2"/>
  <c r="I56" i="2"/>
  <c r="J56" i="2"/>
  <c r="E56" i="2"/>
  <c r="H56" i="2"/>
  <c r="K56" i="2"/>
  <c r="I57" i="2"/>
  <c r="J57" i="2"/>
  <c r="I58" i="2"/>
  <c r="J58" i="2"/>
  <c r="E58" i="2"/>
  <c r="H58" i="2"/>
  <c r="K58" i="2"/>
  <c r="P58" i="2"/>
  <c r="I59" i="2"/>
  <c r="J59" i="2"/>
  <c r="E59" i="2"/>
  <c r="H59" i="2"/>
  <c r="K59" i="2"/>
  <c r="I60" i="2"/>
  <c r="J60" i="2"/>
  <c r="E60" i="2"/>
  <c r="H60" i="2"/>
  <c r="K60" i="2"/>
  <c r="P60" i="2"/>
  <c r="I61" i="2"/>
  <c r="J61" i="2"/>
  <c r="E61" i="2"/>
  <c r="H61" i="2"/>
  <c r="K61" i="2"/>
  <c r="I62" i="2"/>
  <c r="J62" i="2"/>
  <c r="E62" i="2"/>
  <c r="H62" i="2"/>
  <c r="K62" i="2"/>
  <c r="P62" i="2"/>
  <c r="I63" i="2"/>
  <c r="J63" i="2"/>
  <c r="E63" i="2"/>
  <c r="H63" i="2"/>
  <c r="K63" i="2"/>
  <c r="I64" i="2"/>
  <c r="J64" i="2"/>
  <c r="E64" i="2"/>
  <c r="H64" i="2"/>
  <c r="K64" i="2"/>
  <c r="P64" i="2"/>
  <c r="I65" i="2"/>
  <c r="J65" i="2"/>
  <c r="E65" i="2"/>
  <c r="H65" i="2"/>
  <c r="K65" i="2"/>
  <c r="H53" i="2"/>
  <c r="K53" i="2"/>
  <c r="I53" i="2"/>
  <c r="J53" i="2"/>
  <c r="H54" i="2"/>
  <c r="K54" i="2"/>
  <c r="I54" i="2"/>
  <c r="J54" i="2"/>
  <c r="I52" i="2"/>
  <c r="J52" i="2"/>
  <c r="K52" i="2"/>
  <c r="F51" i="2"/>
  <c r="I47" i="2"/>
  <c r="J47" i="2"/>
  <c r="K47" i="2"/>
  <c r="I48" i="2"/>
  <c r="J48" i="2"/>
  <c r="Q48" i="2"/>
  <c r="K48" i="2"/>
  <c r="I49" i="2"/>
  <c r="J49" i="2"/>
  <c r="K49" i="2"/>
  <c r="I50" i="2"/>
  <c r="J50" i="2"/>
  <c r="K50" i="2"/>
  <c r="K46" i="2"/>
  <c r="J46" i="2"/>
  <c r="I46" i="2"/>
  <c r="I67" i="2"/>
  <c r="J67" i="2"/>
  <c r="K67" i="2"/>
  <c r="I68" i="2"/>
  <c r="J68" i="2"/>
  <c r="K68" i="2"/>
  <c r="I69" i="2"/>
  <c r="J69" i="2"/>
  <c r="K69" i="2"/>
  <c r="I70" i="2"/>
  <c r="J70" i="2"/>
  <c r="Q70" i="2"/>
  <c r="K70" i="2"/>
  <c r="K66" i="2"/>
  <c r="J66" i="2"/>
  <c r="I66" i="2"/>
  <c r="J42" i="2"/>
  <c r="J43" i="2"/>
  <c r="J44" i="2"/>
  <c r="J41" i="2"/>
  <c r="J5" i="2"/>
  <c r="J6" i="2"/>
  <c r="J7" i="2"/>
  <c r="J8" i="2"/>
  <c r="J9" i="2"/>
  <c r="J10" i="2"/>
  <c r="J11" i="2"/>
  <c r="J12" i="2"/>
  <c r="J13" i="2"/>
  <c r="J14" i="2"/>
  <c r="J4" i="2"/>
  <c r="H41" i="2"/>
  <c r="K41" i="2"/>
  <c r="I41" i="2"/>
  <c r="H42" i="2"/>
  <c r="K42" i="2"/>
  <c r="I42" i="2"/>
  <c r="H43" i="2"/>
  <c r="K43" i="2"/>
  <c r="I43" i="2"/>
  <c r="H44" i="2"/>
  <c r="K44" i="2"/>
  <c r="I44" i="2"/>
  <c r="I33" i="2"/>
  <c r="J33" i="2"/>
  <c r="E33" i="2"/>
  <c r="H33" i="2"/>
  <c r="K33" i="2"/>
  <c r="I34" i="2"/>
  <c r="J34" i="2"/>
  <c r="E34" i="2"/>
  <c r="H34" i="2"/>
  <c r="K34" i="2"/>
  <c r="I35" i="2"/>
  <c r="J35" i="2"/>
  <c r="E35" i="2"/>
  <c r="H35" i="2"/>
  <c r="K35" i="2"/>
  <c r="I36" i="2"/>
  <c r="J36" i="2"/>
  <c r="E36" i="2"/>
  <c r="H36" i="2"/>
  <c r="K36" i="2"/>
  <c r="I37" i="2"/>
  <c r="J37" i="2"/>
  <c r="E37" i="2"/>
  <c r="H37" i="2"/>
  <c r="K37" i="2"/>
  <c r="I38" i="2"/>
  <c r="J38" i="2"/>
  <c r="E38" i="2"/>
  <c r="H38" i="2"/>
  <c r="K38" i="2"/>
  <c r="I39" i="2"/>
  <c r="J39" i="2"/>
  <c r="E39" i="2"/>
  <c r="H39" i="2"/>
  <c r="K39" i="2"/>
  <c r="L39" i="2"/>
  <c r="I40" i="2"/>
  <c r="J40" i="2"/>
  <c r="E40" i="2"/>
  <c r="H40" i="2"/>
  <c r="K40" i="2"/>
  <c r="I4" i="2"/>
  <c r="K4" i="2"/>
  <c r="I5" i="2"/>
  <c r="K5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P12" i="2"/>
  <c r="I13" i="2"/>
  <c r="K13" i="2"/>
  <c r="I14" i="2"/>
  <c r="K14" i="2"/>
  <c r="X92" i="2"/>
  <c r="X91" i="2"/>
  <c r="P79" i="2"/>
  <c r="T91" i="2"/>
  <c r="P80" i="2"/>
  <c r="P77" i="2"/>
  <c r="P10" i="2"/>
  <c r="P68" i="2"/>
  <c r="P53" i="2"/>
  <c r="P4" i="2"/>
  <c r="P52" i="2"/>
  <c r="P11" i="2"/>
  <c r="P71" i="2"/>
  <c r="P69" i="2"/>
  <c r="P88" i="2"/>
  <c r="P48" i="2"/>
  <c r="P7" i="2"/>
  <c r="P14" i="2"/>
  <c r="P6" i="2"/>
  <c r="P47" i="2"/>
  <c r="P67" i="2"/>
  <c r="P13" i="2"/>
  <c r="P5" i="2"/>
  <c r="Q67" i="2"/>
  <c r="L77" i="2"/>
  <c r="M77" i="2"/>
  <c r="L50" i="2"/>
  <c r="O50" i="2"/>
  <c r="P85" i="2"/>
  <c r="P72" i="2"/>
  <c r="P46" i="2"/>
  <c r="P9" i="2"/>
  <c r="P49" i="2"/>
  <c r="Q49" i="2"/>
  <c r="P84" i="2"/>
  <c r="P8" i="2"/>
  <c r="Q47" i="2"/>
  <c r="L53" i="2"/>
  <c r="M53" i="2"/>
  <c r="P87" i="2"/>
  <c r="P76" i="2"/>
  <c r="L75" i="2"/>
  <c r="M75" i="2"/>
  <c r="P41" i="2"/>
  <c r="P75" i="2"/>
  <c r="P66" i="2"/>
  <c r="P50" i="2"/>
  <c r="P83" i="2"/>
  <c r="P70" i="2"/>
  <c r="L82" i="2"/>
  <c r="M82" i="2"/>
  <c r="E85" i="2"/>
  <c r="L85" i="2"/>
  <c r="M85" i="2"/>
  <c r="E57" i="2"/>
  <c r="H57" i="2"/>
  <c r="K57" i="2"/>
  <c r="P57" i="2"/>
  <c r="L47" i="2"/>
  <c r="M47" i="2"/>
  <c r="L89" i="2"/>
  <c r="O89" i="2"/>
  <c r="L73" i="2"/>
  <c r="O73" i="2"/>
  <c r="P42" i="2"/>
  <c r="L46" i="2"/>
  <c r="O46" i="2"/>
  <c r="L81" i="2"/>
  <c r="M81" i="2"/>
  <c r="Q50" i="2"/>
  <c r="L88" i="2"/>
  <c r="O88" i="2"/>
  <c r="L72" i="2"/>
  <c r="O72" i="2"/>
  <c r="L66" i="2"/>
  <c r="M66" i="2"/>
  <c r="L80" i="2"/>
  <c r="M80" i="2"/>
  <c r="L87" i="2"/>
  <c r="N87" i="2"/>
  <c r="L86" i="2"/>
  <c r="O86" i="2"/>
  <c r="L79" i="2"/>
  <c r="N79" i="2"/>
  <c r="L78" i="2"/>
  <c r="M78" i="2"/>
  <c r="J71" i="2"/>
  <c r="E71" i="2"/>
  <c r="Q69" i="2"/>
  <c r="L49" i="2"/>
  <c r="O49" i="2"/>
  <c r="L54" i="2"/>
  <c r="O54" i="2"/>
  <c r="L84" i="2"/>
  <c r="N84" i="2"/>
  <c r="L68" i="2"/>
  <c r="M68" i="2"/>
  <c r="L76" i="2"/>
  <c r="M76" i="2"/>
  <c r="Q68" i="2"/>
  <c r="L48" i="2"/>
  <c r="N48" i="2"/>
  <c r="L83" i="2"/>
  <c r="M83" i="2"/>
  <c r="M73" i="2"/>
  <c r="N73" i="2"/>
  <c r="L74" i="2"/>
  <c r="P89" i="2"/>
  <c r="P81" i="2"/>
  <c r="P73" i="2"/>
  <c r="P86" i="2"/>
  <c r="P78" i="2"/>
  <c r="P82" i="2"/>
  <c r="N77" i="2"/>
  <c r="P74" i="2"/>
  <c r="L59" i="2"/>
  <c r="O59" i="2"/>
  <c r="L61" i="2"/>
  <c r="O61" i="2"/>
  <c r="L60" i="2"/>
  <c r="O60" i="2"/>
  <c r="L63" i="2"/>
  <c r="M63" i="2"/>
  <c r="P63" i="2"/>
  <c r="L58" i="2"/>
  <c r="N58" i="2"/>
  <c r="P61" i="2"/>
  <c r="P65" i="2"/>
  <c r="P56" i="2"/>
  <c r="L64" i="2"/>
  <c r="N64" i="2"/>
  <c r="L62" i="2"/>
  <c r="L65" i="2"/>
  <c r="M65" i="2"/>
  <c r="L56" i="2"/>
  <c r="O56" i="2"/>
  <c r="P59" i="2"/>
  <c r="P54" i="2"/>
  <c r="L52" i="2"/>
  <c r="N50" i="2"/>
  <c r="M50" i="2"/>
  <c r="L69" i="2"/>
  <c r="O69" i="2"/>
  <c r="P44" i="2"/>
  <c r="P43" i="2"/>
  <c r="L67" i="2"/>
  <c r="M67" i="2"/>
  <c r="L70" i="2"/>
  <c r="N70" i="2"/>
  <c r="L13" i="2"/>
  <c r="N13" i="2"/>
  <c r="L4" i="2"/>
  <c r="M4" i="2"/>
  <c r="L8" i="2"/>
  <c r="N8" i="2"/>
  <c r="L10" i="2"/>
  <c r="O10" i="2"/>
  <c r="L7" i="2"/>
  <c r="M7" i="2"/>
  <c r="L43" i="2"/>
  <c r="M43" i="2"/>
  <c r="L41" i="2"/>
  <c r="M41" i="2"/>
  <c r="L44" i="2"/>
  <c r="M44" i="2"/>
  <c r="L42" i="2"/>
  <c r="M42" i="2"/>
  <c r="L33" i="2"/>
  <c r="P33" i="2"/>
  <c r="L34" i="2"/>
  <c r="N34" i="2"/>
  <c r="P34" i="2"/>
  <c r="L38" i="2"/>
  <c r="M38" i="2"/>
  <c r="L37" i="2"/>
  <c r="O37" i="2"/>
  <c r="P37" i="2"/>
  <c r="L36" i="2"/>
  <c r="M36" i="2"/>
  <c r="P38" i="2"/>
  <c r="L40" i="2"/>
  <c r="O40" i="2"/>
  <c r="M39" i="2"/>
  <c r="N39" i="2"/>
  <c r="P35" i="2"/>
  <c r="P40" i="2"/>
  <c r="L35" i="2"/>
  <c r="O39" i="2"/>
  <c r="P36" i="2"/>
  <c r="P39" i="2"/>
  <c r="L6" i="2"/>
  <c r="M6" i="2"/>
  <c r="L5" i="2"/>
  <c r="M5" i="2"/>
  <c r="L12" i="2"/>
  <c r="O12" i="2"/>
  <c r="L11" i="2"/>
  <c r="M11" i="2"/>
  <c r="L14" i="2"/>
  <c r="O14" i="2"/>
  <c r="L9" i="2"/>
  <c r="O9" i="2"/>
  <c r="N86" i="2"/>
  <c r="M86" i="2"/>
  <c r="O77" i="2"/>
  <c r="N69" i="2"/>
  <c r="N6" i="2"/>
  <c r="M88" i="2"/>
  <c r="M89" i="2"/>
  <c r="N78" i="2"/>
  <c r="M8" i="2"/>
  <c r="O8" i="2"/>
  <c r="N53" i="2"/>
  <c r="M69" i="2"/>
  <c r="M70" i="2"/>
  <c r="N75" i="2"/>
  <c r="O75" i="2"/>
  <c r="O78" i="2"/>
  <c r="M79" i="2"/>
  <c r="N56" i="2"/>
  <c r="M46" i="2"/>
  <c r="M49" i="2"/>
  <c r="N46" i="2"/>
  <c r="O13" i="2"/>
  <c r="M13" i="2"/>
  <c r="N88" i="2"/>
  <c r="N49" i="2"/>
  <c r="M54" i="2"/>
  <c r="O53" i="2"/>
  <c r="N54" i="2"/>
  <c r="N61" i="2"/>
  <c r="N89" i="2"/>
  <c r="M84" i="2"/>
  <c r="N60" i="2"/>
  <c r="O79" i="2"/>
  <c r="O82" i="2"/>
  <c r="M60" i="2"/>
  <c r="N72" i="2"/>
  <c r="N82" i="2"/>
  <c r="M72" i="2"/>
  <c r="L71" i="2"/>
  <c r="O71" i="2"/>
  <c r="N67" i="2"/>
  <c r="K55" i="2"/>
  <c r="O4" i="2"/>
  <c r="O68" i="2"/>
  <c r="M48" i="2"/>
  <c r="M61" i="2"/>
  <c r="M87" i="2"/>
  <c r="N68" i="2"/>
  <c r="O47" i="2"/>
  <c r="O76" i="2"/>
  <c r="O80" i="2"/>
  <c r="N47" i="2"/>
  <c r="N76" i="2"/>
  <c r="N80" i="2"/>
  <c r="O85" i="2"/>
  <c r="O81" i="2"/>
  <c r="N4" i="2"/>
  <c r="M56" i="2"/>
  <c r="O67" i="2"/>
  <c r="O87" i="2"/>
  <c r="O70" i="2"/>
  <c r="O48" i="2"/>
  <c r="O84" i="2"/>
  <c r="N83" i="2"/>
  <c r="N85" i="2"/>
  <c r="O83" i="2"/>
  <c r="L57" i="2"/>
  <c r="N66" i="2"/>
  <c r="N81" i="2"/>
  <c r="O66" i="2"/>
  <c r="M74" i="2"/>
  <c r="N74" i="2"/>
  <c r="O74" i="2"/>
  <c r="M59" i="2"/>
  <c r="N59" i="2"/>
  <c r="O63" i="2"/>
  <c r="O65" i="2"/>
  <c r="N63" i="2"/>
  <c r="N65" i="2"/>
  <c r="O64" i="2"/>
  <c r="M64" i="2"/>
  <c r="M58" i="2"/>
  <c r="O58" i="2"/>
  <c r="M62" i="2"/>
  <c r="O62" i="2"/>
  <c r="N62" i="2"/>
  <c r="M52" i="2"/>
  <c r="N52" i="2"/>
  <c r="O52" i="2"/>
  <c r="M34" i="2"/>
  <c r="O34" i="2"/>
  <c r="O41" i="2"/>
  <c r="N41" i="2"/>
  <c r="O43" i="2"/>
  <c r="N11" i="2"/>
  <c r="O11" i="2"/>
  <c r="N14" i="2"/>
  <c r="N10" i="2"/>
  <c r="N7" i="2"/>
  <c r="M12" i="2"/>
  <c r="O7" i="2"/>
  <c r="M10" i="2"/>
  <c r="N12" i="2"/>
  <c r="O42" i="2"/>
  <c r="N42" i="2"/>
  <c r="N43" i="2"/>
  <c r="O44" i="2"/>
  <c r="N44" i="2"/>
  <c r="N38" i="2"/>
  <c r="O38" i="2"/>
  <c r="O33" i="2"/>
  <c r="M33" i="2"/>
  <c r="N33" i="2"/>
  <c r="N36" i="2"/>
  <c r="N40" i="2"/>
  <c r="M40" i="2"/>
  <c r="O36" i="2"/>
  <c r="M37" i="2"/>
  <c r="N37" i="2"/>
  <c r="M35" i="2"/>
  <c r="N35" i="2"/>
  <c r="O35" i="2"/>
  <c r="O6" i="2"/>
  <c r="O5" i="2"/>
  <c r="N5" i="2"/>
  <c r="M9" i="2"/>
  <c r="M14" i="2"/>
  <c r="N9" i="2"/>
  <c r="M71" i="2"/>
  <c r="N71" i="2"/>
  <c r="M57" i="2"/>
  <c r="N57" i="2"/>
  <c r="O57" i="2"/>
  <c r="P55" i="2"/>
  <c r="L55" i="2"/>
  <c r="M55" i="2"/>
  <c r="N55" i="2"/>
  <c r="O55" i="2"/>
  <c r="I32" i="2"/>
  <c r="J32" i="2"/>
  <c r="I31" i="2"/>
  <c r="J31" i="2"/>
  <c r="I30" i="2"/>
  <c r="J30" i="2"/>
  <c r="I29" i="2"/>
  <c r="J29" i="2"/>
  <c r="I28" i="2"/>
  <c r="I27" i="2"/>
  <c r="J27" i="2"/>
  <c r="I26" i="2"/>
  <c r="J26" i="2"/>
  <c r="E26" i="2"/>
  <c r="H26" i="2"/>
  <c r="K26" i="2"/>
  <c r="I25" i="2"/>
  <c r="J25" i="2"/>
  <c r="I24" i="2"/>
  <c r="J24" i="2"/>
  <c r="I23" i="2"/>
  <c r="J23" i="2"/>
  <c r="I22" i="2"/>
  <c r="J22" i="2"/>
  <c r="I21" i="2"/>
  <c r="J21" i="2"/>
  <c r="I20" i="2"/>
  <c r="I19" i="2"/>
  <c r="J19" i="2"/>
  <c r="E19" i="2"/>
  <c r="H19" i="2"/>
  <c r="K19" i="2"/>
  <c r="I17" i="2"/>
  <c r="I18" i="2"/>
  <c r="J18" i="2"/>
  <c r="E18" i="2"/>
  <c r="H18" i="2"/>
  <c r="K18" i="2"/>
  <c r="P18" i="2"/>
  <c r="I16" i="2"/>
  <c r="J16" i="2"/>
  <c r="I15" i="2"/>
  <c r="J15" i="2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P20" i="3"/>
  <c r="O20" i="3"/>
  <c r="N20" i="3"/>
  <c r="P19" i="3"/>
  <c r="O19" i="3"/>
  <c r="N19" i="3"/>
  <c r="P18" i="3"/>
  <c r="O18" i="3"/>
  <c r="N18" i="3"/>
  <c r="P17" i="3"/>
  <c r="O17" i="3"/>
  <c r="N17" i="3"/>
  <c r="P16" i="3"/>
  <c r="O16" i="3"/>
  <c r="N16" i="3"/>
  <c r="P15" i="3"/>
  <c r="O15" i="3"/>
  <c r="N15" i="3"/>
  <c r="P14" i="3"/>
  <c r="O14" i="3"/>
  <c r="N14" i="3"/>
  <c r="P13" i="3"/>
  <c r="O13" i="3"/>
  <c r="N1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O3" i="3"/>
  <c r="P3" i="3"/>
  <c r="N3" i="3"/>
  <c r="J21" i="3"/>
  <c r="M21" i="3"/>
  <c r="K21" i="3"/>
  <c r="L21" i="3"/>
  <c r="J22" i="3"/>
  <c r="K22" i="3"/>
  <c r="L22" i="3"/>
  <c r="M22" i="3"/>
  <c r="J23" i="3"/>
  <c r="K23" i="3"/>
  <c r="M23" i="3"/>
  <c r="L23" i="3"/>
  <c r="J24" i="3"/>
  <c r="K24" i="3"/>
  <c r="L24" i="3"/>
  <c r="M24" i="3"/>
  <c r="J25" i="3"/>
  <c r="M25" i="3"/>
  <c r="K25" i="3"/>
  <c r="L25" i="3"/>
  <c r="J26" i="3"/>
  <c r="K26" i="3"/>
  <c r="L26" i="3"/>
  <c r="M26" i="3"/>
  <c r="J27" i="3"/>
  <c r="K27" i="3"/>
  <c r="M27" i="3"/>
  <c r="L27" i="3"/>
  <c r="J28" i="3"/>
  <c r="K28" i="3"/>
  <c r="L28" i="3"/>
  <c r="M28" i="3"/>
  <c r="J29" i="3"/>
  <c r="M29" i="3"/>
  <c r="K29" i="3"/>
  <c r="L29" i="3"/>
  <c r="J30" i="3"/>
  <c r="K30" i="3"/>
  <c r="L30" i="3"/>
  <c r="M30" i="3"/>
  <c r="J31" i="3"/>
  <c r="K31" i="3"/>
  <c r="M31" i="3"/>
  <c r="L31" i="3"/>
  <c r="J32" i="3"/>
  <c r="K32" i="3"/>
  <c r="L32" i="3"/>
  <c r="M32" i="3"/>
  <c r="J33" i="3"/>
  <c r="M33" i="3"/>
  <c r="K33" i="3"/>
  <c r="L33" i="3"/>
  <c r="J34" i="3"/>
  <c r="K34" i="3"/>
  <c r="L34" i="3"/>
  <c r="M34" i="3"/>
  <c r="J35" i="3"/>
  <c r="K35" i="3"/>
  <c r="M35" i="3"/>
  <c r="L35" i="3"/>
  <c r="J36" i="3"/>
  <c r="K36" i="3"/>
  <c r="L36" i="3"/>
  <c r="M36" i="3"/>
  <c r="J37" i="3"/>
  <c r="M37" i="3"/>
  <c r="K37" i="3"/>
  <c r="L37" i="3"/>
  <c r="J38" i="3"/>
  <c r="K38" i="3"/>
  <c r="L38" i="3"/>
  <c r="M38" i="3"/>
  <c r="J39" i="3"/>
  <c r="K39" i="3"/>
  <c r="M39" i="3"/>
  <c r="L39" i="3"/>
  <c r="J40" i="3"/>
  <c r="K40" i="3"/>
  <c r="L40" i="3"/>
  <c r="M40" i="3"/>
  <c r="J41" i="3"/>
  <c r="M41" i="3"/>
  <c r="K41" i="3"/>
  <c r="L41" i="3"/>
  <c r="J42" i="3"/>
  <c r="K42" i="3"/>
  <c r="L42" i="3"/>
  <c r="M42" i="3"/>
  <c r="J43" i="3"/>
  <c r="K43" i="3"/>
  <c r="M43" i="3"/>
  <c r="L43" i="3"/>
  <c r="J44" i="3"/>
  <c r="K44" i="3"/>
  <c r="L44" i="3"/>
  <c r="M44" i="3"/>
  <c r="J45" i="3"/>
  <c r="M45" i="3"/>
  <c r="K45" i="3"/>
  <c r="L45" i="3"/>
  <c r="J46" i="3"/>
  <c r="K46" i="3"/>
  <c r="M46" i="3"/>
  <c r="L46" i="3"/>
  <c r="J47" i="3"/>
  <c r="K47" i="3"/>
  <c r="M47" i="3"/>
  <c r="L47" i="3"/>
  <c r="J48" i="3"/>
  <c r="K48" i="3"/>
  <c r="L48" i="3"/>
  <c r="M48" i="3"/>
  <c r="J49" i="3"/>
  <c r="M49" i="3"/>
  <c r="K49" i="3"/>
  <c r="L49" i="3"/>
  <c r="J50" i="3"/>
  <c r="K50" i="3"/>
  <c r="M50" i="3"/>
  <c r="L50" i="3"/>
  <c r="J51" i="3"/>
  <c r="K51" i="3"/>
  <c r="M51" i="3"/>
  <c r="L51" i="3"/>
  <c r="J52" i="3"/>
  <c r="K52" i="3"/>
  <c r="L52" i="3"/>
  <c r="M52" i="3"/>
  <c r="J53" i="3"/>
  <c r="M53" i="3"/>
  <c r="K53" i="3"/>
  <c r="L53" i="3"/>
  <c r="J54" i="3"/>
  <c r="K54" i="3"/>
  <c r="M54" i="3"/>
  <c r="L54" i="3"/>
  <c r="J55" i="3"/>
  <c r="K55" i="3"/>
  <c r="M55" i="3"/>
  <c r="L55" i="3"/>
  <c r="J56" i="3"/>
  <c r="K56" i="3"/>
  <c r="L56" i="3"/>
  <c r="M56" i="3"/>
  <c r="J57" i="3"/>
  <c r="M57" i="3"/>
  <c r="K57" i="3"/>
  <c r="L57" i="3"/>
  <c r="J58" i="3"/>
  <c r="K58" i="3"/>
  <c r="M58" i="3"/>
  <c r="L58" i="3"/>
  <c r="J59" i="3"/>
  <c r="K59" i="3"/>
  <c r="M59" i="3"/>
  <c r="L59" i="3"/>
  <c r="J60" i="3"/>
  <c r="K60" i="3"/>
  <c r="L60" i="3"/>
  <c r="M60" i="3"/>
  <c r="J61" i="3"/>
  <c r="M61" i="3"/>
  <c r="K61" i="3"/>
  <c r="L61" i="3"/>
  <c r="J62" i="3"/>
  <c r="K62" i="3"/>
  <c r="M62" i="3"/>
  <c r="L62" i="3"/>
  <c r="J63" i="3"/>
  <c r="K63" i="3"/>
  <c r="M63" i="3"/>
  <c r="L63" i="3"/>
  <c r="J64" i="3"/>
  <c r="K64" i="3"/>
  <c r="L64" i="3"/>
  <c r="M64" i="3"/>
  <c r="J65" i="3"/>
  <c r="M65" i="3"/>
  <c r="K65" i="3"/>
  <c r="L65" i="3"/>
  <c r="L20" i="3"/>
  <c r="K20" i="3"/>
  <c r="M20" i="3"/>
  <c r="J20" i="3"/>
  <c r="L19" i="3"/>
  <c r="M19" i="3"/>
  <c r="K19" i="3"/>
  <c r="J19" i="3"/>
  <c r="L18" i="3"/>
  <c r="K18" i="3"/>
  <c r="M18" i="3"/>
  <c r="J18" i="3"/>
  <c r="L17" i="3"/>
  <c r="K17" i="3"/>
  <c r="J17" i="3"/>
  <c r="M17" i="3"/>
  <c r="L16" i="3"/>
  <c r="K16" i="3"/>
  <c r="M16" i="3"/>
  <c r="J16" i="3"/>
  <c r="L15" i="3"/>
  <c r="M15" i="3"/>
  <c r="K15" i="3"/>
  <c r="J15" i="3"/>
  <c r="L14" i="3"/>
  <c r="K14" i="3"/>
  <c r="M14" i="3"/>
  <c r="J14" i="3"/>
  <c r="L13" i="3"/>
  <c r="K13" i="3"/>
  <c r="J13" i="3"/>
  <c r="M13" i="3"/>
  <c r="J4" i="3"/>
  <c r="K4" i="3"/>
  <c r="M4" i="3"/>
  <c r="L4" i="3"/>
  <c r="J5" i="3"/>
  <c r="K5" i="3"/>
  <c r="M5" i="3"/>
  <c r="L5" i="3"/>
  <c r="J6" i="3"/>
  <c r="M6" i="3"/>
  <c r="K6" i="3"/>
  <c r="L6" i="3"/>
  <c r="J7" i="3"/>
  <c r="K7" i="3"/>
  <c r="M7" i="3"/>
  <c r="L7" i="3"/>
  <c r="J8" i="3"/>
  <c r="K8" i="3"/>
  <c r="M8" i="3"/>
  <c r="L8" i="3"/>
  <c r="J9" i="3"/>
  <c r="K9" i="3"/>
  <c r="M9" i="3"/>
  <c r="L9" i="3"/>
  <c r="J10" i="3"/>
  <c r="M10" i="3"/>
  <c r="K10" i="3"/>
  <c r="L10" i="3"/>
  <c r="M3" i="3"/>
  <c r="L3" i="3"/>
  <c r="K3" i="3"/>
  <c r="J3" i="3"/>
  <c r="D51" i="2"/>
  <c r="I51" i="2"/>
  <c r="P51" i="2"/>
  <c r="Q51" i="2"/>
  <c r="K51" i="2"/>
  <c r="J51" i="2"/>
  <c r="E51" i="2"/>
  <c r="J17" i="2"/>
  <c r="E17" i="2"/>
  <c r="H17" i="2"/>
  <c r="K17" i="2"/>
  <c r="L18" i="2"/>
  <c r="M18" i="2"/>
  <c r="E31" i="2"/>
  <c r="H31" i="2"/>
  <c r="K31" i="2"/>
  <c r="L31" i="2"/>
  <c r="E32" i="2"/>
  <c r="H32" i="2"/>
  <c r="K32" i="2"/>
  <c r="L32" i="2"/>
  <c r="E29" i="2"/>
  <c r="H29" i="2"/>
  <c r="K29" i="2"/>
  <c r="E30" i="2"/>
  <c r="H30" i="2"/>
  <c r="K30" i="2"/>
  <c r="E27" i="2"/>
  <c r="H27" i="2"/>
  <c r="K27" i="2"/>
  <c r="L27" i="2"/>
  <c r="N27" i="2"/>
  <c r="J28" i="2"/>
  <c r="E25" i="2"/>
  <c r="H25" i="2"/>
  <c r="K25" i="2"/>
  <c r="L25" i="2"/>
  <c r="N25" i="2"/>
  <c r="P26" i="2"/>
  <c r="L26" i="2"/>
  <c r="M26" i="2"/>
  <c r="E23" i="2"/>
  <c r="H23" i="2"/>
  <c r="K23" i="2"/>
  <c r="L23" i="2"/>
  <c r="M23" i="2"/>
  <c r="E24" i="2"/>
  <c r="H24" i="2"/>
  <c r="K24" i="2"/>
  <c r="E21" i="2"/>
  <c r="H21" i="2"/>
  <c r="K21" i="2"/>
  <c r="L21" i="2"/>
  <c r="M21" i="2"/>
  <c r="E22" i="2"/>
  <c r="H22" i="2"/>
  <c r="K22" i="2"/>
  <c r="L22" i="2"/>
  <c r="M22" i="2"/>
  <c r="P19" i="2"/>
  <c r="L19" i="2"/>
  <c r="M19" i="2"/>
  <c r="J20" i="2"/>
  <c r="N18" i="2"/>
  <c r="O18" i="2"/>
  <c r="L51" i="2"/>
  <c r="O26" i="2"/>
  <c r="N31" i="2"/>
  <c r="M31" i="2"/>
  <c r="P17" i="2"/>
  <c r="N26" i="2"/>
  <c r="L17" i="2"/>
  <c r="M32" i="2"/>
  <c r="N32" i="2"/>
  <c r="P32" i="2"/>
  <c r="O32" i="2"/>
  <c r="P31" i="2"/>
  <c r="O31" i="2"/>
  <c r="P30" i="2"/>
  <c r="L30" i="2"/>
  <c r="O30" i="2"/>
  <c r="P29" i="2"/>
  <c r="L29" i="2"/>
  <c r="E28" i="2"/>
  <c r="H28" i="2"/>
  <c r="K28" i="2"/>
  <c r="L28" i="2"/>
  <c r="M27" i="2"/>
  <c r="P27" i="2"/>
  <c r="O27" i="2"/>
  <c r="M25" i="2"/>
  <c r="P25" i="2"/>
  <c r="O25" i="2"/>
  <c r="P24" i="2"/>
  <c r="L24" i="2"/>
  <c r="N23" i="2"/>
  <c r="P23" i="2"/>
  <c r="O23" i="2"/>
  <c r="P22" i="2"/>
  <c r="O22" i="2"/>
  <c r="N22" i="2"/>
  <c r="N21" i="2"/>
  <c r="P21" i="2"/>
  <c r="O21" i="2"/>
  <c r="E20" i="2"/>
  <c r="H20" i="2"/>
  <c r="K20" i="2"/>
  <c r="N19" i="2"/>
  <c r="O19" i="2"/>
  <c r="W92" i="2"/>
  <c r="V92" i="2"/>
  <c r="U92" i="2"/>
  <c r="W91" i="2"/>
  <c r="V91" i="2"/>
  <c r="U91" i="2"/>
  <c r="N51" i="2"/>
  <c r="M51" i="2"/>
  <c r="O51" i="2"/>
  <c r="N17" i="2"/>
  <c r="M17" i="2"/>
  <c r="O17" i="2"/>
  <c r="M29" i="2"/>
  <c r="N29" i="2"/>
  <c r="O29" i="2"/>
  <c r="M30" i="2"/>
  <c r="N30" i="2"/>
  <c r="M28" i="2"/>
  <c r="N28" i="2"/>
  <c r="P28" i="2"/>
  <c r="O28" i="2"/>
  <c r="M24" i="2"/>
  <c r="N24" i="2"/>
  <c r="O24" i="2"/>
  <c r="P20" i="2"/>
  <c r="L20" i="2"/>
  <c r="M20" i="2"/>
  <c r="N20" i="2"/>
  <c r="O20" i="2"/>
  <c r="E16" i="2"/>
  <c r="H16" i="2"/>
  <c r="K16" i="2"/>
  <c r="E15" i="2"/>
  <c r="H15" i="2"/>
  <c r="K15" i="2"/>
  <c r="L16" i="2"/>
  <c r="P16" i="2"/>
  <c r="O16" i="2"/>
  <c r="P15" i="2"/>
  <c r="L15" i="2"/>
  <c r="O15" i="2"/>
  <c r="M15" i="2"/>
  <c r="N15" i="2"/>
  <c r="N16" i="2"/>
  <c r="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tc={D9A64052-9DC9-40DD-901A-350DD21C3AD0}</author>
    <author>tc={B5489F91-93F6-4C0C-BACD-6C5B62432C3D}</author>
    <author>tc={962405B7-F94D-4E38-8ACF-D0B9F3685F7C}</author>
    <author>tc={D5571938-1A23-4933-8092-5C73AF3F6C58}</author>
    <author>tc={836A527C-FF15-413D-9160-5C38555F9A6B}</author>
    <author>tc={A2ECB698-FD61-4865-B23E-4AAA8A93CAB5}</author>
    <author>tc={D6CFB5EE-6410-4027-AFEF-2035B5B3D9CA}</author>
  </authors>
  <commentList>
    <comment ref="D47" authorId="0" shapeId="0" xr:uid="{D9A64052-9DC9-40DD-901A-350DD21C3AD0}">
      <text>
        <t>[Threaded comment]
Your version of Excel allows you to read this threaded comment; however, any edits to it will get removed if the file is opened in a newer version of Excel. Learn more: https://go.microsoft.com/fwlink/?linkid=870924
Comment:
    1%  point error in reporting</t>
      </text>
    </comment>
    <comment ref="D52" authorId="1" shapeId="0" xr:uid="{B5489F91-93F6-4C0C-BACD-6C5B62432C3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 total from their paper. C_org is 66.66</t>
      </text>
    </comment>
    <comment ref="E52" authorId="2" shapeId="0" xr:uid="{962405B7-F94D-4E38-8ACF-D0B9F3685F7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H/C value reported, I have 3% H content</t>
      </text>
    </comment>
    <comment ref="G52" authorId="3" shapeId="0" xr:uid="{D5571938-1A23-4933-8092-5C73AF3F6C5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Fang et al 2014 AEE</t>
      </text>
    </comment>
    <comment ref="F55" authorId="4" shapeId="0" xr:uid="{836A527C-FF15-413D-9160-5C38555F9A6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characterization from SIngh et al 2010 SOil Research
Reply:
    Conversion error: factor 10 (values marked in red)</t>
      </text>
    </comment>
    <comment ref="Q55" authorId="5" shapeId="0" xr:uid="{A2ECB698-FD61-4865-B23E-4AAA8A93CAB5}">
      <text>
        <t>[Threaded comment]
Your version of Excel allows you to read this threaded comment; however, any edits to it will get removed if the file is opened in a newer version of Excel. Learn more: https://go.microsoft.com/fwlink/?linkid=870924
Comment:
    Unclear where these are coming from? Their precision number being large, indicates it's been copy-pasted from somewhere, with a model/regression</t>
      </text>
    </comment>
    <comment ref="D66" authorId="6" shapeId="0" xr:uid="{D6CFB5EE-6410-4027-AFEF-2035B5B3D9C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here from an email from Weixiang Wu on February 10 2021</t>
      </text>
    </comment>
  </commentList>
</comments>
</file>

<file path=xl/sharedStrings.xml><?xml version="1.0" encoding="utf-8"?>
<sst xmlns="http://schemas.openxmlformats.org/spreadsheetml/2006/main" count="429" uniqueCount="208">
  <si>
    <t>&lt;450</t>
  </si>
  <si>
    <t>450-600</t>
  </si>
  <si>
    <t>&gt;600</t>
  </si>
  <si>
    <t>Lolium Perenne</t>
  </si>
  <si>
    <t>Rice straw</t>
  </si>
  <si>
    <t>Oak</t>
  </si>
  <si>
    <t>Pine</t>
  </si>
  <si>
    <t>Average</t>
  </si>
  <si>
    <t>SE</t>
  </si>
  <si>
    <t>reference</t>
  </si>
  <si>
    <t>feedstock</t>
  </si>
  <si>
    <t>temp</t>
  </si>
  <si>
    <t>Dharmakeerthi et al 2015 SBB</t>
  </si>
  <si>
    <t>mango wood</t>
  </si>
  <si>
    <t>Eucalyptus wood 450C</t>
  </si>
  <si>
    <t>Eucalyptus wood 550C</t>
  </si>
  <si>
    <t>Herath et al 2014 GCB Bioenergy</t>
  </si>
  <si>
    <t>corn stover, 350C,  36°C min</t>
  </si>
  <si>
    <t>corn stover., 550C, 51 °C min</t>
  </si>
  <si>
    <t>Kuzyakov et al 2014</t>
  </si>
  <si>
    <t>Major et al 2010</t>
  </si>
  <si>
    <t>Singh</t>
  </si>
  <si>
    <t>Eucalyptus wood 400</t>
  </si>
  <si>
    <t>Eucalyptus wood 550</t>
  </si>
  <si>
    <t>Eucalyptus leaves 400</t>
  </si>
  <si>
    <t>Eucalyptus leaves 550</t>
  </si>
  <si>
    <t>Papermill sludge 550</t>
  </si>
  <si>
    <t>Poultry litter 400</t>
  </si>
  <si>
    <t>Poultry litter 550</t>
  </si>
  <si>
    <t>Cow manure 400</t>
  </si>
  <si>
    <t>Cow manure 550</t>
  </si>
  <si>
    <t>Zimmerman and Gao, 2013</t>
  </si>
  <si>
    <t>grass</t>
  </si>
  <si>
    <t>oak</t>
  </si>
  <si>
    <t>Zimmerman, 2010</t>
  </si>
  <si>
    <t>cedar</t>
  </si>
  <si>
    <t>bubinga</t>
  </si>
  <si>
    <t>sugar cane</t>
  </si>
  <si>
    <t>Zimmerman, 2010 updated</t>
  </si>
  <si>
    <t>pine (all biotic)</t>
  </si>
  <si>
    <t>pine</t>
  </si>
  <si>
    <t>fraction remaining after 100 years</t>
  </si>
  <si>
    <t>Cheng et al 2008</t>
  </si>
  <si>
    <t>Liang et al 2008</t>
  </si>
  <si>
    <t>Lehmann et al 2008</t>
  </si>
  <si>
    <t>Preston and Schmidt, 2006, calculated after Gavin et al, 2003</t>
  </si>
  <si>
    <t>Nguyen et al 2008</t>
  </si>
  <si>
    <t>Lutfalla et al 2017</t>
  </si>
  <si>
    <t>Lutfalla et al 2018</t>
  </si>
  <si>
    <t>Lutfalla et al 2019</t>
  </si>
  <si>
    <t>Lutfalla et al 2020</t>
  </si>
  <si>
    <t>Lutfalla et al 2021</t>
  </si>
  <si>
    <t>Lutfalla et al 2022</t>
  </si>
  <si>
    <t>Lutfalla et al 2023</t>
  </si>
  <si>
    <t>Lutfalla et al 2024</t>
  </si>
  <si>
    <t>Lutfalla et al 2025</t>
  </si>
  <si>
    <t>Lutfalla et al 2026</t>
  </si>
  <si>
    <t>Lutfalla et al 2027</t>
  </si>
  <si>
    <t>Lutfalla et al 2028</t>
  </si>
  <si>
    <t>Hammes et al 2008</t>
  </si>
  <si>
    <t>Vasilyeva et al 2011</t>
  </si>
  <si>
    <t>Temperature Categories</t>
  </si>
  <si>
    <t>H/Corg categories</t>
  </si>
  <si>
    <t>H/Corg</t>
  </si>
  <si>
    <t>&lt;0.5</t>
  </si>
  <si>
    <t>C</t>
  </si>
  <si>
    <t>H</t>
  </si>
  <si>
    <t>O</t>
  </si>
  <si>
    <t>weight %</t>
  </si>
  <si>
    <t>mol/g</t>
  </si>
  <si>
    <t>mol/mol</t>
  </si>
  <si>
    <t>C+O+H</t>
  </si>
  <si>
    <t>mol/mol(C+O+H)</t>
  </si>
  <si>
    <t>O/C ratio</t>
  </si>
  <si>
    <t>Bull</t>
  </si>
  <si>
    <t>Corn</t>
  </si>
  <si>
    <t>Dairy</t>
  </si>
  <si>
    <t>Hazelnut</t>
  </si>
  <si>
    <t>Paper</t>
  </si>
  <si>
    <t>Poultry</t>
  </si>
  <si>
    <t>Temperature</t>
  </si>
  <si>
    <t>Volatiles</t>
  </si>
  <si>
    <t>(%)</t>
  </si>
  <si>
    <t>O/Corg</t>
  </si>
  <si>
    <t>Corg</t>
  </si>
  <si>
    <t>% w/w</t>
  </si>
  <si>
    <t>Htot</t>
  </si>
  <si>
    <t>Oult</t>
  </si>
  <si>
    <t>Food waste</t>
  </si>
  <si>
    <t>N</t>
  </si>
  <si>
    <t>Ash (ASTM)</t>
  </si>
  <si>
    <t>Fang et al 2014</t>
  </si>
  <si>
    <t>Fang et al 2014 EJSS and AEE</t>
  </si>
  <si>
    <t>Budai et al 2016 BFS 52</t>
  </si>
  <si>
    <t>Corn cob</t>
  </si>
  <si>
    <t>Miscanthus</t>
  </si>
  <si>
    <t>Fang et al 2019 EJSS 70</t>
  </si>
  <si>
    <t>Eucalyptus saligna wood</t>
  </si>
  <si>
    <t>Wu et al. 2016 AEE</t>
  </si>
  <si>
    <t>Liu et al 2020 Science of the Total Environment 718 137390</t>
  </si>
  <si>
    <t>wheat straw</t>
  </si>
  <si>
    <t>Liu et al 2020 Science of the Total Environment 718 137391</t>
  </si>
  <si>
    <t>Liu et al 2020 Science of the Total Environment 718 137392</t>
  </si>
  <si>
    <t>Liu et al 2020 Science of the Total Environment 718 137393</t>
  </si>
  <si>
    <t>Liu et al 2020 Science of the Total Environment 718 137394</t>
  </si>
  <si>
    <t>Singh BP et al 2015 PlosONE</t>
  </si>
  <si>
    <t>All</t>
  </si>
  <si>
    <t>h/C=0.7</t>
  </si>
  <si>
    <t>h+c=1</t>
  </si>
  <si>
    <t>h=0.7*c</t>
  </si>
  <si>
    <t>c=1-h</t>
  </si>
  <si>
    <t>h=0.7*(1-h)</t>
  </si>
  <si>
    <t>(at 14.9C)</t>
  </si>
  <si>
    <t>O/C=0.4</t>
  </si>
  <si>
    <t>o=0.4*c</t>
  </si>
  <si>
    <t>o=0.4*(1-o)</t>
  </si>
  <si>
    <t>o+c=1</t>
  </si>
  <si>
    <t>c=1-o</t>
  </si>
  <si>
    <t>(in %)</t>
  </si>
  <si>
    <t>(fperm fraction)</t>
  </si>
  <si>
    <t>unknown feedstock or pyrolysis temperaures</t>
  </si>
  <si>
    <t>ID_Lehmann2021</t>
  </si>
  <si>
    <t>L1</t>
  </si>
  <si>
    <t>L2</t>
  </si>
  <si>
    <t>L3</t>
  </si>
  <si>
    <t>L9</t>
  </si>
  <si>
    <t>L8</t>
  </si>
  <si>
    <t>L11</t>
  </si>
  <si>
    <t>L4</t>
  </si>
  <si>
    <t>L5</t>
  </si>
  <si>
    <t>L6</t>
  </si>
  <si>
    <t>L7</t>
  </si>
  <si>
    <t>L10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</si>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</sst>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0"/>
      <color rgb="FFFF0000"/>
      <name val="Arial"/>
      <family val="2"/>
      <charset val="1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4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vertical="top"/>
    </xf>
    <xf numFmtId="0" fontId="2" fillId="2" borderId="0" xfId="1" applyFont="1" applyFill="1" applyAlignment="1">
      <alignment horizontal="right"/>
    </xf>
    <xf numFmtId="0" fontId="0" fillId="0" borderId="0" xfId="0" applyFill="1"/>
    <xf numFmtId="0" fontId="0" fillId="3" borderId="0" xfId="0" applyFill="1"/>
    <xf numFmtId="0" fontId="4" fillId="0" borderId="0" xfId="0" applyFont="1"/>
    <xf numFmtId="165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0" fontId="8" fillId="0" borderId="0" xfId="0" applyFont="1"/>
    <xf numFmtId="2" fontId="6" fillId="3" borderId="0" xfId="2" applyNumberFormat="1" applyFont="1" applyFill="1"/>
    <xf numFmtId="0" fontId="8" fillId="3" borderId="0" xfId="0" applyFont="1" applyFill="1"/>
    <xf numFmtId="0" fontId="7" fillId="0" borderId="0" xfId="0" applyFont="1"/>
    <xf numFmtId="0" fontId="11" fillId="0" borderId="0" xfId="0" applyFont="1"/>
    <xf numFmtId="2" fontId="0" fillId="0" borderId="0" xfId="0" applyNumberFormat="1"/>
    <xf numFmtId="2" fontId="10" fillId="0" borderId="0" xfId="0" applyNumberFormat="1" applyFont="1"/>
    <xf numFmtId="0" fontId="12" fillId="0" borderId="0" xfId="0" applyFont="1"/>
    <xf numFmtId="2" fontId="6" fillId="2" borderId="0" xfId="0" applyNumberFormat="1" applyFont="1" applyFill="1"/>
    <xf numFmtId="2" fontId="2" fillId="3" borderId="0" xfId="0" applyNumberFormat="1" applyFont="1" applyFill="1"/>
    <xf numFmtId="165" fontId="0" fillId="3" borderId="0" xfId="0" applyNumberFormat="1" applyFill="1"/>
    <xf numFmtId="164" fontId="2" fillId="3" borderId="0" xfId="0" applyNumberFormat="1" applyFont="1" applyFill="1"/>
    <xf numFmtId="0" fontId="7" fillId="3" borderId="0" xfId="0" applyFont="1" applyFill="1"/>
    <xf numFmtId="165" fontId="7" fillId="3" borderId="0" xfId="0" applyNumberFormat="1" applyFont="1" applyFill="1"/>
    <xf numFmtId="165" fontId="6" fillId="3" borderId="0" xfId="0" applyNumberFormat="1" applyFont="1" applyFill="1"/>
    <xf numFmtId="164" fontId="2" fillId="4" borderId="0" xfId="0" applyNumberFormat="1" applyFont="1" applyFill="1"/>
    <xf numFmtId="2" fontId="1" fillId="0" borderId="0" xfId="0" applyNumberFormat="1" applyFont="1"/>
    <xf numFmtId="0" fontId="13" fillId="0" borderId="0" xfId="0" applyFont="1"/>
    <xf numFmtId="0" fontId="14" fillId="5" borderId="0" xfId="0" applyFont="1" applyFill="1" applyAlignment="1">
      <alignment horizontal="left" indent="1"/>
    </xf>
    <xf numFmtId="164" fontId="15" fillId="3" borderId="0" xfId="0" applyNumberFormat="1" applyFont="1" applyFill="1"/>
    <xf numFmtId="164" fontId="15" fillId="5" borderId="0" xfId="0" applyNumberFormat="1" applyFont="1" applyFill="1"/>
    <xf numFmtId="0" fontId="16" fillId="2" borderId="0" xfId="0" applyFont="1" applyFill="1"/>
    <xf numFmtId="2" fontId="15" fillId="3" borderId="0" xfId="2" applyNumberFormat="1" applyFont="1" applyFill="1"/>
    <xf numFmtId="164" fontId="17" fillId="3" borderId="0" xfId="0" applyNumberFormat="1" applyFont="1" applyFill="1"/>
    <xf numFmtId="2" fontId="16" fillId="3" borderId="0" xfId="0" applyNumberFormat="1" applyFont="1" applyFill="1"/>
    <xf numFmtId="0" fontId="14" fillId="3" borderId="0" xfId="0" applyFont="1" applyFill="1"/>
    <xf numFmtId="166" fontId="8" fillId="0" borderId="0" xfId="0" applyNumberFormat="1" applyFont="1"/>
    <xf numFmtId="0" fontId="14" fillId="6" borderId="0" xfId="0" applyFont="1" applyFill="1" applyAlignment="1">
      <alignment horizontal="left" indent="1"/>
    </xf>
    <xf numFmtId="0" fontId="14" fillId="0" borderId="0" xfId="0" applyFont="1"/>
    <xf numFmtId="0" fontId="2" fillId="7" borderId="0" xfId="0" applyFont="1" applyFill="1"/>
    <xf numFmtId="2" fontId="2" fillId="5" borderId="0" xfId="0" applyNumberFormat="1" applyFont="1" applyFill="1"/>
  </cellXfs>
  <cellStyles count="3">
    <cellStyle name="Normal" xfId="0" builtinId="0"/>
    <cellStyle name="Normal_Calculations of MRT and MRT at " xfId="1" xr:uid="{00000000-0005-0000-0000-000001000000}"/>
    <cellStyle name="Normal_Sheet1" xfId="2" xr:uid="{56B13AB0-FEE1-43F6-838C-E7A94F5073F9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nes Lehmann" id="{832CE399-D77F-4B63-98BF-DDF0FDC1B4D7}" userId="S::cl273@cornell.edu::91d08db9-66ad-433f-a4c7-8686fdbc6884" providerId="AD"/>
  <person displayName="Elias Azzi" id="{59E8CACF-7572-4054-AA8D-A7C62963C3A6}" userId="S::elias.azzi@slu.se::5cd0a805-888f-479d-b1fd-96024b49e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7" dT="2022-04-19T13:35:48.81" personId="{59E8CACF-7572-4054-AA8D-A7C62963C3A6}" id="{D9A64052-9DC9-40DD-901A-350DD21C3AD0}">
    <text>1%  point error in reporting</text>
  </threadedComment>
  <threadedComment ref="D52" dT="2022-04-25T18:01:45.20" personId="{59E8CACF-7572-4054-AA8D-A7C62963C3A6}" id="{B5489F91-93F6-4C0C-BACD-6C5B62432C3D}">
    <text>This is C total from their paper. C_org is 66.66</text>
  </threadedComment>
  <threadedComment ref="E52" dT="2022-04-25T18:02:17.74" personId="{59E8CACF-7572-4054-AA8D-A7C62963C3A6}" id="{962405B7-F94D-4E38-8ACF-D0B9F3685F7C}">
    <text>based on the H/C value reported, I have 3% H content</text>
  </threadedComment>
  <threadedComment ref="G52" dT="2021-03-09T21:50:06.33" personId="{832CE399-D77F-4B63-98BF-DDF0FDC1B4D7}" id="{D5571938-1A23-4933-8092-5C73AF3F6C58}">
    <text>from Fang et al 2014 AEE</text>
  </threadedComment>
  <threadedComment ref="F55" dT="2021-03-10T07:33:30.67" personId="{832CE399-D77F-4B63-98BF-DDF0FDC1B4D7}" id="{836A527C-FF15-413D-9160-5C38555F9A6B}">
    <text>characterization from SIngh et al 2010 SOil Research</text>
  </threadedComment>
  <threadedComment ref="F55" dT="2022-04-07T14:34:45.73" personId="{59E8CACF-7572-4054-AA8D-A7C62963C3A6}" id="{B8229601-3EE0-443F-829B-9990E4D54AD4}" parentId="{836A527C-FF15-413D-9160-5C38555F9A6B}">
    <text>Conversion error: factor 10 (values marked in red)</text>
  </threadedComment>
  <threadedComment ref="Q55" dT="2022-04-07T14:36:07.79" personId="{59E8CACF-7572-4054-AA8D-A7C62963C3A6}" id="{A2ECB698-FD61-4865-B23E-4AAA8A93CAB5}">
    <text>Unclear where these are coming from? Their precision number being large, indicates it's been copy-pasted from somewhere, with a model/regression</text>
  </threadedComment>
  <threadedComment ref="D66" dT="2021-03-09T19:08:42.80" personId="{832CE399-D77F-4B63-98BF-DDF0FDC1B4D7}" id="{D6CFB5EE-6410-4027-AFEF-2035B5B3D9CA}">
    <text>data here from an email from Weixiang Wu on February 10 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2"/>
  <sheetViews>
    <sheetView tabSelected="1" zoomScale="70" zoomScaleNormal="70"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N4" sqref="N4"/>
    </sheetView>
  </sheetViews>
  <sheetFormatPr defaultColWidth="8.6640625" defaultRowHeight="14.4" x14ac:dyDescent="0.3"/>
  <cols>
    <col min="2" max="2" width="28.33203125" customWidth="1"/>
    <col min="3" max="3" width="25.44140625" customWidth="1"/>
    <col min="4" max="8" width="11.44140625" customWidth="1"/>
    <col min="9" max="9" width="12.109375" customWidth="1"/>
    <col min="10" max="10" width="10.44140625" customWidth="1"/>
    <col min="11" max="12" width="11.109375" customWidth="1"/>
    <col min="13" max="13" width="15" customWidth="1"/>
    <col min="14" max="14" width="14" customWidth="1"/>
    <col min="15" max="16" width="15.6640625" customWidth="1"/>
    <col min="17" max="17" width="12" style="13" customWidth="1"/>
    <col min="18" max="18" width="6.44140625" customWidth="1"/>
    <col min="19" max="20" width="9.33203125" customWidth="1"/>
    <col min="24" max="24" width="13" customWidth="1"/>
  </cols>
  <sheetData>
    <row r="1" spans="1:28" x14ac:dyDescent="0.3">
      <c r="S1" t="s">
        <v>119</v>
      </c>
      <c r="T1" t="s">
        <v>118</v>
      </c>
      <c r="U1" t="s">
        <v>41</v>
      </c>
    </row>
    <row r="2" spans="1:28" x14ac:dyDescent="0.3">
      <c r="D2" t="s">
        <v>84</v>
      </c>
      <c r="E2" t="s">
        <v>66</v>
      </c>
      <c r="F2" t="s">
        <v>89</v>
      </c>
      <c r="G2" t="s">
        <v>90</v>
      </c>
      <c r="H2" t="s">
        <v>67</v>
      </c>
      <c r="I2" t="s">
        <v>65</v>
      </c>
      <c r="J2" t="s">
        <v>66</v>
      </c>
      <c r="K2" t="s">
        <v>67</v>
      </c>
      <c r="L2" t="s">
        <v>71</v>
      </c>
      <c r="M2" t="s">
        <v>65</v>
      </c>
      <c r="N2" t="s">
        <v>66</v>
      </c>
      <c r="O2" t="s">
        <v>67</v>
      </c>
      <c r="P2" t="s">
        <v>73</v>
      </c>
      <c r="Q2" s="13" t="s">
        <v>63</v>
      </c>
      <c r="S2" s="9" t="s">
        <v>106</v>
      </c>
      <c r="T2" s="9" t="s">
        <v>106</v>
      </c>
      <c r="U2" s="9" t="s">
        <v>61</v>
      </c>
      <c r="X2" t="s">
        <v>62</v>
      </c>
    </row>
    <row r="3" spans="1:28" x14ac:dyDescent="0.3">
      <c r="A3" s="30" t="s">
        <v>121</v>
      </c>
      <c r="B3" t="s">
        <v>9</v>
      </c>
      <c r="C3" t="s">
        <v>10</v>
      </c>
      <c r="D3" t="s">
        <v>68</v>
      </c>
      <c r="E3" t="s">
        <v>68</v>
      </c>
      <c r="F3" t="s">
        <v>68</v>
      </c>
      <c r="G3" t="s">
        <v>68</v>
      </c>
      <c r="H3" t="s">
        <v>68</v>
      </c>
      <c r="I3" t="s">
        <v>69</v>
      </c>
      <c r="J3" t="s">
        <v>69</v>
      </c>
      <c r="K3" t="s">
        <v>69</v>
      </c>
      <c r="L3" t="s">
        <v>69</v>
      </c>
      <c r="M3" t="s">
        <v>72</v>
      </c>
      <c r="N3" t="s">
        <v>72</v>
      </c>
      <c r="O3" t="s">
        <v>72</v>
      </c>
      <c r="P3" t="s">
        <v>70</v>
      </c>
      <c r="Q3" s="13" t="s">
        <v>70</v>
      </c>
      <c r="R3" t="s">
        <v>11</v>
      </c>
      <c r="S3" s="9" t="s">
        <v>112</v>
      </c>
      <c r="T3" s="9" t="s">
        <v>112</v>
      </c>
      <c r="U3" s="1" t="s">
        <v>0</v>
      </c>
      <c r="V3" s="1" t="s">
        <v>1</v>
      </c>
      <c r="W3" s="1" t="s">
        <v>2</v>
      </c>
      <c r="X3" s="1" t="s">
        <v>64</v>
      </c>
      <c r="AB3" s="1" t="s">
        <v>120</v>
      </c>
    </row>
    <row r="4" spans="1:28" x14ac:dyDescent="0.3">
      <c r="A4" s="31" t="s">
        <v>122</v>
      </c>
      <c r="B4" s="16" t="s">
        <v>93</v>
      </c>
      <c r="C4" s="16" t="s">
        <v>94</v>
      </c>
      <c r="D4">
        <v>83.2</v>
      </c>
      <c r="E4">
        <v>2.1</v>
      </c>
      <c r="F4">
        <v>1.4</v>
      </c>
      <c r="G4">
        <v>7.3</v>
      </c>
      <c r="H4">
        <v>8.6999999999999993</v>
      </c>
      <c r="I4" s="10">
        <f t="shared" ref="I4:I14" si="0">D4/12.01*10</f>
        <v>69.275603663613651</v>
      </c>
      <c r="J4" s="12">
        <f>(E4/1.0079*10)</f>
        <v>20.835400337335056</v>
      </c>
      <c r="K4" s="10">
        <f t="shared" ref="K4:K14" si="1">H4/16*10</f>
        <v>5.4375</v>
      </c>
      <c r="L4" s="10">
        <f t="shared" ref="L4:L14" si="2">I4+J4+K4</f>
        <v>95.548504000948711</v>
      </c>
      <c r="M4">
        <f t="shared" ref="M4:M14" si="3">I4/$L4</f>
        <v>0.72503075153249708</v>
      </c>
      <c r="N4">
        <f t="shared" ref="N4:N14" si="4">J4/$L4</f>
        <v>0.21806097913503888</v>
      </c>
      <c r="O4">
        <f t="shared" ref="O4:O14" si="5">K4/$L4</f>
        <v>5.6908269332463964E-2</v>
      </c>
      <c r="P4" s="11">
        <f>K4/I4</f>
        <v>7.8490835336538473E-2</v>
      </c>
      <c r="Q4" s="18">
        <v>0.30080000000000001</v>
      </c>
      <c r="R4">
        <v>580</v>
      </c>
      <c r="S4">
        <v>0.6524953634955688</v>
      </c>
      <c r="T4" s="18">
        <f>S4*100</f>
        <v>65.249536349556877</v>
      </c>
      <c r="U4" s="1"/>
      <c r="V4">
        <f>$S4</f>
        <v>0.6524953634955688</v>
      </c>
      <c r="W4" s="1"/>
      <c r="X4" s="29">
        <f>T4</f>
        <v>65.249536349556877</v>
      </c>
      <c r="AB4" s="1"/>
    </row>
    <row r="5" spans="1:28" x14ac:dyDescent="0.3">
      <c r="A5" s="31" t="s">
        <v>123</v>
      </c>
      <c r="B5" s="16" t="s">
        <v>93</v>
      </c>
      <c r="C5" s="17" t="s">
        <v>94</v>
      </c>
      <c r="D5">
        <v>74.2</v>
      </c>
      <c r="E5">
        <v>4.5999999999999996</v>
      </c>
      <c r="F5">
        <v>0.6</v>
      </c>
      <c r="G5">
        <v>2.5</v>
      </c>
      <c r="H5">
        <v>23.3</v>
      </c>
      <c r="I5" s="10">
        <f t="shared" si="0"/>
        <v>61.781848459616988</v>
      </c>
      <c r="J5" s="12">
        <f t="shared" ref="J5:J14" si="6">(E5/1.0079*10)</f>
        <v>45.639448357972014</v>
      </c>
      <c r="K5" s="10">
        <f t="shared" si="1"/>
        <v>14.5625</v>
      </c>
      <c r="L5" s="10">
        <f t="shared" si="2"/>
        <v>121.983796817589</v>
      </c>
      <c r="M5">
        <f t="shared" si="3"/>
        <v>0.50647586049484716</v>
      </c>
      <c r="N5">
        <f t="shared" si="4"/>
        <v>0.37414353011342899</v>
      </c>
      <c r="O5">
        <f t="shared" si="5"/>
        <v>0.11938060939172386</v>
      </c>
      <c r="P5" s="11">
        <f t="shared" ref="P5:P14" si="7">K5/I5</f>
        <v>0.23570838948787062</v>
      </c>
      <c r="Q5" s="18">
        <v>0.73870000000000002</v>
      </c>
      <c r="R5">
        <v>369</v>
      </c>
      <c r="S5">
        <v>0.8066527897707948</v>
      </c>
      <c r="T5" s="18">
        <f t="shared" ref="T5:T68" si="8">S5*100</f>
        <v>80.665278977079481</v>
      </c>
      <c r="U5">
        <f>$S5</f>
        <v>0.8066527897707948</v>
      </c>
      <c r="V5" s="1"/>
      <c r="W5" s="1"/>
      <c r="X5" s="1"/>
      <c r="AB5" s="1"/>
    </row>
    <row r="6" spans="1:28" x14ac:dyDescent="0.3">
      <c r="A6" s="31" t="s">
        <v>124</v>
      </c>
      <c r="B6" s="16" t="s">
        <v>93</v>
      </c>
      <c r="C6" s="16" t="s">
        <v>94</v>
      </c>
      <c r="D6">
        <v>78.8</v>
      </c>
      <c r="E6">
        <v>3.9</v>
      </c>
      <c r="F6">
        <v>0.5</v>
      </c>
      <c r="G6">
        <v>3.2</v>
      </c>
      <c r="H6">
        <v>17.600000000000001</v>
      </c>
      <c r="I6" s="10">
        <f>D6/12.01*10</f>
        <v>65.611990008326387</v>
      </c>
      <c r="J6" s="12">
        <f t="shared" si="6"/>
        <v>38.694314912193668</v>
      </c>
      <c r="K6" s="10">
        <f t="shared" si="1"/>
        <v>11</v>
      </c>
      <c r="L6" s="10">
        <f t="shared" si="2"/>
        <v>115.30630492052006</v>
      </c>
      <c r="M6">
        <f t="shared" si="3"/>
        <v>0.56902343764768404</v>
      </c>
      <c r="N6">
        <f t="shared" si="4"/>
        <v>0.33557848323095102</v>
      </c>
      <c r="O6">
        <f t="shared" si="5"/>
        <v>9.5398079121364901E-2</v>
      </c>
      <c r="P6" s="11">
        <f t="shared" si="7"/>
        <v>0.16765228426395942</v>
      </c>
      <c r="Q6" s="18">
        <v>0.5897</v>
      </c>
      <c r="R6">
        <v>416</v>
      </c>
      <c r="S6">
        <v>0.67751188912922788</v>
      </c>
      <c r="T6" s="18">
        <f t="shared" si="8"/>
        <v>67.751188912922785</v>
      </c>
      <c r="U6">
        <f>$S6</f>
        <v>0.67751188912922788</v>
      </c>
      <c r="V6" s="1"/>
      <c r="W6" s="1"/>
      <c r="X6" s="1"/>
      <c r="AB6" s="1"/>
    </row>
    <row r="7" spans="1:28" x14ac:dyDescent="0.3">
      <c r="A7" s="31" t="s">
        <v>128</v>
      </c>
      <c r="B7" s="16" t="s">
        <v>93</v>
      </c>
      <c r="C7" s="16" t="s">
        <v>94</v>
      </c>
      <c r="D7">
        <v>86.8</v>
      </c>
      <c r="E7">
        <v>2.7</v>
      </c>
      <c r="F7">
        <v>0.8</v>
      </c>
      <c r="G7">
        <v>3.4</v>
      </c>
      <c r="H7">
        <v>9</v>
      </c>
      <c r="I7" s="10">
        <f t="shared" si="0"/>
        <v>72.27310574521232</v>
      </c>
      <c r="J7" s="12">
        <f t="shared" si="6"/>
        <v>26.788371862287924</v>
      </c>
      <c r="K7" s="10">
        <f t="shared" si="1"/>
        <v>5.625</v>
      </c>
      <c r="L7" s="10">
        <f t="shared" si="2"/>
        <v>104.68647760750025</v>
      </c>
      <c r="M7">
        <f t="shared" si="3"/>
        <v>0.69037670764112447</v>
      </c>
      <c r="N7">
        <f t="shared" si="4"/>
        <v>0.25589142432249218</v>
      </c>
      <c r="O7">
        <f t="shared" si="5"/>
        <v>5.3731868036383308E-2</v>
      </c>
      <c r="P7" s="11">
        <f t="shared" si="7"/>
        <v>7.7829781105990786E-2</v>
      </c>
      <c r="Q7" s="18">
        <v>0.37069999999999997</v>
      </c>
      <c r="R7">
        <v>562</v>
      </c>
      <c r="S7">
        <v>0.73898929889352472</v>
      </c>
      <c r="T7" s="18">
        <f t="shared" si="8"/>
        <v>73.898929889352473</v>
      </c>
      <c r="U7" s="1"/>
      <c r="V7">
        <f>$S7</f>
        <v>0.73898929889352472</v>
      </c>
      <c r="W7" s="1"/>
      <c r="X7" s="29">
        <f>T7</f>
        <v>73.898929889352473</v>
      </c>
      <c r="AB7" s="1"/>
    </row>
    <row r="8" spans="1:28" x14ac:dyDescent="0.3">
      <c r="A8" s="31" t="s">
        <v>129</v>
      </c>
      <c r="B8" s="16" t="s">
        <v>93</v>
      </c>
      <c r="C8" s="16" t="s">
        <v>94</v>
      </c>
      <c r="D8">
        <v>91.5</v>
      </c>
      <c r="E8">
        <v>1</v>
      </c>
      <c r="F8">
        <v>1</v>
      </c>
      <c r="G8">
        <v>4.5</v>
      </c>
      <c r="H8">
        <v>4.5999999999999996</v>
      </c>
      <c r="I8" s="10">
        <f t="shared" si="0"/>
        <v>76.186511240632797</v>
      </c>
      <c r="J8" s="12">
        <f t="shared" si="6"/>
        <v>9.9216192082547874</v>
      </c>
      <c r="K8" s="10">
        <f t="shared" si="1"/>
        <v>2.875</v>
      </c>
      <c r="L8" s="10">
        <f t="shared" si="2"/>
        <v>88.983130448887579</v>
      </c>
      <c r="M8">
        <f t="shared" si="3"/>
        <v>0.85619050325943258</v>
      </c>
      <c r="N8">
        <f t="shared" si="4"/>
        <v>0.11150000183409846</v>
      </c>
      <c r="O8">
        <f t="shared" si="5"/>
        <v>3.2309494906469005E-2</v>
      </c>
      <c r="P8" s="11">
        <f t="shared" si="7"/>
        <v>3.7736338797814212E-2</v>
      </c>
      <c r="Q8" s="18">
        <v>0.13020000000000001</v>
      </c>
      <c r="R8">
        <v>796</v>
      </c>
      <c r="S8">
        <v>0.66697811658504536</v>
      </c>
      <c r="T8" s="18">
        <f t="shared" si="8"/>
        <v>66.697811658504534</v>
      </c>
      <c r="U8" s="1"/>
      <c r="V8" s="1"/>
      <c r="W8">
        <f>$S8</f>
        <v>0.66697811658504536</v>
      </c>
      <c r="X8" s="29">
        <f>T8</f>
        <v>66.697811658504534</v>
      </c>
      <c r="AB8" s="1"/>
    </row>
    <row r="9" spans="1:28" x14ac:dyDescent="0.3">
      <c r="A9" s="31" t="s">
        <v>130</v>
      </c>
      <c r="B9" s="16" t="s">
        <v>93</v>
      </c>
      <c r="C9" s="17" t="s">
        <v>95</v>
      </c>
      <c r="D9">
        <v>46.1</v>
      </c>
      <c r="E9">
        <v>5.4</v>
      </c>
      <c r="F9">
        <v>0.3</v>
      </c>
      <c r="G9">
        <v>9</v>
      </c>
      <c r="H9">
        <v>40.1</v>
      </c>
      <c r="I9" s="10">
        <f t="shared" si="0"/>
        <v>38.384679433805161</v>
      </c>
      <c r="J9" s="12">
        <f t="shared" si="6"/>
        <v>53.576743724575849</v>
      </c>
      <c r="K9" s="10">
        <f t="shared" si="1"/>
        <v>25.0625</v>
      </c>
      <c r="L9" s="10">
        <f t="shared" si="2"/>
        <v>117.02392315838101</v>
      </c>
      <c r="M9">
        <f t="shared" si="3"/>
        <v>0.32800711510803704</v>
      </c>
      <c r="N9">
        <f t="shared" si="4"/>
        <v>0.45782727393325129</v>
      </c>
      <c r="O9">
        <f t="shared" si="5"/>
        <v>0.2141656109587117</v>
      </c>
      <c r="P9" s="11">
        <f t="shared" si="7"/>
        <v>0.6529297722342734</v>
      </c>
      <c r="Q9" s="19">
        <v>1.3957999999999999</v>
      </c>
      <c r="R9">
        <v>235</v>
      </c>
      <c r="S9">
        <v>5.4785450110619402E-6</v>
      </c>
      <c r="T9" s="18">
        <f t="shared" si="8"/>
        <v>5.4785450110619405E-4</v>
      </c>
      <c r="U9">
        <f>$S9</f>
        <v>5.4785450110619402E-6</v>
      </c>
      <c r="V9" s="1"/>
      <c r="W9" s="1"/>
      <c r="X9" s="1"/>
      <c r="AB9" s="1"/>
    </row>
    <row r="10" spans="1:28" x14ac:dyDescent="0.3">
      <c r="A10" s="31" t="s">
        <v>131</v>
      </c>
      <c r="B10" s="16" t="s">
        <v>93</v>
      </c>
      <c r="C10" s="17" t="s">
        <v>95</v>
      </c>
      <c r="D10">
        <v>66.599999999999994</v>
      </c>
      <c r="E10">
        <v>4.5</v>
      </c>
      <c r="F10">
        <v>0.4</v>
      </c>
      <c r="G10">
        <v>8.6</v>
      </c>
      <c r="H10">
        <v>22.3</v>
      </c>
      <c r="I10" s="10">
        <f t="shared" si="0"/>
        <v>55.453788509575347</v>
      </c>
      <c r="J10" s="12">
        <f t="shared" si="6"/>
        <v>44.647286437146541</v>
      </c>
      <c r="K10" s="10">
        <f t="shared" si="1"/>
        <v>13.9375</v>
      </c>
      <c r="L10" s="10">
        <f t="shared" si="2"/>
        <v>114.03857494672189</v>
      </c>
      <c r="M10">
        <f t="shared" si="3"/>
        <v>0.48627219811790007</v>
      </c>
      <c r="N10">
        <f t="shared" si="4"/>
        <v>0.39151038548145195</v>
      </c>
      <c r="O10">
        <f t="shared" si="5"/>
        <v>0.12221741640064787</v>
      </c>
      <c r="P10" s="11">
        <f t="shared" si="7"/>
        <v>0.25133539789789794</v>
      </c>
      <c r="Q10" s="19">
        <v>0.80510000000000004</v>
      </c>
      <c r="R10">
        <v>369</v>
      </c>
      <c r="S10">
        <v>0.98206020362287405</v>
      </c>
      <c r="T10" s="18">
        <f t="shared" si="8"/>
        <v>98.206020362287404</v>
      </c>
      <c r="U10">
        <f>$S10</f>
        <v>0.98206020362287405</v>
      </c>
      <c r="V10" s="1"/>
      <c r="W10" s="1"/>
      <c r="X10" s="1"/>
      <c r="AB10" s="1"/>
    </row>
    <row r="11" spans="1:28" x14ac:dyDescent="0.3">
      <c r="A11" s="31" t="s">
        <v>126</v>
      </c>
      <c r="B11" s="16" t="s">
        <v>93</v>
      </c>
      <c r="C11" s="16" t="s">
        <v>95</v>
      </c>
      <c r="D11">
        <v>73.599999999999994</v>
      </c>
      <c r="E11">
        <v>3.3</v>
      </c>
      <c r="F11">
        <v>0.4</v>
      </c>
      <c r="G11">
        <v>11.1</v>
      </c>
      <c r="H11">
        <v>12.8</v>
      </c>
      <c r="I11" s="10">
        <f t="shared" si="0"/>
        <v>61.282264779350541</v>
      </c>
      <c r="J11" s="12">
        <f t="shared" si="6"/>
        <v>32.741343387240796</v>
      </c>
      <c r="K11" s="10">
        <f t="shared" si="1"/>
        <v>8</v>
      </c>
      <c r="L11" s="10">
        <f t="shared" si="2"/>
        <v>102.02360816659134</v>
      </c>
      <c r="M11">
        <f t="shared" si="3"/>
        <v>0.60066749138380338</v>
      </c>
      <c r="N11">
        <f t="shared" si="4"/>
        <v>0.32091928501272393</v>
      </c>
      <c r="O11">
        <f t="shared" si="5"/>
        <v>7.8413223603472595E-2</v>
      </c>
      <c r="P11" s="11">
        <f t="shared" si="7"/>
        <v>0.13054347826086957</v>
      </c>
      <c r="Q11" s="18">
        <v>0.5343</v>
      </c>
      <c r="R11">
        <v>416</v>
      </c>
      <c r="S11">
        <v>0.62711505343460483</v>
      </c>
      <c r="T11" s="18">
        <f t="shared" si="8"/>
        <v>62.71150534346048</v>
      </c>
      <c r="U11">
        <f>$S11</f>
        <v>0.62711505343460483</v>
      </c>
      <c r="V11" s="1"/>
      <c r="W11" s="1"/>
      <c r="X11" s="1"/>
      <c r="AB11" s="1"/>
    </row>
    <row r="12" spans="1:28" x14ac:dyDescent="0.3">
      <c r="A12" s="31" t="s">
        <v>125</v>
      </c>
      <c r="B12" s="16" t="s">
        <v>93</v>
      </c>
      <c r="C12" s="16" t="s">
        <v>95</v>
      </c>
      <c r="D12">
        <v>64.5</v>
      </c>
      <c r="E12">
        <v>2.4</v>
      </c>
      <c r="F12">
        <v>0.4</v>
      </c>
      <c r="G12">
        <v>13.3</v>
      </c>
      <c r="H12">
        <v>9.6999999999999993</v>
      </c>
      <c r="I12" s="10">
        <f t="shared" si="0"/>
        <v>53.7052456286428</v>
      </c>
      <c r="J12" s="12">
        <f t="shared" si="6"/>
        <v>23.811886099811488</v>
      </c>
      <c r="K12" s="10">
        <f t="shared" si="1"/>
        <v>6.0625</v>
      </c>
      <c r="L12" s="10">
        <f t="shared" si="2"/>
        <v>83.579631728454288</v>
      </c>
      <c r="M12">
        <f t="shared" si="3"/>
        <v>0.6425637983561383</v>
      </c>
      <c r="N12">
        <f t="shared" si="4"/>
        <v>0.28490058651101768</v>
      </c>
      <c r="O12">
        <f t="shared" si="5"/>
        <v>7.2535615132844025E-2</v>
      </c>
      <c r="P12" s="11">
        <f t="shared" si="7"/>
        <v>0.11288468992248062</v>
      </c>
      <c r="Q12" s="18">
        <v>0.44340000000000002</v>
      </c>
      <c r="R12">
        <v>503</v>
      </c>
      <c r="S12">
        <v>0.87977646033870682</v>
      </c>
      <c r="T12" s="18">
        <f t="shared" si="8"/>
        <v>87.977646033870684</v>
      </c>
      <c r="U12" s="1"/>
      <c r="V12">
        <f>$S12</f>
        <v>0.87977646033870682</v>
      </c>
      <c r="W12" s="1"/>
      <c r="X12" s="29">
        <f>T12</f>
        <v>87.977646033870684</v>
      </c>
      <c r="AB12" s="1"/>
    </row>
    <row r="13" spans="1:28" x14ac:dyDescent="0.3">
      <c r="A13" s="31" t="s">
        <v>132</v>
      </c>
      <c r="B13" s="16" t="s">
        <v>93</v>
      </c>
      <c r="C13" s="16" t="s">
        <v>95</v>
      </c>
      <c r="D13">
        <v>71.900000000000006</v>
      </c>
      <c r="E13">
        <v>2</v>
      </c>
      <c r="F13">
        <v>0.5</v>
      </c>
      <c r="G13">
        <v>13.6</v>
      </c>
      <c r="H13">
        <v>5.5</v>
      </c>
      <c r="I13" s="10">
        <f t="shared" si="0"/>
        <v>59.866777685262285</v>
      </c>
      <c r="J13" s="12">
        <f t="shared" si="6"/>
        <v>19.843238416509575</v>
      </c>
      <c r="K13" s="10">
        <f t="shared" si="1"/>
        <v>3.4375</v>
      </c>
      <c r="L13" s="10">
        <f t="shared" si="2"/>
        <v>83.147516101771856</v>
      </c>
      <c r="M13">
        <f t="shared" si="3"/>
        <v>0.72000680828499863</v>
      </c>
      <c r="N13">
        <f t="shared" si="4"/>
        <v>0.23865100663045205</v>
      </c>
      <c r="O13">
        <f t="shared" si="5"/>
        <v>4.1342185084549357E-2</v>
      </c>
      <c r="P13" s="11">
        <f t="shared" si="7"/>
        <v>5.7419158553546588E-2</v>
      </c>
      <c r="Q13" s="18">
        <v>0.33150000000000002</v>
      </c>
      <c r="R13">
        <v>600</v>
      </c>
      <c r="S13">
        <v>0.76419287413612114</v>
      </c>
      <c r="T13" s="18">
        <f t="shared" si="8"/>
        <v>76.419287413612111</v>
      </c>
      <c r="U13" s="1"/>
      <c r="V13">
        <f>$S13</f>
        <v>0.76419287413612114</v>
      </c>
      <c r="X13" s="29">
        <f>T13</f>
        <v>76.419287413612111</v>
      </c>
      <c r="AB13" s="1"/>
    </row>
    <row r="14" spans="1:28" x14ac:dyDescent="0.3">
      <c r="A14" s="31" t="s">
        <v>127</v>
      </c>
      <c r="B14" s="16" t="s">
        <v>93</v>
      </c>
      <c r="C14" s="16" t="s">
        <v>95</v>
      </c>
      <c r="D14">
        <v>75.599999999999994</v>
      </c>
      <c r="E14">
        <v>1.5</v>
      </c>
      <c r="F14">
        <v>0.6</v>
      </c>
      <c r="G14">
        <v>15.9</v>
      </c>
      <c r="H14">
        <v>5</v>
      </c>
      <c r="I14" s="10">
        <f t="shared" si="0"/>
        <v>62.947543713572017</v>
      </c>
      <c r="J14" s="12">
        <f t="shared" si="6"/>
        <v>14.88242881238218</v>
      </c>
      <c r="K14" s="10">
        <f t="shared" si="1"/>
        <v>3.125</v>
      </c>
      <c r="L14" s="10">
        <f t="shared" si="2"/>
        <v>80.95497252595419</v>
      </c>
      <c r="M14">
        <f t="shared" si="3"/>
        <v>0.77756241215931499</v>
      </c>
      <c r="N14">
        <f t="shared" si="4"/>
        <v>0.18383588244206825</v>
      </c>
      <c r="O14">
        <f t="shared" si="5"/>
        <v>3.8601705398616792E-2</v>
      </c>
      <c r="P14" s="11">
        <f t="shared" si="7"/>
        <v>4.9644510582010588E-2</v>
      </c>
      <c r="Q14" s="18">
        <v>0.2364</v>
      </c>
      <c r="R14">
        <v>682</v>
      </c>
      <c r="S14">
        <v>0.80399167326155496</v>
      </c>
      <c r="T14" s="18">
        <f t="shared" si="8"/>
        <v>80.399167326155492</v>
      </c>
      <c r="U14" s="1"/>
      <c r="V14" s="1"/>
      <c r="W14">
        <f>$S14</f>
        <v>0.80399167326155496</v>
      </c>
      <c r="X14" s="29">
        <f>T14</f>
        <v>80.399167326155492</v>
      </c>
      <c r="AB14" s="1"/>
    </row>
    <row r="15" spans="1:28" x14ac:dyDescent="0.3">
      <c r="A15" s="31" t="s">
        <v>133</v>
      </c>
      <c r="B15" s="3" t="s">
        <v>12</v>
      </c>
      <c r="C15" s="3" t="s">
        <v>13</v>
      </c>
      <c r="D15" s="3">
        <v>71.7</v>
      </c>
      <c r="E15" s="12">
        <f>J15*1.0079/10</f>
        <v>1.3140235253413823</v>
      </c>
      <c r="F15" s="3">
        <v>0.26</v>
      </c>
      <c r="G15" s="3">
        <v>8</v>
      </c>
      <c r="H15" s="12">
        <f>100-D15-E15-F15-G15</f>
        <v>18.725976474658612</v>
      </c>
      <c r="I15" s="10">
        <f>D15/12.01*10</f>
        <v>59.700249791840136</v>
      </c>
      <c r="J15" s="12">
        <f>(I15*10/12)*1.0079*Q15</f>
        <v>13.037241049125731</v>
      </c>
      <c r="K15" s="10">
        <f>H15/16*10</f>
        <v>11.703735296661632</v>
      </c>
      <c r="L15" s="10">
        <f>I15+J15+K15</f>
        <v>84.441226137627496</v>
      </c>
      <c r="M15">
        <f t="shared" ref="M15:O16" si="9">I15/$L15</f>
        <v>0.70700358725887047</v>
      </c>
      <c r="N15">
        <f t="shared" si="9"/>
        <v>0.15439426504628007</v>
      </c>
      <c r="O15">
        <f t="shared" si="9"/>
        <v>0.13860214769484949</v>
      </c>
      <c r="P15" s="11">
        <f>K15/I15</f>
        <v>0.19604164701939497</v>
      </c>
      <c r="Q15" s="13">
        <v>0.26</v>
      </c>
      <c r="R15" s="3">
        <v>500</v>
      </c>
      <c r="S15" s="3">
        <v>0.78484072912240688</v>
      </c>
      <c r="T15" s="18">
        <f t="shared" si="8"/>
        <v>78.484072912240691</v>
      </c>
      <c r="V15">
        <f>$S15</f>
        <v>0.78484072912240688</v>
      </c>
      <c r="X15" s="29">
        <f>T15</f>
        <v>78.484072912240691</v>
      </c>
      <c r="Z15" t="s">
        <v>42</v>
      </c>
      <c r="AB15">
        <v>0.92783035776313805</v>
      </c>
    </row>
    <row r="16" spans="1:28" x14ac:dyDescent="0.3">
      <c r="A16" s="31" t="s">
        <v>134</v>
      </c>
      <c r="B16" s="3" t="s">
        <v>12</v>
      </c>
      <c r="C16" s="3" t="s">
        <v>13</v>
      </c>
      <c r="D16" s="3">
        <v>71.7</v>
      </c>
      <c r="E16" s="12">
        <f>J16*1.0079/10</f>
        <v>1.3140235253413823</v>
      </c>
      <c r="F16" s="3">
        <v>0.26</v>
      </c>
      <c r="G16" s="3">
        <v>8</v>
      </c>
      <c r="H16" s="12">
        <f>100-D16-E16-F16-G16</f>
        <v>18.725976474658612</v>
      </c>
      <c r="I16" s="10">
        <f>D16/12.01*10</f>
        <v>59.700249791840136</v>
      </c>
      <c r="J16" s="12">
        <f>(I16*10/12)*1.0079*Q16</f>
        <v>13.037241049125731</v>
      </c>
      <c r="K16" s="10">
        <f>H16/16*10</f>
        <v>11.703735296661632</v>
      </c>
      <c r="L16" s="10">
        <f>I16+J16+K16</f>
        <v>84.441226137627496</v>
      </c>
      <c r="M16">
        <f t="shared" si="9"/>
        <v>0.70700358725887047</v>
      </c>
      <c r="N16">
        <f t="shared" si="9"/>
        <v>0.15439426504628007</v>
      </c>
      <c r="O16">
        <f t="shared" si="9"/>
        <v>0.13860214769484949</v>
      </c>
      <c r="P16" s="11">
        <f>K16/I16</f>
        <v>0.19604164701939497</v>
      </c>
      <c r="Q16" s="13">
        <v>0.26</v>
      </c>
      <c r="R16" s="3">
        <v>500</v>
      </c>
      <c r="S16" s="3">
        <v>0.75742589333938204</v>
      </c>
      <c r="T16" s="18">
        <f t="shared" si="8"/>
        <v>75.742589333938199</v>
      </c>
      <c r="V16">
        <f>$S16</f>
        <v>0.75742589333938204</v>
      </c>
      <c r="X16" s="29">
        <f>T16</f>
        <v>75.742589333938199</v>
      </c>
      <c r="Z16" t="s">
        <v>43</v>
      </c>
      <c r="AB16">
        <v>0.97552143339395303</v>
      </c>
    </row>
    <row r="17" spans="1:28" x14ac:dyDescent="0.3">
      <c r="A17" s="40" t="s">
        <v>135</v>
      </c>
      <c r="B17" s="4" t="s">
        <v>92</v>
      </c>
      <c r="C17" s="4" t="s">
        <v>14</v>
      </c>
      <c r="D17" s="4">
        <v>67.400000000000006</v>
      </c>
      <c r="E17" s="12">
        <f t="shared" ref="E17:E18" si="10">J17*1.0079/10</f>
        <v>2.945521675623092</v>
      </c>
      <c r="F17" s="4">
        <v>0.52</v>
      </c>
      <c r="G17" s="4">
        <v>3</v>
      </c>
      <c r="H17" s="12">
        <f t="shared" ref="H17:H18" si="11">100-D17-E17-F17-G17</f>
        <v>26.134478324376904</v>
      </c>
      <c r="I17" s="10">
        <f t="shared" ref="I17:I18" si="12">D17/12.01*10</f>
        <v>56.11990008326395</v>
      </c>
      <c r="J17" s="12">
        <f t="shared" ref="J17:J18" si="13">(I17*10/12)*1.0079*Q17</f>
        <v>29.224344435192897</v>
      </c>
      <c r="K17" s="10">
        <f t="shared" ref="K17:K18" si="14">H17/16*10</f>
        <v>16.334048952735564</v>
      </c>
      <c r="L17" s="10">
        <f t="shared" ref="L17:L18" si="15">I17+J17+K17</f>
        <v>101.6782934711924</v>
      </c>
      <c r="M17">
        <f t="shared" ref="M17:M18" si="16">I17/$L17</f>
        <v>0.55193589671293897</v>
      </c>
      <c r="N17">
        <f t="shared" ref="N17:N18" si="17">J17/$L17</f>
        <v>0.28741969832010178</v>
      </c>
      <c r="O17">
        <f t="shared" ref="O17:O18" si="18">K17/$L17</f>
        <v>0.16064440496695928</v>
      </c>
      <c r="P17" s="11">
        <f t="shared" ref="P17:P18" si="19">K17/I17</f>
        <v>0.29105627288183106</v>
      </c>
      <c r="Q17" s="14">
        <v>0.62</v>
      </c>
      <c r="R17" s="4">
        <v>400</v>
      </c>
      <c r="S17" s="4">
        <v>0.73244809053465243</v>
      </c>
      <c r="T17" s="18">
        <f t="shared" si="8"/>
        <v>73.244809053465247</v>
      </c>
      <c r="U17">
        <f>$S17</f>
        <v>0.73244809053465243</v>
      </c>
      <c r="Z17" t="s">
        <v>44</v>
      </c>
      <c r="AB17">
        <v>0.92596107864231603</v>
      </c>
    </row>
    <row r="18" spans="1:28" x14ac:dyDescent="0.3">
      <c r="A18" s="40" t="s">
        <v>136</v>
      </c>
      <c r="B18" s="4" t="s">
        <v>91</v>
      </c>
      <c r="C18" s="4" t="s">
        <v>15</v>
      </c>
      <c r="D18" s="4">
        <v>73.19</v>
      </c>
      <c r="E18" s="12">
        <f t="shared" si="10"/>
        <v>2.5278917010873583</v>
      </c>
      <c r="F18" s="4">
        <v>0.62</v>
      </c>
      <c r="G18" s="4">
        <v>7</v>
      </c>
      <c r="H18" s="12">
        <f t="shared" si="11"/>
        <v>16.662108298912642</v>
      </c>
      <c r="I18" s="10">
        <f t="shared" si="12"/>
        <v>60.940882597835142</v>
      </c>
      <c r="J18" s="12">
        <f t="shared" si="13"/>
        <v>25.080778857896199</v>
      </c>
      <c r="K18" s="10">
        <f t="shared" si="14"/>
        <v>10.413817686820401</v>
      </c>
      <c r="L18" s="10">
        <f t="shared" si="15"/>
        <v>96.435479142551742</v>
      </c>
      <c r="M18">
        <f t="shared" si="16"/>
        <v>0.63193425427743055</v>
      </c>
      <c r="N18">
        <f t="shared" si="17"/>
        <v>0.26007833507854072</v>
      </c>
      <c r="O18">
        <f t="shared" si="18"/>
        <v>0.10798741064402871</v>
      </c>
      <c r="P18" s="11">
        <f t="shared" si="19"/>
        <v>0.17088393280326958</v>
      </c>
      <c r="Q18" s="14">
        <v>0.49</v>
      </c>
      <c r="R18" s="4">
        <v>550</v>
      </c>
      <c r="S18" s="4">
        <v>0.79156620886486484</v>
      </c>
      <c r="T18" s="18">
        <f t="shared" si="8"/>
        <v>79.156620886486479</v>
      </c>
      <c r="V18">
        <f>$S18</f>
        <v>0.79156620886486484</v>
      </c>
      <c r="X18" s="29">
        <f>T18</f>
        <v>79.156620886486479</v>
      </c>
      <c r="Z18" t="s">
        <v>44</v>
      </c>
      <c r="AB18">
        <v>0.96226871436325701</v>
      </c>
    </row>
    <row r="19" spans="1:28" x14ac:dyDescent="0.3">
      <c r="A19" s="40" t="s">
        <v>137</v>
      </c>
      <c r="B19" s="4" t="s">
        <v>91</v>
      </c>
      <c r="C19" s="4" t="s">
        <v>14</v>
      </c>
      <c r="D19" s="4">
        <v>67.400000000000006</v>
      </c>
      <c r="E19" s="12">
        <f t="shared" ref="E19:E40" si="20">J19*1.0079/10</f>
        <v>2.945521675623092</v>
      </c>
      <c r="F19" s="4">
        <v>0.52</v>
      </c>
      <c r="G19" s="4">
        <v>3</v>
      </c>
      <c r="H19" s="12">
        <f t="shared" ref="H19:H40" si="21">100-D19-E19-F19-G19</f>
        <v>26.134478324376904</v>
      </c>
      <c r="I19" s="10">
        <f t="shared" ref="I19:I40" si="22">D19/12.01*10</f>
        <v>56.11990008326395</v>
      </c>
      <c r="J19" s="12">
        <f t="shared" ref="J19:J40" si="23">(I19*10/12)*1.0079*Q19</f>
        <v>29.224344435192897</v>
      </c>
      <c r="K19" s="10">
        <f t="shared" ref="K19:K32" si="24">H19/16*10</f>
        <v>16.334048952735564</v>
      </c>
      <c r="L19" s="10">
        <f t="shared" ref="L19:L32" si="25">I19+J19+K19</f>
        <v>101.6782934711924</v>
      </c>
      <c r="M19">
        <f t="shared" ref="M19:M32" si="26">I19/$L19</f>
        <v>0.55193589671293897</v>
      </c>
      <c r="N19">
        <f t="shared" ref="N19:N32" si="27">J19/$L19</f>
        <v>0.28741969832010178</v>
      </c>
      <c r="O19">
        <f t="shared" ref="O19:O32" si="28">K19/$L19</f>
        <v>0.16064440496695928</v>
      </c>
      <c r="P19" s="11">
        <f t="shared" ref="P19:P32" si="29">K19/I19</f>
        <v>0.29105627288183106</v>
      </c>
      <c r="Q19" s="14">
        <v>0.62</v>
      </c>
      <c r="R19" s="4">
        <v>400</v>
      </c>
      <c r="S19" s="4">
        <v>0.68362483619080383</v>
      </c>
      <c r="T19" s="18">
        <f t="shared" si="8"/>
        <v>68.362483619080379</v>
      </c>
      <c r="U19">
        <f>$S19</f>
        <v>0.68362483619080383</v>
      </c>
      <c r="Z19" t="s">
        <v>45</v>
      </c>
      <c r="AB19">
        <v>0.98501451903614701</v>
      </c>
    </row>
    <row r="20" spans="1:28" x14ac:dyDescent="0.3">
      <c r="A20" s="40" t="s">
        <v>138</v>
      </c>
      <c r="B20" s="4" t="s">
        <v>91</v>
      </c>
      <c r="C20" s="4" t="s">
        <v>15</v>
      </c>
      <c r="D20" s="4">
        <v>73.19</v>
      </c>
      <c r="E20" s="12">
        <f t="shared" si="20"/>
        <v>2.5278917010873583</v>
      </c>
      <c r="F20" s="4">
        <v>0.62</v>
      </c>
      <c r="G20" s="4">
        <v>7</v>
      </c>
      <c r="H20" s="12">
        <f t="shared" si="21"/>
        <v>16.662108298912642</v>
      </c>
      <c r="I20" s="10">
        <f t="shared" si="22"/>
        <v>60.940882597835142</v>
      </c>
      <c r="J20" s="12">
        <f t="shared" si="23"/>
        <v>25.080778857896199</v>
      </c>
      <c r="K20" s="10">
        <f t="shared" si="24"/>
        <v>10.413817686820401</v>
      </c>
      <c r="L20" s="10">
        <f t="shared" si="25"/>
        <v>96.435479142551742</v>
      </c>
      <c r="M20">
        <f t="shared" si="26"/>
        <v>0.63193425427743055</v>
      </c>
      <c r="N20">
        <f t="shared" si="27"/>
        <v>0.26007833507854072</v>
      </c>
      <c r="O20">
        <f t="shared" si="28"/>
        <v>0.10798741064402871</v>
      </c>
      <c r="P20" s="11">
        <f t="shared" si="29"/>
        <v>0.17088393280326958</v>
      </c>
      <c r="Q20" s="14">
        <v>0.49</v>
      </c>
      <c r="R20" s="4">
        <v>550</v>
      </c>
      <c r="S20" s="4">
        <v>0.87557865419357972</v>
      </c>
      <c r="T20" s="18">
        <f t="shared" si="8"/>
        <v>87.557865419357967</v>
      </c>
      <c r="V20">
        <f>$S20</f>
        <v>0.87557865419357972</v>
      </c>
      <c r="X20" s="29">
        <f>T20</f>
        <v>87.557865419357967</v>
      </c>
      <c r="Z20" t="s">
        <v>46</v>
      </c>
      <c r="AB20" s="2">
        <v>1.01884801440817E-5</v>
      </c>
    </row>
    <row r="21" spans="1:28" x14ac:dyDescent="0.3">
      <c r="A21" s="40" t="s">
        <v>139</v>
      </c>
      <c r="B21" s="4" t="s">
        <v>91</v>
      </c>
      <c r="C21" s="4" t="s">
        <v>14</v>
      </c>
      <c r="D21" s="4">
        <v>67.400000000000006</v>
      </c>
      <c r="E21" s="12">
        <f t="shared" si="20"/>
        <v>2.945521675623092</v>
      </c>
      <c r="F21" s="4">
        <v>0.52</v>
      </c>
      <c r="G21" s="4">
        <v>3</v>
      </c>
      <c r="H21" s="12">
        <f t="shared" si="21"/>
        <v>26.134478324376904</v>
      </c>
      <c r="I21" s="10">
        <f t="shared" si="22"/>
        <v>56.11990008326395</v>
      </c>
      <c r="J21" s="12">
        <f t="shared" si="23"/>
        <v>29.224344435192897</v>
      </c>
      <c r="K21" s="10">
        <f t="shared" si="24"/>
        <v>16.334048952735564</v>
      </c>
      <c r="L21" s="10">
        <f t="shared" si="25"/>
        <v>101.6782934711924</v>
      </c>
      <c r="M21">
        <f t="shared" si="26"/>
        <v>0.55193589671293897</v>
      </c>
      <c r="N21">
        <f t="shared" si="27"/>
        <v>0.28741969832010178</v>
      </c>
      <c r="O21">
        <f t="shared" si="28"/>
        <v>0.16064440496695928</v>
      </c>
      <c r="P21" s="11">
        <f t="shared" si="29"/>
        <v>0.29105627288183106</v>
      </c>
      <c r="Q21" s="14">
        <v>0.62</v>
      </c>
      <c r="R21" s="4">
        <v>400</v>
      </c>
      <c r="S21" s="4">
        <v>0.70873752929284861</v>
      </c>
      <c r="T21" s="18">
        <f t="shared" si="8"/>
        <v>70.873752929284862</v>
      </c>
      <c r="U21">
        <f>$S21</f>
        <v>0.70873752929284861</v>
      </c>
      <c r="Z21" t="s">
        <v>47</v>
      </c>
      <c r="AB21" s="2">
        <v>0.18361478894372399</v>
      </c>
    </row>
    <row r="22" spans="1:28" x14ac:dyDescent="0.3">
      <c r="A22" s="40" t="s">
        <v>140</v>
      </c>
      <c r="B22" s="4" t="s">
        <v>91</v>
      </c>
      <c r="C22" s="4" t="s">
        <v>15</v>
      </c>
      <c r="D22" s="4">
        <v>73.19</v>
      </c>
      <c r="E22" s="12">
        <f t="shared" si="20"/>
        <v>2.5278917010873583</v>
      </c>
      <c r="F22" s="4">
        <v>0.62</v>
      </c>
      <c r="G22" s="4">
        <v>7</v>
      </c>
      <c r="H22" s="12">
        <f t="shared" si="21"/>
        <v>16.662108298912642</v>
      </c>
      <c r="I22" s="10">
        <f t="shared" si="22"/>
        <v>60.940882597835142</v>
      </c>
      <c r="J22" s="12">
        <f t="shared" si="23"/>
        <v>25.080778857896199</v>
      </c>
      <c r="K22" s="10">
        <f t="shared" si="24"/>
        <v>10.413817686820401</v>
      </c>
      <c r="L22" s="10">
        <f t="shared" si="25"/>
        <v>96.435479142551742</v>
      </c>
      <c r="M22">
        <f t="shared" si="26"/>
        <v>0.63193425427743055</v>
      </c>
      <c r="N22">
        <f t="shared" si="27"/>
        <v>0.26007833507854072</v>
      </c>
      <c r="O22">
        <f t="shared" si="28"/>
        <v>0.10798741064402871</v>
      </c>
      <c r="P22" s="11">
        <f t="shared" si="29"/>
        <v>0.17088393280326958</v>
      </c>
      <c r="Q22" s="14">
        <v>0.49</v>
      </c>
      <c r="R22" s="4">
        <v>550</v>
      </c>
      <c r="S22" s="4">
        <v>0.86963468218194162</v>
      </c>
      <c r="T22" s="18">
        <f t="shared" si="8"/>
        <v>86.963468218194166</v>
      </c>
      <c r="V22">
        <f>$S22</f>
        <v>0.86963468218194162</v>
      </c>
      <c r="X22" s="29">
        <f>T22</f>
        <v>86.963468218194166</v>
      </c>
      <c r="Z22" t="s">
        <v>48</v>
      </c>
      <c r="AB22" s="2">
        <v>0.26826245346996103</v>
      </c>
    </row>
    <row r="23" spans="1:28" x14ac:dyDescent="0.3">
      <c r="A23" s="40" t="s">
        <v>141</v>
      </c>
      <c r="B23" s="4" t="s">
        <v>91</v>
      </c>
      <c r="C23" s="4" t="s">
        <v>14</v>
      </c>
      <c r="D23" s="4">
        <v>67.400000000000006</v>
      </c>
      <c r="E23" s="12">
        <f t="shared" si="20"/>
        <v>2.945521675623092</v>
      </c>
      <c r="F23" s="4">
        <v>0.52</v>
      </c>
      <c r="G23" s="4">
        <v>3</v>
      </c>
      <c r="H23" s="12">
        <f t="shared" si="21"/>
        <v>26.134478324376904</v>
      </c>
      <c r="I23" s="10">
        <f t="shared" si="22"/>
        <v>56.11990008326395</v>
      </c>
      <c r="J23" s="12">
        <f t="shared" si="23"/>
        <v>29.224344435192897</v>
      </c>
      <c r="K23" s="10">
        <f t="shared" si="24"/>
        <v>16.334048952735564</v>
      </c>
      <c r="L23" s="10">
        <f t="shared" si="25"/>
        <v>101.6782934711924</v>
      </c>
      <c r="M23">
        <f t="shared" si="26"/>
        <v>0.55193589671293897</v>
      </c>
      <c r="N23">
        <f t="shared" si="27"/>
        <v>0.28741969832010178</v>
      </c>
      <c r="O23">
        <f t="shared" si="28"/>
        <v>0.16064440496695928</v>
      </c>
      <c r="P23" s="11">
        <f t="shared" si="29"/>
        <v>0.29105627288183106</v>
      </c>
      <c r="Q23" s="14">
        <v>0.62</v>
      </c>
      <c r="R23" s="4">
        <v>400</v>
      </c>
      <c r="S23" s="4">
        <v>0.69081912934072942</v>
      </c>
      <c r="T23" s="18">
        <f t="shared" si="8"/>
        <v>69.081912934072946</v>
      </c>
      <c r="U23">
        <f>$S23</f>
        <v>0.69081912934072942</v>
      </c>
      <c r="Z23" t="s">
        <v>49</v>
      </c>
      <c r="AB23">
        <v>0.57900272939937503</v>
      </c>
    </row>
    <row r="24" spans="1:28" x14ac:dyDescent="0.3">
      <c r="A24" s="40" t="s">
        <v>142</v>
      </c>
      <c r="B24" s="4" t="s">
        <v>91</v>
      </c>
      <c r="C24" s="4" t="s">
        <v>15</v>
      </c>
      <c r="D24" s="4">
        <v>73.19</v>
      </c>
      <c r="E24" s="12">
        <f t="shared" si="20"/>
        <v>2.5278917010873583</v>
      </c>
      <c r="F24" s="4">
        <v>0.62</v>
      </c>
      <c r="G24" s="4">
        <v>7</v>
      </c>
      <c r="H24" s="12">
        <f t="shared" si="21"/>
        <v>16.662108298912642</v>
      </c>
      <c r="I24" s="10">
        <f t="shared" si="22"/>
        <v>60.940882597835142</v>
      </c>
      <c r="J24" s="12">
        <f t="shared" si="23"/>
        <v>25.080778857896199</v>
      </c>
      <c r="K24" s="10">
        <f t="shared" si="24"/>
        <v>10.413817686820401</v>
      </c>
      <c r="L24" s="10">
        <f t="shared" si="25"/>
        <v>96.435479142551742</v>
      </c>
      <c r="M24">
        <f t="shared" si="26"/>
        <v>0.63193425427743055</v>
      </c>
      <c r="N24">
        <f t="shared" si="27"/>
        <v>0.26007833507854072</v>
      </c>
      <c r="O24">
        <f t="shared" si="28"/>
        <v>0.10798741064402871</v>
      </c>
      <c r="P24" s="11">
        <f t="shared" si="29"/>
        <v>0.17088393280326958</v>
      </c>
      <c r="Q24" s="14">
        <v>0.49</v>
      </c>
      <c r="R24" s="4">
        <v>550</v>
      </c>
      <c r="S24" s="4">
        <v>0.8365780458248121</v>
      </c>
      <c r="T24" s="18">
        <f t="shared" si="8"/>
        <v>83.657804582481205</v>
      </c>
      <c r="V24">
        <f>$S24</f>
        <v>0.8365780458248121</v>
      </c>
      <c r="X24" s="29">
        <f>T24</f>
        <v>83.657804582481205</v>
      </c>
      <c r="Z24" t="s">
        <v>50</v>
      </c>
      <c r="AB24">
        <v>0.55337688789652395</v>
      </c>
    </row>
    <row r="25" spans="1:28" x14ac:dyDescent="0.3">
      <c r="A25" s="40" t="s">
        <v>143</v>
      </c>
      <c r="B25" s="4" t="s">
        <v>91</v>
      </c>
      <c r="C25" s="4" t="s">
        <v>14</v>
      </c>
      <c r="D25" s="4">
        <v>67.400000000000006</v>
      </c>
      <c r="E25" s="12">
        <f t="shared" si="20"/>
        <v>2.945521675623092</v>
      </c>
      <c r="F25" s="4">
        <v>0.52</v>
      </c>
      <c r="G25" s="4">
        <v>3</v>
      </c>
      <c r="H25" s="12">
        <f t="shared" si="21"/>
        <v>26.134478324376904</v>
      </c>
      <c r="I25" s="10">
        <f t="shared" si="22"/>
        <v>56.11990008326395</v>
      </c>
      <c r="J25" s="12">
        <f t="shared" si="23"/>
        <v>29.224344435192897</v>
      </c>
      <c r="K25" s="10">
        <f t="shared" si="24"/>
        <v>16.334048952735564</v>
      </c>
      <c r="L25" s="10">
        <f t="shared" si="25"/>
        <v>101.6782934711924</v>
      </c>
      <c r="M25">
        <f t="shared" si="26"/>
        <v>0.55193589671293897</v>
      </c>
      <c r="N25">
        <f t="shared" si="27"/>
        <v>0.28741969832010178</v>
      </c>
      <c r="O25">
        <f t="shared" si="28"/>
        <v>0.16064440496695928</v>
      </c>
      <c r="P25" s="11">
        <f t="shared" si="29"/>
        <v>0.29105627288183106</v>
      </c>
      <c r="Q25" s="14">
        <v>0.62</v>
      </c>
      <c r="R25" s="4">
        <v>400</v>
      </c>
      <c r="S25" s="4">
        <v>0.56257968611219056</v>
      </c>
      <c r="T25" s="18">
        <f t="shared" si="8"/>
        <v>56.257968611219056</v>
      </c>
      <c r="U25">
        <f>$S25</f>
        <v>0.56257968611219056</v>
      </c>
      <c r="Z25" t="s">
        <v>51</v>
      </c>
      <c r="AB25" s="2">
        <v>9.2462476062920004E-2</v>
      </c>
    </row>
    <row r="26" spans="1:28" x14ac:dyDescent="0.3">
      <c r="A26" s="40" t="s">
        <v>144</v>
      </c>
      <c r="B26" s="4" t="s">
        <v>91</v>
      </c>
      <c r="C26" s="4" t="s">
        <v>15</v>
      </c>
      <c r="D26" s="4">
        <v>73.19</v>
      </c>
      <c r="E26" s="12">
        <f t="shared" si="20"/>
        <v>2.5278917010873583</v>
      </c>
      <c r="F26" s="4">
        <v>0.62</v>
      </c>
      <c r="G26" s="4">
        <v>7</v>
      </c>
      <c r="H26" s="12">
        <f t="shared" si="21"/>
        <v>16.662108298912642</v>
      </c>
      <c r="I26" s="10">
        <f t="shared" si="22"/>
        <v>60.940882597835142</v>
      </c>
      <c r="J26" s="12">
        <f t="shared" si="23"/>
        <v>25.080778857896199</v>
      </c>
      <c r="K26" s="10">
        <f t="shared" si="24"/>
        <v>10.413817686820401</v>
      </c>
      <c r="L26" s="10">
        <f t="shared" si="25"/>
        <v>96.435479142551742</v>
      </c>
      <c r="M26">
        <f t="shared" si="26"/>
        <v>0.63193425427743055</v>
      </c>
      <c r="N26">
        <f t="shared" si="27"/>
        <v>0.26007833507854072</v>
      </c>
      <c r="O26">
        <f t="shared" si="28"/>
        <v>0.10798741064402871</v>
      </c>
      <c r="P26" s="11">
        <f t="shared" si="29"/>
        <v>0.17088393280326958</v>
      </c>
      <c r="Q26" s="14">
        <v>0.49</v>
      </c>
      <c r="R26" s="4">
        <v>550</v>
      </c>
      <c r="S26" s="4">
        <v>0.87013832526569113</v>
      </c>
      <c r="T26" s="18">
        <f t="shared" si="8"/>
        <v>87.013832526569118</v>
      </c>
      <c r="V26">
        <f>$S26</f>
        <v>0.87013832526569113</v>
      </c>
      <c r="X26" s="29">
        <f>T26</f>
        <v>87.013832526569118</v>
      </c>
      <c r="Z26" t="s">
        <v>52</v>
      </c>
      <c r="AB26" s="2">
        <v>0.26826245346996103</v>
      </c>
    </row>
    <row r="27" spans="1:28" x14ac:dyDescent="0.3">
      <c r="A27" s="40" t="s">
        <v>145</v>
      </c>
      <c r="B27" s="4" t="s">
        <v>91</v>
      </c>
      <c r="C27" s="4" t="s">
        <v>14</v>
      </c>
      <c r="D27" s="4">
        <v>67.400000000000006</v>
      </c>
      <c r="E27" s="12">
        <f t="shared" si="20"/>
        <v>2.945521675623092</v>
      </c>
      <c r="F27" s="4">
        <v>0.52</v>
      </c>
      <c r="G27" s="4">
        <v>3</v>
      </c>
      <c r="H27" s="12">
        <f t="shared" si="21"/>
        <v>26.134478324376904</v>
      </c>
      <c r="I27" s="10">
        <f t="shared" si="22"/>
        <v>56.11990008326395</v>
      </c>
      <c r="J27" s="12">
        <f t="shared" si="23"/>
        <v>29.224344435192897</v>
      </c>
      <c r="K27" s="10">
        <f t="shared" si="24"/>
        <v>16.334048952735564</v>
      </c>
      <c r="L27" s="10">
        <f t="shared" si="25"/>
        <v>101.6782934711924</v>
      </c>
      <c r="M27">
        <f t="shared" si="26"/>
        <v>0.55193589671293897</v>
      </c>
      <c r="N27">
        <f t="shared" si="27"/>
        <v>0.28741969832010178</v>
      </c>
      <c r="O27">
        <f t="shared" si="28"/>
        <v>0.16064440496695928</v>
      </c>
      <c r="P27" s="11">
        <f t="shared" si="29"/>
        <v>0.29105627288183106</v>
      </c>
      <c r="Q27" s="14">
        <v>0.62</v>
      </c>
      <c r="R27" s="4">
        <v>400</v>
      </c>
      <c r="S27" s="4">
        <v>0.39231912253194273</v>
      </c>
      <c r="T27" s="18">
        <f t="shared" si="8"/>
        <v>39.231912253194274</v>
      </c>
      <c r="U27">
        <f>$S27</f>
        <v>0.39231912253194273</v>
      </c>
      <c r="Z27" t="s">
        <v>53</v>
      </c>
      <c r="AB27">
        <v>0.57900272939937503</v>
      </c>
    </row>
    <row r="28" spans="1:28" x14ac:dyDescent="0.3">
      <c r="A28" s="40" t="s">
        <v>146</v>
      </c>
      <c r="B28" s="4" t="s">
        <v>91</v>
      </c>
      <c r="C28" s="4" t="s">
        <v>15</v>
      </c>
      <c r="D28" s="4">
        <v>73.19</v>
      </c>
      <c r="E28" s="12">
        <f t="shared" si="20"/>
        <v>2.5278917010873583</v>
      </c>
      <c r="F28" s="4">
        <v>0.62</v>
      </c>
      <c r="G28" s="4">
        <v>7</v>
      </c>
      <c r="H28" s="12">
        <f t="shared" si="21"/>
        <v>16.662108298912642</v>
      </c>
      <c r="I28" s="10">
        <f t="shared" si="22"/>
        <v>60.940882597835142</v>
      </c>
      <c r="J28" s="12">
        <f t="shared" si="23"/>
        <v>25.080778857896199</v>
      </c>
      <c r="K28" s="10">
        <f t="shared" si="24"/>
        <v>10.413817686820401</v>
      </c>
      <c r="L28" s="10">
        <f t="shared" si="25"/>
        <v>96.435479142551742</v>
      </c>
      <c r="M28">
        <f t="shared" si="26"/>
        <v>0.63193425427743055</v>
      </c>
      <c r="N28">
        <f t="shared" si="27"/>
        <v>0.26007833507854072</v>
      </c>
      <c r="O28">
        <f t="shared" si="28"/>
        <v>0.10798741064402871</v>
      </c>
      <c r="P28" s="11">
        <f t="shared" si="29"/>
        <v>0.17088393280326958</v>
      </c>
      <c r="Q28" s="14">
        <v>0.49</v>
      </c>
      <c r="R28" s="4">
        <v>550</v>
      </c>
      <c r="S28" s="4">
        <v>0.7212496845307611</v>
      </c>
      <c r="T28" s="18">
        <f t="shared" si="8"/>
        <v>72.124968453076107</v>
      </c>
      <c r="V28">
        <f>$S28</f>
        <v>0.7212496845307611</v>
      </c>
      <c r="X28" s="29">
        <f>T28</f>
        <v>72.124968453076107</v>
      </c>
      <c r="Z28" t="s">
        <v>54</v>
      </c>
      <c r="AB28">
        <v>0.57197544440993298</v>
      </c>
    </row>
    <row r="29" spans="1:28" x14ac:dyDescent="0.3">
      <c r="A29" s="40" t="s">
        <v>147</v>
      </c>
      <c r="B29" s="4" t="s">
        <v>91</v>
      </c>
      <c r="C29" s="4" t="s">
        <v>14</v>
      </c>
      <c r="D29" s="4">
        <v>67.400000000000006</v>
      </c>
      <c r="E29" s="12">
        <f t="shared" si="20"/>
        <v>2.945521675623092</v>
      </c>
      <c r="F29" s="4">
        <v>0.52</v>
      </c>
      <c r="G29" s="4">
        <v>3</v>
      </c>
      <c r="H29" s="12">
        <f t="shared" si="21"/>
        <v>26.134478324376904</v>
      </c>
      <c r="I29" s="10">
        <f t="shared" si="22"/>
        <v>56.11990008326395</v>
      </c>
      <c r="J29" s="12">
        <f t="shared" si="23"/>
        <v>29.224344435192897</v>
      </c>
      <c r="K29" s="10">
        <f t="shared" si="24"/>
        <v>16.334048952735564</v>
      </c>
      <c r="L29" s="10">
        <f t="shared" si="25"/>
        <v>101.6782934711924</v>
      </c>
      <c r="M29">
        <f t="shared" si="26"/>
        <v>0.55193589671293897</v>
      </c>
      <c r="N29">
        <f t="shared" si="27"/>
        <v>0.28741969832010178</v>
      </c>
      <c r="O29">
        <f t="shared" si="28"/>
        <v>0.16064440496695928</v>
      </c>
      <c r="P29" s="11">
        <f t="shared" si="29"/>
        <v>0.29105627288183106</v>
      </c>
      <c r="Q29" s="14">
        <v>0.62</v>
      </c>
      <c r="R29" s="4">
        <v>400</v>
      </c>
      <c r="S29" s="4">
        <v>0.57867810751509607</v>
      </c>
      <c r="T29" s="18">
        <f t="shared" si="8"/>
        <v>57.867810751509609</v>
      </c>
      <c r="U29">
        <f>$S29</f>
        <v>0.57867810751509607</v>
      </c>
      <c r="Z29" t="s">
        <v>55</v>
      </c>
      <c r="AB29">
        <v>0.62669849725375204</v>
      </c>
    </row>
    <row r="30" spans="1:28" x14ac:dyDescent="0.3">
      <c r="A30" s="40" t="s">
        <v>148</v>
      </c>
      <c r="B30" s="4" t="s">
        <v>91</v>
      </c>
      <c r="C30" s="4" t="s">
        <v>15</v>
      </c>
      <c r="D30" s="4">
        <v>73.19</v>
      </c>
      <c r="E30" s="12">
        <f t="shared" si="20"/>
        <v>2.5278917010873583</v>
      </c>
      <c r="F30" s="4">
        <v>0.62</v>
      </c>
      <c r="G30" s="4">
        <v>7</v>
      </c>
      <c r="H30" s="12">
        <f t="shared" si="21"/>
        <v>16.662108298912642</v>
      </c>
      <c r="I30" s="10">
        <f t="shared" si="22"/>
        <v>60.940882597835142</v>
      </c>
      <c r="J30" s="12">
        <f t="shared" si="23"/>
        <v>25.080778857896199</v>
      </c>
      <c r="K30" s="10">
        <f t="shared" si="24"/>
        <v>10.413817686820401</v>
      </c>
      <c r="L30" s="10">
        <f t="shared" si="25"/>
        <v>96.435479142551742</v>
      </c>
      <c r="M30">
        <f t="shared" si="26"/>
        <v>0.63193425427743055</v>
      </c>
      <c r="N30">
        <f t="shared" si="27"/>
        <v>0.26007833507854072</v>
      </c>
      <c r="O30">
        <f t="shared" si="28"/>
        <v>0.10798741064402871</v>
      </c>
      <c r="P30" s="11">
        <f t="shared" si="29"/>
        <v>0.17088393280326958</v>
      </c>
      <c r="Q30" s="14">
        <v>0.49</v>
      </c>
      <c r="R30" s="4">
        <v>550</v>
      </c>
      <c r="S30" s="4">
        <v>0.73573368117117366</v>
      </c>
      <c r="T30" s="18">
        <f t="shared" si="8"/>
        <v>73.573368117117369</v>
      </c>
      <c r="V30">
        <f>$S30</f>
        <v>0.73573368117117366</v>
      </c>
      <c r="X30" s="29">
        <f>T30</f>
        <v>73.573368117117369</v>
      </c>
      <c r="Z30" t="s">
        <v>56</v>
      </c>
      <c r="AB30" s="2">
        <v>0.38930342505724802</v>
      </c>
    </row>
    <row r="31" spans="1:28" x14ac:dyDescent="0.3">
      <c r="A31" s="40" t="s">
        <v>149</v>
      </c>
      <c r="B31" s="4" t="s">
        <v>91</v>
      </c>
      <c r="C31" s="4" t="s">
        <v>14</v>
      </c>
      <c r="D31" s="4">
        <v>67.400000000000006</v>
      </c>
      <c r="E31" s="12">
        <f t="shared" si="20"/>
        <v>2.945521675623092</v>
      </c>
      <c r="F31" s="4">
        <v>0.52</v>
      </c>
      <c r="G31" s="4">
        <v>3</v>
      </c>
      <c r="H31" s="12">
        <f t="shared" si="21"/>
        <v>26.134478324376904</v>
      </c>
      <c r="I31" s="10">
        <f t="shared" si="22"/>
        <v>56.11990008326395</v>
      </c>
      <c r="J31" s="12">
        <f t="shared" si="23"/>
        <v>29.224344435192897</v>
      </c>
      <c r="K31" s="10">
        <f t="shared" si="24"/>
        <v>16.334048952735564</v>
      </c>
      <c r="L31" s="10">
        <f t="shared" si="25"/>
        <v>101.6782934711924</v>
      </c>
      <c r="M31">
        <f t="shared" si="26"/>
        <v>0.55193589671293897</v>
      </c>
      <c r="N31">
        <f t="shared" si="27"/>
        <v>0.28741969832010178</v>
      </c>
      <c r="O31">
        <f t="shared" si="28"/>
        <v>0.16064440496695928</v>
      </c>
      <c r="P31" s="11">
        <f t="shared" si="29"/>
        <v>0.29105627288183106</v>
      </c>
      <c r="Q31" s="14">
        <v>0.62</v>
      </c>
      <c r="R31" s="4">
        <v>400</v>
      </c>
      <c r="S31" s="4">
        <v>0.26983966011503591</v>
      </c>
      <c r="T31" s="18">
        <f t="shared" si="8"/>
        <v>26.98396601150359</v>
      </c>
      <c r="U31">
        <f>$S31</f>
        <v>0.26983966011503591</v>
      </c>
      <c r="Z31" t="s">
        <v>57</v>
      </c>
      <c r="AB31" s="2">
        <v>0.28650479686018998</v>
      </c>
    </row>
    <row r="32" spans="1:28" x14ac:dyDescent="0.3">
      <c r="A32" s="40" t="s">
        <v>150</v>
      </c>
      <c r="B32" s="4" t="s">
        <v>91</v>
      </c>
      <c r="C32" s="4" t="s">
        <v>15</v>
      </c>
      <c r="D32" s="4">
        <v>73.19</v>
      </c>
      <c r="E32" s="12">
        <f t="shared" si="20"/>
        <v>2.5278917010873583</v>
      </c>
      <c r="F32" s="4">
        <v>0.62</v>
      </c>
      <c r="G32" s="4">
        <v>7</v>
      </c>
      <c r="H32" s="12">
        <f t="shared" si="21"/>
        <v>16.662108298912642</v>
      </c>
      <c r="I32" s="10">
        <f t="shared" si="22"/>
        <v>60.940882597835142</v>
      </c>
      <c r="J32" s="12">
        <f t="shared" si="23"/>
        <v>25.080778857896199</v>
      </c>
      <c r="K32" s="10">
        <f t="shared" si="24"/>
        <v>10.413817686820401</v>
      </c>
      <c r="L32" s="10">
        <f t="shared" si="25"/>
        <v>96.435479142551742</v>
      </c>
      <c r="M32">
        <f t="shared" si="26"/>
        <v>0.63193425427743055</v>
      </c>
      <c r="N32">
        <f t="shared" si="27"/>
        <v>0.26007833507854072</v>
      </c>
      <c r="O32">
        <f t="shared" si="28"/>
        <v>0.10798741064402871</v>
      </c>
      <c r="P32" s="11">
        <f t="shared" si="29"/>
        <v>0.17088393280326958</v>
      </c>
      <c r="Q32" s="14">
        <v>0.49</v>
      </c>
      <c r="R32" s="4">
        <v>550</v>
      </c>
      <c r="S32" s="4">
        <v>0.6325682277694793</v>
      </c>
      <c r="T32" s="18">
        <f t="shared" si="8"/>
        <v>63.256822776947928</v>
      </c>
      <c r="V32">
        <f t="shared" ref="V32:V40" si="30">$S32</f>
        <v>0.6325682277694793</v>
      </c>
      <c r="X32" s="29">
        <f>T32</f>
        <v>63.256822776947928</v>
      </c>
      <c r="Z32" t="s">
        <v>58</v>
      </c>
      <c r="AB32">
        <v>0.49202789932322899</v>
      </c>
    </row>
    <row r="33" spans="1:28" x14ac:dyDescent="0.3">
      <c r="A33" s="31" t="s">
        <v>151</v>
      </c>
      <c r="B33" s="16" t="s">
        <v>96</v>
      </c>
      <c r="C33" s="16" t="s">
        <v>97</v>
      </c>
      <c r="D33" s="4">
        <v>67.400000000000006</v>
      </c>
      <c r="E33" s="12">
        <f t="shared" si="20"/>
        <v>2.945521675623092</v>
      </c>
      <c r="F33" s="4">
        <v>0.52</v>
      </c>
      <c r="G33" s="4">
        <v>3</v>
      </c>
      <c r="H33" s="12">
        <f t="shared" si="21"/>
        <v>26.134478324376904</v>
      </c>
      <c r="I33" s="10">
        <f t="shared" si="22"/>
        <v>56.11990008326395</v>
      </c>
      <c r="J33" s="12">
        <f t="shared" si="23"/>
        <v>29.224344435192897</v>
      </c>
      <c r="K33" s="10">
        <f t="shared" ref="K33:K40" si="31">H33/16*10</f>
        <v>16.334048952735564</v>
      </c>
      <c r="L33" s="10">
        <f t="shared" ref="L33:L40" si="32">I33+J33+K33</f>
        <v>101.6782934711924</v>
      </c>
      <c r="M33">
        <f t="shared" ref="M33:M40" si="33">I33/$L33</f>
        <v>0.55193589671293897</v>
      </c>
      <c r="N33">
        <f t="shared" ref="N33:N40" si="34">J33/$L33</f>
        <v>0.28741969832010178</v>
      </c>
      <c r="O33">
        <f t="shared" ref="O33:O40" si="35">K33/$L33</f>
        <v>0.16064440496695928</v>
      </c>
      <c r="P33" s="11">
        <f t="shared" ref="P33:P46" si="36">K33/I33</f>
        <v>0.29105627288183106</v>
      </c>
      <c r="Q33" s="14">
        <v>0.62</v>
      </c>
      <c r="R33">
        <v>450</v>
      </c>
      <c r="S33" s="4">
        <v>0.88538328260643939</v>
      </c>
      <c r="T33" s="18">
        <f t="shared" si="8"/>
        <v>88.538328260643937</v>
      </c>
      <c r="V33">
        <f t="shared" si="30"/>
        <v>0.88538328260643939</v>
      </c>
    </row>
    <row r="34" spans="1:28" x14ac:dyDescent="0.3">
      <c r="A34" s="31" t="s">
        <v>152</v>
      </c>
      <c r="B34" s="16" t="s">
        <v>96</v>
      </c>
      <c r="C34" s="16" t="s">
        <v>97</v>
      </c>
      <c r="D34" s="4">
        <v>67.400000000000006</v>
      </c>
      <c r="E34" s="12">
        <f t="shared" si="20"/>
        <v>2.945521675623092</v>
      </c>
      <c r="F34" s="4">
        <v>0.52</v>
      </c>
      <c r="G34" s="4">
        <v>3</v>
      </c>
      <c r="H34" s="12">
        <f t="shared" si="21"/>
        <v>26.134478324376904</v>
      </c>
      <c r="I34" s="10">
        <f t="shared" si="22"/>
        <v>56.11990008326395</v>
      </c>
      <c r="J34" s="12">
        <f t="shared" si="23"/>
        <v>29.224344435192897</v>
      </c>
      <c r="K34" s="10">
        <f t="shared" si="31"/>
        <v>16.334048952735564</v>
      </c>
      <c r="L34" s="10">
        <f t="shared" si="32"/>
        <v>101.6782934711924</v>
      </c>
      <c r="M34">
        <f t="shared" si="33"/>
        <v>0.55193589671293897</v>
      </c>
      <c r="N34">
        <f t="shared" si="34"/>
        <v>0.28741969832010178</v>
      </c>
      <c r="O34">
        <f t="shared" si="35"/>
        <v>0.16064440496695928</v>
      </c>
      <c r="P34" s="11">
        <f t="shared" si="36"/>
        <v>0.29105627288183106</v>
      </c>
      <c r="Q34" s="14">
        <v>0.62</v>
      </c>
      <c r="R34">
        <v>450</v>
      </c>
      <c r="S34" s="4">
        <v>0.77558290497360749</v>
      </c>
      <c r="T34" s="18">
        <f t="shared" si="8"/>
        <v>77.558290497360744</v>
      </c>
      <c r="V34">
        <f t="shared" si="30"/>
        <v>0.77558290497360749</v>
      </c>
    </row>
    <row r="35" spans="1:28" x14ac:dyDescent="0.3">
      <c r="A35" s="31" t="s">
        <v>153</v>
      </c>
      <c r="B35" s="16" t="s">
        <v>96</v>
      </c>
      <c r="C35" s="16" t="s">
        <v>97</v>
      </c>
      <c r="D35" s="4">
        <v>67.400000000000006</v>
      </c>
      <c r="E35" s="12">
        <f t="shared" si="20"/>
        <v>2.945521675623092</v>
      </c>
      <c r="F35" s="4">
        <v>0.52</v>
      </c>
      <c r="G35" s="4">
        <v>3</v>
      </c>
      <c r="H35" s="12">
        <f t="shared" si="21"/>
        <v>26.134478324376904</v>
      </c>
      <c r="I35" s="10">
        <f t="shared" si="22"/>
        <v>56.11990008326395</v>
      </c>
      <c r="J35" s="12">
        <f t="shared" si="23"/>
        <v>29.224344435192897</v>
      </c>
      <c r="K35" s="10">
        <f t="shared" si="31"/>
        <v>16.334048952735564</v>
      </c>
      <c r="L35" s="10">
        <f t="shared" si="32"/>
        <v>101.6782934711924</v>
      </c>
      <c r="M35">
        <f t="shared" si="33"/>
        <v>0.55193589671293897</v>
      </c>
      <c r="N35">
        <f t="shared" si="34"/>
        <v>0.28741969832010178</v>
      </c>
      <c r="O35">
        <f t="shared" si="35"/>
        <v>0.16064440496695928</v>
      </c>
      <c r="P35" s="11">
        <f t="shared" si="36"/>
        <v>0.29105627288183106</v>
      </c>
      <c r="Q35" s="14">
        <v>0.62</v>
      </c>
      <c r="R35">
        <v>450</v>
      </c>
      <c r="S35" s="4">
        <v>0.77358437966803562</v>
      </c>
      <c r="T35" s="18">
        <f t="shared" si="8"/>
        <v>77.358437966803564</v>
      </c>
      <c r="V35">
        <f t="shared" si="30"/>
        <v>0.77358437966803562</v>
      </c>
    </row>
    <row r="36" spans="1:28" x14ac:dyDescent="0.3">
      <c r="A36" s="31" t="s">
        <v>154</v>
      </c>
      <c r="B36" s="16" t="s">
        <v>96</v>
      </c>
      <c r="C36" s="16" t="s">
        <v>97</v>
      </c>
      <c r="D36" s="4">
        <v>67.400000000000006</v>
      </c>
      <c r="E36" s="12">
        <f t="shared" si="20"/>
        <v>2.945521675623092</v>
      </c>
      <c r="F36" s="4">
        <v>0.52</v>
      </c>
      <c r="G36" s="4">
        <v>3</v>
      </c>
      <c r="H36" s="12">
        <f t="shared" si="21"/>
        <v>26.134478324376904</v>
      </c>
      <c r="I36" s="10">
        <f t="shared" si="22"/>
        <v>56.11990008326395</v>
      </c>
      <c r="J36" s="12">
        <f t="shared" si="23"/>
        <v>29.224344435192897</v>
      </c>
      <c r="K36" s="10">
        <f t="shared" si="31"/>
        <v>16.334048952735564</v>
      </c>
      <c r="L36" s="10">
        <f t="shared" si="32"/>
        <v>101.6782934711924</v>
      </c>
      <c r="M36">
        <f t="shared" si="33"/>
        <v>0.55193589671293897</v>
      </c>
      <c r="N36">
        <f t="shared" si="34"/>
        <v>0.28741969832010178</v>
      </c>
      <c r="O36">
        <f t="shared" si="35"/>
        <v>0.16064440496695928</v>
      </c>
      <c r="P36" s="11">
        <f t="shared" si="36"/>
        <v>0.29105627288183106</v>
      </c>
      <c r="Q36" s="14">
        <v>0.62</v>
      </c>
      <c r="R36">
        <v>450</v>
      </c>
      <c r="S36" s="4">
        <v>0.76720521399736308</v>
      </c>
      <c r="T36" s="18">
        <f t="shared" si="8"/>
        <v>76.720521399736313</v>
      </c>
      <c r="V36">
        <f t="shared" si="30"/>
        <v>0.76720521399736308</v>
      </c>
    </row>
    <row r="37" spans="1:28" x14ac:dyDescent="0.3">
      <c r="A37" s="31" t="s">
        <v>155</v>
      </c>
      <c r="B37" s="16" t="s">
        <v>96</v>
      </c>
      <c r="C37" s="16" t="s">
        <v>97</v>
      </c>
      <c r="D37" s="4">
        <v>73.19</v>
      </c>
      <c r="E37" s="12">
        <f t="shared" si="20"/>
        <v>2.5278917010873583</v>
      </c>
      <c r="F37" s="4">
        <v>0.62</v>
      </c>
      <c r="G37" s="4">
        <v>7</v>
      </c>
      <c r="H37" s="12">
        <f t="shared" si="21"/>
        <v>16.662108298912642</v>
      </c>
      <c r="I37" s="10">
        <f t="shared" si="22"/>
        <v>60.940882597835142</v>
      </c>
      <c r="J37" s="12">
        <f t="shared" si="23"/>
        <v>25.080778857896199</v>
      </c>
      <c r="K37" s="10">
        <f t="shared" si="31"/>
        <v>10.413817686820401</v>
      </c>
      <c r="L37" s="10">
        <f t="shared" si="32"/>
        <v>96.435479142551742</v>
      </c>
      <c r="M37">
        <f t="shared" si="33"/>
        <v>0.63193425427743055</v>
      </c>
      <c r="N37">
        <f t="shared" si="34"/>
        <v>0.26007833507854072</v>
      </c>
      <c r="O37">
        <f t="shared" si="35"/>
        <v>0.10798741064402871</v>
      </c>
      <c r="P37" s="11">
        <f t="shared" si="36"/>
        <v>0.17088393280326958</v>
      </c>
      <c r="Q37" s="14">
        <v>0.49</v>
      </c>
      <c r="R37">
        <v>550</v>
      </c>
      <c r="S37" s="4">
        <v>0.91735063165185204</v>
      </c>
      <c r="T37" s="18">
        <f t="shared" si="8"/>
        <v>91.73506316518521</v>
      </c>
      <c r="V37">
        <f t="shared" si="30"/>
        <v>0.91735063165185204</v>
      </c>
      <c r="X37" s="29">
        <f>T37</f>
        <v>91.73506316518521</v>
      </c>
    </row>
    <row r="38" spans="1:28" x14ac:dyDescent="0.3">
      <c r="A38" s="31" t="s">
        <v>156</v>
      </c>
      <c r="B38" s="16" t="s">
        <v>96</v>
      </c>
      <c r="C38" s="16" t="s">
        <v>97</v>
      </c>
      <c r="D38" s="4">
        <v>73.19</v>
      </c>
      <c r="E38" s="12">
        <f t="shared" si="20"/>
        <v>2.5278917010873583</v>
      </c>
      <c r="F38" s="4">
        <v>0.62</v>
      </c>
      <c r="G38" s="4">
        <v>7</v>
      </c>
      <c r="H38" s="12">
        <f t="shared" si="21"/>
        <v>16.662108298912642</v>
      </c>
      <c r="I38" s="10">
        <f t="shared" si="22"/>
        <v>60.940882597835142</v>
      </c>
      <c r="J38" s="12">
        <f t="shared" si="23"/>
        <v>25.080778857896199</v>
      </c>
      <c r="K38" s="10">
        <f t="shared" si="31"/>
        <v>10.413817686820401</v>
      </c>
      <c r="L38" s="10">
        <f t="shared" si="32"/>
        <v>96.435479142551742</v>
      </c>
      <c r="M38">
        <f t="shared" si="33"/>
        <v>0.63193425427743055</v>
      </c>
      <c r="N38">
        <f t="shared" si="34"/>
        <v>0.26007833507854072</v>
      </c>
      <c r="O38">
        <f t="shared" si="35"/>
        <v>0.10798741064402871</v>
      </c>
      <c r="P38" s="11">
        <f t="shared" si="36"/>
        <v>0.17088393280326958</v>
      </c>
      <c r="Q38" s="14">
        <v>0.49</v>
      </c>
      <c r="R38">
        <v>550</v>
      </c>
      <c r="S38" s="4">
        <v>0.88061210483763863</v>
      </c>
      <c r="T38" s="18">
        <f t="shared" si="8"/>
        <v>88.061210483763858</v>
      </c>
      <c r="V38">
        <f t="shared" si="30"/>
        <v>0.88061210483763863</v>
      </c>
      <c r="X38" s="29">
        <f>T38</f>
        <v>88.061210483763858</v>
      </c>
    </row>
    <row r="39" spans="1:28" x14ac:dyDescent="0.3">
      <c r="A39" s="31" t="s">
        <v>157</v>
      </c>
      <c r="B39" s="16" t="s">
        <v>96</v>
      </c>
      <c r="C39" s="16" t="s">
        <v>97</v>
      </c>
      <c r="D39" s="4">
        <v>73.19</v>
      </c>
      <c r="E39" s="12">
        <f t="shared" si="20"/>
        <v>2.5278917010873583</v>
      </c>
      <c r="F39" s="4">
        <v>0.62</v>
      </c>
      <c r="G39" s="4">
        <v>7</v>
      </c>
      <c r="H39" s="12">
        <f t="shared" si="21"/>
        <v>16.662108298912642</v>
      </c>
      <c r="I39" s="10">
        <f t="shared" si="22"/>
        <v>60.940882597835142</v>
      </c>
      <c r="J39" s="12">
        <f t="shared" si="23"/>
        <v>25.080778857896199</v>
      </c>
      <c r="K39" s="10">
        <f t="shared" si="31"/>
        <v>10.413817686820401</v>
      </c>
      <c r="L39" s="10">
        <f t="shared" si="32"/>
        <v>96.435479142551742</v>
      </c>
      <c r="M39">
        <f t="shared" si="33"/>
        <v>0.63193425427743055</v>
      </c>
      <c r="N39">
        <f t="shared" si="34"/>
        <v>0.26007833507854072</v>
      </c>
      <c r="O39">
        <f t="shared" si="35"/>
        <v>0.10798741064402871</v>
      </c>
      <c r="P39" s="11">
        <f t="shared" si="36"/>
        <v>0.17088393280326958</v>
      </c>
      <c r="Q39" s="14">
        <v>0.49</v>
      </c>
      <c r="R39">
        <v>550</v>
      </c>
      <c r="S39" s="4">
        <v>0.86926595734669643</v>
      </c>
      <c r="T39" s="18">
        <f t="shared" si="8"/>
        <v>86.926595734669647</v>
      </c>
      <c r="V39">
        <f t="shared" si="30"/>
        <v>0.86926595734669643</v>
      </c>
      <c r="X39" s="29">
        <f>T39</f>
        <v>86.926595734669647</v>
      </c>
    </row>
    <row r="40" spans="1:28" x14ac:dyDescent="0.3">
      <c r="A40" s="31" t="s">
        <v>158</v>
      </c>
      <c r="B40" s="16" t="s">
        <v>96</v>
      </c>
      <c r="C40" s="16" t="s">
        <v>97</v>
      </c>
      <c r="D40" s="4">
        <v>73.19</v>
      </c>
      <c r="E40" s="12">
        <f t="shared" si="20"/>
        <v>2.5278917010873583</v>
      </c>
      <c r="F40" s="4">
        <v>0.62</v>
      </c>
      <c r="G40" s="4">
        <v>7</v>
      </c>
      <c r="H40" s="12">
        <f t="shared" si="21"/>
        <v>16.662108298912642</v>
      </c>
      <c r="I40" s="10">
        <f t="shared" si="22"/>
        <v>60.940882597835142</v>
      </c>
      <c r="J40" s="12">
        <f t="shared" si="23"/>
        <v>25.080778857896199</v>
      </c>
      <c r="K40" s="10">
        <f t="shared" si="31"/>
        <v>10.413817686820401</v>
      </c>
      <c r="L40" s="10">
        <f t="shared" si="32"/>
        <v>96.435479142551742</v>
      </c>
      <c r="M40">
        <f t="shared" si="33"/>
        <v>0.63193425427743055</v>
      </c>
      <c r="N40">
        <f t="shared" si="34"/>
        <v>0.26007833507854072</v>
      </c>
      <c r="O40">
        <f t="shared" si="35"/>
        <v>0.10798741064402871</v>
      </c>
      <c r="P40" s="11">
        <f t="shared" si="36"/>
        <v>0.17088393280326958</v>
      </c>
      <c r="Q40" s="14">
        <v>0.49</v>
      </c>
      <c r="R40">
        <v>550</v>
      </c>
      <c r="S40" s="4">
        <v>0.86321899801526025</v>
      </c>
      <c r="T40" s="18">
        <f t="shared" si="8"/>
        <v>86.32189980152603</v>
      </c>
      <c r="V40">
        <f t="shared" si="30"/>
        <v>0.86321899801526025</v>
      </c>
      <c r="X40" s="29">
        <f>T40</f>
        <v>86.32189980152603</v>
      </c>
    </row>
    <row r="41" spans="1:28" x14ac:dyDescent="0.3">
      <c r="A41" s="31" t="s">
        <v>159</v>
      </c>
      <c r="B41" s="4" t="s">
        <v>16</v>
      </c>
      <c r="C41" s="5" t="s">
        <v>17</v>
      </c>
      <c r="D41" s="8">
        <v>63.5</v>
      </c>
      <c r="E41" s="8">
        <v>3.7700000000000005</v>
      </c>
      <c r="F41" s="5">
        <v>0.71</v>
      </c>
      <c r="G41" s="8">
        <v>9.8000000000000007</v>
      </c>
      <c r="H41" s="12">
        <f t="shared" ref="H41:H44" si="37">100-D41-E41-F41-G41</f>
        <v>22.219999999999995</v>
      </c>
      <c r="I41" s="10">
        <f t="shared" ref="I41:I44" si="38">D41/12.01*10</f>
        <v>52.872606161532055</v>
      </c>
      <c r="J41" s="12">
        <f>(E41/1.0079*10)</f>
        <v>37.404504415120549</v>
      </c>
      <c r="K41" s="10">
        <f t="shared" ref="K41:K44" si="39">H41/16*10</f>
        <v>13.887499999999998</v>
      </c>
      <c r="L41" s="10">
        <f t="shared" ref="L41:L44" si="40">I41+J41+K41</f>
        <v>104.16461057665261</v>
      </c>
      <c r="M41">
        <f t="shared" ref="M41:M44" si="41">I41/$L41</f>
        <v>0.50758703813925543</v>
      </c>
      <c r="N41">
        <f t="shared" ref="N41:N44" si="42">J41/$L41</f>
        <v>0.35909033027676268</v>
      </c>
      <c r="O41">
        <f t="shared" ref="O41:O44" si="43">K41/$L41</f>
        <v>0.13332263158398189</v>
      </c>
      <c r="P41" s="11">
        <f t="shared" si="36"/>
        <v>0.26265964566929129</v>
      </c>
      <c r="Q41" s="8">
        <v>0.68</v>
      </c>
      <c r="R41" s="5">
        <v>350</v>
      </c>
      <c r="S41" s="5">
        <v>0.13147100598490249</v>
      </c>
      <c r="T41" s="18">
        <f t="shared" si="8"/>
        <v>13.147100598490249</v>
      </c>
      <c r="U41">
        <f>$S41</f>
        <v>0.13147100598490249</v>
      </c>
      <c r="Z41" s="8" t="s">
        <v>59</v>
      </c>
      <c r="AB41">
        <v>0.71084780601660003</v>
      </c>
    </row>
    <row r="42" spans="1:28" x14ac:dyDescent="0.3">
      <c r="A42" s="31" t="s">
        <v>160</v>
      </c>
      <c r="B42" s="4" t="s">
        <v>16</v>
      </c>
      <c r="C42" s="5" t="s">
        <v>18</v>
      </c>
      <c r="D42" s="8">
        <v>71.7</v>
      </c>
      <c r="E42" s="8">
        <v>2.92</v>
      </c>
      <c r="F42" s="5">
        <v>0.76</v>
      </c>
      <c r="G42" s="8">
        <v>11.5</v>
      </c>
      <c r="H42" s="12">
        <f t="shared" si="37"/>
        <v>13.119999999999994</v>
      </c>
      <c r="I42" s="10">
        <f t="shared" si="38"/>
        <v>59.700249791840136</v>
      </c>
      <c r="J42" s="12">
        <f t="shared" ref="J42:J44" si="44">(E42/1.0079*10)</f>
        <v>28.971128088103978</v>
      </c>
      <c r="K42" s="10">
        <f t="shared" si="39"/>
        <v>8.1999999999999957</v>
      </c>
      <c r="L42" s="10">
        <f t="shared" si="40"/>
        <v>96.871377879944106</v>
      </c>
      <c r="M42">
        <f t="shared" si="41"/>
        <v>0.61628368562929525</v>
      </c>
      <c r="N42">
        <f t="shared" si="42"/>
        <v>0.29906798811108948</v>
      </c>
      <c r="O42">
        <f t="shared" si="43"/>
        <v>8.4648326259615367E-2</v>
      </c>
      <c r="P42" s="11">
        <f t="shared" si="36"/>
        <v>0.13735285913528583</v>
      </c>
      <c r="Q42" s="8">
        <v>0.47</v>
      </c>
      <c r="R42" s="5">
        <v>550</v>
      </c>
      <c r="S42" s="5">
        <v>0.34990495949648526</v>
      </c>
      <c r="T42" s="18">
        <f t="shared" si="8"/>
        <v>34.990495949648526</v>
      </c>
      <c r="V42">
        <f>$S42</f>
        <v>0.34990495949648526</v>
      </c>
      <c r="X42" s="29">
        <f>T42</f>
        <v>34.990495949648526</v>
      </c>
      <c r="Z42" s="8" t="s">
        <v>60</v>
      </c>
      <c r="AB42">
        <v>0.89359860371496103</v>
      </c>
    </row>
    <row r="43" spans="1:28" x14ac:dyDescent="0.3">
      <c r="A43" s="31" t="s">
        <v>161</v>
      </c>
      <c r="B43" s="4" t="s">
        <v>16</v>
      </c>
      <c r="C43" s="5" t="s">
        <v>17</v>
      </c>
      <c r="D43" s="8">
        <v>63.5</v>
      </c>
      <c r="E43" s="8">
        <v>3.7700000000000005</v>
      </c>
      <c r="F43" s="5">
        <v>0.71</v>
      </c>
      <c r="G43" s="8">
        <v>9.8000000000000007</v>
      </c>
      <c r="H43" s="12">
        <f t="shared" si="37"/>
        <v>22.219999999999995</v>
      </c>
      <c r="I43" s="10">
        <f t="shared" si="38"/>
        <v>52.872606161532055</v>
      </c>
      <c r="J43" s="12">
        <f t="shared" si="44"/>
        <v>37.404504415120549</v>
      </c>
      <c r="K43" s="10">
        <f t="shared" si="39"/>
        <v>13.887499999999998</v>
      </c>
      <c r="L43" s="10">
        <f t="shared" si="40"/>
        <v>104.16461057665261</v>
      </c>
      <c r="M43">
        <f t="shared" si="41"/>
        <v>0.50758703813925543</v>
      </c>
      <c r="N43">
        <f t="shared" si="42"/>
        <v>0.35909033027676268</v>
      </c>
      <c r="O43">
        <f t="shared" si="43"/>
        <v>0.13332263158398189</v>
      </c>
      <c r="P43" s="11">
        <f t="shared" si="36"/>
        <v>0.26265964566929129</v>
      </c>
      <c r="Q43" s="8">
        <v>0.68</v>
      </c>
      <c r="R43" s="5">
        <v>350</v>
      </c>
      <c r="S43" s="5">
        <v>0.32765666727416543</v>
      </c>
      <c r="T43" s="18">
        <f t="shared" si="8"/>
        <v>32.765666727416544</v>
      </c>
      <c r="U43">
        <f>$S43</f>
        <v>0.32765666727416543</v>
      </c>
      <c r="X43" s="2"/>
    </row>
    <row r="44" spans="1:28" x14ac:dyDescent="0.3">
      <c r="A44" s="31" t="s">
        <v>162</v>
      </c>
      <c r="B44" s="4" t="s">
        <v>16</v>
      </c>
      <c r="C44" s="5" t="s">
        <v>18</v>
      </c>
      <c r="D44" s="8">
        <v>71.7</v>
      </c>
      <c r="E44" s="8">
        <v>2.92</v>
      </c>
      <c r="F44" s="5">
        <v>0.76</v>
      </c>
      <c r="G44" s="8">
        <v>11.5</v>
      </c>
      <c r="H44" s="12">
        <f t="shared" si="37"/>
        <v>13.119999999999994</v>
      </c>
      <c r="I44" s="10">
        <f t="shared" si="38"/>
        <v>59.700249791840136</v>
      </c>
      <c r="J44" s="12">
        <f t="shared" si="44"/>
        <v>28.971128088103978</v>
      </c>
      <c r="K44" s="10">
        <f t="shared" si="39"/>
        <v>8.1999999999999957</v>
      </c>
      <c r="L44" s="10">
        <f t="shared" si="40"/>
        <v>96.871377879944106</v>
      </c>
      <c r="M44">
        <f t="shared" si="41"/>
        <v>0.61628368562929525</v>
      </c>
      <c r="N44">
        <f t="shared" si="42"/>
        <v>0.29906798811108948</v>
      </c>
      <c r="O44">
        <f t="shared" si="43"/>
        <v>8.4648326259615367E-2</v>
      </c>
      <c r="P44" s="11">
        <f t="shared" si="36"/>
        <v>0.13735285913528583</v>
      </c>
      <c r="Q44" s="8">
        <v>0.47</v>
      </c>
      <c r="R44" s="5">
        <v>550</v>
      </c>
      <c r="S44" s="5">
        <v>0.32280249442565923</v>
      </c>
      <c r="T44" s="18">
        <f t="shared" si="8"/>
        <v>32.280249442565925</v>
      </c>
      <c r="V44">
        <f>$S44</f>
        <v>0.32280249442565923</v>
      </c>
      <c r="X44" s="29">
        <f>T44</f>
        <v>32.280249442565925</v>
      </c>
    </row>
    <row r="45" spans="1:28" x14ac:dyDescent="0.3">
      <c r="A45" s="31" t="s">
        <v>163</v>
      </c>
      <c r="B45" s="3" t="s">
        <v>19</v>
      </c>
      <c r="C45" s="3" t="s">
        <v>3</v>
      </c>
      <c r="D45" s="3">
        <v>55</v>
      </c>
      <c r="E45" s="3"/>
      <c r="F45" s="3">
        <v>2.5</v>
      </c>
      <c r="G45" s="3"/>
      <c r="H45" s="3"/>
      <c r="I45" s="3">
        <f t="shared" ref="I45" si="45">D45/12.01*10</f>
        <v>45.79517069109076</v>
      </c>
      <c r="J45" s="12"/>
      <c r="K45" s="10"/>
      <c r="L45" s="10"/>
      <c r="P45" s="11"/>
      <c r="Q45" s="8"/>
      <c r="R45" s="5">
        <v>400</v>
      </c>
      <c r="S45" s="5"/>
      <c r="T45" s="18"/>
      <c r="X45" s="2"/>
    </row>
    <row r="46" spans="1:28" x14ac:dyDescent="0.3">
      <c r="A46" s="31" t="s">
        <v>164</v>
      </c>
      <c r="B46" s="16" t="s">
        <v>99</v>
      </c>
      <c r="C46" s="16" t="s">
        <v>100</v>
      </c>
      <c r="D46" s="8">
        <v>50.5</v>
      </c>
      <c r="E46" s="8">
        <v>5.81</v>
      </c>
      <c r="F46" s="5">
        <v>2.46</v>
      </c>
      <c r="G46" s="8">
        <v>8.74</v>
      </c>
      <c r="H46" s="8">
        <v>33.799999999999997</v>
      </c>
      <c r="I46" s="10">
        <f t="shared" ref="I46" si="46">D46/12.01*10</f>
        <v>42.048293089092425</v>
      </c>
      <c r="J46" s="12">
        <f t="shared" ref="J46" si="47">(E46/1.0079*10)</f>
        <v>57.64460759996031</v>
      </c>
      <c r="K46" s="10">
        <f t="shared" ref="K46" si="48">H46/16*10</f>
        <v>21.125</v>
      </c>
      <c r="L46" s="10">
        <f t="shared" ref="L46" si="49">I46+J46+K46</f>
        <v>120.81790068905273</v>
      </c>
      <c r="M46">
        <f t="shared" ref="M46" si="50">I46/$L46</f>
        <v>0.34803032372919229</v>
      </c>
      <c r="N46">
        <f t="shared" ref="N46" si="51">J46/$L46</f>
        <v>0.47711975850597993</v>
      </c>
      <c r="O46">
        <f t="shared" ref="O46" si="52">K46/$L46</f>
        <v>0.17484991776482778</v>
      </c>
      <c r="P46" s="11">
        <f t="shared" si="36"/>
        <v>0.50239851485148512</v>
      </c>
      <c r="Q46" s="39">
        <f>J46/I46</f>
        <v>1.37091433123866</v>
      </c>
      <c r="R46">
        <v>200</v>
      </c>
      <c r="S46">
        <v>2.0588052290924985E-2</v>
      </c>
      <c r="T46" s="18">
        <f t="shared" si="8"/>
        <v>2.0588052290924983</v>
      </c>
      <c r="U46">
        <f>$S46</f>
        <v>2.0588052290924985E-2</v>
      </c>
    </row>
    <row r="47" spans="1:28" x14ac:dyDescent="0.3">
      <c r="A47" s="31" t="s">
        <v>165</v>
      </c>
      <c r="B47" s="16" t="s">
        <v>101</v>
      </c>
      <c r="C47" s="16" t="s">
        <v>100</v>
      </c>
      <c r="D47" s="38">
        <v>64.5</v>
      </c>
      <c r="E47" s="8">
        <v>4.51</v>
      </c>
      <c r="F47" s="5">
        <v>3.3</v>
      </c>
      <c r="G47" s="8">
        <v>14.3</v>
      </c>
      <c r="H47" s="8">
        <v>20</v>
      </c>
      <c r="I47" s="10">
        <f t="shared" ref="I47:I51" si="53">D47/12.01*10</f>
        <v>53.7052456286428</v>
      </c>
      <c r="J47" s="12">
        <f t="shared" ref="J47:J50" si="54">(E47/1.0079*10)</f>
        <v>44.746502629229084</v>
      </c>
      <c r="K47" s="10">
        <f t="shared" ref="K47:K50" si="55">H47/16*10</f>
        <v>12.5</v>
      </c>
      <c r="L47" s="10">
        <f t="shared" ref="L47:L50" si="56">I47+J47+K47</f>
        <v>110.95174825787188</v>
      </c>
      <c r="M47">
        <f t="shared" ref="M47:M50" si="57">I47/$L47</f>
        <v>0.48404145470355381</v>
      </c>
      <c r="N47">
        <f t="shared" ref="N47:N50" si="58">J47/$L47</f>
        <v>0.40329695864935933</v>
      </c>
      <c r="O47">
        <f t="shared" ref="O47:O50" si="59">K47/$L47</f>
        <v>0.11266158664708684</v>
      </c>
      <c r="P47" s="11">
        <f t="shared" ref="P47:P52" si="60">K47/I47</f>
        <v>0.23275193798449612</v>
      </c>
      <c r="Q47" s="39">
        <f t="shared" ref="Q47:Q50" si="61">J47/I47</f>
        <v>0.83318681639851366</v>
      </c>
      <c r="R47">
        <v>300</v>
      </c>
      <c r="S47">
        <v>0.40283104219122573</v>
      </c>
      <c r="T47" s="18">
        <f t="shared" si="8"/>
        <v>40.283104219122571</v>
      </c>
      <c r="U47">
        <f>$S47</f>
        <v>0.40283104219122573</v>
      </c>
    </row>
    <row r="48" spans="1:28" x14ac:dyDescent="0.3">
      <c r="A48" s="31" t="s">
        <v>166</v>
      </c>
      <c r="B48" s="16" t="s">
        <v>102</v>
      </c>
      <c r="C48" s="16" t="s">
        <v>100</v>
      </c>
      <c r="D48" s="8">
        <v>62.3</v>
      </c>
      <c r="E48" s="8">
        <v>4.2699999999999996</v>
      </c>
      <c r="F48" s="5">
        <v>2.82</v>
      </c>
      <c r="G48" s="8">
        <v>20.8</v>
      </c>
      <c r="H48" s="8">
        <v>19.5</v>
      </c>
      <c r="I48" s="10">
        <f t="shared" si="53"/>
        <v>51.873438800999168</v>
      </c>
      <c r="J48" s="12">
        <f t="shared" si="54"/>
        <v>42.365314019247933</v>
      </c>
      <c r="K48" s="10">
        <f t="shared" si="55"/>
        <v>12.1875</v>
      </c>
      <c r="L48" s="10">
        <f t="shared" si="56"/>
        <v>106.4262528202471</v>
      </c>
      <c r="M48">
        <f t="shared" si="57"/>
        <v>0.48741205695377526</v>
      </c>
      <c r="N48">
        <f t="shared" si="58"/>
        <v>0.39807202543156839</v>
      </c>
      <c r="O48">
        <f t="shared" si="59"/>
        <v>0.11451591761465631</v>
      </c>
      <c r="P48" s="11">
        <f t="shared" si="60"/>
        <v>0.23494682985553772</v>
      </c>
      <c r="Q48" s="39">
        <f t="shared" si="61"/>
        <v>0.81670533125388067</v>
      </c>
      <c r="R48">
        <v>300</v>
      </c>
      <c r="S48">
        <v>0.47351584384717715</v>
      </c>
      <c r="T48" s="18">
        <f t="shared" si="8"/>
        <v>47.351584384717718</v>
      </c>
      <c r="U48">
        <f>$S48</f>
        <v>0.47351584384717715</v>
      </c>
      <c r="V48">
        <f t="shared" ref="V48:V54" si="62">$S48</f>
        <v>0.47351584384717715</v>
      </c>
    </row>
    <row r="49" spans="1:24" x14ac:dyDescent="0.3">
      <c r="A49" s="31" t="s">
        <v>167</v>
      </c>
      <c r="B49" s="16" t="s">
        <v>103</v>
      </c>
      <c r="C49" s="16" t="s">
        <v>100</v>
      </c>
      <c r="D49" s="8">
        <v>65.7</v>
      </c>
      <c r="E49" s="8">
        <v>2.73</v>
      </c>
      <c r="F49" s="5">
        <v>2.5299999999999998</v>
      </c>
      <c r="G49" s="8">
        <v>20.7</v>
      </c>
      <c r="H49" s="8">
        <v>9.6199999999999992</v>
      </c>
      <c r="I49" s="10">
        <f t="shared" si="53"/>
        <v>54.704412989175694</v>
      </c>
      <c r="J49" s="12">
        <f t="shared" si="54"/>
        <v>27.086020438535567</v>
      </c>
      <c r="K49" s="10">
        <f t="shared" si="55"/>
        <v>6.0124999999999993</v>
      </c>
      <c r="L49" s="10">
        <f t="shared" si="56"/>
        <v>87.802933427711267</v>
      </c>
      <c r="M49">
        <f t="shared" si="57"/>
        <v>0.62303627969575981</v>
      </c>
      <c r="N49">
        <f t="shared" si="58"/>
        <v>0.30848650928998478</v>
      </c>
      <c r="O49">
        <f t="shared" si="59"/>
        <v>6.8477211014255357E-2</v>
      </c>
      <c r="P49" s="11">
        <f t="shared" si="60"/>
        <v>0.10990886605783863</v>
      </c>
      <c r="Q49" s="39">
        <f t="shared" si="61"/>
        <v>0.49513410268921176</v>
      </c>
      <c r="R49">
        <v>500</v>
      </c>
      <c r="S49">
        <v>0.7213949369029603</v>
      </c>
      <c r="T49" s="18">
        <f t="shared" si="8"/>
        <v>72.139493690296035</v>
      </c>
      <c r="V49">
        <f t="shared" si="62"/>
        <v>0.7213949369029603</v>
      </c>
    </row>
    <row r="50" spans="1:24" x14ac:dyDescent="0.3">
      <c r="A50" s="31" t="s">
        <v>168</v>
      </c>
      <c r="B50" s="16" t="s">
        <v>104</v>
      </c>
      <c r="C50" s="16" t="s">
        <v>100</v>
      </c>
      <c r="D50" s="8">
        <v>59.4</v>
      </c>
      <c r="E50" s="8">
        <v>2.63</v>
      </c>
      <c r="F50" s="5">
        <v>2.27</v>
      </c>
      <c r="G50" s="8">
        <v>20.8</v>
      </c>
      <c r="H50" s="8">
        <v>10</v>
      </c>
      <c r="I50" s="10">
        <f t="shared" si="53"/>
        <v>49.458784346378017</v>
      </c>
      <c r="J50" s="12">
        <f t="shared" si="54"/>
        <v>26.093858517710089</v>
      </c>
      <c r="K50" s="10">
        <f t="shared" si="55"/>
        <v>6.25</v>
      </c>
      <c r="L50" s="10">
        <f t="shared" si="56"/>
        <v>81.802642864088114</v>
      </c>
      <c r="M50">
        <f t="shared" si="57"/>
        <v>0.60461108119149465</v>
      </c>
      <c r="N50">
        <f t="shared" si="58"/>
        <v>0.31898551934396563</v>
      </c>
      <c r="O50">
        <f t="shared" si="59"/>
        <v>7.6403399464539681E-2</v>
      </c>
      <c r="P50" s="11">
        <f t="shared" si="60"/>
        <v>0.12636784511784513</v>
      </c>
      <c r="Q50" s="39">
        <f t="shared" si="61"/>
        <v>0.52758794747087234</v>
      </c>
      <c r="R50">
        <v>500</v>
      </c>
      <c r="S50">
        <v>0.73783753056499701</v>
      </c>
      <c r="T50" s="18">
        <f t="shared" si="8"/>
        <v>73.783753056499705</v>
      </c>
      <c r="V50">
        <f t="shared" si="62"/>
        <v>0.73783753056499701</v>
      </c>
    </row>
    <row r="51" spans="1:24" x14ac:dyDescent="0.3">
      <c r="A51" s="31" t="s">
        <v>169</v>
      </c>
      <c r="B51" s="4" t="s">
        <v>20</v>
      </c>
      <c r="C51" s="4"/>
      <c r="D51" s="4">
        <f>(71.7+63.5)/2</f>
        <v>67.599999999999994</v>
      </c>
      <c r="E51" s="12">
        <f t="shared" ref="E51" si="63">J51*1.0079/10</f>
        <v>1.3723023929925069</v>
      </c>
      <c r="F51" s="8">
        <f>(0.26+0.32)/2</f>
        <v>0.29000000000000004</v>
      </c>
      <c r="G51" s="8">
        <v>10.4</v>
      </c>
      <c r="H51" s="4"/>
      <c r="I51" s="10">
        <f t="shared" si="53"/>
        <v>56.286427976686099</v>
      </c>
      <c r="J51" s="12">
        <f>(I51*10/12)*1.0079*Q51</f>
        <v>13.615461781848465</v>
      </c>
      <c r="K51" s="12">
        <f>(I51*10/12)*1.0079*P51</f>
        <v>7.9778096378018342</v>
      </c>
      <c r="L51" s="10">
        <f t="shared" ref="L51" si="64">I51+J51+K51</f>
        <v>77.879699396336406</v>
      </c>
      <c r="M51">
        <f t="shared" ref="M51" si="65">I51/$L51</f>
        <v>0.72273555769957054</v>
      </c>
      <c r="N51">
        <f t="shared" ref="N51" si="66">J51/$L51</f>
        <v>0.17482684046529537</v>
      </c>
      <c r="O51">
        <f t="shared" ref="O51" si="67">K51/$L51</f>
        <v>0.10243760183513399</v>
      </c>
      <c r="P51" s="4">
        <f>0.225*12/16</f>
        <v>0.16875000000000001</v>
      </c>
      <c r="Q51" s="15">
        <f>0.024*12</f>
        <v>0.28800000000000003</v>
      </c>
      <c r="R51" s="4">
        <v>500</v>
      </c>
      <c r="S51" s="4">
        <v>0.82761377179096041</v>
      </c>
      <c r="T51" s="18">
        <f t="shared" si="8"/>
        <v>82.761377179096044</v>
      </c>
      <c r="V51">
        <f t="shared" si="62"/>
        <v>0.82761377179096041</v>
      </c>
      <c r="X51" s="29">
        <f>T51</f>
        <v>82.761377179096044</v>
      </c>
    </row>
    <row r="52" spans="1:24" x14ac:dyDescent="0.3">
      <c r="A52" s="31" t="s">
        <v>170</v>
      </c>
      <c r="B52" s="16" t="s">
        <v>105</v>
      </c>
      <c r="C52" s="16" t="s">
        <v>97</v>
      </c>
      <c r="D52" s="41">
        <v>66.790000000000006</v>
      </c>
      <c r="E52" s="34">
        <v>0.13</v>
      </c>
      <c r="F52" s="4">
        <v>1.04</v>
      </c>
      <c r="G52" s="42">
        <v>3</v>
      </c>
      <c r="H52" s="43">
        <f>100-D52-E52-F52-G52</f>
        <v>29.039999999999992</v>
      </c>
      <c r="I52" s="10">
        <f t="shared" ref="I52" si="68">D52/12.01*10</f>
        <v>55.611990008326401</v>
      </c>
      <c r="J52" s="12">
        <f>(I52*10/12)*1.0079*Q52</f>
        <v>29.426945482930897</v>
      </c>
      <c r="K52" s="10">
        <f t="shared" ref="K52" si="69">H52/16*10</f>
        <v>18.149999999999995</v>
      </c>
      <c r="L52" s="10">
        <f t="shared" ref="L52" si="70">I52+J52+K52</f>
        <v>103.18893549125728</v>
      </c>
      <c r="M52">
        <f t="shared" ref="M52" si="71">I52/$L52</f>
        <v>0.53893365353146938</v>
      </c>
      <c r="N52">
        <f t="shared" ref="N52" si="72">J52/$L52</f>
        <v>0.28517539543204323</v>
      </c>
      <c r="O52">
        <f t="shared" ref="O52" si="73">K52/$L52</f>
        <v>0.17589095103648744</v>
      </c>
      <c r="P52" s="11">
        <f t="shared" si="60"/>
        <v>0.32636846833358274</v>
      </c>
      <c r="Q52">
        <v>0.63</v>
      </c>
      <c r="R52">
        <v>450</v>
      </c>
      <c r="S52" s="4">
        <v>0.28671187775097051</v>
      </c>
      <c r="T52" s="18">
        <f t="shared" si="8"/>
        <v>28.671187775097053</v>
      </c>
      <c r="V52">
        <f t="shared" si="62"/>
        <v>0.28671187775097051</v>
      </c>
    </row>
    <row r="53" spans="1:24" x14ac:dyDescent="0.3">
      <c r="A53" s="31" t="s">
        <v>171</v>
      </c>
      <c r="B53" s="16" t="s">
        <v>105</v>
      </c>
      <c r="C53" s="16" t="s">
        <v>97</v>
      </c>
      <c r="D53" s="41">
        <v>66.790000000000006</v>
      </c>
      <c r="E53" s="34">
        <v>0.13</v>
      </c>
      <c r="F53" s="4">
        <v>1.04</v>
      </c>
      <c r="G53" s="42">
        <v>3</v>
      </c>
      <c r="H53" s="43">
        <f t="shared" ref="H53:H54" si="74">100-D53-E53-F53-G53</f>
        <v>29.039999999999992</v>
      </c>
      <c r="I53" s="10">
        <f t="shared" ref="I53:I54" si="75">D53/12.01*10</f>
        <v>55.611990008326401</v>
      </c>
      <c r="J53" s="12">
        <f t="shared" ref="J53:J54" si="76">(I53*10/12)*1.0079*Q53</f>
        <v>29.426945482930897</v>
      </c>
      <c r="K53" s="10">
        <f t="shared" ref="K53:K55" si="77">H53/16*10</f>
        <v>18.149999999999995</v>
      </c>
      <c r="L53" s="10">
        <f t="shared" ref="L53:L54" si="78">I53+J53+K53</f>
        <v>103.18893549125728</v>
      </c>
      <c r="M53">
        <f t="shared" ref="M53:M54" si="79">I53/$L53</f>
        <v>0.53893365353146938</v>
      </c>
      <c r="N53">
        <f t="shared" ref="N53:N54" si="80">J53/$L53</f>
        <v>0.28517539543204323</v>
      </c>
      <c r="O53">
        <f t="shared" ref="O53:O54" si="81">K53/$L53</f>
        <v>0.17589095103648744</v>
      </c>
      <c r="P53" s="11">
        <f t="shared" ref="P53:P54" si="82">K53/I53</f>
        <v>0.32636846833358274</v>
      </c>
      <c r="Q53">
        <v>0.63</v>
      </c>
      <c r="R53">
        <v>450</v>
      </c>
      <c r="S53" s="4">
        <v>0.10201783935472256</v>
      </c>
      <c r="T53" s="18">
        <f t="shared" si="8"/>
        <v>10.201783935472255</v>
      </c>
      <c r="V53">
        <f t="shared" si="62"/>
        <v>0.10201783935472256</v>
      </c>
    </row>
    <row r="54" spans="1:24" x14ac:dyDescent="0.3">
      <c r="A54" s="31" t="s">
        <v>172</v>
      </c>
      <c r="B54" s="16" t="s">
        <v>105</v>
      </c>
      <c r="C54" s="16" t="s">
        <v>97</v>
      </c>
      <c r="D54" s="41">
        <v>66.790000000000006</v>
      </c>
      <c r="E54" s="34">
        <v>0.13</v>
      </c>
      <c r="F54" s="4">
        <v>1.04</v>
      </c>
      <c r="G54" s="42">
        <v>3</v>
      </c>
      <c r="H54" s="43">
        <f t="shared" si="74"/>
        <v>29.039999999999992</v>
      </c>
      <c r="I54" s="10">
        <f t="shared" si="75"/>
        <v>55.611990008326401</v>
      </c>
      <c r="J54" s="12">
        <f t="shared" si="76"/>
        <v>29.426945482930897</v>
      </c>
      <c r="K54" s="10">
        <f t="shared" si="77"/>
        <v>18.149999999999995</v>
      </c>
      <c r="L54" s="10">
        <f t="shared" si="78"/>
        <v>103.18893549125728</v>
      </c>
      <c r="M54">
        <f t="shared" si="79"/>
        <v>0.53893365353146938</v>
      </c>
      <c r="N54">
        <f t="shared" si="80"/>
        <v>0.28517539543204323</v>
      </c>
      <c r="O54">
        <f t="shared" si="81"/>
        <v>0.17589095103648744</v>
      </c>
      <c r="P54" s="11">
        <f t="shared" si="82"/>
        <v>0.32636846833358274</v>
      </c>
      <c r="Q54">
        <v>0.63</v>
      </c>
      <c r="R54">
        <v>450</v>
      </c>
      <c r="S54" s="4">
        <v>1.4040396978796187E-2</v>
      </c>
      <c r="T54" s="18">
        <f t="shared" si="8"/>
        <v>1.4040396978796186</v>
      </c>
      <c r="V54">
        <f t="shared" si="62"/>
        <v>1.4040396978796187E-2</v>
      </c>
    </row>
    <row r="55" spans="1:24" x14ac:dyDescent="0.3">
      <c r="A55" s="31" t="s">
        <v>173</v>
      </c>
      <c r="B55" s="4" t="s">
        <v>21</v>
      </c>
      <c r="C55" s="4" t="s">
        <v>22</v>
      </c>
      <c r="D55" s="4">
        <v>69.400000000000006</v>
      </c>
      <c r="E55" s="37">
        <f>J55*1.0079/10</f>
        <v>2.6211481258898912</v>
      </c>
      <c r="F55" s="34">
        <v>2.1</v>
      </c>
      <c r="G55" s="4">
        <v>3.7</v>
      </c>
      <c r="H55" s="22">
        <f>100-D55-E55-F55-G55</f>
        <v>22.178851874110102</v>
      </c>
      <c r="I55" s="23">
        <f>D55/12.01*10</f>
        <v>57.785179017485433</v>
      </c>
      <c r="J55" s="22">
        <f>(I55*10/12)*1.0079*Q55</f>
        <v>26.006033593510182</v>
      </c>
      <c r="K55" s="23">
        <f t="shared" si="77"/>
        <v>13.861782421318814</v>
      </c>
      <c r="L55" s="23">
        <f t="shared" ref="L55" si="83">I55+J55+K55</f>
        <v>97.652995032314436</v>
      </c>
      <c r="M55" s="8">
        <f t="shared" ref="M55" si="84">I55/$L55</f>
        <v>0.59173995634607712</v>
      </c>
      <c r="N55" s="8">
        <f t="shared" ref="N55" si="85">J55/$L55</f>
        <v>0.26631066036330481</v>
      </c>
      <c r="O55" s="8">
        <f t="shared" ref="O55" si="86">K55/$L55</f>
        <v>0.14194938329061796</v>
      </c>
      <c r="P55" s="24">
        <f t="shared" ref="P55" si="87">K55/I55</f>
        <v>0.23988473613838465</v>
      </c>
      <c r="Q55" s="35">
        <v>0.53582313005308302</v>
      </c>
      <c r="R55" s="4">
        <v>400</v>
      </c>
      <c r="S55" s="4">
        <v>0.79161212769008726</v>
      </c>
      <c r="T55" s="18">
        <f t="shared" si="8"/>
        <v>79.161212769008728</v>
      </c>
      <c r="U55">
        <f>$S55</f>
        <v>0.79161212769008726</v>
      </c>
    </row>
    <row r="56" spans="1:24" x14ac:dyDescent="0.3">
      <c r="A56" s="31" t="s">
        <v>174</v>
      </c>
      <c r="B56" s="4" t="s">
        <v>21</v>
      </c>
      <c r="C56" s="4" t="s">
        <v>23</v>
      </c>
      <c r="D56" s="4">
        <v>79.22</v>
      </c>
      <c r="E56" s="37">
        <f t="shared" ref="E56:E65" si="88">J56*1.0079/10</f>
        <v>2.0684047639718099</v>
      </c>
      <c r="F56" s="34">
        <v>2.2999999999999998</v>
      </c>
      <c r="G56" s="4">
        <v>5.5</v>
      </c>
      <c r="H56" s="22">
        <f t="shared" ref="H56:H65" si="89">100-D56-E56-F56-G56</f>
        <v>10.911595236028191</v>
      </c>
      <c r="I56" s="23">
        <f t="shared" ref="I56:I65" si="90">D56/12.01*10</f>
        <v>65.961698584512902</v>
      </c>
      <c r="J56" s="22">
        <f t="shared" ref="J56:J65" si="91">(I56*10/12)*1.0079*Q56</f>
        <v>20.521924436668417</v>
      </c>
      <c r="K56" s="23">
        <f t="shared" ref="K56:K65" si="92">H56/16*10</f>
        <v>6.8197470225176193</v>
      </c>
      <c r="L56" s="23">
        <f t="shared" ref="L56:L65" si="93">I56+J56+K56</f>
        <v>93.303370043698934</v>
      </c>
      <c r="M56" s="8">
        <f t="shared" ref="M56:M65" si="94">I56/$L56</f>
        <v>0.7069594437330563</v>
      </c>
      <c r="N56" s="8">
        <f t="shared" ref="N56:N65" si="95">J56/$L56</f>
        <v>0.21994837300149939</v>
      </c>
      <c r="O56" s="8">
        <f t="shared" ref="O56:O65" si="96">K56/$L56</f>
        <v>7.3092183265444421E-2</v>
      </c>
      <c r="P56" s="24">
        <f t="shared" ref="P56:P70" si="97">K56/I56</f>
        <v>0.10338949979858195</v>
      </c>
      <c r="Q56" s="35">
        <v>0.37041627013954725</v>
      </c>
      <c r="R56" s="4">
        <v>550</v>
      </c>
      <c r="S56" s="4">
        <v>0.93600636923835867</v>
      </c>
      <c r="T56" s="18">
        <f t="shared" si="8"/>
        <v>93.600636923835864</v>
      </c>
      <c r="V56">
        <f>$S56</f>
        <v>0.93600636923835867</v>
      </c>
      <c r="X56" s="29">
        <f>T56</f>
        <v>93.600636923835864</v>
      </c>
    </row>
    <row r="57" spans="1:24" x14ac:dyDescent="0.3">
      <c r="A57" s="31" t="s">
        <v>175</v>
      </c>
      <c r="B57" s="4" t="s">
        <v>21</v>
      </c>
      <c r="C57" s="4" t="s">
        <v>22</v>
      </c>
      <c r="D57" s="4">
        <v>69.739999999999995</v>
      </c>
      <c r="E57" s="37">
        <f t="shared" si="88"/>
        <v>2.8571338701636746</v>
      </c>
      <c r="F57" s="34">
        <v>2.1</v>
      </c>
      <c r="G57" s="4">
        <v>3.5</v>
      </c>
      <c r="H57" s="22">
        <f t="shared" si="89"/>
        <v>21.802866129836328</v>
      </c>
      <c r="I57" s="23">
        <f t="shared" si="90"/>
        <v>58.068276436303073</v>
      </c>
      <c r="J57" s="22">
        <f t="shared" si="91"/>
        <v>28.347394286771255</v>
      </c>
      <c r="K57" s="23">
        <f t="shared" si="92"/>
        <v>13.626791331147706</v>
      </c>
      <c r="L57" s="23">
        <f t="shared" si="93"/>
        <v>100.04246205422203</v>
      </c>
      <c r="M57" s="8">
        <f t="shared" si="94"/>
        <v>0.58043629918694561</v>
      </c>
      <c r="N57" s="8">
        <f t="shared" si="95"/>
        <v>0.28335362509778345</v>
      </c>
      <c r="O57" s="8">
        <f t="shared" si="96"/>
        <v>0.13621007571527097</v>
      </c>
      <c r="P57" s="24">
        <f t="shared" si="97"/>
        <v>0.23466843115440775</v>
      </c>
      <c r="Q57" s="35">
        <v>0.58121660001694586</v>
      </c>
      <c r="R57" s="4">
        <v>400</v>
      </c>
      <c r="S57" s="4">
        <v>0.77627806488582796</v>
      </c>
      <c r="T57" s="18">
        <f t="shared" si="8"/>
        <v>77.627806488582792</v>
      </c>
      <c r="U57">
        <f>$S57</f>
        <v>0.77627806488582796</v>
      </c>
    </row>
    <row r="58" spans="1:24" x14ac:dyDescent="0.3">
      <c r="A58" s="31" t="s">
        <v>176</v>
      </c>
      <c r="B58" s="4" t="s">
        <v>21</v>
      </c>
      <c r="C58" s="4" t="s">
        <v>23</v>
      </c>
      <c r="D58" s="4">
        <v>83.61</v>
      </c>
      <c r="E58" s="37">
        <f t="shared" si="88"/>
        <v>2.2143419092422083</v>
      </c>
      <c r="F58" s="34">
        <v>2.6</v>
      </c>
      <c r="G58" s="4">
        <v>3.3</v>
      </c>
      <c r="H58" s="22">
        <f t="shared" si="89"/>
        <v>8.2756580907577941</v>
      </c>
      <c r="I58" s="23">
        <f t="shared" si="90"/>
        <v>69.616985845129051</v>
      </c>
      <c r="J58" s="22">
        <f t="shared" si="91"/>
        <v>21.969857220381073</v>
      </c>
      <c r="K58" s="23">
        <f t="shared" si="92"/>
        <v>5.1722863067236213</v>
      </c>
      <c r="L58" s="23">
        <f t="shared" si="93"/>
        <v>96.759129372233744</v>
      </c>
      <c r="M58" s="8">
        <f t="shared" si="94"/>
        <v>0.71948751809569844</v>
      </c>
      <c r="N58" s="8">
        <f t="shared" si="95"/>
        <v>0.22705720238410496</v>
      </c>
      <c r="O58" s="8">
        <f t="shared" si="96"/>
        <v>5.3455279520196616E-2</v>
      </c>
      <c r="P58" s="24">
        <f t="shared" si="97"/>
        <v>7.4296326448691191E-2</v>
      </c>
      <c r="Q58" s="35">
        <v>0.3757299539832335</v>
      </c>
      <c r="R58" s="4">
        <v>550</v>
      </c>
      <c r="S58" s="4">
        <v>0.93853659985342863</v>
      </c>
      <c r="T58" s="18">
        <f t="shared" si="8"/>
        <v>93.853659985342858</v>
      </c>
      <c r="V58">
        <f>$S58</f>
        <v>0.93853659985342863</v>
      </c>
      <c r="X58" s="29">
        <f>T58</f>
        <v>93.853659985342858</v>
      </c>
    </row>
    <row r="59" spans="1:24" x14ac:dyDescent="0.3">
      <c r="A59" s="31" t="s">
        <v>177</v>
      </c>
      <c r="B59" s="4" t="s">
        <v>21</v>
      </c>
      <c r="C59" s="4" t="s">
        <v>24</v>
      </c>
      <c r="D59" s="4">
        <v>66.28</v>
      </c>
      <c r="E59" s="37">
        <f t="shared" si="88"/>
        <v>3.094367932598947</v>
      </c>
      <c r="F59" s="4">
        <v>1.64</v>
      </c>
      <c r="G59" s="4">
        <v>4</v>
      </c>
      <c r="H59" s="22">
        <f t="shared" si="89"/>
        <v>24.985632067401053</v>
      </c>
      <c r="I59" s="23">
        <f t="shared" si="90"/>
        <v>55.187343880099917</v>
      </c>
      <c r="J59" s="22">
        <f t="shared" si="91"/>
        <v>30.701140317481368</v>
      </c>
      <c r="K59" s="23">
        <f t="shared" si="92"/>
        <v>15.616020042125658</v>
      </c>
      <c r="L59" s="23">
        <f t="shared" si="93"/>
        <v>101.50450423970693</v>
      </c>
      <c r="M59" s="8">
        <f t="shared" si="94"/>
        <v>0.54369354634522227</v>
      </c>
      <c r="N59" s="8">
        <f t="shared" si="95"/>
        <v>0.30246086661316429</v>
      </c>
      <c r="O59" s="8">
        <f t="shared" si="96"/>
        <v>0.1538455870416135</v>
      </c>
      <c r="P59" s="24">
        <f t="shared" si="97"/>
        <v>0.28296379104696612</v>
      </c>
      <c r="Q59" s="35">
        <v>0.66233669259611527</v>
      </c>
      <c r="R59" s="4">
        <v>400</v>
      </c>
      <c r="S59" s="4">
        <v>0.73678523184772116</v>
      </c>
      <c r="T59" s="18">
        <f t="shared" si="8"/>
        <v>73.678523184772118</v>
      </c>
      <c r="U59">
        <f>$S59</f>
        <v>0.73678523184772116</v>
      </c>
    </row>
    <row r="60" spans="1:24" x14ac:dyDescent="0.3">
      <c r="A60" s="31" t="s">
        <v>178</v>
      </c>
      <c r="B60" s="4" t="s">
        <v>21</v>
      </c>
      <c r="C60" s="4" t="s">
        <v>25</v>
      </c>
      <c r="D60" s="4">
        <v>71.97999999999999</v>
      </c>
      <c r="E60" s="37">
        <f t="shared" si="88"/>
        <v>2.4915079887711342</v>
      </c>
      <c r="F60" s="4">
        <v>1.7</v>
      </c>
      <c r="G60" s="4">
        <v>9.1999999999999993</v>
      </c>
      <c r="H60" s="22">
        <f t="shared" si="89"/>
        <v>14.628492011228879</v>
      </c>
      <c r="I60" s="23">
        <f t="shared" si="90"/>
        <v>59.933388842631132</v>
      </c>
      <c r="J60" s="22">
        <f t="shared" si="91"/>
        <v>24.719793518911938</v>
      </c>
      <c r="K60" s="23">
        <f t="shared" si="92"/>
        <v>9.1428075070180483</v>
      </c>
      <c r="L60" s="23">
        <f t="shared" si="93"/>
        <v>93.795989868561122</v>
      </c>
      <c r="M60" s="8">
        <f t="shared" si="94"/>
        <v>0.63897602580470048</v>
      </c>
      <c r="N60" s="8">
        <f t="shared" si="95"/>
        <v>0.2635485115467352</v>
      </c>
      <c r="O60" s="8">
        <f t="shared" si="96"/>
        <v>9.747546264856434E-2</v>
      </c>
      <c r="P60" s="24">
        <f t="shared" si="97"/>
        <v>0.15254948341106805</v>
      </c>
      <c r="Q60" s="35">
        <v>0.49106593090268857</v>
      </c>
      <c r="R60" s="4">
        <v>550</v>
      </c>
      <c r="S60" s="4">
        <v>0.86576497932365892</v>
      </c>
      <c r="T60" s="18">
        <f t="shared" si="8"/>
        <v>86.576497932365896</v>
      </c>
      <c r="V60">
        <f>$S60</f>
        <v>0.86576497932365892</v>
      </c>
      <c r="X60" s="29">
        <f>T60</f>
        <v>86.576497932365896</v>
      </c>
    </row>
    <row r="61" spans="1:24" x14ac:dyDescent="0.3">
      <c r="A61" s="31" t="s">
        <v>179</v>
      </c>
      <c r="B61" s="4" t="s">
        <v>21</v>
      </c>
      <c r="C61" s="4" t="s">
        <v>26</v>
      </c>
      <c r="D61" s="4">
        <v>31.589999999999996</v>
      </c>
      <c r="E61" s="37">
        <f t="shared" si="88"/>
        <v>1.454613205538597</v>
      </c>
      <c r="F61" s="34">
        <v>2.1</v>
      </c>
      <c r="G61" s="4">
        <v>47.5</v>
      </c>
      <c r="H61" s="22">
        <f t="shared" si="89"/>
        <v>17.35538679446141</v>
      </c>
      <c r="I61" s="23">
        <f t="shared" si="90"/>
        <v>26.303080766028305</v>
      </c>
      <c r="J61" s="22">
        <f t="shared" si="91"/>
        <v>14.432118320652812</v>
      </c>
      <c r="K61" s="23">
        <f t="shared" si="92"/>
        <v>10.847116746538381</v>
      </c>
      <c r="L61" s="23">
        <f t="shared" si="93"/>
        <v>51.582315833219504</v>
      </c>
      <c r="M61" s="8">
        <f t="shared" si="94"/>
        <v>0.50992438670403528</v>
      </c>
      <c r="N61" s="8">
        <f t="shared" si="95"/>
        <v>0.27978810349104932</v>
      </c>
      <c r="O61" s="8">
        <f t="shared" si="96"/>
        <v>0.21028750980491523</v>
      </c>
      <c r="P61" s="24">
        <f t="shared" si="97"/>
        <v>0.41238959204155107</v>
      </c>
      <c r="Q61" s="35">
        <v>0.65326179980072063</v>
      </c>
      <c r="R61" s="4">
        <v>550</v>
      </c>
      <c r="S61" s="4">
        <v>0.42803190521945644</v>
      </c>
      <c r="T61" s="18">
        <f t="shared" si="8"/>
        <v>42.803190521945645</v>
      </c>
      <c r="V61">
        <f>$S61</f>
        <v>0.42803190521945644</v>
      </c>
    </row>
    <row r="62" spans="1:24" x14ac:dyDescent="0.3">
      <c r="A62" s="31" t="s">
        <v>180</v>
      </c>
      <c r="B62" s="4" t="s">
        <v>21</v>
      </c>
      <c r="C62" s="4" t="s">
        <v>27</v>
      </c>
      <c r="D62" s="4">
        <v>43.11</v>
      </c>
      <c r="E62" s="37">
        <f t="shared" si="88"/>
        <v>2.7642079891577902</v>
      </c>
      <c r="F62" s="4">
        <v>5.18</v>
      </c>
      <c r="G62" s="4">
        <v>34.6</v>
      </c>
      <c r="H62" s="22">
        <f t="shared" si="89"/>
        <v>14.34579201084221</v>
      </c>
      <c r="I62" s="23">
        <f t="shared" si="90"/>
        <v>35.895087427144048</v>
      </c>
      <c r="J62" s="22">
        <f t="shared" si="91"/>
        <v>27.425419080839273</v>
      </c>
      <c r="K62" s="23">
        <f t="shared" si="92"/>
        <v>8.9661200067763822</v>
      </c>
      <c r="L62" s="23">
        <f t="shared" si="93"/>
        <v>72.286626514759703</v>
      </c>
      <c r="M62" s="8">
        <f t="shared" si="94"/>
        <v>0.49656608916194034</v>
      </c>
      <c r="N62" s="8">
        <f t="shared" si="95"/>
        <v>0.37939824284426205</v>
      </c>
      <c r="O62" s="8">
        <f t="shared" si="96"/>
        <v>0.12403566799379762</v>
      </c>
      <c r="P62" s="24">
        <f t="shared" si="97"/>
        <v>0.24978682737505067</v>
      </c>
      <c r="Q62" s="35">
        <v>0.90966619975231056</v>
      </c>
      <c r="R62" s="4">
        <v>400</v>
      </c>
      <c r="S62" s="4">
        <v>0.51470315012318335</v>
      </c>
      <c r="T62" s="18">
        <f t="shared" si="8"/>
        <v>51.470315012318338</v>
      </c>
      <c r="U62">
        <f>$S62</f>
        <v>0.51470315012318335</v>
      </c>
    </row>
    <row r="63" spans="1:24" x14ac:dyDescent="0.3">
      <c r="A63" s="31" t="s">
        <v>181</v>
      </c>
      <c r="B63" s="4" t="s">
        <v>21</v>
      </c>
      <c r="C63" s="4" t="s">
        <v>28</v>
      </c>
      <c r="D63" s="4">
        <v>41.32</v>
      </c>
      <c r="E63" s="37">
        <f t="shared" si="88"/>
        <v>1.5984426467806467</v>
      </c>
      <c r="F63" s="4">
        <v>3.79</v>
      </c>
      <c r="G63" s="4">
        <v>44.4</v>
      </c>
      <c r="H63" s="22">
        <f t="shared" si="89"/>
        <v>8.8915573532193548</v>
      </c>
      <c r="I63" s="23">
        <f t="shared" si="90"/>
        <v>34.404662781015823</v>
      </c>
      <c r="J63" s="22">
        <f t="shared" si="91"/>
        <v>15.859139267592486</v>
      </c>
      <c r="K63" s="23">
        <f t="shared" si="92"/>
        <v>5.5572233457620968</v>
      </c>
      <c r="L63" s="23">
        <f t="shared" si="93"/>
        <v>55.821025394370409</v>
      </c>
      <c r="M63" s="8">
        <f t="shared" si="94"/>
        <v>0.61633878163201128</v>
      </c>
      <c r="N63" s="8">
        <f t="shared" si="95"/>
        <v>0.28410691411612604</v>
      </c>
      <c r="O63" s="8">
        <f t="shared" si="96"/>
        <v>9.9554304251862541E-2</v>
      </c>
      <c r="P63" s="24">
        <f t="shared" si="97"/>
        <v>0.16152529618248493</v>
      </c>
      <c r="Q63" s="35">
        <v>0.54881517119437684</v>
      </c>
      <c r="R63" s="4">
        <v>550</v>
      </c>
      <c r="S63" s="4">
        <v>0.77039126677248859</v>
      </c>
      <c r="T63" s="18">
        <f t="shared" si="8"/>
        <v>77.039126677248859</v>
      </c>
      <c r="V63">
        <f>$S63</f>
        <v>0.77039126677248859</v>
      </c>
    </row>
    <row r="64" spans="1:24" x14ac:dyDescent="0.3">
      <c r="A64" s="31" t="s">
        <v>182</v>
      </c>
      <c r="B64" s="4" t="s">
        <v>21</v>
      </c>
      <c r="C64" s="4" t="s">
        <v>29</v>
      </c>
      <c r="D64" s="4">
        <v>17.5</v>
      </c>
      <c r="E64" s="37">
        <f t="shared" si="88"/>
        <v>1.3454272565774947</v>
      </c>
      <c r="F64" s="4">
        <v>1.35</v>
      </c>
      <c r="G64" s="4">
        <v>70.400000000000006</v>
      </c>
      <c r="H64" s="22">
        <f t="shared" si="89"/>
        <v>9.4045727434225057</v>
      </c>
      <c r="I64" s="23">
        <f t="shared" si="90"/>
        <v>14.571190674437968</v>
      </c>
      <c r="J64" s="22">
        <f t="shared" si="91"/>
        <v>13.348816912168814</v>
      </c>
      <c r="K64" s="23">
        <f t="shared" si="92"/>
        <v>5.8778579646390661</v>
      </c>
      <c r="L64" s="23">
        <f t="shared" si="93"/>
        <v>33.797865551245849</v>
      </c>
      <c r="M64" s="8">
        <f t="shared" si="94"/>
        <v>0.43112754124500768</v>
      </c>
      <c r="N64" s="8">
        <f t="shared" si="95"/>
        <v>0.39496035310066357</v>
      </c>
      <c r="O64" s="8">
        <f t="shared" si="96"/>
        <v>0.17391210565432874</v>
      </c>
      <c r="P64" s="24">
        <f t="shared" si="97"/>
        <v>0.40338899517322963</v>
      </c>
      <c r="Q64" s="35">
        <v>1.0907156284675461</v>
      </c>
      <c r="R64" s="4">
        <v>400</v>
      </c>
      <c r="S64" s="4">
        <v>0.40046349588131214</v>
      </c>
      <c r="T64" s="18">
        <f t="shared" si="8"/>
        <v>40.046349588131214</v>
      </c>
      <c r="U64">
        <f>$S64</f>
        <v>0.40046349588131214</v>
      </c>
    </row>
    <row r="65" spans="1:24" x14ac:dyDescent="0.3">
      <c r="A65" s="31" t="s">
        <v>183</v>
      </c>
      <c r="B65" s="4" t="s">
        <v>21</v>
      </c>
      <c r="C65" s="4" t="s">
        <v>30</v>
      </c>
      <c r="D65" s="4">
        <v>16.53</v>
      </c>
      <c r="E65" s="37">
        <f t="shared" si="88"/>
        <v>0.83919608463580175</v>
      </c>
      <c r="F65" s="4">
        <v>1.1399999999999999</v>
      </c>
      <c r="G65" s="4">
        <v>75.7</v>
      </c>
      <c r="H65" s="22">
        <f t="shared" si="89"/>
        <v>5.7908039153641937</v>
      </c>
      <c r="I65" s="23">
        <f t="shared" si="90"/>
        <v>13.76353039134055</v>
      </c>
      <c r="J65" s="22">
        <f t="shared" si="91"/>
        <v>8.3261839928147801</v>
      </c>
      <c r="K65" s="23">
        <f t="shared" si="92"/>
        <v>3.6192524471026211</v>
      </c>
      <c r="L65" s="23">
        <f t="shared" si="93"/>
        <v>25.70896683125795</v>
      </c>
      <c r="M65" s="8">
        <f t="shared" si="94"/>
        <v>0.53535914071063806</v>
      </c>
      <c r="N65" s="8">
        <f t="shared" si="95"/>
        <v>0.32386303376032544</v>
      </c>
      <c r="O65" s="8">
        <f t="shared" si="96"/>
        <v>0.14077782552903662</v>
      </c>
      <c r="P65" s="24">
        <f t="shared" si="97"/>
        <v>0.26295960005869617</v>
      </c>
      <c r="Q65" s="35">
        <v>0.72024451302013914</v>
      </c>
      <c r="R65" s="4">
        <v>550</v>
      </c>
      <c r="S65" s="4">
        <v>0.81698896114163011</v>
      </c>
      <c r="T65" s="18">
        <f t="shared" si="8"/>
        <v>81.698896114163006</v>
      </c>
      <c r="V65">
        <f t="shared" ref="V65:V70" si="98">$S65</f>
        <v>0.81698896114163011</v>
      </c>
    </row>
    <row r="66" spans="1:24" x14ac:dyDescent="0.3">
      <c r="A66" s="31" t="s">
        <v>184</v>
      </c>
      <c r="B66" s="3" t="s">
        <v>98</v>
      </c>
      <c r="C66" s="3" t="s">
        <v>4</v>
      </c>
      <c r="D66" s="3">
        <v>61.02</v>
      </c>
      <c r="E66">
        <v>1.84</v>
      </c>
      <c r="F66" s="3">
        <v>2.29</v>
      </c>
      <c r="G66" s="3">
        <v>27.42</v>
      </c>
      <c r="H66" s="20">
        <v>34.85</v>
      </c>
      <c r="I66" s="10">
        <f t="shared" ref="I66" si="99">D66/12.01*10</f>
        <v>50.807660283097427</v>
      </c>
      <c r="J66" s="12">
        <f t="shared" ref="J66" si="100">(E66/1.0079*10)</f>
        <v>18.255779343188809</v>
      </c>
      <c r="K66" s="10">
        <f t="shared" ref="K66" si="101">H66/16*10</f>
        <v>21.78125</v>
      </c>
      <c r="L66" s="10">
        <f t="shared" ref="L66" si="102">I66+J66+K66</f>
        <v>90.84468962628624</v>
      </c>
      <c r="M66">
        <f t="shared" ref="M66" si="103">I66/$L66</f>
        <v>0.559280465287605</v>
      </c>
      <c r="N66">
        <f t="shared" ref="N66" si="104">J66/$L66</f>
        <v>0.20095593279352714</v>
      </c>
      <c r="O66">
        <f t="shared" ref="O66" si="105">K66/$L66</f>
        <v>0.23976360191886786</v>
      </c>
      <c r="P66" s="28">
        <f t="shared" si="97"/>
        <v>0.42870011881350373</v>
      </c>
      <c r="Q66" s="21">
        <f>J66/I66</f>
        <v>0.35931155344427657</v>
      </c>
      <c r="R66" s="3">
        <v>500</v>
      </c>
      <c r="S66" s="3">
        <v>0.91979434981737151</v>
      </c>
      <c r="T66" s="18">
        <f t="shared" si="8"/>
        <v>91.979434981737157</v>
      </c>
      <c r="V66">
        <f t="shared" si="98"/>
        <v>0.91979434981737151</v>
      </c>
      <c r="X66" s="29">
        <f>T66</f>
        <v>91.979434981737157</v>
      </c>
    </row>
    <row r="67" spans="1:24" x14ac:dyDescent="0.3">
      <c r="A67" s="31" t="s">
        <v>185</v>
      </c>
      <c r="B67" s="3" t="s">
        <v>98</v>
      </c>
      <c r="C67" s="3" t="s">
        <v>4</v>
      </c>
      <c r="D67" s="3">
        <v>61.02</v>
      </c>
      <c r="E67">
        <v>1.84</v>
      </c>
      <c r="F67" s="3">
        <v>2.29</v>
      </c>
      <c r="G67" s="3">
        <v>27.42</v>
      </c>
      <c r="H67" s="20">
        <v>34.85</v>
      </c>
      <c r="I67" s="10">
        <f t="shared" ref="I67:I71" si="106">D67/12.01*10</f>
        <v>50.807660283097427</v>
      </c>
      <c r="J67" s="12">
        <f t="shared" ref="J67:J70" si="107">(E67/1.0079*10)</f>
        <v>18.255779343188809</v>
      </c>
      <c r="K67" s="10">
        <f t="shared" ref="K67:K71" si="108">H67/16*10</f>
        <v>21.78125</v>
      </c>
      <c r="L67" s="10">
        <f t="shared" ref="L67:L70" si="109">I67+J67+K67</f>
        <v>90.84468962628624</v>
      </c>
      <c r="M67">
        <f t="shared" ref="M67:M70" si="110">I67/$L67</f>
        <v>0.559280465287605</v>
      </c>
      <c r="N67">
        <f t="shared" ref="N67:N70" si="111">J67/$L67</f>
        <v>0.20095593279352714</v>
      </c>
      <c r="O67">
        <f t="shared" ref="O67:O70" si="112">K67/$L67</f>
        <v>0.23976360191886786</v>
      </c>
      <c r="P67" s="28">
        <f t="shared" si="97"/>
        <v>0.42870011881350373</v>
      </c>
      <c r="Q67" s="21">
        <f t="shared" ref="Q67:Q70" si="113">J67/I67</f>
        <v>0.35931155344427657</v>
      </c>
      <c r="R67" s="3">
        <v>500</v>
      </c>
      <c r="S67" s="3">
        <v>0.9738444251368592</v>
      </c>
      <c r="T67" s="18">
        <f t="shared" si="8"/>
        <v>97.384442513685926</v>
      </c>
      <c r="V67">
        <f t="shared" si="98"/>
        <v>0.9738444251368592</v>
      </c>
      <c r="X67" s="29">
        <f>T67</f>
        <v>97.384442513685926</v>
      </c>
    </row>
    <row r="68" spans="1:24" x14ac:dyDescent="0.3">
      <c r="A68" s="31" t="s">
        <v>186</v>
      </c>
      <c r="B68" s="3" t="s">
        <v>98</v>
      </c>
      <c r="C68" s="3" t="s">
        <v>4</v>
      </c>
      <c r="D68" s="3">
        <v>61.02</v>
      </c>
      <c r="E68">
        <v>1.84</v>
      </c>
      <c r="F68" s="3">
        <v>2.29</v>
      </c>
      <c r="G68" s="3">
        <v>27.42</v>
      </c>
      <c r="H68" s="20">
        <v>34.85</v>
      </c>
      <c r="I68" s="10">
        <f t="shared" si="106"/>
        <v>50.807660283097427</v>
      </c>
      <c r="J68" s="12">
        <f t="shared" si="107"/>
        <v>18.255779343188809</v>
      </c>
      <c r="K68" s="10">
        <f t="shared" si="108"/>
        <v>21.78125</v>
      </c>
      <c r="L68" s="10">
        <f t="shared" si="109"/>
        <v>90.84468962628624</v>
      </c>
      <c r="M68">
        <f t="shared" si="110"/>
        <v>0.559280465287605</v>
      </c>
      <c r="N68">
        <f t="shared" si="111"/>
        <v>0.20095593279352714</v>
      </c>
      <c r="O68">
        <f t="shared" si="112"/>
        <v>0.23976360191886786</v>
      </c>
      <c r="P68" s="28">
        <f t="shared" si="97"/>
        <v>0.42870011881350373</v>
      </c>
      <c r="Q68" s="21">
        <f t="shared" si="113"/>
        <v>0.35931155344427657</v>
      </c>
      <c r="R68" s="3">
        <v>500</v>
      </c>
      <c r="S68" s="3">
        <v>0.96246532033819054</v>
      </c>
      <c r="T68" s="18">
        <f t="shared" si="8"/>
        <v>96.246532033819051</v>
      </c>
      <c r="V68">
        <f t="shared" si="98"/>
        <v>0.96246532033819054</v>
      </c>
      <c r="X68" s="29">
        <f>T68</f>
        <v>96.246532033819051</v>
      </c>
    </row>
    <row r="69" spans="1:24" x14ac:dyDescent="0.3">
      <c r="A69" s="31" t="s">
        <v>187</v>
      </c>
      <c r="B69" s="3" t="s">
        <v>98</v>
      </c>
      <c r="C69" s="3" t="s">
        <v>4</v>
      </c>
      <c r="D69" s="3">
        <v>61.02</v>
      </c>
      <c r="E69">
        <v>1.84</v>
      </c>
      <c r="F69" s="3">
        <v>2.29</v>
      </c>
      <c r="G69" s="3">
        <v>27.42</v>
      </c>
      <c r="H69" s="20">
        <v>34.85</v>
      </c>
      <c r="I69" s="10">
        <f t="shared" si="106"/>
        <v>50.807660283097427</v>
      </c>
      <c r="J69" s="12">
        <f t="shared" si="107"/>
        <v>18.255779343188809</v>
      </c>
      <c r="K69" s="10">
        <f t="shared" si="108"/>
        <v>21.78125</v>
      </c>
      <c r="L69" s="10">
        <f t="shared" si="109"/>
        <v>90.84468962628624</v>
      </c>
      <c r="M69">
        <f t="shared" si="110"/>
        <v>0.559280465287605</v>
      </c>
      <c r="N69">
        <f t="shared" si="111"/>
        <v>0.20095593279352714</v>
      </c>
      <c r="O69">
        <f t="shared" si="112"/>
        <v>0.23976360191886786</v>
      </c>
      <c r="P69" s="28">
        <f t="shared" si="97"/>
        <v>0.42870011881350373</v>
      </c>
      <c r="Q69" s="21">
        <f t="shared" si="113"/>
        <v>0.35931155344427657</v>
      </c>
      <c r="R69" s="3">
        <v>500</v>
      </c>
      <c r="S69" s="3">
        <v>0.92880740989881883</v>
      </c>
      <c r="T69" s="18">
        <f t="shared" ref="T69:T89" si="114">S69*100</f>
        <v>92.880740989881886</v>
      </c>
      <c r="V69">
        <f t="shared" si="98"/>
        <v>0.92880740989881883</v>
      </c>
      <c r="X69" s="29">
        <f>T69</f>
        <v>92.880740989881886</v>
      </c>
    </row>
    <row r="70" spans="1:24" x14ac:dyDescent="0.3">
      <c r="A70" s="31" t="s">
        <v>188</v>
      </c>
      <c r="B70" s="3" t="s">
        <v>98</v>
      </c>
      <c r="C70" s="3" t="s">
        <v>4</v>
      </c>
      <c r="D70" s="3">
        <v>61.02</v>
      </c>
      <c r="E70">
        <v>1.84</v>
      </c>
      <c r="F70" s="3">
        <v>2.29</v>
      </c>
      <c r="G70" s="3">
        <v>27.42</v>
      </c>
      <c r="H70" s="20">
        <v>34.85</v>
      </c>
      <c r="I70" s="10">
        <f t="shared" si="106"/>
        <v>50.807660283097427</v>
      </c>
      <c r="J70" s="12">
        <f t="shared" si="107"/>
        <v>18.255779343188809</v>
      </c>
      <c r="K70" s="10">
        <f t="shared" si="108"/>
        <v>21.78125</v>
      </c>
      <c r="L70" s="10">
        <f t="shared" si="109"/>
        <v>90.84468962628624</v>
      </c>
      <c r="M70">
        <f t="shared" si="110"/>
        <v>0.559280465287605</v>
      </c>
      <c r="N70">
        <f t="shared" si="111"/>
        <v>0.20095593279352714</v>
      </c>
      <c r="O70">
        <f t="shared" si="112"/>
        <v>0.23976360191886786</v>
      </c>
      <c r="P70" s="28">
        <f t="shared" si="97"/>
        <v>0.42870011881350373</v>
      </c>
      <c r="Q70" s="21">
        <f t="shared" si="113"/>
        <v>0.35931155344427657</v>
      </c>
      <c r="R70" s="3">
        <v>500</v>
      </c>
      <c r="S70" s="3">
        <v>0.89102695213365413</v>
      </c>
      <c r="T70" s="18">
        <f t="shared" si="114"/>
        <v>89.102695213365408</v>
      </c>
      <c r="V70">
        <f t="shared" si="98"/>
        <v>0.89102695213365413</v>
      </c>
      <c r="X70" s="29">
        <f>T70</f>
        <v>89.102695213365408</v>
      </c>
    </row>
    <row r="71" spans="1:24" x14ac:dyDescent="0.3">
      <c r="A71" s="31" t="s">
        <v>189</v>
      </c>
      <c r="B71" s="4" t="s">
        <v>31</v>
      </c>
      <c r="C71" s="4" t="s">
        <v>32</v>
      </c>
      <c r="D71" s="4">
        <v>58.6</v>
      </c>
      <c r="E71" s="22">
        <f t="shared" ref="E71:E89" si="115">J71*1.0079/10</f>
        <v>3.8042397852585355</v>
      </c>
      <c r="F71" s="4"/>
      <c r="G71" s="25">
        <v>13.2</v>
      </c>
      <c r="H71" s="4">
        <v>35.4</v>
      </c>
      <c r="I71" s="27">
        <f t="shared" si="106"/>
        <v>48.792672772689428</v>
      </c>
      <c r="J71" s="22">
        <f t="shared" ref="J71" si="116">(I71*10/12)*1.0079*Q71</f>
        <v>37.744218526228153</v>
      </c>
      <c r="K71" s="23">
        <f t="shared" si="108"/>
        <v>22.125</v>
      </c>
      <c r="L71" s="23">
        <f t="shared" ref="L71" si="117">I71+J71+K71</f>
        <v>108.66189129891758</v>
      </c>
      <c r="M71" s="8">
        <f t="shared" ref="M71" si="118">I71/$L71</f>
        <v>0.44903205888866643</v>
      </c>
      <c r="N71" s="8">
        <f t="shared" ref="N71" si="119">J71/$L71</f>
        <v>0.34735469882810827</v>
      </c>
      <c r="O71" s="8">
        <f t="shared" ref="O71" si="120">K71/$L71</f>
        <v>0.20361324228322533</v>
      </c>
      <c r="P71" s="24">
        <f t="shared" ref="P71" si="121">K71/I71</f>
        <v>0.45344923208191124</v>
      </c>
      <c r="Q71" s="33">
        <v>0.92100000000000004</v>
      </c>
      <c r="R71" s="6">
        <v>400</v>
      </c>
      <c r="S71" s="6">
        <v>0.52130353102548743</v>
      </c>
      <c r="T71" s="18">
        <f t="shared" si="114"/>
        <v>52.130353102548746</v>
      </c>
      <c r="U71">
        <f>$S71</f>
        <v>0.52130353102548743</v>
      </c>
    </row>
    <row r="72" spans="1:24" x14ac:dyDescent="0.3">
      <c r="A72" s="31" t="s">
        <v>190</v>
      </c>
      <c r="B72" s="4" t="s">
        <v>31</v>
      </c>
      <c r="C72" s="4" t="s">
        <v>32</v>
      </c>
      <c r="D72" s="4">
        <v>55</v>
      </c>
      <c r="E72" s="22">
        <f>J72*1.0079/10</f>
        <v>2.4695211999965312</v>
      </c>
      <c r="F72" s="4"/>
      <c r="G72" s="25">
        <v>24.8</v>
      </c>
      <c r="H72" s="4">
        <v>40.6</v>
      </c>
      <c r="I72" s="27">
        <f t="shared" ref="I72:I89" si="122">D72/12.01*10</f>
        <v>45.79517069109076</v>
      </c>
      <c r="J72" s="22">
        <f>(I72*10/12)*1.0079*Q72</f>
        <v>24.501648973077994</v>
      </c>
      <c r="K72" s="23">
        <f t="shared" ref="K72:K89" si="123">H72/16*10</f>
        <v>25.375</v>
      </c>
      <c r="L72" s="23">
        <f t="shared" ref="L72:L89" si="124">I72+J72+K72</f>
        <v>95.671819664168751</v>
      </c>
      <c r="M72" s="8">
        <f t="shared" ref="M72:M89" si="125">I72/$L72</f>
        <v>0.47866938092996347</v>
      </c>
      <c r="N72" s="8">
        <f t="shared" ref="N72:N89" si="126">J72/$L72</f>
        <v>0.25610100298170052</v>
      </c>
      <c r="O72" s="8">
        <f t="shared" ref="O72:O89" si="127">K72/$L72</f>
        <v>0.26522961608833606</v>
      </c>
      <c r="P72" s="24">
        <f t="shared" ref="P72:P89" si="128">K72/I72</f>
        <v>0.55409772727272721</v>
      </c>
      <c r="Q72" s="32">
        <v>0.63700000000000001</v>
      </c>
      <c r="R72" s="4">
        <v>525</v>
      </c>
      <c r="S72" s="4">
        <v>0.76924469687268371</v>
      </c>
      <c r="T72" s="18">
        <f t="shared" si="114"/>
        <v>76.92446968726837</v>
      </c>
      <c r="V72">
        <f>$S72</f>
        <v>0.76924469687268371</v>
      </c>
    </row>
    <row r="73" spans="1:24" x14ac:dyDescent="0.3">
      <c r="A73" s="31" t="s">
        <v>191</v>
      </c>
      <c r="B73" s="4" t="s">
        <v>31</v>
      </c>
      <c r="C73" s="4" t="s">
        <v>32</v>
      </c>
      <c r="D73" s="4">
        <v>63.8</v>
      </c>
      <c r="E73" s="22">
        <f t="shared" si="115"/>
        <v>2.4231090893489795</v>
      </c>
      <c r="F73" s="4"/>
      <c r="G73" s="25">
        <v>15.9</v>
      </c>
      <c r="H73" s="4">
        <v>31.8</v>
      </c>
      <c r="I73" s="27">
        <f t="shared" si="122"/>
        <v>53.122398001665275</v>
      </c>
      <c r="J73" s="22">
        <f t="shared" ref="J73:J89" si="129">(I73*10/12)*1.0079*Q73</f>
        <v>24.0411656845816</v>
      </c>
      <c r="K73" s="23">
        <f t="shared" si="123"/>
        <v>19.875</v>
      </c>
      <c r="L73" s="23">
        <f t="shared" si="124"/>
        <v>97.038563686246874</v>
      </c>
      <c r="M73" s="8">
        <f t="shared" si="125"/>
        <v>0.54743594694399034</v>
      </c>
      <c r="N73" s="8">
        <f t="shared" si="126"/>
        <v>0.24774857305507417</v>
      </c>
      <c r="O73" s="8">
        <f t="shared" si="127"/>
        <v>0.20481548000093547</v>
      </c>
      <c r="P73" s="24">
        <f t="shared" si="128"/>
        <v>0.37413597178683389</v>
      </c>
      <c r="Q73" s="32">
        <v>0.53881744849884983</v>
      </c>
      <c r="R73" s="4">
        <v>650</v>
      </c>
      <c r="S73" s="4">
        <v>0.94698582211238314</v>
      </c>
      <c r="T73" s="18">
        <f t="shared" si="114"/>
        <v>94.698582211238318</v>
      </c>
      <c r="W73">
        <f>$S73</f>
        <v>0.94698582211238314</v>
      </c>
    </row>
    <row r="74" spans="1:24" x14ac:dyDescent="0.3">
      <c r="A74" s="31" t="s">
        <v>192</v>
      </c>
      <c r="B74" s="4" t="s">
        <v>31</v>
      </c>
      <c r="C74" s="4" t="s">
        <v>33</v>
      </c>
      <c r="D74" s="4">
        <v>69.599999999999994</v>
      </c>
      <c r="E74" s="22">
        <f t="shared" si="115"/>
        <v>3.5028221584446291</v>
      </c>
      <c r="F74" s="4"/>
      <c r="G74" s="25">
        <v>2.6</v>
      </c>
      <c r="H74" s="4">
        <v>46.9</v>
      </c>
      <c r="I74" s="27">
        <f t="shared" si="122"/>
        <v>57.951706910907575</v>
      </c>
      <c r="J74" s="22">
        <f t="shared" si="129"/>
        <v>34.753667610324726</v>
      </c>
      <c r="K74" s="23">
        <f t="shared" si="123"/>
        <v>29.3125</v>
      </c>
      <c r="L74" s="23">
        <f t="shared" si="124"/>
        <v>122.0178745212323</v>
      </c>
      <c r="M74" s="8">
        <f t="shared" si="125"/>
        <v>0.47494440579542641</v>
      </c>
      <c r="N74" s="8">
        <f t="shared" si="126"/>
        <v>0.28482439762772011</v>
      </c>
      <c r="O74" s="8">
        <f t="shared" si="127"/>
        <v>0.24023119657685349</v>
      </c>
      <c r="P74" s="24">
        <f t="shared" si="128"/>
        <v>0.50580908764367816</v>
      </c>
      <c r="Q74" s="32">
        <v>0.71399999999999997</v>
      </c>
      <c r="R74" s="6">
        <v>400</v>
      </c>
      <c r="S74" s="6">
        <v>0.64803151803406733</v>
      </c>
      <c r="T74" s="18">
        <f t="shared" si="114"/>
        <v>64.803151803406735</v>
      </c>
      <c r="U74">
        <f>$S74</f>
        <v>0.64803151803406733</v>
      </c>
    </row>
    <row r="75" spans="1:24" x14ac:dyDescent="0.3">
      <c r="A75" s="31" t="s">
        <v>193</v>
      </c>
      <c r="B75" s="4" t="s">
        <v>31</v>
      </c>
      <c r="C75" s="4" t="s">
        <v>33</v>
      </c>
      <c r="D75" s="4">
        <v>75.099999999999994</v>
      </c>
      <c r="E75" s="22">
        <f t="shared" si="115"/>
        <v>2.408584962594019</v>
      </c>
      <c r="F75" s="4"/>
      <c r="G75" s="25">
        <v>6.8</v>
      </c>
      <c r="H75" s="4">
        <v>25.9</v>
      </c>
      <c r="I75" s="27">
        <f t="shared" si="122"/>
        <v>62.531223980016648</v>
      </c>
      <c r="J75" s="22">
        <f t="shared" si="129"/>
        <v>23.897062829586456</v>
      </c>
      <c r="K75" s="23">
        <f t="shared" si="123"/>
        <v>16.1875</v>
      </c>
      <c r="L75" s="23">
        <f t="shared" si="124"/>
        <v>102.61578680960311</v>
      </c>
      <c r="M75" s="8">
        <f t="shared" si="125"/>
        <v>0.60937235803726042</v>
      </c>
      <c r="N75" s="8">
        <f t="shared" si="126"/>
        <v>0.23287900987326537</v>
      </c>
      <c r="O75" s="8">
        <f t="shared" si="127"/>
        <v>0.15774863208947421</v>
      </c>
      <c r="P75" s="24">
        <f t="shared" si="128"/>
        <v>0.25887067243675099</v>
      </c>
      <c r="Q75" s="32">
        <v>0.45500000000000002</v>
      </c>
      <c r="R75" s="6">
        <v>525</v>
      </c>
      <c r="S75" s="6">
        <v>0.81603152166540083</v>
      </c>
      <c r="T75" s="18">
        <f t="shared" si="114"/>
        <v>81.603152166540085</v>
      </c>
      <c r="V75">
        <f>$S75</f>
        <v>0.81603152166540083</v>
      </c>
      <c r="X75" s="29">
        <f>T75</f>
        <v>81.603152166540085</v>
      </c>
    </row>
    <row r="76" spans="1:24" x14ac:dyDescent="0.3">
      <c r="A76" s="31" t="s">
        <v>194</v>
      </c>
      <c r="B76" s="4" t="s">
        <v>31</v>
      </c>
      <c r="C76" s="4" t="s">
        <v>33</v>
      </c>
      <c r="D76" s="4">
        <v>78.8</v>
      </c>
      <c r="E76" s="22">
        <f t="shared" si="115"/>
        <v>2.3236135636140505</v>
      </c>
      <c r="F76" s="4"/>
      <c r="G76" s="25">
        <v>3.7</v>
      </c>
      <c r="H76" s="4">
        <v>18.2</v>
      </c>
      <c r="I76" s="27">
        <f t="shared" si="122"/>
        <v>65.611990008326387</v>
      </c>
      <c r="J76" s="22">
        <f t="shared" si="129"/>
        <v>23.054008965314519</v>
      </c>
      <c r="K76" s="23">
        <f t="shared" si="123"/>
        <v>11.375</v>
      </c>
      <c r="L76" s="23">
        <f t="shared" si="124"/>
        <v>100.04099897364091</v>
      </c>
      <c r="M76" s="8">
        <f t="shared" si="125"/>
        <v>0.65585100790141071</v>
      </c>
      <c r="N76" s="8">
        <f t="shared" si="126"/>
        <v>0.23044560931852406</v>
      </c>
      <c r="O76" s="8">
        <f t="shared" si="127"/>
        <v>0.11370338278006518</v>
      </c>
      <c r="P76" s="24">
        <f t="shared" si="128"/>
        <v>0.1733677030456853</v>
      </c>
      <c r="Q76" s="36">
        <v>0.41833774250440919</v>
      </c>
      <c r="R76" s="4">
        <v>650</v>
      </c>
      <c r="S76" s="4">
        <v>0.85666781596773245</v>
      </c>
      <c r="T76" s="18">
        <f t="shared" si="114"/>
        <v>85.666781596773248</v>
      </c>
      <c r="W76">
        <f>$S76</f>
        <v>0.85666781596773245</v>
      </c>
      <c r="X76" s="29">
        <f>T76</f>
        <v>85.666781596773248</v>
      </c>
    </row>
    <row r="77" spans="1:24" x14ac:dyDescent="0.3">
      <c r="A77" s="31" t="s">
        <v>195</v>
      </c>
      <c r="B77" s="4" t="s">
        <v>31</v>
      </c>
      <c r="C77" s="4" t="s">
        <v>33</v>
      </c>
      <c r="D77" s="4">
        <v>77.3</v>
      </c>
      <c r="E77" s="22">
        <f t="shared" si="115"/>
        <v>1.9096326851631116</v>
      </c>
      <c r="F77" s="4"/>
      <c r="G77" s="25">
        <v>7.4</v>
      </c>
      <c r="H77" s="4">
        <v>20.100000000000001</v>
      </c>
      <c r="I77" s="27">
        <f t="shared" si="122"/>
        <v>64.36303080766028</v>
      </c>
      <c r="J77" s="22">
        <f t="shared" si="129"/>
        <v>18.946648329825493</v>
      </c>
      <c r="K77" s="23">
        <f t="shared" si="123"/>
        <v>12.5625</v>
      </c>
      <c r="L77" s="23">
        <f t="shared" si="124"/>
        <v>95.872179137485773</v>
      </c>
      <c r="M77" s="8">
        <f t="shared" si="125"/>
        <v>0.6713421076552385</v>
      </c>
      <c r="N77" s="8">
        <f t="shared" si="126"/>
        <v>0.19762405006623451</v>
      </c>
      <c r="O77" s="8">
        <f t="shared" si="127"/>
        <v>0.13103384227852702</v>
      </c>
      <c r="P77" s="24">
        <f t="shared" si="128"/>
        <v>0.19518192108667529</v>
      </c>
      <c r="Q77" s="36">
        <v>0.3504771499583369</v>
      </c>
      <c r="R77" s="4">
        <v>650</v>
      </c>
      <c r="S77" s="4">
        <v>0.91182725822421229</v>
      </c>
      <c r="T77" s="18">
        <f t="shared" si="114"/>
        <v>91.182725822421233</v>
      </c>
      <c r="W77">
        <f>$S77</f>
        <v>0.91182725822421229</v>
      </c>
      <c r="X77" s="29">
        <f>T77</f>
        <v>91.182725822421233</v>
      </c>
    </row>
    <row r="78" spans="1:24" x14ac:dyDescent="0.3">
      <c r="A78" s="31" t="s">
        <v>196</v>
      </c>
      <c r="B78" s="4" t="s">
        <v>34</v>
      </c>
      <c r="C78" s="4" t="s">
        <v>35</v>
      </c>
      <c r="D78" s="4">
        <v>77.599999999999994</v>
      </c>
      <c r="E78" s="22">
        <f t="shared" si="115"/>
        <v>3.3912831161476547</v>
      </c>
      <c r="F78" s="4"/>
      <c r="G78" s="25">
        <v>0.4</v>
      </c>
      <c r="H78" s="4">
        <v>17.899999999999999</v>
      </c>
      <c r="I78" s="27">
        <f t="shared" si="122"/>
        <v>64.612822647793507</v>
      </c>
      <c r="J78" s="22">
        <f t="shared" si="129"/>
        <v>33.647019705800723</v>
      </c>
      <c r="K78" s="23">
        <f t="shared" si="123"/>
        <v>11.1875</v>
      </c>
      <c r="L78" s="23">
        <f t="shared" si="124"/>
        <v>109.44734235359422</v>
      </c>
      <c r="M78" s="8">
        <f t="shared" si="125"/>
        <v>0.59035533671568996</v>
      </c>
      <c r="N78" s="8">
        <f t="shared" si="126"/>
        <v>0.30742655766913435</v>
      </c>
      <c r="O78" s="8">
        <f t="shared" si="127"/>
        <v>0.10221810561517582</v>
      </c>
      <c r="P78" s="24">
        <f t="shared" si="128"/>
        <v>0.17314674613402062</v>
      </c>
      <c r="Q78" s="36">
        <v>0.62</v>
      </c>
      <c r="R78" s="4">
        <v>400</v>
      </c>
      <c r="S78" s="4">
        <v>0.64776183650270303</v>
      </c>
      <c r="T78" s="18">
        <f t="shared" si="114"/>
        <v>64.776183650270298</v>
      </c>
      <c r="U78">
        <f>$S78</f>
        <v>0.64776183650270303</v>
      </c>
    </row>
    <row r="79" spans="1:24" x14ac:dyDescent="0.3">
      <c r="A79" s="31" t="s">
        <v>197</v>
      </c>
      <c r="B79" s="4" t="s">
        <v>34</v>
      </c>
      <c r="C79" s="4" t="s">
        <v>35</v>
      </c>
      <c r="D79" s="4">
        <v>85.4</v>
      </c>
      <c r="E79" s="22">
        <f t="shared" si="115"/>
        <v>3.5515711483666395</v>
      </c>
      <c r="F79" s="4"/>
      <c r="G79" s="25">
        <v>1.3</v>
      </c>
      <c r="H79" s="4">
        <v>11.3</v>
      </c>
      <c r="I79" s="27">
        <f t="shared" si="122"/>
        <v>71.107410491257298</v>
      </c>
      <c r="J79" s="22">
        <f t="shared" si="129"/>
        <v>35.237336525117961</v>
      </c>
      <c r="K79" s="23">
        <f t="shared" si="123"/>
        <v>7.0625</v>
      </c>
      <c r="L79" s="23">
        <f t="shared" si="124"/>
        <v>113.40724701637527</v>
      </c>
      <c r="M79" s="8">
        <f t="shared" si="125"/>
        <v>0.62700940514841919</v>
      </c>
      <c r="N79" s="8">
        <f t="shared" si="126"/>
        <v>0.31071503322913674</v>
      </c>
      <c r="O79" s="8">
        <f t="shared" si="127"/>
        <v>6.2275561622443944E-2</v>
      </c>
      <c r="P79" s="24">
        <f t="shared" si="128"/>
        <v>9.9321574941451968E-2</v>
      </c>
      <c r="Q79" s="36">
        <v>0.59</v>
      </c>
      <c r="R79" s="4">
        <v>525</v>
      </c>
      <c r="S79" s="4">
        <v>0.571017870961257</v>
      </c>
      <c r="T79" s="18">
        <f t="shared" si="114"/>
        <v>57.101787096125697</v>
      </c>
      <c r="V79">
        <f>$S79</f>
        <v>0.571017870961257</v>
      </c>
    </row>
    <row r="80" spans="1:24" x14ac:dyDescent="0.3">
      <c r="A80" s="31" t="s">
        <v>198</v>
      </c>
      <c r="B80" s="4" t="s">
        <v>34</v>
      </c>
      <c r="C80" s="4" t="s">
        <v>35</v>
      </c>
      <c r="D80" s="4">
        <v>84.2</v>
      </c>
      <c r="E80" s="22">
        <f t="shared" si="115"/>
        <v>2.5520617829905641</v>
      </c>
      <c r="F80" s="4"/>
      <c r="G80" s="25">
        <v>1</v>
      </c>
      <c r="H80" s="4">
        <v>11.4</v>
      </c>
      <c r="I80" s="27">
        <f t="shared" si="122"/>
        <v>70.108243130724404</v>
      </c>
      <c r="J80" s="22">
        <f t="shared" si="129"/>
        <v>25.32058520677214</v>
      </c>
      <c r="K80" s="23">
        <f t="shared" si="123"/>
        <v>7.125</v>
      </c>
      <c r="L80" s="23">
        <f t="shared" si="124"/>
        <v>102.55382833749654</v>
      </c>
      <c r="M80" s="8">
        <f t="shared" si="125"/>
        <v>0.6836238516616242</v>
      </c>
      <c r="N80" s="8">
        <f t="shared" si="126"/>
        <v>0.24690043869882747</v>
      </c>
      <c r="O80" s="8">
        <f t="shared" si="127"/>
        <v>6.9475709639548397E-2</v>
      </c>
      <c r="P80" s="24">
        <f t="shared" si="128"/>
        <v>0.10162856294536816</v>
      </c>
      <c r="Q80" s="36">
        <v>0.43</v>
      </c>
      <c r="R80" s="4">
        <v>650</v>
      </c>
      <c r="S80" s="4">
        <v>0.79117854833726253</v>
      </c>
      <c r="T80" s="18">
        <f t="shared" si="114"/>
        <v>79.117854833726255</v>
      </c>
      <c r="W80">
        <f>$S80</f>
        <v>0.79117854833726253</v>
      </c>
      <c r="X80" s="29">
        <f>T80</f>
        <v>79.117854833726255</v>
      </c>
    </row>
    <row r="81" spans="1:24" x14ac:dyDescent="0.3">
      <c r="A81" s="31" t="s">
        <v>199</v>
      </c>
      <c r="B81" s="4" t="s">
        <v>34</v>
      </c>
      <c r="C81" s="4" t="s">
        <v>36</v>
      </c>
      <c r="D81" s="4">
        <v>78.599999999999994</v>
      </c>
      <c r="E81" s="22">
        <f t="shared" si="115"/>
        <v>3.1025672938218154</v>
      </c>
      <c r="F81" s="4"/>
      <c r="G81" s="25">
        <v>1.8</v>
      </c>
      <c r="H81" s="4">
        <v>17.600000000000001</v>
      </c>
      <c r="I81" s="27">
        <f t="shared" si="122"/>
        <v>65.445462114904245</v>
      </c>
      <c r="J81" s="22">
        <f>(I81*10/12)*1.0079*Q81</f>
        <v>30.782491257285596</v>
      </c>
      <c r="K81" s="23">
        <f t="shared" si="123"/>
        <v>11</v>
      </c>
      <c r="L81" s="23">
        <f t="shared" si="124"/>
        <v>107.22795337218984</v>
      </c>
      <c r="M81" s="8">
        <f t="shared" si="125"/>
        <v>0.61033956218246621</v>
      </c>
      <c r="N81" s="8">
        <f t="shared" si="126"/>
        <v>0.28707524753773023</v>
      </c>
      <c r="O81" s="8">
        <f t="shared" si="127"/>
        <v>0.10258519027980358</v>
      </c>
      <c r="P81" s="24">
        <f t="shared" si="128"/>
        <v>0.16807888040712468</v>
      </c>
      <c r="Q81" s="36">
        <v>0.56000000000000005</v>
      </c>
      <c r="R81" s="4">
        <v>400</v>
      </c>
      <c r="S81" s="4">
        <v>0.59333640966401757</v>
      </c>
      <c r="T81" s="18">
        <f t="shared" si="114"/>
        <v>59.333640966401759</v>
      </c>
      <c r="U81">
        <f>$S81</f>
        <v>0.59333640966401757</v>
      </c>
      <c r="V81" s="7"/>
      <c r="W81" s="7"/>
    </row>
    <row r="82" spans="1:24" x14ac:dyDescent="0.3">
      <c r="A82" s="31" t="s">
        <v>200</v>
      </c>
      <c r="B82" s="4" t="s">
        <v>34</v>
      </c>
      <c r="C82" s="4" t="s">
        <v>36</v>
      </c>
      <c r="D82" s="4">
        <v>83</v>
      </c>
      <c r="E82" s="22">
        <f t="shared" si="115"/>
        <v>2.5741947830419099</v>
      </c>
      <c r="F82" s="4"/>
      <c r="G82" s="25">
        <v>1.3</v>
      </c>
      <c r="H82" s="4">
        <v>13.8</v>
      </c>
      <c r="I82" s="27">
        <f t="shared" si="122"/>
        <v>69.109075770191509</v>
      </c>
      <c r="J82" s="22">
        <f t="shared" si="129"/>
        <v>25.540180405217875</v>
      </c>
      <c r="K82" s="23">
        <f t="shared" si="123"/>
        <v>8.625</v>
      </c>
      <c r="L82" s="23">
        <f t="shared" si="124"/>
        <v>103.27425617540939</v>
      </c>
      <c r="M82" s="8">
        <f t="shared" si="125"/>
        <v>0.66918008736670098</v>
      </c>
      <c r="N82" s="8">
        <f t="shared" si="126"/>
        <v>0.24730442368752922</v>
      </c>
      <c r="O82" s="8">
        <f t="shared" si="127"/>
        <v>8.3515488945769781E-2</v>
      </c>
      <c r="P82" s="24">
        <f t="shared" si="128"/>
        <v>0.12480271084337349</v>
      </c>
      <c r="Q82" s="36">
        <v>0.44</v>
      </c>
      <c r="R82" s="4">
        <v>650</v>
      </c>
      <c r="S82" s="4">
        <v>0.75570030875461214</v>
      </c>
      <c r="T82" s="18">
        <f t="shared" si="114"/>
        <v>75.570030875461214</v>
      </c>
      <c r="U82" s="7"/>
      <c r="V82" s="7"/>
      <c r="W82">
        <f>$S82</f>
        <v>0.75570030875461214</v>
      </c>
      <c r="X82" s="29">
        <f>T82</f>
        <v>75.570030875461214</v>
      </c>
    </row>
    <row r="83" spans="1:24" x14ac:dyDescent="0.3">
      <c r="A83" s="31" t="s">
        <v>201</v>
      </c>
      <c r="B83" s="4" t="s">
        <v>34</v>
      </c>
      <c r="C83" s="4" t="s">
        <v>37</v>
      </c>
      <c r="D83" s="4">
        <v>60.9</v>
      </c>
      <c r="E83" s="22">
        <f t="shared" si="115"/>
        <v>3.9063335345399666</v>
      </c>
      <c r="F83" s="4"/>
      <c r="G83" s="25">
        <v>2.7</v>
      </c>
      <c r="H83" s="4">
        <v>33.700000000000003</v>
      </c>
      <c r="I83" s="27">
        <f t="shared" si="122"/>
        <v>50.707743547044124</v>
      </c>
      <c r="J83" s="22">
        <f t="shared" si="129"/>
        <v>38.757153830141547</v>
      </c>
      <c r="K83" s="23">
        <f t="shared" si="123"/>
        <v>21.0625</v>
      </c>
      <c r="L83" s="23">
        <f t="shared" si="124"/>
        <v>110.52739737718568</v>
      </c>
      <c r="M83" s="8">
        <f t="shared" si="125"/>
        <v>0.45877985685303829</v>
      </c>
      <c r="N83" s="8">
        <f t="shared" si="126"/>
        <v>0.3506565317726511</v>
      </c>
      <c r="O83" s="8">
        <f t="shared" si="127"/>
        <v>0.19056361137431052</v>
      </c>
      <c r="P83" s="24">
        <f t="shared" si="128"/>
        <v>0.41537048440065688</v>
      </c>
      <c r="Q83" s="32">
        <v>0.91</v>
      </c>
      <c r="R83" s="4">
        <v>400</v>
      </c>
      <c r="S83" s="4">
        <v>0.50574958557416638</v>
      </c>
      <c r="T83" s="18">
        <f t="shared" si="114"/>
        <v>50.574958557416636</v>
      </c>
      <c r="U83">
        <f>$S83</f>
        <v>0.50574958557416638</v>
      </c>
      <c r="V83" s="7"/>
      <c r="W83" s="7"/>
    </row>
    <row r="84" spans="1:24" x14ac:dyDescent="0.3">
      <c r="A84" s="31" t="s">
        <v>202</v>
      </c>
      <c r="B84" s="4" t="s">
        <v>34</v>
      </c>
      <c r="C84" s="4" t="s">
        <v>37</v>
      </c>
      <c r="D84" s="4">
        <v>65.7</v>
      </c>
      <c r="E84" s="22">
        <f t="shared" si="115"/>
        <v>2.6859875794796002</v>
      </c>
      <c r="F84" s="4"/>
      <c r="G84" s="25">
        <v>8.6999999999999993</v>
      </c>
      <c r="H84" s="4">
        <v>30.2</v>
      </c>
      <c r="I84" s="27">
        <f t="shared" si="122"/>
        <v>54.704412989175694</v>
      </c>
      <c r="J84" s="22">
        <f t="shared" si="129"/>
        <v>26.649345961698586</v>
      </c>
      <c r="K84" s="23">
        <f t="shared" si="123"/>
        <v>18.875</v>
      </c>
      <c r="L84" s="23">
        <f t="shared" si="124"/>
        <v>100.22875895087428</v>
      </c>
      <c r="M84" s="8">
        <f t="shared" si="125"/>
        <v>0.54579557366352605</v>
      </c>
      <c r="N84" s="8">
        <f t="shared" si="126"/>
        <v>0.26588522336947612</v>
      </c>
      <c r="O84" s="8">
        <f t="shared" si="127"/>
        <v>0.18831920296699789</v>
      </c>
      <c r="P84" s="24">
        <f t="shared" si="128"/>
        <v>0.34503614916286146</v>
      </c>
      <c r="Q84" s="36">
        <v>0.57999999999999996</v>
      </c>
      <c r="R84" s="4">
        <v>525</v>
      </c>
      <c r="S84" s="4">
        <v>0.63523834720898809</v>
      </c>
      <c r="T84" s="18">
        <f t="shared" si="114"/>
        <v>63.523834720898812</v>
      </c>
      <c r="U84" s="7"/>
      <c r="V84">
        <f>$S84</f>
        <v>0.63523834720898809</v>
      </c>
      <c r="W84" s="7"/>
    </row>
    <row r="85" spans="1:24" x14ac:dyDescent="0.3">
      <c r="A85" s="31" t="s">
        <v>203</v>
      </c>
      <c r="B85" s="4" t="s">
        <v>34</v>
      </c>
      <c r="C85" s="4" t="s">
        <v>37</v>
      </c>
      <c r="D85" s="4">
        <v>72</v>
      </c>
      <c r="E85" s="22">
        <f t="shared" si="115"/>
        <v>2.5882922353039133</v>
      </c>
      <c r="F85" s="4"/>
      <c r="G85" s="25">
        <v>6.8</v>
      </c>
      <c r="H85" s="4">
        <v>24</v>
      </c>
      <c r="I85" s="27">
        <f t="shared" si="122"/>
        <v>59.950041631973356</v>
      </c>
      <c r="J85" s="22">
        <f t="shared" si="129"/>
        <v>25.680049958368027</v>
      </c>
      <c r="K85" s="23">
        <f t="shared" si="123"/>
        <v>15</v>
      </c>
      <c r="L85" s="23">
        <f t="shared" si="124"/>
        <v>100.63009159034138</v>
      </c>
      <c r="M85" s="8">
        <f t="shared" si="125"/>
        <v>0.59574666667328613</v>
      </c>
      <c r="N85" s="8">
        <f t="shared" si="126"/>
        <v>0.25519255276950215</v>
      </c>
      <c r="O85" s="8">
        <f t="shared" si="127"/>
        <v>0.14906078055721178</v>
      </c>
      <c r="P85" s="24">
        <f t="shared" si="128"/>
        <v>0.25020833333333331</v>
      </c>
      <c r="Q85" s="36">
        <v>0.51</v>
      </c>
      <c r="R85" s="4">
        <v>650</v>
      </c>
      <c r="S85" s="4">
        <v>0.72657351408180459</v>
      </c>
      <c r="T85" s="18">
        <f t="shared" si="114"/>
        <v>72.65735140818046</v>
      </c>
      <c r="U85" s="7"/>
      <c r="V85" s="7"/>
      <c r="W85">
        <f>$S85</f>
        <v>0.72657351408180459</v>
      </c>
    </row>
    <row r="86" spans="1:24" x14ac:dyDescent="0.3">
      <c r="A86" s="31" t="s">
        <v>204</v>
      </c>
      <c r="B86" s="4" t="s">
        <v>38</v>
      </c>
      <c r="C86" s="4" t="s">
        <v>39</v>
      </c>
      <c r="D86" s="4">
        <v>68.599999999999994</v>
      </c>
      <c r="E86" s="22">
        <f t="shared" si="115"/>
        <v>4.43399686603665</v>
      </c>
      <c r="F86" s="4"/>
      <c r="G86" s="26">
        <v>0.5</v>
      </c>
      <c r="H86" s="4">
        <v>25.9</v>
      </c>
      <c r="I86" s="27">
        <f t="shared" si="122"/>
        <v>57.11906744379683</v>
      </c>
      <c r="J86" s="22">
        <f t="shared" si="129"/>
        <v>43.992428475410755</v>
      </c>
      <c r="K86" s="23">
        <f t="shared" si="123"/>
        <v>16.1875</v>
      </c>
      <c r="L86" s="23">
        <f t="shared" si="124"/>
        <v>117.29899591920758</v>
      </c>
      <c r="M86" s="8">
        <f t="shared" si="125"/>
        <v>0.48695273984390214</v>
      </c>
      <c r="N86" s="8">
        <f t="shared" si="126"/>
        <v>0.37504522635224913</v>
      </c>
      <c r="O86" s="8">
        <f t="shared" si="127"/>
        <v>0.13800203380384873</v>
      </c>
      <c r="P86" s="24">
        <f t="shared" si="128"/>
        <v>0.28339923469387757</v>
      </c>
      <c r="Q86" s="32">
        <v>0.91698161663907596</v>
      </c>
      <c r="R86" s="4">
        <v>400</v>
      </c>
      <c r="S86" s="4">
        <v>0.73111812052888359</v>
      </c>
      <c r="T86" s="18">
        <f t="shared" si="114"/>
        <v>73.111812052888354</v>
      </c>
      <c r="U86">
        <f>$S86</f>
        <v>0.73111812052888359</v>
      </c>
      <c r="V86" s="7"/>
      <c r="W86" s="7"/>
    </row>
    <row r="87" spans="1:24" x14ac:dyDescent="0.3">
      <c r="A87" s="31" t="s">
        <v>205</v>
      </c>
      <c r="B87" s="4" t="s">
        <v>38</v>
      </c>
      <c r="C87" s="4" t="s">
        <v>40</v>
      </c>
      <c r="D87" s="4">
        <v>80.599999999999994</v>
      </c>
      <c r="E87" s="22">
        <f t="shared" si="115"/>
        <v>4.3026158255117766</v>
      </c>
      <c r="F87" s="4"/>
      <c r="G87" s="25">
        <v>1.2</v>
      </c>
      <c r="H87" s="4">
        <v>14</v>
      </c>
      <c r="I87" s="27">
        <f t="shared" si="122"/>
        <v>67.110741049125721</v>
      </c>
      <c r="J87" s="22">
        <f t="shared" si="129"/>
        <v>42.688915820138668</v>
      </c>
      <c r="K87" s="23">
        <f t="shared" si="123"/>
        <v>8.75</v>
      </c>
      <c r="L87" s="23">
        <f t="shared" si="124"/>
        <v>118.5496568692644</v>
      </c>
      <c r="M87" s="8">
        <f t="shared" si="125"/>
        <v>0.56609814672964343</v>
      </c>
      <c r="N87" s="8">
        <f t="shared" si="126"/>
        <v>0.36009312002662025</v>
      </c>
      <c r="O87" s="8">
        <f t="shared" si="127"/>
        <v>7.3808733243736241E-2</v>
      </c>
      <c r="P87" s="24">
        <f t="shared" si="128"/>
        <v>0.13038151364764269</v>
      </c>
      <c r="Q87" s="32">
        <v>0.75733301804065312</v>
      </c>
      <c r="R87" s="4">
        <v>525</v>
      </c>
      <c r="S87" s="4">
        <v>0.78381482276158065</v>
      </c>
      <c r="T87" s="18">
        <f t="shared" si="114"/>
        <v>78.381482276158067</v>
      </c>
      <c r="U87" s="7"/>
      <c r="V87">
        <f>$S87</f>
        <v>0.78381482276158065</v>
      </c>
      <c r="W87" s="7"/>
    </row>
    <row r="88" spans="1:24" x14ac:dyDescent="0.3">
      <c r="A88" s="31" t="s">
        <v>206</v>
      </c>
      <c r="B88" s="4" t="s">
        <v>38</v>
      </c>
      <c r="C88" s="4" t="s">
        <v>40</v>
      </c>
      <c r="D88" s="4">
        <v>83</v>
      </c>
      <c r="E88" s="22">
        <f t="shared" si="115"/>
        <v>3.8532101902758304</v>
      </c>
      <c r="F88" s="4"/>
      <c r="G88" s="25">
        <v>1.1000000000000001</v>
      </c>
      <c r="H88" s="4">
        <v>12.2</v>
      </c>
      <c r="I88" s="27">
        <f t="shared" si="122"/>
        <v>69.109075770191509</v>
      </c>
      <c r="J88" s="22">
        <f t="shared" si="129"/>
        <v>38.230084237283762</v>
      </c>
      <c r="K88" s="23">
        <f t="shared" si="123"/>
        <v>7.625</v>
      </c>
      <c r="L88" s="23">
        <f t="shared" si="124"/>
        <v>114.96416000747527</v>
      </c>
      <c r="M88" s="8">
        <f t="shared" si="125"/>
        <v>0.6011358302074129</v>
      </c>
      <c r="N88" s="8">
        <f t="shared" si="126"/>
        <v>0.33253915163471764</v>
      </c>
      <c r="O88" s="8">
        <f t="shared" si="127"/>
        <v>6.6325018157869398E-2</v>
      </c>
      <c r="P88" s="24">
        <f t="shared" si="128"/>
        <v>0.11033283132530119</v>
      </c>
      <c r="Q88" s="32">
        <v>0.65861856876188185</v>
      </c>
      <c r="R88" s="4">
        <v>650</v>
      </c>
      <c r="S88" s="4">
        <v>0.94375259139117484</v>
      </c>
      <c r="T88" s="18">
        <f t="shared" si="114"/>
        <v>94.375259139117489</v>
      </c>
      <c r="U88" s="7"/>
      <c r="V88" s="7"/>
      <c r="W88">
        <f>$S88</f>
        <v>0.94375259139117484</v>
      </c>
    </row>
    <row r="89" spans="1:24" x14ac:dyDescent="0.3">
      <c r="A89" s="31" t="s">
        <v>207</v>
      </c>
      <c r="B89" s="4" t="s">
        <v>38</v>
      </c>
      <c r="C89" s="4" t="s">
        <v>40</v>
      </c>
      <c r="D89" s="4">
        <v>82.5</v>
      </c>
      <c r="E89" s="22">
        <f t="shared" si="115"/>
        <v>2.4980500003524186</v>
      </c>
      <c r="F89" s="4"/>
      <c r="G89" s="25">
        <v>1.2</v>
      </c>
      <c r="H89" s="4">
        <v>14.2</v>
      </c>
      <c r="I89" s="27">
        <f t="shared" si="122"/>
        <v>68.692756036636126</v>
      </c>
      <c r="J89" s="22">
        <f t="shared" si="129"/>
        <v>24.784700866677433</v>
      </c>
      <c r="K89" s="23">
        <f t="shared" si="123"/>
        <v>8.875</v>
      </c>
      <c r="L89" s="23">
        <f t="shared" si="124"/>
        <v>102.35245690331357</v>
      </c>
      <c r="M89" s="8">
        <f t="shared" si="125"/>
        <v>0.67113929762845059</v>
      </c>
      <c r="N89" s="8">
        <f t="shared" si="126"/>
        <v>0.24215052199567719</v>
      </c>
      <c r="O89" s="8">
        <f t="shared" si="127"/>
        <v>8.6710180375872151E-2</v>
      </c>
      <c r="P89" s="24">
        <f t="shared" si="128"/>
        <v>0.12919848484848487</v>
      </c>
      <c r="Q89" s="36">
        <v>0.42957256929716481</v>
      </c>
      <c r="R89" s="4">
        <v>650</v>
      </c>
      <c r="S89" s="4">
        <v>0.87960583435665862</v>
      </c>
      <c r="T89" s="18">
        <f t="shared" si="114"/>
        <v>87.960583435665868</v>
      </c>
      <c r="U89" s="7"/>
      <c r="V89" s="7"/>
      <c r="W89">
        <f>$S89</f>
        <v>0.87960583435665862</v>
      </c>
      <c r="X89" s="29">
        <f>T89</f>
        <v>87.960583435665868</v>
      </c>
    </row>
    <row r="91" spans="1:24" x14ac:dyDescent="0.3">
      <c r="R91" s="1" t="s">
        <v>7</v>
      </c>
      <c r="S91" s="1">
        <f t="shared" ref="S91:X91" si="130">AVERAGE(S15:S89)</f>
        <v>0.68420798309696418</v>
      </c>
      <c r="T91" s="1">
        <f t="shared" si="130"/>
        <v>68.420798309696423</v>
      </c>
      <c r="U91" s="1">
        <f t="shared" si="130"/>
        <v>0.53509382687413132</v>
      </c>
      <c r="V91" s="1">
        <f t="shared" si="130"/>
        <v>0.73140379197250083</v>
      </c>
      <c r="W91" s="1">
        <f t="shared" si="130"/>
        <v>0.85153646165323016</v>
      </c>
      <c r="X91" s="1">
        <f t="shared" si="130"/>
        <v>81.720454009273737</v>
      </c>
    </row>
    <row r="92" spans="1:24" x14ac:dyDescent="0.3">
      <c r="R92" t="s">
        <v>8</v>
      </c>
      <c r="S92">
        <f t="shared" ref="S92:X92" si="131">STDEV(S15:S89)/SQRT(COUNT(S15:S89))</f>
        <v>2.7143350557033132E-2</v>
      </c>
      <c r="T92">
        <f t="shared" si="131"/>
        <v>2.7143350557033115</v>
      </c>
      <c r="U92">
        <f t="shared" si="131"/>
        <v>4.153454012188116E-2</v>
      </c>
      <c r="V92">
        <f t="shared" si="131"/>
        <v>3.4648952505203418E-2</v>
      </c>
      <c r="W92">
        <f t="shared" si="131"/>
        <v>3.003182234734493E-2</v>
      </c>
      <c r="X92">
        <f t="shared" si="131"/>
        <v>2.6850073051390169</v>
      </c>
    </row>
  </sheetData>
  <phoneticPr fontId="9" type="noConversion"/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2BFD-A754-4B9C-9760-755E9223BDDA}">
  <dimension ref="B1:P65"/>
  <sheetViews>
    <sheetView zoomScale="70" zoomScaleNormal="70" workbookViewId="0">
      <selection activeCell="P5" sqref="P5"/>
    </sheetView>
  </sheetViews>
  <sheetFormatPr defaultRowHeight="14.4" x14ac:dyDescent="0.3"/>
  <cols>
    <col min="6" max="6" width="8.88671875" customWidth="1"/>
  </cols>
  <sheetData>
    <row r="1" spans="2:16" x14ac:dyDescent="0.3">
      <c r="C1" t="s">
        <v>80</v>
      </c>
      <c r="D1" t="s">
        <v>81</v>
      </c>
      <c r="E1" t="s">
        <v>63</v>
      </c>
      <c r="F1" t="s">
        <v>83</v>
      </c>
      <c r="G1" t="s">
        <v>84</v>
      </c>
      <c r="H1" t="s">
        <v>86</v>
      </c>
      <c r="I1" t="s">
        <v>87</v>
      </c>
      <c r="J1" t="s">
        <v>84</v>
      </c>
      <c r="K1" t="s">
        <v>86</v>
      </c>
      <c r="L1" t="s">
        <v>87</v>
      </c>
      <c r="M1" t="s">
        <v>71</v>
      </c>
      <c r="N1" t="s">
        <v>65</v>
      </c>
      <c r="O1" t="s">
        <v>66</v>
      </c>
      <c r="P1" t="s">
        <v>67</v>
      </c>
    </row>
    <row r="2" spans="2:16" x14ac:dyDescent="0.3">
      <c r="C2" t="s">
        <v>65</v>
      </c>
      <c r="D2" t="s">
        <v>82</v>
      </c>
      <c r="E2" t="s">
        <v>70</v>
      </c>
      <c r="F2" t="s">
        <v>70</v>
      </c>
      <c r="G2" t="s">
        <v>85</v>
      </c>
      <c r="H2" t="s">
        <v>85</v>
      </c>
      <c r="I2" t="s">
        <v>85</v>
      </c>
      <c r="J2" t="s">
        <v>69</v>
      </c>
      <c r="K2" t="s">
        <v>69</v>
      </c>
      <c r="L2" t="s">
        <v>69</v>
      </c>
      <c r="M2" t="s">
        <v>69</v>
      </c>
      <c r="N2" t="s">
        <v>72</v>
      </c>
      <c r="O2" t="s">
        <v>72</v>
      </c>
      <c r="P2" t="s">
        <v>72</v>
      </c>
    </row>
    <row r="3" spans="2:16" x14ac:dyDescent="0.3">
      <c r="B3" t="s">
        <v>74</v>
      </c>
      <c r="C3">
        <v>60</v>
      </c>
      <c r="D3">
        <v>89.212207018054499</v>
      </c>
      <c r="E3">
        <v>1.58768499074799</v>
      </c>
      <c r="F3">
        <v>0.77291932610166003</v>
      </c>
      <c r="G3">
        <v>43.219054381429977</v>
      </c>
      <c r="H3">
        <v>5.7585618720206195</v>
      </c>
      <c r="I3">
        <v>44.502704262775495</v>
      </c>
      <c r="J3" s="10">
        <f>G3/12.01*10</f>
        <v>35.985890409183995</v>
      </c>
      <c r="K3" s="10">
        <f>H3/1.0079*10</f>
        <v>57.134258081363427</v>
      </c>
      <c r="L3" s="10">
        <f>I3/16*10</f>
        <v>27.814190164234684</v>
      </c>
      <c r="M3" s="10">
        <f>J3+K3+L3</f>
        <v>120.93433865478211</v>
      </c>
      <c r="N3">
        <f>J3/$M3</f>
        <v>0.29756552861225744</v>
      </c>
      <c r="O3">
        <f t="shared" ref="O3:P3" si="0">K3/$M3</f>
        <v>0.47244032354167231</v>
      </c>
      <c r="P3">
        <f t="shared" si="0"/>
        <v>0.22999414784607025</v>
      </c>
    </row>
    <row r="4" spans="2:16" x14ac:dyDescent="0.3">
      <c r="B4" t="s">
        <v>75</v>
      </c>
      <c r="C4">
        <v>60</v>
      </c>
      <c r="D4">
        <v>93.602314388556707</v>
      </c>
      <c r="E4">
        <v>1.5378134859894499</v>
      </c>
      <c r="F4">
        <v>0.731893127961457</v>
      </c>
      <c r="G4">
        <v>43.365480455659927</v>
      </c>
      <c r="H4">
        <v>5.5965741910430964</v>
      </c>
      <c r="I4">
        <v>42.283293437128222</v>
      </c>
      <c r="J4" s="10">
        <f t="shared" ref="J4:J10" si="1">G4/12.01*10</f>
        <v>36.107810537601935</v>
      </c>
      <c r="K4" s="10">
        <f t="shared" ref="K4:K10" si="2">H4/1.0079*10</f>
        <v>55.527077994276183</v>
      </c>
      <c r="L4" s="10">
        <f t="shared" ref="L4:L10" si="3">I4/16*10</f>
        <v>26.427058398205141</v>
      </c>
      <c r="M4" s="10">
        <f t="shared" ref="M4:M10" si="4">J4+K4+L4</f>
        <v>118.06194693008325</v>
      </c>
      <c r="N4">
        <f t="shared" ref="N4:N10" si="5">J4/$M4</f>
        <v>0.30583783747853255</v>
      </c>
      <c r="O4">
        <f t="shared" ref="O4:O10" si="6">K4/$M4</f>
        <v>0.47032155100033662</v>
      </c>
      <c r="P4">
        <f t="shared" ref="P4:P10" si="7">L4/$M4</f>
        <v>0.22384061152113091</v>
      </c>
    </row>
    <row r="5" spans="2:16" x14ac:dyDescent="0.3">
      <c r="B5" t="s">
        <v>76</v>
      </c>
      <c r="C5">
        <v>60</v>
      </c>
      <c r="D5">
        <v>85.703228778752504</v>
      </c>
      <c r="E5">
        <v>1.56612490052186</v>
      </c>
      <c r="F5">
        <v>0.74979037787819303</v>
      </c>
      <c r="G5">
        <v>43.219054381429977</v>
      </c>
      <c r="H5">
        <v>5.8527288802144053</v>
      </c>
      <c r="I5">
        <v>44.480986661927979</v>
      </c>
      <c r="J5" s="10">
        <f t="shared" si="1"/>
        <v>35.985890409183995</v>
      </c>
      <c r="K5" s="10">
        <f t="shared" si="2"/>
        <v>58.068547278642775</v>
      </c>
      <c r="L5" s="10">
        <f t="shared" si="3"/>
        <v>27.800616663704986</v>
      </c>
      <c r="M5" s="10">
        <f t="shared" si="4"/>
        <v>121.85505435153176</v>
      </c>
      <c r="N5">
        <f t="shared" si="5"/>
        <v>0.29531717498866011</v>
      </c>
      <c r="O5">
        <f t="shared" si="6"/>
        <v>0.47653786367469486</v>
      </c>
      <c r="P5">
        <f t="shared" si="7"/>
        <v>0.22814496133664497</v>
      </c>
    </row>
    <row r="6" spans="2:16" x14ac:dyDescent="0.3">
      <c r="B6" t="s">
        <v>77</v>
      </c>
      <c r="C6">
        <v>60</v>
      </c>
      <c r="D6">
        <v>84.615739306367601</v>
      </c>
      <c r="E6">
        <v>1.3623440048690101</v>
      </c>
      <c r="F6">
        <v>0.70111810658195095</v>
      </c>
      <c r="G6">
        <v>48.736589717776198</v>
      </c>
      <c r="H6">
        <v>5.5720673793712852</v>
      </c>
      <c r="I6">
        <v>45.522205501000727</v>
      </c>
      <c r="J6" s="10">
        <f t="shared" si="1"/>
        <v>40.580008091403997</v>
      </c>
      <c r="K6" s="10">
        <f t="shared" si="2"/>
        <v>55.28393074086005</v>
      </c>
      <c r="L6" s="10">
        <f t="shared" si="3"/>
        <v>28.451378438125452</v>
      </c>
      <c r="M6" s="10">
        <f t="shared" si="4"/>
        <v>124.3153172703895</v>
      </c>
      <c r="N6">
        <f t="shared" si="5"/>
        <v>0.32642806198323315</v>
      </c>
      <c r="O6">
        <f t="shared" si="6"/>
        <v>0.44470731326386648</v>
      </c>
      <c r="P6">
        <f t="shared" si="7"/>
        <v>0.2288646247529004</v>
      </c>
    </row>
    <row r="7" spans="2:16" x14ac:dyDescent="0.3">
      <c r="B7" t="s">
        <v>5</v>
      </c>
      <c r="C7">
        <v>60</v>
      </c>
      <c r="D7">
        <v>90.417921349534296</v>
      </c>
      <c r="E7">
        <v>1.5327247772532899</v>
      </c>
      <c r="F7">
        <v>0.74319490959163503</v>
      </c>
      <c r="G7">
        <v>45.461684744319534</v>
      </c>
      <c r="H7">
        <v>5.8476873108426766</v>
      </c>
      <c r="I7">
        <v>45.011680510824945</v>
      </c>
      <c r="J7" s="10">
        <f t="shared" si="1"/>
        <v>37.853192959466725</v>
      </c>
      <c r="K7" s="10">
        <f t="shared" si="2"/>
        <v>58.018526747124483</v>
      </c>
      <c r="L7" s="10">
        <f t="shared" si="3"/>
        <v>28.132300319265589</v>
      </c>
      <c r="M7" s="10">
        <f t="shared" si="4"/>
        <v>124.00402002585679</v>
      </c>
      <c r="N7">
        <f t="shared" si="5"/>
        <v>0.30525778883276317</v>
      </c>
      <c r="O7">
        <f t="shared" si="6"/>
        <v>0.46787617639352908</v>
      </c>
      <c r="P7">
        <f t="shared" si="7"/>
        <v>0.22686603477370784</v>
      </c>
    </row>
    <row r="8" spans="2:16" x14ac:dyDescent="0.3">
      <c r="B8" t="s">
        <v>6</v>
      </c>
      <c r="C8">
        <v>60</v>
      </c>
      <c r="D8">
        <v>91.520316243516106</v>
      </c>
      <c r="E8">
        <v>1.44332073561187</v>
      </c>
      <c r="F8">
        <v>0.75253148324256802</v>
      </c>
      <c r="G8">
        <v>47.024624911299071</v>
      </c>
      <c r="H8">
        <v>5.6959035792653729</v>
      </c>
      <c r="I8">
        <v>47.144060927127803</v>
      </c>
      <c r="J8" s="10">
        <f t="shared" si="1"/>
        <v>39.154558627226535</v>
      </c>
      <c r="K8" s="10">
        <f t="shared" si="2"/>
        <v>56.512586360406516</v>
      </c>
      <c r="L8" s="10">
        <f t="shared" si="3"/>
        <v>29.465038079454878</v>
      </c>
      <c r="M8" s="10">
        <f t="shared" si="4"/>
        <v>125.13218306708794</v>
      </c>
      <c r="N8">
        <f t="shared" si="5"/>
        <v>0.31290558246102318</v>
      </c>
      <c r="O8">
        <f t="shared" si="6"/>
        <v>0.45162311545470324</v>
      </c>
      <c r="P8">
        <f t="shared" si="7"/>
        <v>0.2354713020842735</v>
      </c>
    </row>
    <row r="9" spans="2:16" x14ac:dyDescent="0.3">
      <c r="B9" t="s">
        <v>79</v>
      </c>
      <c r="C9">
        <v>60</v>
      </c>
      <c r="D9">
        <v>95.061183038365002</v>
      </c>
      <c r="E9">
        <v>1.47430891704149</v>
      </c>
      <c r="F9">
        <v>1.0074941185493</v>
      </c>
      <c r="G9">
        <v>25.27182730834593</v>
      </c>
      <c r="H9">
        <v>3.1267961986175612</v>
      </c>
      <c r="I9">
        <v>33.920023151576466</v>
      </c>
      <c r="J9" s="10">
        <f t="shared" si="1"/>
        <v>21.042320822935828</v>
      </c>
      <c r="K9" s="10">
        <f t="shared" si="2"/>
        <v>31.022881224502044</v>
      </c>
      <c r="L9" s="10">
        <f t="shared" si="3"/>
        <v>21.20001446973529</v>
      </c>
      <c r="M9" s="10">
        <f t="shared" si="4"/>
        <v>73.265216517173158</v>
      </c>
      <c r="N9">
        <f t="shared" si="5"/>
        <v>0.28720751569748748</v>
      </c>
      <c r="O9">
        <f t="shared" si="6"/>
        <v>0.42343260143413852</v>
      </c>
      <c r="P9">
        <f t="shared" si="7"/>
        <v>0.28935988286837405</v>
      </c>
    </row>
    <row r="10" spans="2:16" x14ac:dyDescent="0.3">
      <c r="B10" t="s">
        <v>78</v>
      </c>
      <c r="C10">
        <v>60</v>
      </c>
      <c r="F10" t="e">
        <v>#DIV/0!</v>
      </c>
      <c r="G10">
        <v>17.698883268044266</v>
      </c>
      <c r="H10">
        <v>2.6965412360309955</v>
      </c>
      <c r="I10">
        <v>17.698883268044266</v>
      </c>
      <c r="J10" s="10">
        <f t="shared" si="1"/>
        <v>14.736788732759589</v>
      </c>
      <c r="K10" s="10">
        <f t="shared" si="2"/>
        <v>26.754055323256232</v>
      </c>
      <c r="L10" s="10">
        <f t="shared" si="3"/>
        <v>11.061802042527667</v>
      </c>
      <c r="M10" s="10">
        <f t="shared" si="4"/>
        <v>52.552646098543484</v>
      </c>
      <c r="N10">
        <f t="shared" si="5"/>
        <v>0.28041953786924584</v>
      </c>
      <c r="O10">
        <f t="shared" si="6"/>
        <v>0.50909054651765162</v>
      </c>
      <c r="P10">
        <f t="shared" si="7"/>
        <v>0.21048991561310265</v>
      </c>
    </row>
    <row r="11" spans="2:16" x14ac:dyDescent="0.3">
      <c r="B11" t="s">
        <v>88</v>
      </c>
      <c r="G11">
        <v>46.52603143046386</v>
      </c>
    </row>
    <row r="13" spans="2:16" x14ac:dyDescent="0.3">
      <c r="B13" t="s">
        <v>74</v>
      </c>
      <c r="C13">
        <v>300</v>
      </c>
      <c r="D13">
        <v>60.163367113997303</v>
      </c>
      <c r="E13">
        <v>0.96658562280029703</v>
      </c>
      <c r="F13">
        <v>0.329039537507679</v>
      </c>
      <c r="G13">
        <v>60.616629019676502</v>
      </c>
      <c r="H13">
        <v>4.9170717979793164</v>
      </c>
      <c r="I13">
        <v>26.57154714792193</v>
      </c>
      <c r="J13" s="10">
        <f>G13/12.01*10</f>
        <v>50.471797684992922</v>
      </c>
      <c r="K13" s="10">
        <f>H13/1.0079*10</f>
        <v>48.785313999199488</v>
      </c>
      <c r="L13" s="10">
        <f>I13/16*10</f>
        <v>16.607216967451205</v>
      </c>
      <c r="M13" s="10">
        <f>J13+K13+L13</f>
        <v>115.86432865164362</v>
      </c>
      <c r="N13">
        <f>J13/$M13</f>
        <v>0.43561118656925774</v>
      </c>
      <c r="O13">
        <f t="shared" ref="O13:O20" si="8">K13/$M13</f>
        <v>0.42105551006882247</v>
      </c>
      <c r="P13">
        <f t="shared" ref="P13:P20" si="9">L13/$M13</f>
        <v>0.14333330336191974</v>
      </c>
    </row>
    <row r="14" spans="2:16" x14ac:dyDescent="0.3">
      <c r="B14" t="s">
        <v>74</v>
      </c>
      <c r="C14">
        <v>350</v>
      </c>
      <c r="D14">
        <v>63.984671470689499</v>
      </c>
      <c r="E14">
        <v>0.72627487577253103</v>
      </c>
      <c r="F14">
        <v>0.26961951825881703</v>
      </c>
      <c r="G14">
        <v>66.338311618743461</v>
      </c>
      <c r="H14">
        <v>4.0433363727892004</v>
      </c>
      <c r="I14">
        <v>23.82828125994854</v>
      </c>
      <c r="J14" s="10">
        <f t="shared" ref="J14:J21" si="10">G14/12.01*10</f>
        <v>55.235896435256834</v>
      </c>
      <c r="K14" s="10">
        <f t="shared" ref="K14:K21" si="11">H14/1.0079*10</f>
        <v>40.116443821700571</v>
      </c>
      <c r="L14" s="10">
        <f t="shared" ref="L14:L21" si="12">I14/16*10</f>
        <v>14.892675787467837</v>
      </c>
      <c r="M14" s="10">
        <f t="shared" ref="M14:M21" si="13">J14+K14+L14</f>
        <v>110.24501604442524</v>
      </c>
      <c r="N14">
        <f t="shared" ref="N14:N21" si="14">J14/$M14</f>
        <v>0.50102851282636229</v>
      </c>
      <c r="O14">
        <f t="shared" si="8"/>
        <v>0.3638844209114625</v>
      </c>
      <c r="P14">
        <f t="shared" si="9"/>
        <v>0.13508706626217518</v>
      </c>
    </row>
    <row r="15" spans="2:16" x14ac:dyDescent="0.3">
      <c r="B15" t="s">
        <v>74</v>
      </c>
      <c r="C15">
        <v>400</v>
      </c>
      <c r="D15">
        <v>40.777579887259002</v>
      </c>
      <c r="E15">
        <v>0.60951055379817898</v>
      </c>
      <c r="F15">
        <v>0.192584184339051</v>
      </c>
      <c r="G15">
        <v>67.93268262727554</v>
      </c>
      <c r="H15">
        <v>3.4748369639066508</v>
      </c>
      <c r="I15">
        <v>17.429156068259761</v>
      </c>
      <c r="J15" s="10">
        <f t="shared" si="10"/>
        <v>56.563432662177803</v>
      </c>
      <c r="K15" s="10">
        <f t="shared" si="11"/>
        <v>34.476009166649973</v>
      </c>
      <c r="L15" s="10">
        <f t="shared" si="12"/>
        <v>10.89322254266235</v>
      </c>
      <c r="M15" s="10">
        <f t="shared" si="13"/>
        <v>101.93266437149012</v>
      </c>
      <c r="N15">
        <f t="shared" si="14"/>
        <v>0.5549097829527373</v>
      </c>
      <c r="O15">
        <f t="shared" si="8"/>
        <v>0.33822336911554995</v>
      </c>
      <c r="P15">
        <f t="shared" si="9"/>
        <v>0.10686684793171276</v>
      </c>
    </row>
    <row r="16" spans="2:16" x14ac:dyDescent="0.3">
      <c r="B16" t="s">
        <v>74</v>
      </c>
      <c r="C16">
        <v>450</v>
      </c>
      <c r="D16">
        <v>50.922086283116897</v>
      </c>
      <c r="E16">
        <v>0.54989424534164999</v>
      </c>
      <c r="F16">
        <v>0.16366745089981899</v>
      </c>
      <c r="G16">
        <v>71.487386314502317</v>
      </c>
      <c r="H16">
        <v>3.2990054385858678</v>
      </c>
      <c r="I16">
        <v>15.587221701362481</v>
      </c>
      <c r="J16" s="10">
        <f t="shared" si="10"/>
        <v>59.523219246046892</v>
      </c>
      <c r="K16" s="10">
        <f t="shared" si="11"/>
        <v>32.731475727610551</v>
      </c>
      <c r="L16" s="10">
        <f t="shared" si="12"/>
        <v>9.7420135633515503</v>
      </c>
      <c r="M16" s="10">
        <f t="shared" si="13"/>
        <v>101.996708537009</v>
      </c>
      <c r="N16">
        <f t="shared" si="14"/>
        <v>0.58357980468015969</v>
      </c>
      <c r="O16">
        <f t="shared" si="8"/>
        <v>0.32090717629122412</v>
      </c>
      <c r="P16">
        <f t="shared" si="9"/>
        <v>9.55130190286161E-2</v>
      </c>
    </row>
    <row r="17" spans="2:16" x14ac:dyDescent="0.3">
      <c r="B17" t="s">
        <v>74</v>
      </c>
      <c r="C17">
        <v>500</v>
      </c>
      <c r="D17">
        <v>33.979906697959201</v>
      </c>
      <c r="E17">
        <v>0.41743784934496098</v>
      </c>
      <c r="F17">
        <v>0.175892253047291</v>
      </c>
      <c r="G17">
        <v>74.077691502121326</v>
      </c>
      <c r="H17">
        <v>2.5950976352758692</v>
      </c>
      <c r="I17">
        <v>17.358457363997001</v>
      </c>
      <c r="J17" s="10">
        <f t="shared" si="10"/>
        <v>61.680009577120174</v>
      </c>
      <c r="K17" s="10">
        <f t="shared" si="11"/>
        <v>25.747570545449641</v>
      </c>
      <c r="L17" s="10">
        <f t="shared" si="12"/>
        <v>10.849035852498126</v>
      </c>
      <c r="M17" s="10">
        <f t="shared" si="13"/>
        <v>98.276615975067955</v>
      </c>
      <c r="N17">
        <f t="shared" si="14"/>
        <v>0.62761633543393403</v>
      </c>
      <c r="O17">
        <f t="shared" si="8"/>
        <v>0.26199081327730706</v>
      </c>
      <c r="P17">
        <f t="shared" si="9"/>
        <v>0.11039285128875871</v>
      </c>
    </row>
    <row r="18" spans="2:16" x14ac:dyDescent="0.3">
      <c r="B18" t="s">
        <v>74</v>
      </c>
      <c r="C18">
        <v>550</v>
      </c>
      <c r="D18">
        <v>43.8152290054066</v>
      </c>
      <c r="E18">
        <v>0.36678483345852497</v>
      </c>
      <c r="F18">
        <v>0.135334965619445</v>
      </c>
      <c r="G18">
        <v>74.328568107038393</v>
      </c>
      <c r="H18">
        <v>2.287923892339558</v>
      </c>
      <c r="I18">
        <v>13.401171302992321</v>
      </c>
      <c r="J18" s="10">
        <f t="shared" si="10"/>
        <v>61.888899339748875</v>
      </c>
      <c r="K18" s="10">
        <f t="shared" si="11"/>
        <v>22.699909637261214</v>
      </c>
      <c r="L18" s="10">
        <f t="shared" si="12"/>
        <v>8.3757320643702009</v>
      </c>
      <c r="M18" s="10">
        <f t="shared" si="13"/>
        <v>92.964541041380286</v>
      </c>
      <c r="N18">
        <f t="shared" si="14"/>
        <v>0.6657258632858839</v>
      </c>
      <c r="O18">
        <f t="shared" si="8"/>
        <v>0.24417814989434578</v>
      </c>
      <c r="P18">
        <f t="shared" si="9"/>
        <v>9.0095986819770379E-2</v>
      </c>
    </row>
    <row r="19" spans="2:16" x14ac:dyDescent="0.3">
      <c r="B19" t="s">
        <v>74</v>
      </c>
      <c r="C19">
        <v>600</v>
      </c>
      <c r="D19">
        <v>33.575148528150301</v>
      </c>
      <c r="E19">
        <v>0.28364177448899403</v>
      </c>
      <c r="F19">
        <v>0.141219114197776</v>
      </c>
      <c r="G19">
        <v>76.001069864275081</v>
      </c>
      <c r="H19">
        <v>1.8091073470514523</v>
      </c>
      <c r="I19">
        <v>14.298489611079104</v>
      </c>
      <c r="J19" s="10">
        <f t="shared" si="10"/>
        <v>63.281490311636205</v>
      </c>
      <c r="K19" s="10">
        <f t="shared" si="11"/>
        <v>17.949274204300547</v>
      </c>
      <c r="L19" s="10">
        <f t="shared" si="12"/>
        <v>8.9365560069244392</v>
      </c>
      <c r="M19" s="10">
        <f t="shared" si="13"/>
        <v>90.167320522861189</v>
      </c>
      <c r="N19">
        <f t="shared" si="14"/>
        <v>0.70182289930187847</v>
      </c>
      <c r="O19">
        <f t="shared" si="8"/>
        <v>0.19906629253499503</v>
      </c>
      <c r="P19">
        <f t="shared" si="9"/>
        <v>9.9110808163126549E-2</v>
      </c>
    </row>
    <row r="20" spans="2:16" x14ac:dyDescent="0.3">
      <c r="B20" t="s">
        <v>75</v>
      </c>
      <c r="C20">
        <v>300</v>
      </c>
      <c r="D20">
        <v>58.081652732101098</v>
      </c>
      <c r="E20">
        <v>0.90487535378460004</v>
      </c>
      <c r="F20">
        <v>0.31116209960911501</v>
      </c>
      <c r="G20">
        <v>59.894149692297368</v>
      </c>
      <c r="H20">
        <v>4.5482842745708343</v>
      </c>
      <c r="I20">
        <v>24.828362194914778</v>
      </c>
      <c r="J20" s="10">
        <f t="shared" si="10"/>
        <v>49.870232882845436</v>
      </c>
      <c r="K20" s="10">
        <f t="shared" si="11"/>
        <v>45.126344623185176</v>
      </c>
      <c r="L20" s="10">
        <f t="shared" si="12"/>
        <v>15.517726371821736</v>
      </c>
      <c r="M20" s="10">
        <f t="shared" si="13"/>
        <v>110.51430387785234</v>
      </c>
      <c r="N20">
        <f t="shared" si="14"/>
        <v>0.45125591107161378</v>
      </c>
      <c r="O20">
        <f t="shared" si="8"/>
        <v>0.4083303521783187</v>
      </c>
      <c r="P20">
        <f t="shared" si="9"/>
        <v>0.14041373675006763</v>
      </c>
    </row>
    <row r="21" spans="2:16" x14ac:dyDescent="0.3">
      <c r="B21" t="s">
        <v>75</v>
      </c>
      <c r="C21">
        <v>350</v>
      </c>
      <c r="D21">
        <v>55.108946917486598</v>
      </c>
      <c r="E21">
        <v>0.69819748632862599</v>
      </c>
      <c r="F21">
        <v>0.26753478809581599</v>
      </c>
      <c r="G21">
        <v>65.201083419564995</v>
      </c>
      <c r="H21">
        <v>3.8203885167846758</v>
      </c>
      <c r="I21">
        <v>23.238711788537501</v>
      </c>
      <c r="J21" s="10">
        <f t="shared" si="10"/>
        <v>54.28899535350957</v>
      </c>
      <c r="K21" s="10">
        <f t="shared" si="11"/>
        <v>37.904440091126858</v>
      </c>
      <c r="L21" s="10">
        <f t="shared" si="12"/>
        <v>14.524194867835938</v>
      </c>
      <c r="M21" s="10">
        <f t="shared" si="13"/>
        <v>106.71763031247238</v>
      </c>
      <c r="N21">
        <f t="shared" si="14"/>
        <v>0.50871627485121051</v>
      </c>
      <c r="O21">
        <f t="shared" ref="O21:O45" si="15">K21/$M21</f>
        <v>0.35518442435557773</v>
      </c>
      <c r="P21">
        <f t="shared" ref="P21:P45" si="16">L21/$M21</f>
        <v>0.13609930079321164</v>
      </c>
    </row>
    <row r="22" spans="2:16" x14ac:dyDescent="0.3">
      <c r="B22" t="s">
        <v>75</v>
      </c>
      <c r="C22">
        <v>400</v>
      </c>
      <c r="D22">
        <v>51.352759530433403</v>
      </c>
      <c r="E22">
        <v>0.59665344081876004</v>
      </c>
      <c r="F22">
        <v>0.231704567130566</v>
      </c>
      <c r="G22">
        <v>65.201083419564995</v>
      </c>
      <c r="H22">
        <v>3.2647610431687659</v>
      </c>
      <c r="I22">
        <v>20.126413069341158</v>
      </c>
      <c r="J22" s="10">
        <f t="shared" ref="J22:J65" si="17">G22/12.01*10</f>
        <v>54.28899535350957</v>
      </c>
      <c r="K22" s="10">
        <f t="shared" ref="K22:K65" si="18">H22/1.0079*10</f>
        <v>32.391715876265167</v>
      </c>
      <c r="L22" s="10">
        <f t="shared" ref="L22:L65" si="19">I22/16*10</f>
        <v>12.579008168338223</v>
      </c>
      <c r="M22" s="10">
        <f t="shared" ref="M22:M65" si="20">J22+K22+L22</f>
        <v>99.259719398112964</v>
      </c>
      <c r="N22">
        <f t="shared" ref="N22:N37" si="21">J22/$M22</f>
        <v>0.54693883563952195</v>
      </c>
      <c r="O22">
        <f t="shared" si="15"/>
        <v>0.32633293820172704</v>
      </c>
      <c r="P22">
        <f t="shared" si="16"/>
        <v>0.12672822615875101</v>
      </c>
    </row>
    <row r="23" spans="2:16" x14ac:dyDescent="0.3">
      <c r="B23" t="s">
        <v>75</v>
      </c>
      <c r="C23">
        <v>450</v>
      </c>
      <c r="D23">
        <v>48.741710752377699</v>
      </c>
      <c r="E23">
        <v>0.47217562935082602</v>
      </c>
      <c r="F23">
        <v>0.180280661202984</v>
      </c>
      <c r="G23">
        <v>68.322851555952212</v>
      </c>
      <c r="H23">
        <v>2.7073474169351686</v>
      </c>
      <c r="I23">
        <v>16.409377323937214</v>
      </c>
      <c r="J23" s="10">
        <f t="shared" si="17"/>
        <v>56.888302711034314</v>
      </c>
      <c r="K23" s="10">
        <f t="shared" si="18"/>
        <v>26.86127013528295</v>
      </c>
      <c r="L23" s="10">
        <f t="shared" si="19"/>
        <v>10.255860827460758</v>
      </c>
      <c r="M23" s="10">
        <f t="shared" si="20"/>
        <v>94.005433673778015</v>
      </c>
      <c r="N23">
        <f t="shared" si="21"/>
        <v>0.60515972840943133</v>
      </c>
      <c r="O23">
        <f t="shared" si="15"/>
        <v>0.28574167561949843</v>
      </c>
      <c r="P23">
        <f t="shared" si="16"/>
        <v>0.10909859597107034</v>
      </c>
    </row>
    <row r="24" spans="2:16" x14ac:dyDescent="0.3">
      <c r="B24" t="s">
        <v>75</v>
      </c>
      <c r="C24">
        <v>500</v>
      </c>
      <c r="D24">
        <v>36.124672519200303</v>
      </c>
      <c r="E24">
        <v>0.318924320013455</v>
      </c>
      <c r="F24">
        <v>0.114282001063852</v>
      </c>
      <c r="G24">
        <v>70.310561021181655</v>
      </c>
      <c r="H24">
        <v>1.8818397561670352</v>
      </c>
      <c r="I24">
        <v>10.70472154460975</v>
      </c>
      <c r="J24" s="10">
        <f t="shared" si="17"/>
        <v>58.543348060933937</v>
      </c>
      <c r="K24" s="10">
        <f t="shared" si="18"/>
        <v>18.670897471644359</v>
      </c>
      <c r="L24" s="10">
        <f t="shared" si="19"/>
        <v>6.6904509653810944</v>
      </c>
      <c r="M24" s="10">
        <f t="shared" si="20"/>
        <v>83.904696497959392</v>
      </c>
      <c r="N24">
        <f t="shared" si="21"/>
        <v>0.69773624724758698</v>
      </c>
      <c r="O24">
        <f t="shared" si="15"/>
        <v>0.22252505820217638</v>
      </c>
      <c r="P24">
        <f t="shared" si="16"/>
        <v>7.9738694550236647E-2</v>
      </c>
    </row>
    <row r="25" spans="2:16" x14ac:dyDescent="0.3">
      <c r="B25" t="s">
        <v>75</v>
      </c>
      <c r="C25">
        <v>550</v>
      </c>
      <c r="D25">
        <v>43.346143473530198</v>
      </c>
      <c r="E25">
        <v>0.37592737919966801</v>
      </c>
      <c r="F25">
        <v>0.12779286755768299</v>
      </c>
      <c r="G25">
        <v>72.216961058542978</v>
      </c>
      <c r="H25">
        <v>2.2783351152746145</v>
      </c>
      <c r="I25">
        <v>12.294837688556497</v>
      </c>
      <c r="J25" s="10">
        <f t="shared" si="17"/>
        <v>60.130691972142365</v>
      </c>
      <c r="K25" s="10">
        <f t="shared" si="18"/>
        <v>22.604773442549998</v>
      </c>
      <c r="L25" s="10">
        <f t="shared" si="19"/>
        <v>7.6842735553478105</v>
      </c>
      <c r="M25" s="10">
        <f t="shared" si="20"/>
        <v>90.419738970040171</v>
      </c>
      <c r="N25">
        <f t="shared" si="21"/>
        <v>0.66501731432852473</v>
      </c>
      <c r="O25">
        <f t="shared" si="15"/>
        <v>0.24999821609792416</v>
      </c>
      <c r="P25">
        <f t="shared" si="16"/>
        <v>8.4984469573551089E-2</v>
      </c>
    </row>
    <row r="26" spans="2:16" x14ac:dyDescent="0.3">
      <c r="B26" t="s">
        <v>75</v>
      </c>
      <c r="C26">
        <v>600</v>
      </c>
      <c r="D26">
        <v>28.202922284260701</v>
      </c>
      <c r="E26">
        <v>0.39860361508294501</v>
      </c>
      <c r="F26">
        <v>0.10119987979914299</v>
      </c>
      <c r="G26">
        <v>68.708434573677721</v>
      </c>
      <c r="H26">
        <v>2.2984005918384067</v>
      </c>
      <c r="I26">
        <v>9.2633276536799194</v>
      </c>
      <c r="J26" s="10">
        <f t="shared" si="17"/>
        <v>57.20935434944024</v>
      </c>
      <c r="K26" s="10">
        <f t="shared" si="18"/>
        <v>22.803855460248105</v>
      </c>
      <c r="L26" s="10">
        <f t="shared" si="19"/>
        <v>5.7895797835499501</v>
      </c>
      <c r="M26" s="10">
        <f t="shared" si="20"/>
        <v>85.802789593238302</v>
      </c>
      <c r="N26">
        <f t="shared" si="21"/>
        <v>0.66675401371738885</v>
      </c>
      <c r="O26">
        <f t="shared" si="15"/>
        <v>0.26577056023881496</v>
      </c>
      <c r="P26">
        <f t="shared" si="16"/>
        <v>6.7475426043796111E-2</v>
      </c>
    </row>
    <row r="27" spans="2:16" x14ac:dyDescent="0.3">
      <c r="B27" t="s">
        <v>76</v>
      </c>
      <c r="C27">
        <v>300</v>
      </c>
      <c r="D27">
        <v>50.452651801692198</v>
      </c>
      <c r="E27">
        <v>0.86464221094884297</v>
      </c>
      <c r="F27">
        <v>0.27619546210154899</v>
      </c>
      <c r="G27">
        <v>61.459777458244737</v>
      </c>
      <c r="H27">
        <v>4.4596610771907903</v>
      </c>
      <c r="I27">
        <v>22.614370205812882</v>
      </c>
      <c r="J27" s="10">
        <f t="shared" si="17"/>
        <v>51.173836351577634</v>
      </c>
      <c r="K27" s="10">
        <f t="shared" si="18"/>
        <v>44.247059005762381</v>
      </c>
      <c r="L27" s="10">
        <f t="shared" si="19"/>
        <v>14.133981378633052</v>
      </c>
      <c r="M27" s="10">
        <f t="shared" si="20"/>
        <v>109.55487673597307</v>
      </c>
      <c r="N27">
        <f t="shared" si="21"/>
        <v>0.46710687717632532</v>
      </c>
      <c r="O27">
        <f t="shared" si="15"/>
        <v>0.40388032303114779</v>
      </c>
      <c r="P27">
        <f t="shared" si="16"/>
        <v>0.12901279979252686</v>
      </c>
    </row>
    <row r="28" spans="2:16" x14ac:dyDescent="0.3">
      <c r="B28" t="s">
        <v>76</v>
      </c>
      <c r="C28">
        <v>350</v>
      </c>
      <c r="D28">
        <v>65.035871941525201</v>
      </c>
      <c r="E28">
        <v>0.77358711672688896</v>
      </c>
      <c r="F28">
        <v>0.23479628246165599</v>
      </c>
      <c r="G28">
        <v>63.225863017389692</v>
      </c>
      <c r="H28">
        <v>4.1046717491655169</v>
      </c>
      <c r="I28">
        <v>19.777115859334526</v>
      </c>
      <c r="J28" s="10">
        <f t="shared" si="17"/>
        <v>52.644348890416062</v>
      </c>
      <c r="K28" s="10">
        <f t="shared" si="18"/>
        <v>40.72499007010137</v>
      </c>
      <c r="L28" s="10">
        <f t="shared" si="19"/>
        <v>12.360697412084079</v>
      </c>
      <c r="M28" s="10">
        <f t="shared" si="20"/>
        <v>105.73003637260152</v>
      </c>
      <c r="N28">
        <f t="shared" si="21"/>
        <v>0.49791289870451721</v>
      </c>
      <c r="O28">
        <f t="shared" si="15"/>
        <v>0.38517900368995511</v>
      </c>
      <c r="P28">
        <f t="shared" si="16"/>
        <v>0.11690809760552758</v>
      </c>
    </row>
    <row r="29" spans="2:16" x14ac:dyDescent="0.3">
      <c r="B29" t="s">
        <v>76</v>
      </c>
      <c r="C29">
        <v>400</v>
      </c>
      <c r="D29">
        <v>44.120926845323901</v>
      </c>
      <c r="E29">
        <v>0.59053516727001298</v>
      </c>
      <c r="F29">
        <v>0.191023192870448</v>
      </c>
      <c r="G29">
        <v>66.019834087774058</v>
      </c>
      <c r="H29">
        <v>3.2718593949138084</v>
      </c>
      <c r="I29">
        <v>16.801091757167505</v>
      </c>
      <c r="J29" s="10">
        <f t="shared" si="17"/>
        <v>54.970719473583728</v>
      </c>
      <c r="K29" s="10">
        <f t="shared" si="18"/>
        <v>32.462143019285726</v>
      </c>
      <c r="L29" s="10">
        <f t="shared" si="19"/>
        <v>10.500682348229692</v>
      </c>
      <c r="M29" s="10">
        <f t="shared" si="20"/>
        <v>97.933544841099135</v>
      </c>
      <c r="N29">
        <f t="shared" si="21"/>
        <v>0.5613063385255358</v>
      </c>
      <c r="O29">
        <f t="shared" si="15"/>
        <v>0.33147113251089577</v>
      </c>
      <c r="P29">
        <f t="shared" si="16"/>
        <v>0.10722252896356856</v>
      </c>
    </row>
    <row r="30" spans="2:16" x14ac:dyDescent="0.3">
      <c r="B30" t="s">
        <v>76</v>
      </c>
      <c r="C30">
        <v>450</v>
      </c>
      <c r="D30">
        <v>47.642772855743502</v>
      </c>
      <c r="E30">
        <v>0.52813469691551496</v>
      </c>
      <c r="F30">
        <v>0.148002525509532</v>
      </c>
      <c r="G30">
        <v>69.094437015102869</v>
      </c>
      <c r="H30">
        <v>3.0624021474584997</v>
      </c>
      <c r="I30">
        <v>13.623515306437351</v>
      </c>
      <c r="J30" s="10">
        <f t="shared" si="17"/>
        <v>57.530755216571912</v>
      </c>
      <c r="K30" s="10">
        <f t="shared" si="18"/>
        <v>30.383987969624961</v>
      </c>
      <c r="L30" s="10">
        <f t="shared" si="19"/>
        <v>8.514697066523345</v>
      </c>
      <c r="M30" s="10">
        <f t="shared" si="20"/>
        <v>96.429440252720212</v>
      </c>
      <c r="N30">
        <f t="shared" si="21"/>
        <v>0.59660986381126491</v>
      </c>
      <c r="O30">
        <f t="shared" si="15"/>
        <v>0.3150903696007698</v>
      </c>
      <c r="P30">
        <f t="shared" si="16"/>
        <v>8.8299766587965345E-2</v>
      </c>
    </row>
    <row r="31" spans="2:16" x14ac:dyDescent="0.3">
      <c r="B31" t="s">
        <v>76</v>
      </c>
      <c r="C31">
        <v>500</v>
      </c>
      <c r="D31">
        <v>38.681533081241803</v>
      </c>
      <c r="E31">
        <v>0.41941533218486399</v>
      </c>
      <c r="F31">
        <v>0.133907613196661</v>
      </c>
      <c r="G31">
        <v>72.519986772321076</v>
      </c>
      <c r="H31">
        <v>2.5525629223528759</v>
      </c>
      <c r="I31">
        <v>12.937190125208875</v>
      </c>
      <c r="J31" s="10">
        <f t="shared" si="17"/>
        <v>60.383003140983419</v>
      </c>
      <c r="K31" s="10">
        <f t="shared" si="18"/>
        <v>25.325557320695268</v>
      </c>
      <c r="L31" s="10">
        <f t="shared" si="19"/>
        <v>8.0857438282555467</v>
      </c>
      <c r="M31" s="10">
        <f t="shared" si="20"/>
        <v>93.794304289934232</v>
      </c>
      <c r="N31">
        <f t="shared" si="21"/>
        <v>0.64378112933520182</v>
      </c>
      <c r="O31">
        <f t="shared" si="15"/>
        <v>0.27001167621447075</v>
      </c>
      <c r="P31">
        <f t="shared" si="16"/>
        <v>8.6207194450327498E-2</v>
      </c>
    </row>
    <row r="32" spans="2:16" x14ac:dyDescent="0.3">
      <c r="B32" t="s">
        <v>76</v>
      </c>
      <c r="C32">
        <v>550</v>
      </c>
      <c r="D32">
        <v>48.305879348170599</v>
      </c>
      <c r="E32">
        <v>0.387053225491504</v>
      </c>
      <c r="F32">
        <v>0.10945255147982599</v>
      </c>
      <c r="G32">
        <v>71.421288535700953</v>
      </c>
      <c r="H32">
        <v>2.3199189369912414</v>
      </c>
      <c r="I32">
        <v>10.414311087706011</v>
      </c>
      <c r="J32" s="10">
        <f t="shared" si="17"/>
        <v>59.468183626728518</v>
      </c>
      <c r="K32" s="10">
        <f t="shared" si="18"/>
        <v>23.017352286846329</v>
      </c>
      <c r="L32" s="10">
        <f t="shared" si="19"/>
        <v>6.5089444298162569</v>
      </c>
      <c r="M32" s="10">
        <f t="shared" si="20"/>
        <v>88.994480343391103</v>
      </c>
      <c r="N32">
        <f t="shared" si="21"/>
        <v>0.66822328078400584</v>
      </c>
      <c r="O32">
        <f t="shared" si="15"/>
        <v>0.25863797617596451</v>
      </c>
      <c r="P32">
        <f t="shared" si="16"/>
        <v>7.3138743040029708E-2</v>
      </c>
    </row>
    <row r="33" spans="2:16" x14ac:dyDescent="0.3">
      <c r="B33" t="s">
        <v>76</v>
      </c>
      <c r="C33">
        <v>600</v>
      </c>
      <c r="D33">
        <v>35.166487428612101</v>
      </c>
      <c r="E33">
        <v>0.31607549645669503</v>
      </c>
      <c r="F33">
        <v>0.116184077379809</v>
      </c>
      <c r="G33">
        <v>75.196060820192059</v>
      </c>
      <c r="H33">
        <v>1.9946208617941021</v>
      </c>
      <c r="I33">
        <v>11.639080698071661</v>
      </c>
      <c r="J33" s="10">
        <f t="shared" si="17"/>
        <v>62.611208010151593</v>
      </c>
      <c r="K33" s="10">
        <f t="shared" si="18"/>
        <v>19.789868655562081</v>
      </c>
      <c r="L33" s="10">
        <f t="shared" si="19"/>
        <v>7.2744254362947878</v>
      </c>
      <c r="M33" s="10">
        <f t="shared" si="20"/>
        <v>89.675502102008465</v>
      </c>
      <c r="N33">
        <f t="shared" si="21"/>
        <v>0.69819746243438419</v>
      </c>
      <c r="O33">
        <f t="shared" si="15"/>
        <v>0.22068310956375284</v>
      </c>
      <c r="P33">
        <f t="shared" si="16"/>
        <v>8.1119428001862975E-2</v>
      </c>
    </row>
    <row r="34" spans="2:16" x14ac:dyDescent="0.3">
      <c r="B34" t="s">
        <v>77</v>
      </c>
      <c r="C34">
        <v>300</v>
      </c>
      <c r="D34">
        <v>49.777961540653799</v>
      </c>
      <c r="E34">
        <v>0.66514229051457596</v>
      </c>
      <c r="F34">
        <v>0.25480622704412298</v>
      </c>
      <c r="G34">
        <v>69.856979546974415</v>
      </c>
      <c r="H34">
        <v>3.899409121751912</v>
      </c>
      <c r="I34">
        <v>23.713563218735068</v>
      </c>
      <c r="J34" s="10">
        <f t="shared" si="17"/>
        <v>58.165678223958714</v>
      </c>
      <c r="K34" s="10">
        <f t="shared" si="18"/>
        <v>38.688452443217699</v>
      </c>
      <c r="L34" s="10">
        <f t="shared" si="19"/>
        <v>14.820977011709417</v>
      </c>
      <c r="M34" s="10">
        <f t="shared" si="20"/>
        <v>111.67510767888582</v>
      </c>
      <c r="N34">
        <f t="shared" si="21"/>
        <v>0.52084729921380657</v>
      </c>
      <c r="O34">
        <f t="shared" si="15"/>
        <v>0.34643756560740208</v>
      </c>
      <c r="P34">
        <f t="shared" si="16"/>
        <v>0.13271513517879138</v>
      </c>
    </row>
    <row r="35" spans="2:16" x14ac:dyDescent="0.3">
      <c r="B35" t="s">
        <v>77</v>
      </c>
      <c r="C35">
        <v>350</v>
      </c>
      <c r="D35">
        <v>56.796722124322201</v>
      </c>
      <c r="E35">
        <v>0.60942488188379895</v>
      </c>
      <c r="F35">
        <v>0.23883214201344599</v>
      </c>
      <c r="G35">
        <v>73.125142332797793</v>
      </c>
      <c r="H35">
        <v>3.7399116611665013</v>
      </c>
      <c r="I35">
        <v>23.266790179357528</v>
      </c>
      <c r="J35" s="10">
        <f t="shared" si="17"/>
        <v>60.886879544377848</v>
      </c>
      <c r="K35" s="10">
        <f t="shared" si="18"/>
        <v>37.105979374605631</v>
      </c>
      <c r="L35" s="10">
        <f t="shared" si="19"/>
        <v>14.541743862098455</v>
      </c>
      <c r="M35" s="10">
        <f t="shared" si="20"/>
        <v>112.53460278108193</v>
      </c>
      <c r="N35">
        <f t="shared" si="21"/>
        <v>0.54105029066325083</v>
      </c>
      <c r="O35">
        <f t="shared" si="15"/>
        <v>0.32972950948064728</v>
      </c>
      <c r="P35">
        <f t="shared" si="16"/>
        <v>0.12922019985610197</v>
      </c>
    </row>
    <row r="36" spans="2:16" x14ac:dyDescent="0.3">
      <c r="B36" t="s">
        <v>77</v>
      </c>
      <c r="C36">
        <v>400</v>
      </c>
      <c r="D36">
        <v>44.050389440627498</v>
      </c>
      <c r="E36">
        <v>0.51219086728851604</v>
      </c>
      <c r="F36">
        <v>0.18218119747810499</v>
      </c>
      <c r="G36">
        <v>77.202573263510814</v>
      </c>
      <c r="H36">
        <v>3.3184711353123313</v>
      </c>
      <c r="I36">
        <v>18.737528387060831</v>
      </c>
      <c r="J36" s="10">
        <f t="shared" si="17"/>
        <v>64.281909461707599</v>
      </c>
      <c r="K36" s="10">
        <f t="shared" si="18"/>
        <v>32.924606958153895</v>
      </c>
      <c r="L36" s="10">
        <f t="shared" si="19"/>
        <v>11.71095524191302</v>
      </c>
      <c r="M36" s="10">
        <f t="shared" si="20"/>
        <v>108.9174716617745</v>
      </c>
      <c r="N36">
        <f t="shared" si="21"/>
        <v>0.59018914487222596</v>
      </c>
      <c r="O36">
        <f t="shared" si="15"/>
        <v>0.30228948997637323</v>
      </c>
      <c r="P36">
        <f t="shared" si="16"/>
        <v>0.10752136515140094</v>
      </c>
    </row>
    <row r="37" spans="2:16" x14ac:dyDescent="0.3">
      <c r="B37" t="s">
        <v>77</v>
      </c>
      <c r="C37">
        <v>450</v>
      </c>
      <c r="D37">
        <v>47.610649061678998</v>
      </c>
      <c r="E37">
        <v>0.44260355471760698</v>
      </c>
      <c r="F37">
        <v>0.15933677590432399</v>
      </c>
      <c r="G37">
        <v>79.373701253068646</v>
      </c>
      <c r="H37">
        <v>2.9482612719462602</v>
      </c>
      <c r="I37">
        <v>16.848825511083358</v>
      </c>
      <c r="J37" s="10">
        <f t="shared" si="17"/>
        <v>66.089676313962244</v>
      </c>
      <c r="K37" s="10">
        <f t="shared" si="18"/>
        <v>29.251525666695706</v>
      </c>
      <c r="L37" s="10">
        <f t="shared" si="19"/>
        <v>10.530515944427099</v>
      </c>
      <c r="M37" s="10">
        <f t="shared" si="20"/>
        <v>105.87171792508505</v>
      </c>
      <c r="N37">
        <f t="shared" si="21"/>
        <v>0.62424297639835569</v>
      </c>
      <c r="O37">
        <f t="shared" si="15"/>
        <v>0.27629216036141135</v>
      </c>
      <c r="P37">
        <f t="shared" si="16"/>
        <v>9.9464863240232904E-2</v>
      </c>
    </row>
    <row r="38" spans="2:16" x14ac:dyDescent="0.3">
      <c r="B38" t="s">
        <v>77</v>
      </c>
      <c r="C38">
        <v>500</v>
      </c>
      <c r="D38">
        <v>37.921849036622802</v>
      </c>
      <c r="E38">
        <v>0.44624602589311502</v>
      </c>
      <c r="F38">
        <v>0.13534992290896899</v>
      </c>
      <c r="G38">
        <v>80.629603899834038</v>
      </c>
      <c r="H38">
        <v>3.0195576492991747</v>
      </c>
      <c r="I38">
        <v>14.538831869473135</v>
      </c>
      <c r="J38" s="10">
        <f t="shared" si="17"/>
        <v>67.135390424507932</v>
      </c>
      <c r="K38" s="10">
        <f t="shared" si="18"/>
        <v>29.958901173719362</v>
      </c>
      <c r="L38" s="10">
        <f t="shared" si="19"/>
        <v>9.0867699184207105</v>
      </c>
      <c r="M38" s="10">
        <f t="shared" si="20"/>
        <v>106.18106151664801</v>
      </c>
      <c r="N38">
        <f>J38/$M38</f>
        <v>0.63227273739377565</v>
      </c>
      <c r="O38">
        <f t="shared" si="15"/>
        <v>0.2821491963425336</v>
      </c>
      <c r="P38">
        <f t="shared" si="16"/>
        <v>8.5578066263690591E-2</v>
      </c>
    </row>
    <row r="39" spans="2:16" x14ac:dyDescent="0.3">
      <c r="B39" t="s">
        <v>77</v>
      </c>
      <c r="C39">
        <v>550</v>
      </c>
      <c r="D39">
        <v>42.299924676269001</v>
      </c>
      <c r="E39">
        <v>0.374278823660256</v>
      </c>
      <c r="F39">
        <v>0.10207739272034699</v>
      </c>
      <c r="G39">
        <v>84.585058947651746</v>
      </c>
      <c r="H39">
        <v>2.6568274515754817</v>
      </c>
      <c r="I39">
        <v>11.50271078164621</v>
      </c>
      <c r="J39" s="10">
        <f t="shared" si="17"/>
        <v>70.428858407703373</v>
      </c>
      <c r="K39" s="10">
        <f t="shared" si="18"/>
        <v>26.360030276569915</v>
      </c>
      <c r="L39" s="10">
        <f t="shared" si="19"/>
        <v>7.1891942385288807</v>
      </c>
      <c r="M39" s="10">
        <f t="shared" si="20"/>
        <v>103.97808292280217</v>
      </c>
      <c r="N39">
        <f t="shared" ref="N39:N55" si="22">J39/$M39</f>
        <v>0.67734330570407619</v>
      </c>
      <c r="O39">
        <f t="shared" si="15"/>
        <v>0.25351525567307048</v>
      </c>
      <c r="P39">
        <f t="shared" si="16"/>
        <v>6.9141438622853338E-2</v>
      </c>
    </row>
    <row r="40" spans="2:16" x14ac:dyDescent="0.3">
      <c r="B40" t="s">
        <v>77</v>
      </c>
      <c r="C40">
        <v>600</v>
      </c>
      <c r="D40">
        <v>30.293182565820199</v>
      </c>
      <c r="E40">
        <v>0.31366611198295802</v>
      </c>
      <c r="F40">
        <v>9.3367343221288895E-2</v>
      </c>
      <c r="G40">
        <v>87.939074363452875</v>
      </c>
      <c r="H40">
        <v>2.3148557249446697</v>
      </c>
      <c r="I40">
        <v>10.938401650164801</v>
      </c>
      <c r="J40" s="10">
        <f t="shared" si="17"/>
        <v>73.221544016197242</v>
      </c>
      <c r="K40" s="10">
        <f t="shared" si="18"/>
        <v>22.967117024949598</v>
      </c>
      <c r="L40" s="10">
        <f t="shared" si="19"/>
        <v>6.8365010313530004</v>
      </c>
      <c r="M40" s="10">
        <f t="shared" si="20"/>
        <v>103.02516207249984</v>
      </c>
      <c r="N40">
        <f t="shared" si="22"/>
        <v>0.71071515485382597</v>
      </c>
      <c r="O40">
        <f t="shared" si="15"/>
        <v>0.22292725935036536</v>
      </c>
      <c r="P40">
        <f t="shared" si="16"/>
        <v>6.6357585795808666E-2</v>
      </c>
    </row>
    <row r="41" spans="2:16" x14ac:dyDescent="0.3">
      <c r="B41" t="s">
        <v>5</v>
      </c>
      <c r="C41">
        <v>300</v>
      </c>
      <c r="D41">
        <v>61.346735112565</v>
      </c>
      <c r="E41">
        <v>0.89735743300190896</v>
      </c>
      <c r="F41">
        <v>0.361344229046831</v>
      </c>
      <c r="G41">
        <v>63.937007300355951</v>
      </c>
      <c r="H41">
        <v>4.8149547127357417</v>
      </c>
      <c r="I41">
        <v>30.778709222992472</v>
      </c>
      <c r="J41" s="10">
        <f t="shared" si="17"/>
        <v>53.236475687223937</v>
      </c>
      <c r="K41" s="10">
        <f t="shared" si="18"/>
        <v>47.772147164755843</v>
      </c>
      <c r="L41" s="10">
        <f t="shared" si="19"/>
        <v>19.236693264370295</v>
      </c>
      <c r="M41" s="10">
        <f t="shared" si="20"/>
        <v>120.24531611635007</v>
      </c>
      <c r="N41">
        <f t="shared" si="22"/>
        <v>0.44273221948796754</v>
      </c>
      <c r="O41">
        <f t="shared" si="15"/>
        <v>0.39728904798696058</v>
      </c>
      <c r="P41">
        <f t="shared" si="16"/>
        <v>0.159978732525072</v>
      </c>
    </row>
    <row r="42" spans="2:16" x14ac:dyDescent="0.3">
      <c r="B42" t="s">
        <v>5</v>
      </c>
      <c r="C42">
        <v>350</v>
      </c>
      <c r="D42">
        <v>61.4399491829857</v>
      </c>
      <c r="E42">
        <v>0.54850343138318103</v>
      </c>
      <c r="F42">
        <v>0.204423845125112</v>
      </c>
      <c r="G42">
        <v>74.813401088426019</v>
      </c>
      <c r="H42">
        <v>3.4437624419159358</v>
      </c>
      <c r="I42">
        <v>20.37454536870376</v>
      </c>
      <c r="J42" s="10">
        <f t="shared" si="17"/>
        <v>62.292590415009172</v>
      </c>
      <c r="K42" s="10">
        <f t="shared" si="18"/>
        <v>34.167699592379563</v>
      </c>
      <c r="L42" s="10">
        <f t="shared" si="19"/>
        <v>12.734090855439851</v>
      </c>
      <c r="M42" s="10">
        <f t="shared" si="20"/>
        <v>109.19438086282858</v>
      </c>
      <c r="N42">
        <f t="shared" si="22"/>
        <v>0.57047432223881511</v>
      </c>
      <c r="O42">
        <f t="shared" si="15"/>
        <v>0.3129071232639844</v>
      </c>
      <c r="P42">
        <f t="shared" si="16"/>
        <v>0.11661855449720057</v>
      </c>
    </row>
    <row r="43" spans="2:16" x14ac:dyDescent="0.3">
      <c r="B43" t="s">
        <v>5</v>
      </c>
      <c r="C43">
        <v>400</v>
      </c>
      <c r="D43">
        <v>41.244711142889301</v>
      </c>
      <c r="E43">
        <v>0.51183180728872402</v>
      </c>
      <c r="F43">
        <v>0.169620392083355</v>
      </c>
      <c r="G43">
        <v>75.493439021915037</v>
      </c>
      <c r="H43">
        <v>3.2427309646426963</v>
      </c>
      <c r="I43">
        <v>17.059419452613589</v>
      </c>
      <c r="J43" s="10">
        <f t="shared" si="17"/>
        <v>62.858816837564568</v>
      </c>
      <c r="K43" s="10">
        <f t="shared" si="18"/>
        <v>32.173141826001547</v>
      </c>
      <c r="L43" s="10">
        <f t="shared" si="19"/>
        <v>10.662137157883492</v>
      </c>
      <c r="M43" s="10">
        <f t="shared" si="20"/>
        <v>105.69409582144961</v>
      </c>
      <c r="N43">
        <f t="shared" si="22"/>
        <v>0.59472401319135904</v>
      </c>
      <c r="O43">
        <f t="shared" si="15"/>
        <v>0.30439866650973624</v>
      </c>
      <c r="P43">
        <f t="shared" si="16"/>
        <v>0.10087732029890466</v>
      </c>
    </row>
    <row r="44" spans="2:16" x14ac:dyDescent="0.3">
      <c r="B44" t="s">
        <v>5</v>
      </c>
      <c r="C44">
        <v>450</v>
      </c>
      <c r="D44">
        <v>44.659145480464403</v>
      </c>
      <c r="E44">
        <v>0.41993721680999102</v>
      </c>
      <c r="F44">
        <v>0.10066107224210501</v>
      </c>
      <c r="G44">
        <v>83.74189072262503</v>
      </c>
      <c r="H44">
        <v>2.9512198650272463</v>
      </c>
      <c r="I44">
        <v>11.230039649253165</v>
      </c>
      <c r="J44" s="10">
        <f t="shared" si="17"/>
        <v>69.726803266132421</v>
      </c>
      <c r="K44" s="10">
        <f t="shared" si="18"/>
        <v>29.280879700637428</v>
      </c>
      <c r="L44" s="10">
        <f t="shared" si="19"/>
        <v>7.0187747807832279</v>
      </c>
      <c r="M44" s="10">
        <f t="shared" si="20"/>
        <v>106.02645774755308</v>
      </c>
      <c r="N44">
        <f t="shared" si="22"/>
        <v>0.65763588398049266</v>
      </c>
      <c r="O44">
        <f t="shared" si="15"/>
        <v>0.27616578279314613</v>
      </c>
      <c r="P44">
        <f t="shared" si="16"/>
        <v>6.6198333226361233E-2</v>
      </c>
    </row>
    <row r="45" spans="2:16" x14ac:dyDescent="0.3">
      <c r="B45" t="s">
        <v>5</v>
      </c>
      <c r="C45">
        <v>500</v>
      </c>
      <c r="D45">
        <v>31.884379757980899</v>
      </c>
      <c r="E45">
        <v>0.366370666551392</v>
      </c>
      <c r="F45">
        <v>8.4079875401827195E-2</v>
      </c>
      <c r="G45">
        <v>85.334082973006119</v>
      </c>
      <c r="H45">
        <v>2.6237210413616321</v>
      </c>
      <c r="I45">
        <v>9.5585399685589199</v>
      </c>
      <c r="J45" s="10">
        <f t="shared" si="17"/>
        <v>71.052525373027578</v>
      </c>
      <c r="K45" s="10">
        <f t="shared" si="18"/>
        <v>26.031561081075822</v>
      </c>
      <c r="L45" s="10">
        <f t="shared" si="19"/>
        <v>5.9740874803493247</v>
      </c>
      <c r="M45" s="10">
        <f t="shared" si="20"/>
        <v>103.05817393445273</v>
      </c>
      <c r="N45">
        <f t="shared" si="22"/>
        <v>0.68944095029491359</v>
      </c>
      <c r="O45">
        <f t="shared" si="15"/>
        <v>0.25259094050737274</v>
      </c>
      <c r="P45">
        <f t="shared" si="16"/>
        <v>5.7968109197713676E-2</v>
      </c>
    </row>
    <row r="46" spans="2:16" x14ac:dyDescent="0.3">
      <c r="B46" t="s">
        <v>5</v>
      </c>
      <c r="C46">
        <v>550</v>
      </c>
      <c r="D46">
        <v>38.762545675928003</v>
      </c>
      <c r="E46">
        <v>0.32694424037300301</v>
      </c>
      <c r="F46">
        <v>7.6913810973329194E-2</v>
      </c>
      <c r="G46">
        <v>87.913348721392225</v>
      </c>
      <c r="H46">
        <v>2.4121424516396104</v>
      </c>
      <c r="I46">
        <v>9.0081607801359382</v>
      </c>
      <c r="J46" s="10">
        <f t="shared" si="17"/>
        <v>73.200123831300772</v>
      </c>
      <c r="K46" s="10">
        <f t="shared" si="18"/>
        <v>23.93235888123435</v>
      </c>
      <c r="L46" s="10">
        <f t="shared" si="19"/>
        <v>5.6301004875849614</v>
      </c>
      <c r="M46" s="10">
        <f t="shared" si="20"/>
        <v>102.76258320012008</v>
      </c>
      <c r="N46">
        <f t="shared" si="22"/>
        <v>0.71232273023684789</v>
      </c>
      <c r="O46">
        <f t="shared" ref="O46:O65" si="23">K46/$M46</f>
        <v>0.23288981393770944</v>
      </c>
      <c r="P46">
        <f t="shared" ref="P46:P65" si="24">L46/$M46</f>
        <v>5.4787455825442727E-2</v>
      </c>
    </row>
    <row r="47" spans="2:16" x14ac:dyDescent="0.3">
      <c r="B47" t="s">
        <v>5</v>
      </c>
      <c r="C47">
        <v>600</v>
      </c>
      <c r="D47">
        <v>27.897923782185199</v>
      </c>
      <c r="E47">
        <v>0.34162267239078398</v>
      </c>
      <c r="F47">
        <v>7.4331929883534195E-2</v>
      </c>
      <c r="G47">
        <v>85.546252799329608</v>
      </c>
      <c r="H47">
        <v>2.452573968054101</v>
      </c>
      <c r="I47">
        <v>8.4713646159918135</v>
      </c>
      <c r="J47" s="10">
        <f t="shared" si="17"/>
        <v>71.229186344154542</v>
      </c>
      <c r="K47" s="10">
        <f t="shared" si="18"/>
        <v>24.33350499111123</v>
      </c>
      <c r="L47" s="10">
        <f t="shared" si="19"/>
        <v>5.2946028849948839</v>
      </c>
      <c r="M47" s="10">
        <f t="shared" si="20"/>
        <v>100.85729422026066</v>
      </c>
      <c r="N47">
        <f t="shared" si="22"/>
        <v>0.706237331616276</v>
      </c>
      <c r="O47">
        <f t="shared" si="23"/>
        <v>0.24126668456888872</v>
      </c>
      <c r="P47">
        <f t="shared" si="24"/>
        <v>5.2495983814835286E-2</v>
      </c>
    </row>
    <row r="48" spans="2:16" x14ac:dyDescent="0.3">
      <c r="B48" t="s">
        <v>6</v>
      </c>
      <c r="C48">
        <v>300</v>
      </c>
      <c r="D48">
        <v>56.149634303129801</v>
      </c>
      <c r="E48">
        <v>0.86143402168209404</v>
      </c>
      <c r="F48">
        <v>0.35149581020715598</v>
      </c>
      <c r="G48">
        <v>67.178746800747405</v>
      </c>
      <c r="H48">
        <v>4.8565554943008484</v>
      </c>
      <c r="I48">
        <v>31.457849172929329</v>
      </c>
      <c r="J48" s="10">
        <f t="shared" si="17"/>
        <v>55.93567593734172</v>
      </c>
      <c r="K48" s="10">
        <f t="shared" si="18"/>
        <v>48.184894278210621</v>
      </c>
      <c r="L48" s="10">
        <f t="shared" si="19"/>
        <v>19.661155733080832</v>
      </c>
      <c r="M48" s="10">
        <f t="shared" si="20"/>
        <v>123.78172594863317</v>
      </c>
      <c r="N48">
        <f t="shared" si="22"/>
        <v>0.45188961059206639</v>
      </c>
      <c r="O48">
        <f t="shared" si="23"/>
        <v>0.38927308460867921</v>
      </c>
      <c r="P48">
        <f t="shared" si="24"/>
        <v>0.15883730479925448</v>
      </c>
    </row>
    <row r="49" spans="2:16" x14ac:dyDescent="0.3">
      <c r="B49" t="s">
        <v>6</v>
      </c>
      <c r="C49">
        <v>350</v>
      </c>
      <c r="D49">
        <v>56.597203732021001</v>
      </c>
      <c r="E49">
        <v>0.73471440885852202</v>
      </c>
      <c r="F49">
        <v>0.26767226503861402</v>
      </c>
      <c r="G49">
        <v>70.670387613765143</v>
      </c>
      <c r="H49">
        <v>4.3574304929824947</v>
      </c>
      <c r="I49">
        <v>25.201002795981083</v>
      </c>
      <c r="J49" s="10">
        <f t="shared" si="17"/>
        <v>58.842953883234927</v>
      </c>
      <c r="K49" s="10">
        <f t="shared" si="18"/>
        <v>43.232766077810247</v>
      </c>
      <c r="L49" s="10">
        <f t="shared" si="19"/>
        <v>15.750626747488177</v>
      </c>
      <c r="M49" s="10">
        <f t="shared" si="20"/>
        <v>117.82634670853335</v>
      </c>
      <c r="N49">
        <f t="shared" si="22"/>
        <v>0.49940404270357758</v>
      </c>
      <c r="O49">
        <f t="shared" si="23"/>
        <v>0.36691934601651532</v>
      </c>
      <c r="P49">
        <f t="shared" si="24"/>
        <v>0.13367661127990713</v>
      </c>
    </row>
    <row r="50" spans="2:16" x14ac:dyDescent="0.3">
      <c r="B50" t="s">
        <v>6</v>
      </c>
      <c r="C50">
        <v>400</v>
      </c>
      <c r="D50">
        <v>45.955207484431497</v>
      </c>
      <c r="E50">
        <v>0.57030078307826504</v>
      </c>
      <c r="F50">
        <v>0.20442904865562</v>
      </c>
      <c r="G50">
        <v>76.322387893791117</v>
      </c>
      <c r="H50">
        <v>3.6528375229918231</v>
      </c>
      <c r="I50">
        <v>20.78602917335947</v>
      </c>
      <c r="J50" s="10">
        <f t="shared" si="17"/>
        <v>63.549032384505509</v>
      </c>
      <c r="K50" s="10">
        <f t="shared" si="18"/>
        <v>36.242062932749512</v>
      </c>
      <c r="L50" s="10">
        <f t="shared" si="19"/>
        <v>12.991268233349668</v>
      </c>
      <c r="M50" s="10">
        <f t="shared" si="20"/>
        <v>112.78236355060469</v>
      </c>
      <c r="N50">
        <f t="shared" si="22"/>
        <v>0.56346604543352641</v>
      </c>
      <c r="O50">
        <f t="shared" si="23"/>
        <v>0.32134512694875333</v>
      </c>
      <c r="P50">
        <f t="shared" si="24"/>
        <v>0.11518882761772034</v>
      </c>
    </row>
    <row r="51" spans="2:16" x14ac:dyDescent="0.3">
      <c r="B51" t="s">
        <v>6</v>
      </c>
      <c r="C51">
        <v>450</v>
      </c>
      <c r="D51">
        <v>49.511139922391003</v>
      </c>
      <c r="E51">
        <v>0.46090799130835602</v>
      </c>
      <c r="F51">
        <v>0.13849772076158601</v>
      </c>
      <c r="G51">
        <v>80.473870028384852</v>
      </c>
      <c r="H51">
        <v>3.1127451357963833</v>
      </c>
      <c r="I51">
        <v>14.84822325368245</v>
      </c>
      <c r="J51" s="10">
        <f t="shared" si="17"/>
        <v>67.005720256773401</v>
      </c>
      <c r="K51" s="10">
        <f t="shared" si="18"/>
        <v>30.883471929719054</v>
      </c>
      <c r="L51" s="10">
        <f t="shared" si="19"/>
        <v>9.280139533551532</v>
      </c>
      <c r="M51" s="10">
        <f t="shared" si="20"/>
        <v>107.16933172004399</v>
      </c>
      <c r="N51">
        <f t="shared" si="22"/>
        <v>0.62523222997985028</v>
      </c>
      <c r="O51">
        <f t="shared" si="23"/>
        <v>0.28817453122125691</v>
      </c>
      <c r="P51">
        <f t="shared" si="24"/>
        <v>8.6593238798892858E-2</v>
      </c>
    </row>
    <row r="52" spans="2:16" x14ac:dyDescent="0.3">
      <c r="B52" t="s">
        <v>6</v>
      </c>
      <c r="C52">
        <v>500</v>
      </c>
      <c r="D52">
        <v>37.2507771661665</v>
      </c>
      <c r="E52">
        <v>0.421424655711302</v>
      </c>
      <c r="F52">
        <v>0.115888811069184</v>
      </c>
      <c r="G52">
        <v>81.754470196646366</v>
      </c>
      <c r="H52">
        <v>2.8913847557185584</v>
      </c>
      <c r="I52">
        <v>12.622052756943114</v>
      </c>
      <c r="J52" s="10">
        <f t="shared" si="17"/>
        <v>68.071998498456594</v>
      </c>
      <c r="K52" s="10">
        <f t="shared" si="18"/>
        <v>28.687218530792325</v>
      </c>
      <c r="L52" s="10">
        <f t="shared" si="19"/>
        <v>7.8887829730894463</v>
      </c>
      <c r="M52" s="10">
        <f t="shared" si="20"/>
        <v>104.64800000233836</v>
      </c>
      <c r="N52">
        <f t="shared" si="22"/>
        <v>0.65048542253015373</v>
      </c>
      <c r="O52">
        <f t="shared" si="23"/>
        <v>0.27413059523499073</v>
      </c>
      <c r="P52">
        <f t="shared" si="24"/>
        <v>7.5383982234855623E-2</v>
      </c>
    </row>
    <row r="53" spans="2:16" x14ac:dyDescent="0.3">
      <c r="B53" t="s">
        <v>6</v>
      </c>
      <c r="C53">
        <v>550</v>
      </c>
      <c r="D53">
        <v>40.517561551770797</v>
      </c>
      <c r="E53">
        <v>0.37287868091582899</v>
      </c>
      <c r="F53">
        <v>9.70016905712619E-2</v>
      </c>
      <c r="G53">
        <v>86.767311592432975</v>
      </c>
      <c r="H53">
        <v>2.7151769167922915</v>
      </c>
      <c r="I53">
        <v>11.212757250010924</v>
      </c>
      <c r="J53" s="10">
        <f t="shared" si="17"/>
        <v>72.24588808695502</v>
      </c>
      <c r="K53" s="10">
        <f t="shared" si="18"/>
        <v>26.938951451456408</v>
      </c>
      <c r="L53" s="10">
        <f t="shared" si="19"/>
        <v>7.0079732812568274</v>
      </c>
      <c r="M53" s="10">
        <f t="shared" si="20"/>
        <v>106.19281281966825</v>
      </c>
      <c r="N53">
        <f t="shared" si="22"/>
        <v>0.68032747385305314</v>
      </c>
      <c r="O53">
        <f t="shared" si="23"/>
        <v>0.25367961104112474</v>
      </c>
      <c r="P53">
        <f t="shared" si="24"/>
        <v>6.5992915105822142E-2</v>
      </c>
    </row>
    <row r="54" spans="2:16" x14ac:dyDescent="0.3">
      <c r="B54" t="s">
        <v>6</v>
      </c>
      <c r="C54">
        <v>600</v>
      </c>
      <c r="D54">
        <v>28.004278053133898</v>
      </c>
      <c r="E54">
        <v>0.30729636554921502</v>
      </c>
      <c r="F54">
        <v>7.8064967103352201E-2</v>
      </c>
      <c r="G54">
        <v>91.119601246955682</v>
      </c>
      <c r="H54">
        <v>2.3498691090426052</v>
      </c>
      <c r="I54">
        <v>9.4764345363053</v>
      </c>
      <c r="J54" s="10">
        <f t="shared" si="17"/>
        <v>75.869776225608391</v>
      </c>
      <c r="K54" s="10">
        <f t="shared" si="18"/>
        <v>23.314506489161673</v>
      </c>
      <c r="L54" s="10">
        <f t="shared" si="19"/>
        <v>5.9227715851908123</v>
      </c>
      <c r="M54" s="10">
        <f t="shared" si="20"/>
        <v>105.10705429996088</v>
      </c>
      <c r="N54">
        <f t="shared" si="22"/>
        <v>0.72183334154800516</v>
      </c>
      <c r="O54">
        <f t="shared" si="23"/>
        <v>0.22181676238994694</v>
      </c>
      <c r="P54">
        <f t="shared" si="24"/>
        <v>5.6349896062047822E-2</v>
      </c>
    </row>
    <row r="55" spans="2:16" x14ac:dyDescent="0.3">
      <c r="B55" t="s">
        <v>78</v>
      </c>
      <c r="C55">
        <v>300</v>
      </c>
      <c r="D55">
        <v>101.68697648079601</v>
      </c>
      <c r="E55">
        <v>0.84925905390373202</v>
      </c>
      <c r="F55">
        <v>1.4094496710700299</v>
      </c>
      <c r="G55">
        <v>14.308719150482629</v>
      </c>
      <c r="H55">
        <v>1.0198008810733359</v>
      </c>
      <c r="I55">
        <v>26.867503080874251</v>
      </c>
      <c r="J55" s="10">
        <f t="shared" si="17"/>
        <v>11.914004288495113</v>
      </c>
      <c r="K55" s="10">
        <f t="shared" si="18"/>
        <v>10.118076010252366</v>
      </c>
      <c r="L55" s="10">
        <f t="shared" si="19"/>
        <v>16.792189425546407</v>
      </c>
      <c r="M55" s="10">
        <f t="shared" si="20"/>
        <v>38.824269724293885</v>
      </c>
      <c r="N55">
        <f t="shared" si="22"/>
        <v>0.30687001643819839</v>
      </c>
      <c r="O55">
        <f t="shared" si="23"/>
        <v>0.2606121398317271</v>
      </c>
      <c r="P55">
        <f t="shared" si="24"/>
        <v>0.43251784373007457</v>
      </c>
    </row>
    <row r="56" spans="2:16" x14ac:dyDescent="0.3">
      <c r="B56" t="s">
        <v>78</v>
      </c>
      <c r="C56">
        <v>400</v>
      </c>
      <c r="D56">
        <v>97.298295764867405</v>
      </c>
      <c r="E56">
        <v>0.92861612565578899</v>
      </c>
      <c r="F56">
        <v>1.64531165093819</v>
      </c>
      <c r="G56">
        <v>11.069660838333913</v>
      </c>
      <c r="H56">
        <v>0.86267055270119919</v>
      </c>
      <c r="I56">
        <v>24.263836068935902</v>
      </c>
      <c r="J56" s="10">
        <f t="shared" si="17"/>
        <v>9.2170365015269891</v>
      </c>
      <c r="K56" s="10">
        <f t="shared" si="18"/>
        <v>8.5590887260759914</v>
      </c>
      <c r="L56" s="10">
        <f t="shared" si="19"/>
        <v>15.164897543084939</v>
      </c>
      <c r="M56" s="10">
        <f t="shared" si="20"/>
        <v>32.941022770687923</v>
      </c>
      <c r="N56">
        <f>J56/$M56</f>
        <v>0.27980419933192335</v>
      </c>
      <c r="O56">
        <f t="shared" si="23"/>
        <v>0.2598306915258311</v>
      </c>
      <c r="P56">
        <f t="shared" si="24"/>
        <v>0.46036510914224549</v>
      </c>
    </row>
    <row r="57" spans="2:16" x14ac:dyDescent="0.3">
      <c r="B57" t="s">
        <v>78</v>
      </c>
      <c r="C57">
        <v>500</v>
      </c>
      <c r="D57">
        <v>99.934831179280707</v>
      </c>
      <c r="E57">
        <v>0.545588549592532</v>
      </c>
      <c r="F57">
        <v>1.7213561570368501</v>
      </c>
      <c r="G57">
        <v>9.8991614868791959</v>
      </c>
      <c r="H57">
        <v>0.45325029343508422</v>
      </c>
      <c r="I57">
        <v>22.701059217241102</v>
      </c>
      <c r="J57" s="10">
        <f t="shared" si="17"/>
        <v>8.2424325452782661</v>
      </c>
      <c r="K57" s="10">
        <f t="shared" si="18"/>
        <v>4.4969768174926497</v>
      </c>
      <c r="L57" s="10">
        <f t="shared" si="19"/>
        <v>14.188162010775688</v>
      </c>
      <c r="M57" s="10">
        <f t="shared" si="20"/>
        <v>26.927571373546606</v>
      </c>
      <c r="N57">
        <f t="shared" ref="N57:N65" si="25">J57/$M57</f>
        <v>0.30609639580699632</v>
      </c>
      <c r="O57">
        <f t="shared" si="23"/>
        <v>0.16700268862384068</v>
      </c>
      <c r="P57">
        <f t="shared" si="24"/>
        <v>0.52690091556916285</v>
      </c>
    </row>
    <row r="58" spans="2:16" x14ac:dyDescent="0.3">
      <c r="B58" t="s">
        <v>78</v>
      </c>
      <c r="C58">
        <v>600</v>
      </c>
      <c r="D58">
        <v>100.41166285398</v>
      </c>
      <c r="E58">
        <v>0.32800981824370101</v>
      </c>
      <c r="F58">
        <v>1.0480060273635401</v>
      </c>
      <c r="G58">
        <v>15.191968477798493</v>
      </c>
      <c r="H58">
        <v>0.41819162583165198</v>
      </c>
      <c r="I58">
        <v>21.210690467610014</v>
      </c>
      <c r="J58" s="10">
        <f t="shared" si="17"/>
        <v>12.649432537717313</v>
      </c>
      <c r="K58" s="10">
        <f t="shared" si="18"/>
        <v>4.1491380675826175</v>
      </c>
      <c r="L58" s="10">
        <f t="shared" si="19"/>
        <v>13.25668154225626</v>
      </c>
      <c r="M58" s="10">
        <f t="shared" si="20"/>
        <v>30.055252147556189</v>
      </c>
      <c r="N58">
        <f t="shared" si="25"/>
        <v>0.42087261406475496</v>
      </c>
      <c r="O58">
        <f t="shared" si="23"/>
        <v>0.13805034964313173</v>
      </c>
      <c r="P58">
        <f t="shared" si="24"/>
        <v>0.44107703629211337</v>
      </c>
    </row>
    <row r="59" spans="2:16" x14ac:dyDescent="0.3">
      <c r="B59" t="s">
        <v>79</v>
      </c>
      <c r="C59">
        <v>300</v>
      </c>
      <c r="D59">
        <v>87.735109950311298</v>
      </c>
      <c r="E59">
        <v>1.0641506269573699</v>
      </c>
      <c r="F59">
        <v>0.52689771040039401</v>
      </c>
      <c r="G59">
        <v>24.109917237932212</v>
      </c>
      <c r="H59">
        <v>2.1531449254486703</v>
      </c>
      <c r="I59">
        <v>16.923843717714554</v>
      </c>
      <c r="J59" s="10">
        <f t="shared" si="17"/>
        <v>20.074868641075948</v>
      </c>
      <c r="K59" s="10">
        <f t="shared" si="18"/>
        <v>21.36268405048785</v>
      </c>
      <c r="L59" s="10">
        <f t="shared" si="19"/>
        <v>10.577402323571597</v>
      </c>
      <c r="M59" s="10">
        <f t="shared" si="20"/>
        <v>52.014955015135392</v>
      </c>
      <c r="N59">
        <f t="shared" si="25"/>
        <v>0.38594417000331022</v>
      </c>
      <c r="O59">
        <f t="shared" si="23"/>
        <v>0.41070273047956501</v>
      </c>
      <c r="P59">
        <f t="shared" si="24"/>
        <v>0.2033530995171248</v>
      </c>
    </row>
    <row r="60" spans="2:16" x14ac:dyDescent="0.3">
      <c r="B60" t="s">
        <v>79</v>
      </c>
      <c r="C60">
        <v>350</v>
      </c>
      <c r="D60">
        <v>96.700466902976501</v>
      </c>
      <c r="E60">
        <v>0.89544871577727503</v>
      </c>
      <c r="F60">
        <v>0.59181443159979596</v>
      </c>
      <c r="G60">
        <v>18.727817483623824</v>
      </c>
      <c r="H60">
        <v>1.4073506691033155</v>
      </c>
      <c r="I60">
        <v>14.765552252024051</v>
      </c>
      <c r="J60" s="10">
        <f t="shared" si="17"/>
        <v>15.59351996971176</v>
      </c>
      <c r="K60" s="10">
        <f t="shared" si="18"/>
        <v>13.963197431325682</v>
      </c>
      <c r="L60" s="10">
        <f t="shared" si="19"/>
        <v>9.2284701575150319</v>
      </c>
      <c r="M60" s="10">
        <f t="shared" si="20"/>
        <v>38.785187558552472</v>
      </c>
      <c r="N60">
        <f t="shared" si="25"/>
        <v>0.40204833214151242</v>
      </c>
      <c r="O60">
        <f t="shared" si="23"/>
        <v>0.36001366269651247</v>
      </c>
      <c r="P60">
        <f t="shared" si="24"/>
        <v>0.23793800516197514</v>
      </c>
    </row>
    <row r="61" spans="2:16" x14ac:dyDescent="0.3">
      <c r="B61" t="s">
        <v>79</v>
      </c>
      <c r="C61">
        <v>400</v>
      </c>
      <c r="D61">
        <v>90.728182797967705</v>
      </c>
      <c r="E61">
        <v>0.68073738037707499</v>
      </c>
      <c r="F61">
        <v>0.90523444650552498</v>
      </c>
      <c r="G61">
        <v>11.868322332836854</v>
      </c>
      <c r="H61">
        <v>0.67802135041592582</v>
      </c>
      <c r="I61">
        <v>14.31289152095219</v>
      </c>
      <c r="J61" s="10">
        <f t="shared" si="17"/>
        <v>9.8820335827117862</v>
      </c>
      <c r="K61" s="10">
        <f t="shared" si="18"/>
        <v>6.7270696538934995</v>
      </c>
      <c r="L61" s="10">
        <f t="shared" si="19"/>
        <v>8.9455572005951183</v>
      </c>
      <c r="M61" s="10">
        <f t="shared" si="20"/>
        <v>25.554660437200404</v>
      </c>
      <c r="N61">
        <f t="shared" si="25"/>
        <v>0.38670181538887999</v>
      </c>
      <c r="O61">
        <f t="shared" si="23"/>
        <v>0.26324238079488532</v>
      </c>
      <c r="P61">
        <f t="shared" si="24"/>
        <v>0.35005580381623469</v>
      </c>
    </row>
    <row r="62" spans="2:16" x14ac:dyDescent="0.3">
      <c r="B62" t="s">
        <v>79</v>
      </c>
      <c r="C62">
        <v>450</v>
      </c>
      <c r="D62">
        <v>99.655691973116006</v>
      </c>
      <c r="E62">
        <v>0.57255086587217296</v>
      </c>
      <c r="F62">
        <v>0.62025209138167103</v>
      </c>
      <c r="G62">
        <v>11.228685360330632</v>
      </c>
      <c r="H62">
        <v>0.53953227098386636</v>
      </c>
      <c r="I62">
        <v>9.2784220858775353</v>
      </c>
      <c r="J62" s="10">
        <f t="shared" si="17"/>
        <v>9.3494465947798773</v>
      </c>
      <c r="K62" s="10">
        <f t="shared" si="18"/>
        <v>5.3530337432668551</v>
      </c>
      <c r="L62" s="10">
        <f t="shared" si="19"/>
        <v>5.7990138036734598</v>
      </c>
      <c r="M62" s="10">
        <f t="shared" si="20"/>
        <v>20.501494141720194</v>
      </c>
      <c r="N62">
        <f t="shared" si="25"/>
        <v>0.45603732733576291</v>
      </c>
      <c r="O62">
        <f t="shared" si="23"/>
        <v>0.26110456663612247</v>
      </c>
      <c r="P62">
        <f t="shared" si="24"/>
        <v>0.28285810602811456</v>
      </c>
    </row>
    <row r="63" spans="2:16" x14ac:dyDescent="0.3">
      <c r="B63" t="s">
        <v>79</v>
      </c>
      <c r="C63">
        <v>500</v>
      </c>
      <c r="D63">
        <v>91.210542965798297</v>
      </c>
      <c r="E63">
        <v>0.367978457412108</v>
      </c>
      <c r="F63">
        <v>0.80337525629974604</v>
      </c>
      <c r="G63">
        <v>16.750490566726132</v>
      </c>
      <c r="H63">
        <v>0.51727842257361378</v>
      </c>
      <c r="I63">
        <v>17.927633175274046</v>
      </c>
      <c r="J63" s="10">
        <f t="shared" si="17"/>
        <v>13.94711953932234</v>
      </c>
      <c r="K63" s="10">
        <f t="shared" si="18"/>
        <v>5.1322395334221032</v>
      </c>
      <c r="L63" s="10">
        <f t="shared" si="19"/>
        <v>11.20477073454628</v>
      </c>
      <c r="M63" s="10">
        <f t="shared" si="20"/>
        <v>30.284129807290725</v>
      </c>
      <c r="N63">
        <f t="shared" si="25"/>
        <v>0.46054219249729456</v>
      </c>
      <c r="O63">
        <f t="shared" si="23"/>
        <v>0.16946960556834448</v>
      </c>
      <c r="P63">
        <f t="shared" si="24"/>
        <v>0.36998820193436094</v>
      </c>
    </row>
    <row r="64" spans="2:16" x14ac:dyDescent="0.3">
      <c r="B64" t="s">
        <v>79</v>
      </c>
      <c r="C64">
        <v>550</v>
      </c>
      <c r="D64">
        <v>98.701645817454803</v>
      </c>
      <c r="E64">
        <v>0.26622126100485999</v>
      </c>
      <c r="F64">
        <v>0.82989591239754301</v>
      </c>
      <c r="G64">
        <v>14.103486857085528</v>
      </c>
      <c r="H64">
        <v>0.31509656746864945</v>
      </c>
      <c r="I64">
        <v>15.592907368190174</v>
      </c>
      <c r="J64" s="10">
        <f t="shared" si="17"/>
        <v>11.743119781087035</v>
      </c>
      <c r="K64" s="10">
        <f t="shared" si="18"/>
        <v>3.1262681562521029</v>
      </c>
      <c r="L64" s="10">
        <f t="shared" si="19"/>
        <v>9.7455671051188588</v>
      </c>
      <c r="M64" s="10">
        <f t="shared" si="20"/>
        <v>24.614955042457996</v>
      </c>
      <c r="N64">
        <f t="shared" si="25"/>
        <v>0.4770725666909198</v>
      </c>
      <c r="O64">
        <f t="shared" si="23"/>
        <v>0.12700686029528171</v>
      </c>
      <c r="P64">
        <f t="shared" si="24"/>
        <v>0.39592057301379852</v>
      </c>
    </row>
    <row r="65" spans="2:16" x14ac:dyDescent="0.3">
      <c r="B65" t="s">
        <v>79</v>
      </c>
      <c r="C65">
        <v>600</v>
      </c>
      <c r="D65">
        <v>100.341375578484</v>
      </c>
      <c r="E65">
        <v>0.254171994686197</v>
      </c>
      <c r="F65">
        <v>0.65249881251858399</v>
      </c>
      <c r="G65">
        <v>16.437574726746647</v>
      </c>
      <c r="H65">
        <v>0.35062257520681173</v>
      </c>
      <c r="I65">
        <v>14.288756689275845</v>
      </c>
      <c r="J65" s="10">
        <f t="shared" si="17"/>
        <v>13.686573461071312</v>
      </c>
      <c r="K65" s="10">
        <f t="shared" si="18"/>
        <v>3.4787436770196618</v>
      </c>
      <c r="L65" s="10">
        <f t="shared" si="19"/>
        <v>8.9304729307974036</v>
      </c>
      <c r="M65" s="10">
        <f t="shared" si="20"/>
        <v>26.095790068888377</v>
      </c>
      <c r="N65">
        <f t="shared" si="25"/>
        <v>0.52447438552123249</v>
      </c>
      <c r="O65">
        <f t="shared" si="23"/>
        <v>0.13330670072974912</v>
      </c>
      <c r="P65">
        <f t="shared" si="24"/>
        <v>0.34221891374901847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D090-A59F-42A6-8AD8-197C3FF93568}">
  <dimension ref="E5:M17"/>
  <sheetViews>
    <sheetView workbookViewId="0">
      <selection activeCell="F7" sqref="F7"/>
    </sheetView>
  </sheetViews>
  <sheetFormatPr defaultRowHeight="14.4" x14ac:dyDescent="0.3"/>
  <sheetData>
    <row r="5" spans="5:13" x14ac:dyDescent="0.3">
      <c r="F5" t="s">
        <v>65</v>
      </c>
      <c r="G5" t="s">
        <v>66</v>
      </c>
    </row>
    <row r="6" spans="5:13" x14ac:dyDescent="0.3">
      <c r="E6">
        <v>0.7</v>
      </c>
      <c r="F6">
        <f>1-G6</f>
        <v>0.58823529411764708</v>
      </c>
      <c r="G6">
        <f>E6/(1+E6)</f>
        <v>0.41176470588235292</v>
      </c>
      <c r="H6">
        <f>F6+G6</f>
        <v>1</v>
      </c>
    </row>
    <row r="7" spans="5:13" x14ac:dyDescent="0.3">
      <c r="E7">
        <v>0.5</v>
      </c>
      <c r="F7">
        <f>1-G7</f>
        <v>0.66666666666666674</v>
      </c>
      <c r="G7">
        <f>E7/(1+E7)</f>
        <v>0.33333333333333331</v>
      </c>
    </row>
    <row r="8" spans="5:13" x14ac:dyDescent="0.3">
      <c r="E8">
        <v>0.2</v>
      </c>
      <c r="F8">
        <f>1-G8</f>
        <v>0.83333333333333326</v>
      </c>
      <c r="G8">
        <f>E8/(1+E8)</f>
        <v>0.16666666666666669</v>
      </c>
    </row>
    <row r="9" spans="5:13" x14ac:dyDescent="0.3">
      <c r="J9" t="s">
        <v>107</v>
      </c>
      <c r="K9" t="s">
        <v>109</v>
      </c>
      <c r="L9" t="s">
        <v>111</v>
      </c>
      <c r="M9">
        <f>0.7/1.7</f>
        <v>0.41176470588235292</v>
      </c>
    </row>
    <row r="10" spans="5:13" x14ac:dyDescent="0.3">
      <c r="J10" t="s">
        <v>108</v>
      </c>
      <c r="K10" t="s">
        <v>110</v>
      </c>
    </row>
    <row r="14" spans="5:13" x14ac:dyDescent="0.3">
      <c r="F14" t="s">
        <v>65</v>
      </c>
      <c r="G14" t="s">
        <v>67</v>
      </c>
    </row>
    <row r="15" spans="5:13" x14ac:dyDescent="0.3">
      <c r="E15">
        <v>0.7</v>
      </c>
      <c r="F15">
        <f>1-G15</f>
        <v>0.58823529411764708</v>
      </c>
      <c r="G15">
        <f>E15/(1+E15)</f>
        <v>0.41176470588235292</v>
      </c>
      <c r="H15">
        <f>F15+G15</f>
        <v>1</v>
      </c>
      <c r="J15" t="s">
        <v>113</v>
      </c>
      <c r="K15" t="s">
        <v>114</v>
      </c>
      <c r="L15" t="s">
        <v>115</v>
      </c>
      <c r="M15">
        <f>0.4/1.4</f>
        <v>0.28571428571428575</v>
      </c>
    </row>
    <row r="16" spans="5:13" x14ac:dyDescent="0.3">
      <c r="E16">
        <v>0.4</v>
      </c>
      <c r="F16">
        <f>1-G16</f>
        <v>0.71428571428571419</v>
      </c>
      <c r="G16">
        <f>E16/(1+E16)</f>
        <v>0.28571428571428575</v>
      </c>
      <c r="J16" t="s">
        <v>116</v>
      </c>
      <c r="K16" t="s">
        <v>117</v>
      </c>
    </row>
    <row r="17" spans="5:7" x14ac:dyDescent="0.3">
      <c r="E17">
        <v>0.2</v>
      </c>
      <c r="F17">
        <f>1-G17</f>
        <v>0.83333333333333326</v>
      </c>
      <c r="G17">
        <f>E17/(1+E17)</f>
        <v>0.16666666666666669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IPCC sample set</vt:lpstr>
      <vt:lpstr>From Enders et al 2012</vt:lpstr>
      <vt:lpstr>HC limits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Lehmann</dc:creator>
  <dc:description/>
  <cp:lastModifiedBy>Elias Azzi</cp:lastModifiedBy>
  <cp:revision>2</cp:revision>
  <dcterms:created xsi:type="dcterms:W3CDTF">2019-04-09T23:56:39Z</dcterms:created>
  <dcterms:modified xsi:type="dcterms:W3CDTF">2022-04-27T13:24:44Z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Cornell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